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235.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externalLinks/externalLink38.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Override PartName="/xl/externalLinks/externalLink27.xml" ContentType="application/vnd.openxmlformats-officedocument.spreadsheetml.externalLink+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externalLinks/externalLink41.xml" ContentType="application/vnd.openxmlformats-officedocument.spreadsheetml.externalLink+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externalLinks/externalLink30.xml" ContentType="application/vnd.openxmlformats-officedocument.spreadsheetml.externalLink+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229.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comments10.xml" ContentType="application/vnd.openxmlformats-officedocument.spreadsheetml.comments+xml"/>
  <Override PartName="/xl/worksheets/sheet43.xml" ContentType="application/vnd.openxmlformats-officedocument.spreadsheetml.worksheet+xml"/>
  <Override PartName="/xl/worksheets/sheet90.xml" ContentType="application/vnd.openxmlformats-officedocument.spreadsheetml.worksheet+xml"/>
  <Override PartName="/xl/worksheets/sheet243.xml" ContentType="application/vnd.openxmlformats-officedocument.spreadsheetml.worksheet+xml"/>
  <Override PartName="/customXml/itemProps2.xml" ContentType="application/vnd.openxmlformats-officedocument.customXmlProperties+xml"/>
  <Override PartName="/xl/worksheets/sheet32.xml" ContentType="application/vnd.openxmlformats-officedocument.spreadsheetml.worksheet+xml"/>
  <Override PartName="/xl/worksheets/sheet232.xml" ContentType="application/vnd.openxmlformats-officedocument.spreadsheetml.worksheet+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48.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226.xml" ContentType="application/vnd.openxmlformats-officedocument.spreadsheetml.worksheet+xml"/>
  <Override PartName="/xl/worksheets/sheet237.xml" ContentType="application/vnd.openxmlformats-officedocument.spreadsheetml.worksheet+xml"/>
  <Override PartName="/xl/worksheets/sheet15.xml" ContentType="application/vnd.openxmlformats-officedocument.spreadsheetml.worksheet+xml"/>
  <Override PartName="/xl/worksheets/sheet62.xml" ContentType="application/vnd.openxmlformats-officedocument.spreadsheetml.worksheet+xml"/>
  <Override PartName="/xl/worksheets/sheet215.xml" ContentType="application/vnd.openxmlformats-officedocument.spreadsheetml.worksheet+xml"/>
  <Override PartName="/xl/worksheets/sheet51.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51.xml" ContentType="application/vnd.openxmlformats-officedocument.spreadsheetml.worksheet+xml"/>
  <Override PartName="/xl/externalLinks/externalLink29.xml" ContentType="application/vnd.openxmlformats-officedocument.spreadsheetml.externalLink+xml"/>
  <Override PartName="/xl/worksheets/sheet40.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40.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worksheets/sheet5.xml" ContentType="application/vnd.openxmlformats-officedocument.spreadsheetml.worksheet+xml"/>
  <Override PartName="/xl/worksheets/sheet119.xml" ContentType="application/vnd.openxmlformats-officedocument.spreadsheetml.worksheet+xml"/>
  <Override PartName="/xl/worksheets/sheet166.xml" ContentType="application/vnd.openxmlformats-officedocument.spreadsheetml.worksheet+xml"/>
  <Override PartName="/xl/externalLinks/externalLink43.xml" ContentType="application/vnd.openxmlformats-officedocument.spreadsheetml.externalLink+xml"/>
  <Override PartName="/xl/worksheets/sheet89.xml" ContentType="application/vnd.openxmlformats-officedocument.spreadsheetml.worksheet+xml"/>
  <Override PartName="/xl/worksheets/sheet108.xml" ContentType="application/vnd.openxmlformats-officedocument.spreadsheetml.worksheet+xml"/>
  <Override PartName="/xl/worksheets/sheet155.xml" ContentType="application/vnd.openxmlformats-officedocument.spreadsheetml.worksheet+xml"/>
  <Override PartName="/xl/externalLinks/externalLink32.xml" ContentType="application/vnd.openxmlformats-officedocument.spreadsheetml.externalLink+xml"/>
  <Override PartName="/xl/comments2.xml" ContentType="application/vnd.openxmlformats-officedocument.spreadsheetml.comments+xml"/>
  <Override PartName="/xl/worksheets/sheet78.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externalLinks/externalLink21.xml" ContentType="application/vnd.openxmlformats-officedocument.spreadsheetml.externalLink+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38.xml" ContentType="application/vnd.openxmlformats-officedocument.spreadsheetml.worksheet+xml"/>
  <Override PartName="/xl/externalLinks/externalLink10.xml" ContentType="application/vnd.openxmlformats-officedocument.spreadsheetml.externalLink+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245.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worksheets/sheet234.xml" ContentType="application/vnd.openxmlformats-officedocument.spreadsheetml.worksheet+xml"/>
  <Override PartName="/xl/worksheets/sheet252.xml" ContentType="application/vnd.openxmlformats-officedocument.spreadsheetml.workshee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241.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worksheets/sheet230.xml" ContentType="application/vnd.openxmlformats-officedocument.spreadsheetml.worksheet+xml"/>
  <Override PartName="/xl/externalLinks/externalLink37.xml" ContentType="application/vnd.openxmlformats-officedocument.spreadsheetml.externalLink+xml"/>
  <Override PartName="/xl/comments7.xml" ContentType="application/vnd.openxmlformats-officedocument.spreadsheetml.comments+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239.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246.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worksheets/sheet231.xml" ContentType="application/vnd.openxmlformats-officedocument.spreadsheetml.worksheet+xml"/>
  <Override PartName="/xl/worksheets/sheet242.xml" ContentType="application/vnd.openxmlformats-officedocument.spreadsheetml.worksheet+xml"/>
  <Override PartName="/xl/externalLinks/externalLink9.xml" ContentType="application/vnd.openxmlformats-officedocument.spreadsheetml.externalLink+xml"/>
  <Override PartName="/customXml/itemProps1.xml" ContentType="application/vnd.openxmlformats-officedocument.customXmlProperti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worksheets/sheet157.xml" ContentType="application/vnd.openxmlformats-officedocument.spreadsheetml.worksheet+xml"/>
  <Override PartName="/xl/externalLinks/externalLink34.xml" ContentType="application/vnd.openxmlformats-officedocument.spreadsheetml.externalLink+xml"/>
  <Override PartName="/xl/comments4.xml" ContentType="application/vnd.openxmlformats-officedocument.spreadsheetml.comments+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externalLinks/externalLink23.xml" ContentType="application/vnd.openxmlformats-officedocument.spreadsheetml.externalLink+xml"/>
  <Override PartName="/docProps/custom.xml" ContentType="application/vnd.openxmlformats-officedocument.custom-properties+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worksheets/sheet247.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36.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worksheets/sheet250.xml" ContentType="application/vnd.openxmlformats-officedocument.spreadsheetml.worksheet+xml"/>
  <Override PartName="/xl/externalLinks/externalLink39.xml" ContentType="application/vnd.openxmlformats-officedocument.spreadsheetml.externalLink+xml"/>
  <Override PartName="/xl/comments9.xml" ContentType="application/vnd.openxmlformats-officedocument.spreadsheetml.comments+xml"/>
  <Override PartName="/xl/worksheets/sheet187.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externalLinks/externalLink42.xml" ContentType="application/vnd.openxmlformats-officedocument.spreadsheetml.externalLink+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worksheets/sheet244.xml" ContentType="application/vnd.openxmlformats-officedocument.spreadsheetml.worksheet+xml"/>
  <Override PartName="/customXml/itemProps3.xml" ContentType="application/vnd.openxmlformats-officedocument.customXmlProperties+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worksheets/sheet22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159.xml" ContentType="application/vnd.openxmlformats-officedocument.spreadsheetml.worksheet+xml"/>
  <Override PartName="/xl/worksheets/sheet211.xml" ContentType="application/vnd.openxmlformats-officedocument.spreadsheetml.worksheet+xml"/>
  <Override PartName="/xl/externalLinks/externalLink36.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137.xml" ContentType="application/vnd.openxmlformats-officedocument.spreadsheetml.worksheet+xml"/>
  <Override PartName="/xl/worksheets/sheet148.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externalLinks/externalLink25.xml" ContentType="application/vnd.openxmlformats-officedocument.spreadsheetml.externalLink+xml"/>
  <Override PartName="/xl/worksheets/sheet126.xml" ContentType="application/vnd.openxmlformats-officedocument.spreadsheetml.worksheet+xml"/>
  <Override PartName="/xl/worksheets/sheet17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62.xml" ContentType="application/vnd.openxmlformats-officedocument.spreadsheetml.worksheet+xml"/>
  <Override PartName="/xl/worksheets/sheet249.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395" yWindow="225" windowWidth="11355" windowHeight="11640" tabRatio="860" firstSheet="44" activeTab="44"/>
  </bookViews>
  <sheets>
    <sheet name="Core Rates 2011" sheetId="205" state="hidden" r:id="rId1"/>
    <sheet name="102-Small Non-Dairy" sheetId="16" r:id="rId2"/>
    <sheet name="102-Medium Non-Dairy" sheetId="17" r:id="rId3"/>
    <sheet name="102-Large Non-Dairy" sheetId="18" r:id="rId4"/>
    <sheet name="102-Small  Dairy" sheetId="19" r:id="rId5"/>
    <sheet name="102-Medium Dairy" sheetId="20" r:id="rId6"/>
    <sheet name="102-Large Dairy" sheetId="21" r:id="rId7"/>
    <sheet name="102-Export Only" sheetId="22" r:id="rId8"/>
    <sheet name="104 - NMP &lt; 100 acres CAP" sheetId="10" r:id="rId9"/>
    <sheet name="104 - NMP 101-300 acres CAP" sheetId="14" r:id="rId10"/>
    <sheet name="104 - NMP &gt; 300 acres CAP" sheetId="15" r:id="rId11"/>
    <sheet name="Documentation" sheetId="13" state="hidden" r:id="rId12"/>
    <sheet name="106 - (50) acres" sheetId="23" r:id="rId13"/>
    <sheet name="106 - (51-100) acres" sheetId="24" r:id="rId14"/>
    <sheet name="106 - (101-200) acres" sheetId="25" r:id="rId15"/>
    <sheet name="106 - (201-400) acres" sheetId="26" r:id="rId16"/>
    <sheet name="106 - (401-600) acres" sheetId="27" r:id="rId17"/>
    <sheet name="106 - (601-1000) acres" sheetId="28" r:id="rId18"/>
    <sheet name="110-Graze&lt;100 Acre" sheetId="29" r:id="rId19"/>
    <sheet name="110-Graze 100-1500 Acre" sheetId="30" r:id="rId20"/>
    <sheet name="110-Graze 1500-5000 Acre" sheetId="31" r:id="rId21"/>
    <sheet name="110-Graze &gt;5000 Acre" sheetId="32" r:id="rId22"/>
    <sheet name="114-IPM CAP" sheetId="33" r:id="rId23"/>
    <sheet name="118-IWM CAP" sheetId="34" r:id="rId24"/>
    <sheet name="122 - Livestock-small  &lt; 70 AU" sheetId="35" r:id="rId25"/>
    <sheet name="122 -Livestock-medium 70-300 AU" sheetId="36" r:id="rId26"/>
    <sheet name="122 -Livestock-Large 301-2500AU" sheetId="37" r:id="rId27"/>
    <sheet name="122 - Livestock-XLarge &gt;2500AU" sheetId="38" r:id="rId28"/>
    <sheet name="122 - Non-Livestock- single ent" sheetId="39" r:id="rId29"/>
    <sheet name="122 - Non-Livestock- two entrps" sheetId="40" r:id="rId30"/>
    <sheet name="122 -Non-Livestock-three entrps" sheetId="41" r:id="rId31"/>
    <sheet name="122 - Mixed enterprise(s)" sheetId="42" r:id="rId32"/>
    <sheet name="124 - non-irr-small  &lt; 50 acres" sheetId="43" r:id="rId33"/>
    <sheet name="124 - non-irr-med 50-499 acres" sheetId="44" r:id="rId34"/>
    <sheet name="124 - non-irr-lrg 500-5,000 ac " sheetId="45" r:id="rId35"/>
    <sheet name="124 - non-irr-XL &gt;5000 acres" sheetId="46" r:id="rId36"/>
    <sheet name="124 - irrig-small  &lt; 50 acres " sheetId="47" r:id="rId37"/>
    <sheet name="124 - irrig-med 50-499 acres " sheetId="48" r:id="rId38"/>
    <sheet name="124 - irrig-lrg 500-5,000 acres" sheetId="49" r:id="rId39"/>
    <sheet name="124 - irrig-XL &gt;5000 acres" sheetId="50" r:id="rId40"/>
    <sheet name="130-DWM with Map" sheetId="51" r:id="rId41"/>
    <sheet name="130-DWM without Map" sheetId="52" r:id="rId42"/>
    <sheet name="138-OrganicTransition CAP" sheetId="53" r:id="rId43"/>
    <sheet name="138-OrganicTransition CAP NoLoc" sheetId="54" r:id="rId44"/>
    <sheet name="313-Wdwall" sheetId="262" r:id="rId45"/>
    <sheet name="313-Cncrte wall" sheetId="263" r:id="rId46"/>
    <sheet name="313-Wet Sys Small" sheetId="134" r:id="rId47"/>
    <sheet name="313-Wet Sys Medium" sheetId="135" r:id="rId48"/>
    <sheet name="313-Wet Sys Large" sheetId="136" r:id="rId49"/>
    <sheet name="314 - Chemical Spot Spray" sheetId="55" r:id="rId50"/>
    <sheet name="314 - Cut and Treat Stump" sheetId="56" r:id="rId51"/>
    <sheet name="314 - Foliar Spray Followup" sheetId="57" r:id="rId52"/>
    <sheet name="315-U Specie Ctrl Mow" sheetId="137" r:id="rId53"/>
    <sheet name="315-U Specie Ctrl M+S" sheetId="138" r:id="rId54"/>
    <sheet name="315-U Specie Ctrl  M+2S" sheetId="139" r:id="rId55"/>
    <sheet name="317-W2 Hs-250 Sow" sheetId="140" r:id="rId56"/>
    <sheet name="317-W4 Hs-530 Sow" sheetId="141" r:id="rId57"/>
    <sheet name="317-W6 Hs-790 Sow" sheetId="142" r:id="rId58"/>
    <sheet name="317-W8 Hs-1060 Sow " sheetId="143" r:id="rId59"/>
    <sheet name="317-C2 Hs-250 Sow" sheetId="144" r:id="rId60"/>
    <sheet name="317-C4 Hs-530 Sow " sheetId="145" r:id="rId61"/>
    <sheet name="317-C6 Hs-790 Sow" sheetId="146" r:id="rId62"/>
    <sheet name="317-C8 Hs-1060 Sow" sheetId="147" r:id="rId63"/>
    <sheet name="327-Pollinator Mix" sheetId="58" r:id="rId64"/>
    <sheet name="327-IG Mix-Conv." sheetId="59" r:id="rId65"/>
    <sheet name="327-IG Mix-NT" sheetId="60" r:id="rId66"/>
    <sheet name="327-NG-Legumes- NT" sheetId="61" r:id="rId67"/>
    <sheet name="327-NG-1#Forbs Mix" sheetId="62" r:id="rId68"/>
    <sheet name="327-NG-2# Forbs Mix" sheetId="63" r:id="rId69"/>
    <sheet name="328-CCR &lt;25Ac " sheetId="148" r:id="rId70"/>
    <sheet name="328-CCR 25-100 Ac " sheetId="149" r:id="rId71"/>
    <sheet name="328-CCR &gt;100Ac " sheetId="150" r:id="rId72"/>
    <sheet name="329 STIR&lt;30" sheetId="151" r:id="rId73"/>
    <sheet name="329 STIR&lt;15" sheetId="152" r:id="rId74"/>
    <sheet name="329 STIR&lt;8" sheetId="153" r:id="rId75"/>
    <sheet name="330ContourFarming" sheetId="64" r:id="rId76"/>
    <sheet name="340 -Single Species" sheetId="65" r:id="rId77"/>
    <sheet name="340 -2 - 5 species" sheetId="66" r:id="rId78"/>
    <sheet name="340 -6 + species" sheetId="67" r:id="rId79"/>
    <sheet name="340 -Organic Single Species " sheetId="68" r:id="rId80"/>
    <sheet name="340 -Organic 2 - 5 species " sheetId="69" r:id="rId81"/>
    <sheet name="340 -Organic 6 + species " sheetId="70" r:id="rId82"/>
    <sheet name="342-IG Mix-LG" sheetId="154" r:id="rId83"/>
    <sheet name="342-IG Mix-MG" sheetId="155" r:id="rId84"/>
    <sheet name="342-IG Mix-HG" sheetId="156" r:id="rId85"/>
    <sheet name="342-IG Mix-LG-ECB" sheetId="157" r:id="rId86"/>
    <sheet name="342-IG Mix-MG-ECB" sheetId="158" r:id="rId87"/>
    <sheet name="342-IG Mix-HG-ECB" sheetId="159" r:id="rId88"/>
    <sheet name="342-NG-legume-LG" sheetId="160" r:id="rId89"/>
    <sheet name="342-NG-legume-MG" sheetId="161" r:id="rId90"/>
    <sheet name="342-NG-legume-HG" sheetId="162" r:id="rId91"/>
    <sheet name="342-NG-Forbs Mix-LG" sheetId="163" r:id="rId92"/>
    <sheet name="342-NG-Forbs Mix-MG" sheetId="164" r:id="rId93"/>
    <sheet name="342-NG-Forbs Mix-HG" sheetId="165" r:id="rId94"/>
    <sheet name="342-NG Mix X-MG-ECB" sheetId="166" r:id="rId95"/>
    <sheet name="342-NG Mix Y-MG-ECB" sheetId="167" r:id="rId96"/>
    <sheet name="344 Res Mgt Seasonal" sheetId="71" r:id="rId97"/>
    <sheet name="345-Mulch Till" sheetId="72" r:id="rId98"/>
    <sheet name="346-Ridge Till" sheetId="73" r:id="rId99"/>
    <sheet name="359" sheetId="168" r:id="rId100"/>
    <sheet name="362" sheetId="169" r:id="rId101"/>
    <sheet name="374 -Heating-Radiant Tube" sheetId="74" r:id="rId102"/>
    <sheet name="374 BldgEnvelop-AtticInsulation" sheetId="75" r:id="rId103"/>
    <sheet name="374 -Controllers-VSD" sheetId="76" r:id="rId104"/>
    <sheet name="374 -Lighting-LED or CFL" sheetId="77" r:id="rId105"/>
    <sheet name="374 -Milking-Vacuum Pump VSD" sheetId="78" r:id="rId106"/>
    <sheet name="374 -Refrigeration-Plate HtX" sheetId="79" r:id="rId107"/>
    <sheet name="374 -Refrigeration-ScrollComp" sheetId="80" r:id="rId108"/>
    <sheet name="378 EH up to 8 ft" sheetId="81" r:id="rId109"/>
    <sheet name="378 EH over 8 ft" sheetId="82" r:id="rId110"/>
    <sheet name="378 EXC" sheetId="83" r:id="rId111"/>
    <sheet name="380-Windbreak" sheetId="84" r:id="rId112"/>
    <sheet name="380 with cover" sheetId="85" r:id="rId113"/>
    <sheet name="381-just trees-conifers" sheetId="170" r:id="rId114"/>
    <sheet name="381-just trees-deciduous" sheetId="171" r:id="rId115"/>
    <sheet name="382 -Exclusion 4-5 strand" sheetId="86" r:id="rId116"/>
    <sheet name="382 -Interior 2-3 strand" sheetId="87" r:id="rId117"/>
    <sheet name="386-IG Mix-Conv." sheetId="88" r:id="rId118"/>
    <sheet name="386-IG Mix-NT" sheetId="89" r:id="rId119"/>
    <sheet name="386-NG-Legumes- NT" sheetId="90" r:id="rId120"/>
    <sheet name="386-NG-1#Forbs Mix" sheetId="91" r:id="rId121"/>
    <sheet name="386-NG-2# Forbs Mix" sheetId="92" r:id="rId122"/>
    <sheet name="390-IG Mix-NT" sheetId="94" r:id="rId123"/>
    <sheet name="390-NG-2# Forbs Mix" sheetId="95" r:id="rId124"/>
    <sheet name="391 no cover" sheetId="172" r:id="rId125"/>
    <sheet name="391 with cover" sheetId="173" r:id="rId126"/>
    <sheet name="391-IG Mix-NT" sheetId="174" r:id="rId127"/>
    <sheet name="391-NG-NT" sheetId="175" r:id="rId128"/>
    <sheet name="410-Rock Chute 50 cfs 4 ft OF" sheetId="176" r:id="rId129"/>
    <sheet name="410-Rock Chute 100cfs 6 ft" sheetId="177" r:id="rId130"/>
    <sheet name="410-Rock Chute 150cfs 12 ft" sheetId="178" r:id="rId131"/>
    <sheet name="410-Rock Chute 200cfs 12 ft" sheetId="179" r:id="rId132"/>
    <sheet name="410-Rock Chute 250cfs 12 ft" sheetId="180" r:id="rId133"/>
    <sheet name="410-WPSD 8ftw-4ftOF" sheetId="181" r:id="rId134"/>
    <sheet name="410-WPSD 8ftw-4-8ftOF" sheetId="182" r:id="rId135"/>
    <sheet name="410-WPSD 16ftw-4ftOF" sheetId="183" r:id="rId136"/>
    <sheet name="410-WPSD 16ftw-4-8ftOF" sheetId="184" r:id="rId137"/>
    <sheet name="410-WPSD 24ftw-4ftOF" sheetId="185" r:id="rId138"/>
    <sheet name="410-WPSD 24ftw-4-8ftOF" sheetId="186" r:id="rId139"/>
    <sheet name="410-PIPE DROP STR" sheetId="187" r:id="rId140"/>
    <sheet name="412-ECB=80%" sheetId="188" r:id="rId141"/>
    <sheet name="412-ECB=80%+Tile" sheetId="189" r:id="rId142"/>
    <sheet name="412-ECB=40%" sheetId="190" r:id="rId143"/>
    <sheet name="412-ECB=40%+Tile" sheetId="191" r:id="rId144"/>
    <sheet name="412" sheetId="192" r:id="rId145"/>
    <sheet name="412-Tiled" sheetId="193" r:id="rId146"/>
    <sheet name="412-Rock Barriers+Tile" sheetId="194" r:id="rId147"/>
    <sheet name="412-Rock Barriers" sheetId="195" r:id="rId148"/>
    <sheet name="422 no cover" sheetId="196" r:id="rId149"/>
    <sheet name="422 with cover" sheetId="197" r:id="rId150"/>
    <sheet name="436 -With Embankment, unlined" sheetId="93" r:id="rId151"/>
    <sheet name="441-MicroIrrigation(HT)" sheetId="198" r:id="rId152"/>
    <sheet name="449IWMAcre" sheetId="199" r:id="rId153"/>
    <sheet name="468-wType III Blanket" sheetId="200" r:id="rId154"/>
    <sheet name="468-Riprap only" sheetId="201" r:id="rId155"/>
    <sheet name="472-WW w Setback" sheetId="202" r:id="rId156"/>
    <sheet name="472-Upland" sheetId="203" r:id="rId157"/>
    <sheet name="472-Upland w Setback" sheetId="204" r:id="rId158"/>
    <sheet name="512-Cool Season Grass Mix" sheetId="96" r:id="rId159"/>
    <sheet name="512-Native Wm Season Grasses" sheetId="97" r:id="rId160"/>
    <sheet name="512-Forage Mixture Organic" sheetId="98" r:id="rId161"/>
    <sheet name="512-Warm Season Organic" sheetId="99" r:id="rId162"/>
    <sheet name="516-Pipeline&gt;1&quot; diam. (Gravity)" sheetId="100" r:id="rId163"/>
    <sheet name="516-Pipeline =&gt; 1&quot; (Press.)" sheetId="101" r:id="rId164"/>
    <sheet name="516-Pipeline in Rock" sheetId="102" r:id="rId165"/>
    <sheet name="528-High Intensity" sheetId="103" r:id="rId166"/>
    <sheet name="533-Solar Pump" sheetId="206" r:id="rId167"/>
    <sheet name="533-Ram_Nose Pump " sheetId="207" r:id="rId168"/>
    <sheet name="533-Livstk Water Pump (&lt;2 HP)" sheetId="208" r:id="rId169"/>
    <sheet name="533-Sm Irr or WasteT (2-5HP)" sheetId="209" r:id="rId170"/>
    <sheet name="533-Irr. or WasteT Pump &gt;5 HP" sheetId="210" r:id="rId171"/>
    <sheet name="557-RowArrangement" sheetId="104" r:id="rId172"/>
    <sheet name="558-GuttersDownspouts" sheetId="211" r:id="rId173"/>
    <sheet name="560" sheetId="212" r:id="rId174"/>
    <sheet name="561-Gravel" sheetId="105" r:id="rId175"/>
    <sheet name="574-SpDev typical" sheetId="213" r:id="rId176"/>
    <sheet name="574-SpDev w_storage" sheetId="214" r:id="rId177"/>
    <sheet name="575" sheetId="215" r:id="rId178"/>
    <sheet name="578-6" sheetId="216" r:id="rId179"/>
    <sheet name="578-10" sheetId="217" r:id="rId180"/>
    <sheet name="578-15" sheetId="218" r:id="rId181"/>
    <sheet name="580-2-4" sheetId="219" r:id="rId182"/>
    <sheet name="580-4-6" sheetId="220" r:id="rId183"/>
    <sheet name="580-6-8" sheetId="221" r:id="rId184"/>
    <sheet name="580-8-10" sheetId="222" r:id="rId185"/>
    <sheet name="580-10-12" sheetId="223" r:id="rId186"/>
    <sheet name="580-12-16" sheetId="224" r:id="rId187"/>
    <sheet name="580-16" sheetId="225" r:id="rId188"/>
    <sheet name="590-Basic Agronomic" sheetId="106" r:id="rId189"/>
    <sheet name="590-Basic Agronomic with Manure" sheetId="107" r:id="rId190"/>
    <sheet name="590-Speciality, Organic" sheetId="108" r:id="rId191"/>
    <sheet name="590-Test Based Application" sheetId="109" r:id="rId192"/>
    <sheet name="590-Grid Based Variable Rate" sheetId="110" r:id="rId193"/>
    <sheet name="590-Sensor Based Variable Rate" sheetId="111" r:id="rId194"/>
    <sheet name="590-Manure Injection" sheetId="112" r:id="rId195"/>
    <sheet name="590-Field test plots" sheetId="113" r:id="rId196"/>
    <sheet name="595-Basic IPM Field Crop" sheetId="257" r:id="rId197"/>
    <sheet name="595-Advanced IPM Field Crop " sheetId="258" r:id="rId198"/>
    <sheet name="595-IPM for Specialty Crop " sheetId="259" r:id="rId199"/>
    <sheet name="595-IPM for Organic Field Crop" sheetId="260" r:id="rId200"/>
    <sheet name="595-IPM for Org Specialty Crop" sheetId="261" r:id="rId201"/>
    <sheet name="606-Subsurface Drain" sheetId="114" r:id="rId202"/>
    <sheet name="607-FieldDitch" sheetId="226" r:id="rId203"/>
    <sheet name="612 no cover" sheetId="227" r:id="rId204"/>
    <sheet name="612 with cover" sheetId="228" r:id="rId205"/>
    <sheet name="612 potted plants" sheetId="229" r:id="rId206"/>
    <sheet name="612 EnPltg-100-200" sheetId="230" r:id="rId207"/>
    <sheet name="612 EnPltg 201-300" sheetId="231" r:id="rId208"/>
    <sheet name="612 EnPltg 100-200 herb appld" sheetId="232" r:id="rId209"/>
    <sheet name="612 EnPltg 201-300 herb appld" sheetId="233" r:id="rId210"/>
    <sheet name="614-Rubber Tire Trough" sheetId="115" r:id="rId211"/>
    <sheet name="614-Concrete (500-1000 ga) " sheetId="116" r:id="rId212"/>
    <sheet name="614-Freeze Proof (2 hole)" sheetId="117" r:id="rId213"/>
    <sheet name="620Outlet&lt;6&quot;Pipe" sheetId="118" r:id="rId214"/>
    <sheet name="620Outlet6&quot;8&quot;Pipe" sheetId="119" r:id="rId215"/>
    <sheet name="620Outlet10&quot;Pipe" sheetId="120" r:id="rId216"/>
    <sheet name="620Outlet&gt;10&quot;Pipe" sheetId="121" r:id="rId217"/>
    <sheet name="633WasteRecyling" sheetId="122" r:id="rId218"/>
    <sheet name="635-IG Mix-Conv." sheetId="234" r:id="rId219"/>
    <sheet name="635-IG Mix-NT" sheetId="235" r:id="rId220"/>
    <sheet name="638-250 cy" sheetId="236" r:id="rId221"/>
    <sheet name="638-500 cy" sheetId="237" r:id="rId222"/>
    <sheet name="638-750 cy" sheetId="238" r:id="rId223"/>
    <sheet name="642" sheetId="239" r:id="rId224"/>
    <sheet name="643-Woodland Thinning" sheetId="123" r:id="rId225"/>
    <sheet name="643-Mow+Spray" sheetId="124" r:id="rId226"/>
    <sheet name="643-Mow+2Sprays" sheetId="125" r:id="rId227"/>
    <sheet name="643-Prairie Est.-NG-7 Forb Mix" sheetId="126" r:id="rId228"/>
    <sheet name="646-low berm " sheetId="127" r:id="rId229"/>
    <sheet name="646-2500 SF Ex Pool" sheetId="128" r:id="rId230"/>
    <sheet name="646-1 ft excavated pool " sheetId="129" r:id="rId231"/>
    <sheet name="646- 2 ft excavated pool " sheetId="130" r:id="rId232"/>
    <sheet name="646- 3 ft excavated pool" sheetId="131" r:id="rId233"/>
    <sheet name="647-Edge Feathering " sheetId="132" r:id="rId234"/>
    <sheet name="654-IG Mix-LG" sheetId="240" r:id="rId235"/>
    <sheet name="654-IG Mix-MG" sheetId="241" r:id="rId236"/>
    <sheet name="654-IG Mix-HG" sheetId="242" r:id="rId237"/>
    <sheet name="654-IG Mix-LG-ECB" sheetId="243" r:id="rId238"/>
    <sheet name="654-IG Mix-MG-ECB" sheetId="244" r:id="rId239"/>
    <sheet name="654-IG Mix-HG-ECB" sheetId="245" r:id="rId240"/>
    <sheet name="654-NG-legume-LG" sheetId="246" r:id="rId241"/>
    <sheet name="654-NG-legume-MG" sheetId="247" r:id="rId242"/>
    <sheet name="654-NG-legume-HG" sheetId="248" r:id="rId243"/>
    <sheet name="654-NG-Forbs Mix-LG" sheetId="249" r:id="rId244"/>
    <sheet name="654-NG-Forbs Mix-MG" sheetId="250" r:id="rId245"/>
    <sheet name="654-NG-Forbs Mix-HG" sheetId="251" r:id="rId246"/>
    <sheet name="654-NG Mix X-MG-ECB" sheetId="252" r:id="rId247"/>
    <sheet name="654-NG Mix Y-MG-ECB" sheetId="253" r:id="rId248"/>
    <sheet name=" 666-Hrdwd Silv -No TSP" sheetId="254" r:id="rId249"/>
    <sheet name=" 666-Hrdwd Silv -TSP" sheetId="255" r:id="rId250"/>
    <sheet name="666-Thinning for Wildlife" sheetId="256" r:id="rId251"/>
    <sheet name="798 Contiguous US" sheetId="133" r:id="rId252"/>
  </sheets>
  <externalReferences>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s>
  <definedNames>
    <definedName name="assembly">'[1]Assembly Items'!$A$5:$I$912</definedName>
    <definedName name="CompList" localSheetId="71">#REF!</definedName>
    <definedName name="CompList" localSheetId="70">#REF!</definedName>
    <definedName name="CompList" localSheetId="99">#REF!</definedName>
    <definedName name="CompList" localSheetId="100">#REF!</definedName>
    <definedName name="CompList" localSheetId="173">#REF!</definedName>
    <definedName name="CompList" localSheetId="177">#REF!</definedName>
    <definedName name="CompList" localSheetId="223">#REF!</definedName>
    <definedName name="CompList" localSheetId="233">#REF!</definedName>
    <definedName name="CompList" localSheetId="0">#REF!</definedName>
    <definedName name="CompList">#REF!</definedName>
    <definedName name="ComponentNames">[2]Components!$B$5:$B$274</definedName>
    <definedName name="Components">[2]Components!$B$5:$D$274</definedName>
    <definedName name="Cost_Category_List">#REF!</definedName>
    <definedName name="Cost_List" localSheetId="71">#REF!</definedName>
    <definedName name="Cost_List" localSheetId="70">#REF!</definedName>
    <definedName name="Cost_List" localSheetId="96">#REF!</definedName>
    <definedName name="Cost_List" localSheetId="99">#REF!</definedName>
    <definedName name="Cost_List" localSheetId="100">#REF!</definedName>
    <definedName name="Cost_List" localSheetId="173">#REF!</definedName>
    <definedName name="Cost_List" localSheetId="177">#REF!</definedName>
    <definedName name="Cost_List" localSheetId="223">#REF!</definedName>
    <definedName name="Cost_List" localSheetId="233">#REF!</definedName>
    <definedName name="Cost_List" localSheetId="0">#REF!</definedName>
    <definedName name="Cost_List">#REF!</definedName>
    <definedName name="curt" localSheetId="71">#REF!</definedName>
    <definedName name="curt" localSheetId="70">#REF!</definedName>
    <definedName name="curt" localSheetId="99">#REF!</definedName>
    <definedName name="curt" localSheetId="100">#REF!</definedName>
    <definedName name="curt" localSheetId="173">#REF!</definedName>
    <definedName name="curt" localSheetId="177">#REF!</definedName>
    <definedName name="curt" localSheetId="223">#REF!</definedName>
    <definedName name="curt" localSheetId="233">#REF!</definedName>
    <definedName name="curt" localSheetId="0">#REF!</definedName>
    <definedName name="curt">#REF!</definedName>
    <definedName name="curt2" localSheetId="71">#REF!</definedName>
    <definedName name="curt2" localSheetId="70">#REF!</definedName>
    <definedName name="curt2" localSheetId="99">#REF!</definedName>
    <definedName name="curt2" localSheetId="100">#REF!</definedName>
    <definedName name="curt2" localSheetId="173">#REF!</definedName>
    <definedName name="curt2" localSheetId="177">#REF!</definedName>
    <definedName name="curt2" localSheetId="223">#REF!</definedName>
    <definedName name="curt2" localSheetId="233">#REF!</definedName>
    <definedName name="curt2" localSheetId="0">#REF!</definedName>
    <definedName name="curt2">#REF!</definedName>
    <definedName name="EveryItem">'[3]AllItemsSortByItem#'!$B$9:$B$679</definedName>
    <definedName name="ItemsFinalCost">[3]AllItems!$B$9:$G$679</definedName>
    <definedName name="LocalItems">'[4]Local Items'!$B$8:$L$396</definedName>
    <definedName name="PracticeCodeName" localSheetId="51">[5]DropdownBoxData!$D$2:$D$16</definedName>
    <definedName name="PracticeCodeName" localSheetId="165">[6]DropdownBoxData!$D$2:$D$16</definedName>
    <definedName name="PracticeCodeName" localSheetId="174">[7]DropdownBoxData!$D$2:$D$16</definedName>
    <definedName name="PracticeCodeName" localSheetId="210">[8]DropdownBoxData!$D$2:$D$16</definedName>
    <definedName name="PracticeCodeName">[9]DropdownBoxData!$D$2:$D$16</definedName>
    <definedName name="_xlnm.Print_Area" localSheetId="248">' 666-Hrdwd Silv -No TSP'!$A$3:$G$49</definedName>
    <definedName name="_xlnm.Print_Area" localSheetId="249">' 666-Hrdwd Silv -TSP'!$A$3:$G$49</definedName>
    <definedName name="_xlnm.Print_Area" localSheetId="6">'102-Large Dairy'!$A$1:$I$55</definedName>
    <definedName name="_xlnm.Print_Area" localSheetId="3">'102-Large Non-Dairy'!$A$1:$I$55</definedName>
    <definedName name="_xlnm.Print_Area" localSheetId="5">'102-Medium Dairy'!$A$1:$I$55</definedName>
    <definedName name="_xlnm.Print_Area" localSheetId="2">'102-Medium Non-Dairy'!$A$1:$I$55</definedName>
    <definedName name="_xlnm.Print_Area" localSheetId="4">'102-Small  Dairy'!$A$1:$I$55</definedName>
    <definedName name="_xlnm.Print_Area" localSheetId="1">'102-Small Non-Dairy'!$A$1:$I$55</definedName>
    <definedName name="_xlnm.Print_Area" localSheetId="8">'104 - NMP &lt; 100 acres CAP'!$B$1:$J$74</definedName>
    <definedName name="_xlnm.Print_Area" localSheetId="10">'104 - NMP &gt; 300 acres CAP'!$B$1:$J$74</definedName>
    <definedName name="_xlnm.Print_Area" localSheetId="9">'104 - NMP 101-300 acres CAP'!$B$1:$J$74</definedName>
    <definedName name="_xlnm.Print_Area" localSheetId="14">'106 - (101-200) acres'!$B$1:$I$76</definedName>
    <definedName name="_xlnm.Print_Area" localSheetId="15">'106 - (201-400) acres'!$B$1:$I$76</definedName>
    <definedName name="_xlnm.Print_Area" localSheetId="16">'106 - (401-600) acres'!$B$1:$I$76</definedName>
    <definedName name="_xlnm.Print_Area" localSheetId="12">'106 - (50) acres'!$B$1:$J$75</definedName>
    <definedName name="_xlnm.Print_Area" localSheetId="13">'106 - (51-100) acres'!$B$1:$I$76</definedName>
    <definedName name="_xlnm.Print_Area" localSheetId="17">'106 - (601-1000) acres'!$B$1:$I$76</definedName>
    <definedName name="_xlnm.Print_Area" localSheetId="21">'110-Graze &gt;5000 Acre'!$B$1:$J$73</definedName>
    <definedName name="_xlnm.Print_Area" localSheetId="19">'110-Graze 100-1500 Acre'!$B$1:$J$73</definedName>
    <definedName name="_xlnm.Print_Area" localSheetId="20">'110-Graze 1500-5000 Acre'!$B$1:$J$73</definedName>
    <definedName name="_xlnm.Print_Area" localSheetId="18">'110-Graze&lt;100 Acre'!$B$1:$J$73</definedName>
    <definedName name="_xlnm.Print_Area" localSheetId="22">'114-IPM CAP'!$B$1:$J$74</definedName>
    <definedName name="_xlnm.Print_Area" localSheetId="23">'118-IWM CAP'!$B$1:$J$71</definedName>
    <definedName name="_xlnm.Print_Area" localSheetId="24">'122 - Livestock-small  &lt; 70 AU'!$B$1:$J$76</definedName>
    <definedName name="_xlnm.Print_Area" localSheetId="27">'122 - Livestock-XLarge &gt;2500AU'!$B$1:$J$76</definedName>
    <definedName name="_xlnm.Print_Area" localSheetId="31">'122 - Mixed enterprise(s)'!$B$1:$J$76</definedName>
    <definedName name="_xlnm.Print_Area" localSheetId="28">'122 - Non-Livestock- single ent'!$B$1:$J$76</definedName>
    <definedName name="_xlnm.Print_Area" localSheetId="29">'122 - Non-Livestock- two entrps'!$B$1:$J$76</definedName>
    <definedName name="_xlnm.Print_Area" localSheetId="26">'122 -Livestock-Large 301-2500AU'!$B$1:$J$77</definedName>
    <definedName name="_xlnm.Print_Area" localSheetId="25">'122 -Livestock-medium 70-300 AU'!$B$1:$J$76</definedName>
    <definedName name="_xlnm.Print_Area" localSheetId="30">'122 -Non-Livestock-three entrps'!$B$1:$J$76</definedName>
    <definedName name="_xlnm.Print_Area" localSheetId="38">'124 - irrig-lrg 500-5,000 acres'!$B$1:$J$76</definedName>
    <definedName name="_xlnm.Print_Area" localSheetId="37">'124 - irrig-med 50-499 acres '!$B$1:$J$76</definedName>
    <definedName name="_xlnm.Print_Area" localSheetId="36">'124 - irrig-small  &lt; 50 acres '!$B$1:$J$76</definedName>
    <definedName name="_xlnm.Print_Area" localSheetId="39">'124 - irrig-XL &gt;5000 acres'!$B$1:$J$76</definedName>
    <definedName name="_xlnm.Print_Area" localSheetId="34">'124 - non-irr-lrg 500-5,000 ac '!$B$1:$J$76</definedName>
    <definedName name="_xlnm.Print_Area" localSheetId="33">'124 - non-irr-med 50-499 acres'!$B$1:$J$76</definedName>
    <definedName name="_xlnm.Print_Area" localSheetId="32">'124 - non-irr-small  &lt; 50 acres'!$B$1:$J$76</definedName>
    <definedName name="_xlnm.Print_Area" localSheetId="35">'124 - non-irr-XL &gt;5000 acres'!$B$1:$J$76</definedName>
    <definedName name="_xlnm.Print_Area" localSheetId="40">'130-DWM with Map'!$B$1:$I$105</definedName>
    <definedName name="_xlnm.Print_Area" localSheetId="41">'130-DWM without Map'!$B$1:$I$105</definedName>
    <definedName name="_xlnm.Print_Area" localSheetId="42">'138-OrganicTransition CAP'!$B$1:$J$66</definedName>
    <definedName name="_xlnm.Print_Area" localSheetId="43">'138-OrganicTransition CAP NoLoc'!$B$1:$J$66</definedName>
    <definedName name="_xlnm.Print_Area" localSheetId="49">'314 - Chemical Spot Spray'!$A$3:$G$49</definedName>
    <definedName name="_xlnm.Print_Area" localSheetId="51">'314 - Foliar Spray Followup'!$A$3:$G$49</definedName>
    <definedName name="_xlnm.Print_Area" localSheetId="75">'330ContourFarming'!$A$1:$H$99</definedName>
    <definedName name="_xlnm.Print_Area" localSheetId="79">'340 -Organic Single Species '!$A$3:$G$47</definedName>
    <definedName name="_xlnm.Print_Area" localSheetId="76">'340 -Single Species'!$A$3:$G$46</definedName>
    <definedName name="_xlnm.Print_Area" localSheetId="97">'345-Mulch Till'!$B$1:$M$72</definedName>
    <definedName name="_xlnm.Print_Area" localSheetId="98">'346-Ridge Till'!$B$1:$M$72</definedName>
    <definedName name="_xlnm.Print_Area" localSheetId="102">'374 BldgEnvelop-AtticInsulation'!$A$1:$I$67</definedName>
    <definedName name="_xlnm.Print_Area" localSheetId="103">'374 -Controllers-VSD'!$A$1:$I$76</definedName>
    <definedName name="_xlnm.Print_Area" localSheetId="101">'374 -Heating-Radiant Tube'!$A$1:$J$72</definedName>
    <definedName name="_xlnm.Print_Area" localSheetId="104">'374 -Lighting-LED or CFL'!$A$1:$K$64</definedName>
    <definedName name="_xlnm.Print_Area" localSheetId="105">'374 -Milking-Vacuum Pump VSD'!$A$1:$I$74</definedName>
    <definedName name="_xlnm.Print_Area" localSheetId="106">'374 -Refrigeration-Plate HtX'!$A$1:$J$75</definedName>
    <definedName name="_xlnm.Print_Area" localSheetId="107">'374 -Refrigeration-ScrollComp'!$A$1:$J$73</definedName>
    <definedName name="_xlnm.Print_Area" localSheetId="115">'382 -Exclusion 4-5 strand'!$A$3:$G$52</definedName>
    <definedName name="_xlnm.Print_Area" localSheetId="150">'436 -With Embankment, unlined'!$A$1:$K$85</definedName>
    <definedName name="_xlnm.Print_Area" localSheetId="151">'441-MicroIrrigation(HT)'!$A$1:$H$109</definedName>
    <definedName name="_xlnm.Print_Area" localSheetId="152">'449IWMAcre'!$A$1:$H$115</definedName>
    <definedName name="_xlnm.Print_Area" localSheetId="158">'512-Cool Season Grass Mix'!$A$3:$G$54</definedName>
    <definedName name="_xlnm.Print_Area" localSheetId="160">'512-Forage Mixture Organic'!$A$3:$G$54</definedName>
    <definedName name="_xlnm.Print_Area" localSheetId="163">'516-Pipeline =&gt; 1" (Press.)'!$A$3:$G$50</definedName>
    <definedName name="_xlnm.Print_Area" localSheetId="164">'516-Pipeline in Rock'!$A$3:$G$51</definedName>
    <definedName name="_xlnm.Print_Area" localSheetId="162">'516-Pipeline&gt;1" diam. (Gravity)'!$A$3:$G$49</definedName>
    <definedName name="_xlnm.Print_Area" localSheetId="166">'533-Solar Pump'!$A$3:$G$52</definedName>
    <definedName name="_xlnm.Print_Area" localSheetId="171">'557-RowArrangement'!$A$1:$K$78</definedName>
    <definedName name="_xlnm.Print_Area" localSheetId="172">'558-GuttersDownspouts'!$A$2:$J$78</definedName>
    <definedName name="_xlnm.Print_Area" localSheetId="173">'560'!$A$1:$I$105</definedName>
    <definedName name="_xlnm.Print_Area" localSheetId="188">'590-Basic Agronomic'!$A$3:$G$49</definedName>
    <definedName name="_xlnm.Print_Area" localSheetId="189">'590-Basic Agronomic with Manure'!$A$3:$G$50</definedName>
    <definedName name="_xlnm.Print_Area" localSheetId="195">'590-Field test plots'!$A$3:$G$49</definedName>
    <definedName name="_xlnm.Print_Area" localSheetId="192">'590-Grid Based Variable Rate'!$A$3:$G$49</definedName>
    <definedName name="_xlnm.Print_Area" localSheetId="194">'590-Manure Injection'!$A$3:$G$49</definedName>
    <definedName name="_xlnm.Print_Area" localSheetId="193">'590-Sensor Based Variable Rate'!$A$3:$G$51</definedName>
    <definedName name="_xlnm.Print_Area" localSheetId="190">'590-Speciality, Organic'!$A$3:$G$50</definedName>
    <definedName name="_xlnm.Print_Area" localSheetId="191">'590-Test Based Application'!$A$3:$G$49</definedName>
    <definedName name="_xlnm.Print_Area" localSheetId="197">'595-Advanced IPM Field Crop '!$A$3:$G$51</definedName>
    <definedName name="_xlnm.Print_Area" localSheetId="196">'595-Basic IPM Field Crop'!$A$3:$G$49</definedName>
    <definedName name="_xlnm.Print_Area" localSheetId="200">'595-IPM for Org Specialty Crop'!$A$3:$G$48</definedName>
    <definedName name="_xlnm.Print_Area" localSheetId="199">'595-IPM for Organic Field Crop'!$A$3:$G$48</definedName>
    <definedName name="_xlnm.Print_Area" localSheetId="198">'595-IPM for Specialty Crop '!$A$3:$G$54</definedName>
    <definedName name="_xlnm.Print_Area" localSheetId="201">'606-Subsurface Drain'!$A$2:$J$84</definedName>
    <definedName name="_xlnm.Print_Area" localSheetId="202">'607-FieldDitch'!$A$2:$K$90</definedName>
    <definedName name="_xlnm.Print_Area" localSheetId="211">'614-Concrete (500-1000 ga) '!$A$1:$H$51</definedName>
    <definedName name="_xlnm.Print_Area" localSheetId="212">'614-Freeze Proof (2 hole)'!$B$1:$H$50</definedName>
    <definedName name="_xlnm.Print_Area" localSheetId="210">'614-Rubber Tire Trough'!$A$1:$H$49</definedName>
    <definedName name="_xlnm.Print_Area" localSheetId="213">'620Outlet&lt;6"Pipe'!$A$1:$H$105</definedName>
    <definedName name="_xlnm.Print_Area" localSheetId="216">'620Outlet&gt;10"Pipe'!$A$1:$H$105</definedName>
    <definedName name="_xlnm.Print_Area" localSheetId="215">'620Outlet10"Pipe'!$A$1:$H$105</definedName>
    <definedName name="_xlnm.Print_Area" localSheetId="214">'620Outlet6"8"Pipe'!$A$1:$H$105</definedName>
    <definedName name="_xlnm.Print_Area" localSheetId="217">'633WasteRecyling'!$A$1:$H$101</definedName>
    <definedName name="_xlnm.Print_Area" localSheetId="231">'646- 2 ft excavated pool '!$A$3:$G$49</definedName>
    <definedName name="_xlnm.Print_Area" localSheetId="232">'646- 3 ft excavated pool'!$A$3:$G$49</definedName>
    <definedName name="_xlnm.Print_Area" localSheetId="230">'646-1 ft excavated pool '!$A$3:$G$49</definedName>
    <definedName name="_xlnm.Print_Area" localSheetId="229">'646-2500 SF Ex Pool'!$A$3:$G$49</definedName>
    <definedName name="_xlnm.Print_Area" localSheetId="228">'646-low berm '!$A$3:$G$49</definedName>
    <definedName name="_xlnm.Print_Area" localSheetId="251">'798 Contiguous US'!$B$1:$L$73</definedName>
    <definedName name="_xlnm.Print_Area" localSheetId="11">Documentation!$B$1:$F$18</definedName>
    <definedName name="_xlnm.Print_Titles" localSheetId="102">'374 BldgEnvelop-AtticInsulation'!$1:$2</definedName>
    <definedName name="_xlnm.Print_Titles" localSheetId="103">'374 -Controllers-VSD'!$1:$2</definedName>
    <definedName name="_xlnm.Print_Titles" localSheetId="101">'374 -Heating-Radiant Tube'!$1:$2</definedName>
    <definedName name="_xlnm.Print_Titles" localSheetId="104">'374 -Lighting-LED or CFL'!$1:$2</definedName>
    <definedName name="_xlnm.Print_Titles" localSheetId="105">'374 -Milking-Vacuum Pump VSD'!$1:$2</definedName>
    <definedName name="_xlnm.Print_Titles" localSheetId="106">'374 -Refrigeration-Plate HtX'!$1:$2</definedName>
    <definedName name="_xlnm.Print_Titles" localSheetId="107">'374 -Refrigeration-ScrollComp'!$1:$2</definedName>
    <definedName name="_xlnm.Print_Titles" localSheetId="0">'Core Rates 2011'!$A:$A,'Core Rates 2011'!$1:$4</definedName>
    <definedName name="rawRSMeansData">'[4]RS Means Items'!$I$5:$S$579</definedName>
    <definedName name="RegionName" localSheetId="51">[5]DropdownBoxData!$A$2:$A$16</definedName>
    <definedName name="RegionName" localSheetId="165">[6]DropdownBoxData!$A$2:$A$16</definedName>
    <definedName name="RegionName" localSheetId="174">[7]DropdownBoxData!$A$2:$A$16</definedName>
    <definedName name="RegionName" localSheetId="210">[8]DropdownBoxData!$A$2:$A$16</definedName>
    <definedName name="RegionName">[9]DropdownBoxData!$A$2:$A$16</definedName>
    <definedName name="UnitName" localSheetId="51">[5]DropdownBoxData!$E$2:$E$16</definedName>
    <definedName name="UnitName" localSheetId="165">[6]DropdownBoxData!$E$2:$E$16</definedName>
    <definedName name="UnitName" localSheetId="174">[7]DropdownBoxData!$E$2:$E$16</definedName>
    <definedName name="UnitName" localSheetId="210">[8]DropdownBoxData!$E$2:$E$16</definedName>
    <definedName name="UnitName">[9]DropdownBoxData!$E$2:$E$16</definedName>
  </definedNames>
  <calcPr calcId="125725"/>
</workbook>
</file>

<file path=xl/calcChain.xml><?xml version="1.0" encoding="utf-8"?>
<calcChain xmlns="http://schemas.openxmlformats.org/spreadsheetml/2006/main">
  <c r="E62" i="263"/>
  <c r="G62" s="1"/>
  <c r="E61"/>
  <c r="G61" s="1"/>
  <c r="E60"/>
  <c r="G60" s="1"/>
  <c r="E59"/>
  <c r="G59" s="1"/>
  <c r="E58"/>
  <c r="G58" s="1"/>
  <c r="E57"/>
  <c r="G57" s="1"/>
  <c r="D57"/>
  <c r="B57"/>
  <c r="E56"/>
  <c r="G56" s="1"/>
  <c r="B56"/>
  <c r="E49"/>
  <c r="G49" s="1"/>
  <c r="G48"/>
  <c r="E48"/>
  <c r="E47"/>
  <c r="G47" s="1"/>
  <c r="B47"/>
  <c r="G46"/>
  <c r="E46"/>
  <c r="E45"/>
  <c r="G45" s="1"/>
  <c r="G44"/>
  <c r="E44"/>
  <c r="E43"/>
  <c r="G43" s="1"/>
  <c r="G42"/>
  <c r="I40" s="1"/>
  <c r="D37"/>
  <c r="J24"/>
  <c r="I24"/>
  <c r="D24"/>
  <c r="L24" s="1"/>
  <c r="K23"/>
  <c r="J23"/>
  <c r="I23"/>
  <c r="D23"/>
  <c r="L23" s="1"/>
  <c r="D22"/>
  <c r="J22" s="1"/>
  <c r="D21"/>
  <c r="K21" s="1"/>
  <c r="H16"/>
  <c r="H17" s="1"/>
  <c r="H18" s="1"/>
  <c r="H19" s="1"/>
  <c r="G16"/>
  <c r="G17" s="1"/>
  <c r="G18" s="1"/>
  <c r="G19" s="1"/>
  <c r="F16"/>
  <c r="F17" s="1"/>
  <c r="F18" s="1"/>
  <c r="F19" s="1"/>
  <c r="E16"/>
  <c r="E17" s="1"/>
  <c r="E18" s="1"/>
  <c r="E19" s="1"/>
  <c r="E9"/>
  <c r="B9"/>
  <c r="F8"/>
  <c r="F9" s="1"/>
  <c r="C8"/>
  <c r="C9" s="1"/>
  <c r="E7"/>
  <c r="B7"/>
  <c r="F6"/>
  <c r="F7" s="1"/>
  <c r="C6"/>
  <c r="C7" s="1"/>
  <c r="G62" i="262"/>
  <c r="E62"/>
  <c r="E61"/>
  <c r="G61" s="1"/>
  <c r="G60"/>
  <c r="E60"/>
  <c r="G59"/>
  <c r="E59"/>
  <c r="G58"/>
  <c r="I54" s="1"/>
  <c r="D17" s="1"/>
  <c r="E58"/>
  <c r="G57"/>
  <c r="E57"/>
  <c r="D57"/>
  <c r="B57"/>
  <c r="G56"/>
  <c r="E71" s="1"/>
  <c r="I69" s="1"/>
  <c r="D18" s="1"/>
  <c r="E56"/>
  <c r="B56"/>
  <c r="G49"/>
  <c r="E49"/>
  <c r="G48"/>
  <c r="E48"/>
  <c r="G47"/>
  <c r="E47"/>
  <c r="B47"/>
  <c r="G46"/>
  <c r="E46"/>
  <c r="E45"/>
  <c r="G45" s="1"/>
  <c r="G44"/>
  <c r="E44"/>
  <c r="E43"/>
  <c r="G43" s="1"/>
  <c r="G42"/>
  <c r="I40" s="1"/>
  <c r="D37"/>
  <c r="I24"/>
  <c r="D24"/>
  <c r="L24" s="1"/>
  <c r="J23"/>
  <c r="D23"/>
  <c r="I23" s="1"/>
  <c r="K22"/>
  <c r="D22"/>
  <c r="J22" s="1"/>
  <c r="D21"/>
  <c r="K21" s="1"/>
  <c r="H17"/>
  <c r="H18" s="1"/>
  <c r="H19" s="1"/>
  <c r="H16"/>
  <c r="G16"/>
  <c r="G17" s="1"/>
  <c r="G18" s="1"/>
  <c r="G19" s="1"/>
  <c r="F16"/>
  <c r="F17" s="1"/>
  <c r="F18" s="1"/>
  <c r="F19" s="1"/>
  <c r="E16"/>
  <c r="E17" s="1"/>
  <c r="E18" s="1"/>
  <c r="E19" s="1"/>
  <c r="E9"/>
  <c r="B9"/>
  <c r="F8"/>
  <c r="F9" s="1"/>
  <c r="C8"/>
  <c r="C9" s="1"/>
  <c r="E7"/>
  <c r="B7"/>
  <c r="F6"/>
  <c r="F7" s="1"/>
  <c r="C6"/>
  <c r="C7" s="1"/>
  <c r="H48" i="261"/>
  <c r="H47"/>
  <c r="H46"/>
  <c r="B24" s="1"/>
  <c r="C24" s="1"/>
  <c r="H45"/>
  <c r="H44"/>
  <c r="H43"/>
  <c r="H42"/>
  <c r="B23" s="1"/>
  <c r="C23" s="1"/>
  <c r="H41"/>
  <c r="H40"/>
  <c r="H39"/>
  <c r="H38"/>
  <c r="H37"/>
  <c r="H36"/>
  <c r="H35"/>
  <c r="H34"/>
  <c r="B20" s="1"/>
  <c r="C20" s="1"/>
  <c r="H33"/>
  <c r="H32"/>
  <c r="H31"/>
  <c r="C26"/>
  <c r="B26"/>
  <c r="C25"/>
  <c r="B25"/>
  <c r="C22"/>
  <c r="B22"/>
  <c r="C21"/>
  <c r="C19"/>
  <c r="C18"/>
  <c r="B18"/>
  <c r="H48" i="260"/>
  <c r="H47"/>
  <c r="H46"/>
  <c r="B24" s="1"/>
  <c r="C24" s="1"/>
  <c r="H45"/>
  <c r="H44"/>
  <c r="H43"/>
  <c r="H42"/>
  <c r="B23" s="1"/>
  <c r="C23" s="1"/>
  <c r="H41"/>
  <c r="H40"/>
  <c r="H39"/>
  <c r="H38"/>
  <c r="B20" s="1"/>
  <c r="C20" s="1"/>
  <c r="H37"/>
  <c r="H36"/>
  <c r="H35"/>
  <c r="H34"/>
  <c r="H33"/>
  <c r="H32"/>
  <c r="H31"/>
  <c r="C26"/>
  <c r="B26"/>
  <c r="C25"/>
  <c r="B25"/>
  <c r="C22"/>
  <c r="B22"/>
  <c r="C21"/>
  <c r="B19"/>
  <c r="C19" s="1"/>
  <c r="B18"/>
  <c r="B27" s="1"/>
  <c r="C27" s="1"/>
  <c r="H54" i="259"/>
  <c r="H53"/>
  <c r="H52"/>
  <c r="H51"/>
  <c r="H50"/>
  <c r="H49"/>
  <c r="B23" s="1"/>
  <c r="C23" s="1"/>
  <c r="H48"/>
  <c r="H47"/>
  <c r="H46"/>
  <c r="H45"/>
  <c r="B21" s="1"/>
  <c r="C21" s="1"/>
  <c r="H44"/>
  <c r="H42"/>
  <c r="H41"/>
  <c r="H40"/>
  <c r="H39"/>
  <c r="H37"/>
  <c r="H36"/>
  <c r="H35"/>
  <c r="B19" s="1"/>
  <c r="C19" s="1"/>
  <c r="H34"/>
  <c r="H33"/>
  <c r="H32"/>
  <c r="H31"/>
  <c r="B26"/>
  <c r="C26" s="1"/>
  <c r="B25"/>
  <c r="C25" s="1"/>
  <c r="B24"/>
  <c r="C24" s="1"/>
  <c r="B22"/>
  <c r="C22" s="1"/>
  <c r="B20"/>
  <c r="C20" s="1"/>
  <c r="B18"/>
  <c r="C18" s="1"/>
  <c r="H51" i="258"/>
  <c r="H50"/>
  <c r="H49"/>
  <c r="H48"/>
  <c r="B24" s="1"/>
  <c r="C24" s="1"/>
  <c r="H47"/>
  <c r="H46"/>
  <c r="H45"/>
  <c r="H44"/>
  <c r="B23" s="1"/>
  <c r="C23" s="1"/>
  <c r="H43"/>
  <c r="H42"/>
  <c r="H41"/>
  <c r="H40"/>
  <c r="B20" s="1"/>
  <c r="C20" s="1"/>
  <c r="H39"/>
  <c r="H38"/>
  <c r="H37"/>
  <c r="H36"/>
  <c r="B19" s="1"/>
  <c r="C19" s="1"/>
  <c r="H35"/>
  <c r="H34"/>
  <c r="H33"/>
  <c r="H32"/>
  <c r="B18" s="1"/>
  <c r="H31"/>
  <c r="C26"/>
  <c r="B26"/>
  <c r="C25"/>
  <c r="B25"/>
  <c r="C22"/>
  <c r="B22"/>
  <c r="C21"/>
  <c r="B21"/>
  <c r="H49" i="257"/>
  <c r="H48"/>
  <c r="H47"/>
  <c r="H46"/>
  <c r="H45"/>
  <c r="H44"/>
  <c r="H43"/>
  <c r="B23" s="1"/>
  <c r="C23" s="1"/>
  <c r="H42"/>
  <c r="H41"/>
  <c r="H40"/>
  <c r="H39"/>
  <c r="H38"/>
  <c r="H37"/>
  <c r="H36"/>
  <c r="H35"/>
  <c r="B19" s="1"/>
  <c r="C19" s="1"/>
  <c r="H34"/>
  <c r="H33"/>
  <c r="H32"/>
  <c r="H31"/>
  <c r="B26"/>
  <c r="C26" s="1"/>
  <c r="B25"/>
  <c r="C25" s="1"/>
  <c r="B24"/>
  <c r="C24" s="1"/>
  <c r="B22"/>
  <c r="C22" s="1"/>
  <c r="B21"/>
  <c r="C21" s="1"/>
  <c r="B20"/>
  <c r="C20" s="1"/>
  <c r="B18"/>
  <c r="C18" s="1"/>
  <c r="I54" i="263" l="1"/>
  <c r="D17" s="1"/>
  <c r="E71"/>
  <c r="I69" s="1"/>
  <c r="D18" s="1"/>
  <c r="J18" i="262"/>
  <c r="K18"/>
  <c r="L18"/>
  <c r="I18"/>
  <c r="I75" i="263"/>
  <c r="D19" s="1"/>
  <c r="D16"/>
  <c r="I78"/>
  <c r="D20" s="1"/>
  <c r="I94"/>
  <c r="I97"/>
  <c r="I75" i="262"/>
  <c r="D19" s="1"/>
  <c r="D16"/>
  <c r="I78"/>
  <c r="D20" s="1"/>
  <c r="I94"/>
  <c r="I97"/>
  <c r="K17"/>
  <c r="L17"/>
  <c r="I17"/>
  <c r="J17"/>
  <c r="J21"/>
  <c r="I22"/>
  <c r="L23"/>
  <c r="K24"/>
  <c r="J21" i="263"/>
  <c r="I22"/>
  <c r="K24"/>
  <c r="I21" i="262"/>
  <c r="L22"/>
  <c r="K23"/>
  <c r="J24"/>
  <c r="I21" i="263"/>
  <c r="L22"/>
  <c r="L21" i="262"/>
  <c r="L21" i="263"/>
  <c r="K22"/>
  <c r="C18" i="258"/>
  <c r="B27"/>
  <c r="C27" s="1"/>
  <c r="B27" i="261"/>
  <c r="C27" s="1"/>
  <c r="B27" i="257"/>
  <c r="C27" s="1"/>
  <c r="B27" i="259"/>
  <c r="C27" s="1"/>
  <c r="C18" i="260"/>
  <c r="L16" i="262" l="1"/>
  <c r="D25"/>
  <c r="I16"/>
  <c r="J16"/>
  <c r="K16"/>
  <c r="L20" i="263"/>
  <c r="I20"/>
  <c r="J20"/>
  <c r="K20"/>
  <c r="K17"/>
  <c r="L17"/>
  <c r="I17"/>
  <c r="J17"/>
  <c r="L20" i="262"/>
  <c r="I20"/>
  <c r="J20"/>
  <c r="K20"/>
  <c r="J18" i="263"/>
  <c r="K18"/>
  <c r="L18"/>
  <c r="I18"/>
  <c r="I19"/>
  <c r="J19"/>
  <c r="K19"/>
  <c r="L19"/>
  <c r="I19" i="262"/>
  <c r="J19"/>
  <c r="K19"/>
  <c r="L19"/>
  <c r="L16" i="263"/>
  <c r="D25"/>
  <c r="I16"/>
  <c r="I25" s="1"/>
  <c r="G6" s="1"/>
  <c r="J16"/>
  <c r="K16"/>
  <c r="K25" s="1"/>
  <c r="G8" s="1"/>
  <c r="H49" i="256"/>
  <c r="H48"/>
  <c r="H47"/>
  <c r="H46"/>
  <c r="H45"/>
  <c r="H44"/>
  <c r="H43"/>
  <c r="H42"/>
  <c r="H41"/>
  <c r="H40"/>
  <c r="H39"/>
  <c r="H38"/>
  <c r="H37"/>
  <c r="H36"/>
  <c r="H35"/>
  <c r="H33"/>
  <c r="H32"/>
  <c r="H31"/>
  <c r="B26"/>
  <c r="C26" s="1"/>
  <c r="B25"/>
  <c r="C25" s="1"/>
  <c r="B24"/>
  <c r="C24" s="1"/>
  <c r="B23"/>
  <c r="C23" s="1"/>
  <c r="B22"/>
  <c r="C22" s="1"/>
  <c r="B21"/>
  <c r="C21" s="1"/>
  <c r="B20"/>
  <c r="C20" s="1"/>
  <c r="B19"/>
  <c r="C19" s="1"/>
  <c r="B18"/>
  <c r="B27" s="1"/>
  <c r="C27" s="1"/>
  <c r="H49" i="255"/>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H49" i="254"/>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J25" i="263" l="1"/>
  <c r="G7" s="1"/>
  <c r="K25" i="262"/>
  <c r="G8" s="1"/>
  <c r="L25"/>
  <c r="G9" s="1"/>
  <c r="L25" i="263"/>
  <c r="G9" s="1"/>
  <c r="I25" i="262"/>
  <c r="G6" s="1"/>
  <c r="J25"/>
  <c r="G7" s="1"/>
  <c r="C18" i="256"/>
  <c r="B27" i="254"/>
  <c r="C27" s="1"/>
  <c r="B27" i="255"/>
  <c r="C27" s="1"/>
  <c r="E62" i="253" l="1"/>
  <c r="G62" s="1"/>
  <c r="E61"/>
  <c r="G61" s="1"/>
  <c r="E60"/>
  <c r="G60" s="1"/>
  <c r="E59"/>
  <c r="G59" s="1"/>
  <c r="B59"/>
  <c r="G58"/>
  <c r="E58"/>
  <c r="E57"/>
  <c r="G57" s="1"/>
  <c r="D57"/>
  <c r="B57"/>
  <c r="E56"/>
  <c r="G56" s="1"/>
  <c r="B56"/>
  <c r="G55"/>
  <c r="E55"/>
  <c r="B55"/>
  <c r="G48"/>
  <c r="E48"/>
  <c r="B48"/>
  <c r="G47"/>
  <c r="E47"/>
  <c r="B47"/>
  <c r="E46"/>
  <c r="G46" s="1"/>
  <c r="E45"/>
  <c r="G45" s="1"/>
  <c r="E44"/>
  <c r="G44" s="1"/>
  <c r="E43"/>
  <c r="G43" s="1"/>
  <c r="G42"/>
  <c r="I40" s="1"/>
  <c r="D37"/>
  <c r="J24"/>
  <c r="D24"/>
  <c r="K24" s="1"/>
  <c r="K23"/>
  <c r="I23"/>
  <c r="D23"/>
  <c r="L23" s="1"/>
  <c r="D22"/>
  <c r="I22" s="1"/>
  <c r="I21"/>
  <c r="D21"/>
  <c r="J21" s="1"/>
  <c r="H16"/>
  <c r="H17" s="1"/>
  <c r="H18" s="1"/>
  <c r="H19" s="1"/>
  <c r="G16"/>
  <c r="G17" s="1"/>
  <c r="G18" s="1"/>
  <c r="G19" s="1"/>
  <c r="F16"/>
  <c r="F17" s="1"/>
  <c r="F18" s="1"/>
  <c r="F19" s="1"/>
  <c r="E16"/>
  <c r="E17" s="1"/>
  <c r="E18" s="1"/>
  <c r="E19" s="1"/>
  <c r="E9"/>
  <c r="B9"/>
  <c r="F8"/>
  <c r="F9" s="1"/>
  <c r="E8"/>
  <c r="C8"/>
  <c r="C9" s="1"/>
  <c r="F7"/>
  <c r="E7"/>
  <c r="B7"/>
  <c r="F6"/>
  <c r="C6"/>
  <c r="C7" s="1"/>
  <c r="G64" i="252"/>
  <c r="E64"/>
  <c r="E63"/>
  <c r="G63" s="1"/>
  <c r="G62"/>
  <c r="E62"/>
  <c r="E61"/>
  <c r="G61" s="1"/>
  <c r="G60"/>
  <c r="E60"/>
  <c r="B60"/>
  <c r="G59"/>
  <c r="E59"/>
  <c r="D59"/>
  <c r="B59"/>
  <c r="G58"/>
  <c r="E58"/>
  <c r="B58"/>
  <c r="E57"/>
  <c r="G57" s="1"/>
  <c r="B57"/>
  <c r="E50"/>
  <c r="G50" s="1"/>
  <c r="B50"/>
  <c r="E49"/>
  <c r="G49" s="1"/>
  <c r="E48"/>
  <c r="G48" s="1"/>
  <c r="B48"/>
  <c r="E47"/>
  <c r="G47" s="1"/>
  <c r="B47"/>
  <c r="G46"/>
  <c r="E46"/>
  <c r="E45"/>
  <c r="G45" s="1"/>
  <c r="G44"/>
  <c r="E44"/>
  <c r="E43"/>
  <c r="G43" s="1"/>
  <c r="G42"/>
  <c r="D37"/>
  <c r="J24"/>
  <c r="I24"/>
  <c r="D24"/>
  <c r="L24" s="1"/>
  <c r="K23"/>
  <c r="J23"/>
  <c r="D23"/>
  <c r="I23" s="1"/>
  <c r="K22"/>
  <c r="D22"/>
  <c r="J22" s="1"/>
  <c r="D21"/>
  <c r="K21" s="1"/>
  <c r="H16"/>
  <c r="H17" s="1"/>
  <c r="H18" s="1"/>
  <c r="H19" s="1"/>
  <c r="G16"/>
  <c r="G17" s="1"/>
  <c r="G18" s="1"/>
  <c r="G19" s="1"/>
  <c r="F16"/>
  <c r="F17" s="1"/>
  <c r="F18" s="1"/>
  <c r="F19" s="1"/>
  <c r="E16"/>
  <c r="E17" s="1"/>
  <c r="E18" s="1"/>
  <c r="E19" s="1"/>
  <c r="E9"/>
  <c r="B9"/>
  <c r="F8"/>
  <c r="F9" s="1"/>
  <c r="E8"/>
  <c r="C8"/>
  <c r="C9" s="1"/>
  <c r="E7"/>
  <c r="B7"/>
  <c r="F6"/>
  <c r="F7" s="1"/>
  <c r="C6"/>
  <c r="C7" s="1"/>
  <c r="G62" i="251"/>
  <c r="E62"/>
  <c r="E61"/>
  <c r="G61" s="1"/>
  <c r="G60"/>
  <c r="E60"/>
  <c r="E59"/>
  <c r="G59" s="1"/>
  <c r="B59"/>
  <c r="G58"/>
  <c r="E58"/>
  <c r="E57"/>
  <c r="G57" s="1"/>
  <c r="D57"/>
  <c r="B57"/>
  <c r="E56"/>
  <c r="G56" s="1"/>
  <c r="B56"/>
  <c r="E55"/>
  <c r="G55" s="1"/>
  <c r="B55"/>
  <c r="E48"/>
  <c r="G48" s="1"/>
  <c r="B48"/>
  <c r="E47"/>
  <c r="G47" s="1"/>
  <c r="B47"/>
  <c r="G46"/>
  <c r="E46"/>
  <c r="E45"/>
  <c r="G45" s="1"/>
  <c r="G44"/>
  <c r="E44"/>
  <c r="E43"/>
  <c r="G43" s="1"/>
  <c r="G42"/>
  <c r="D37"/>
  <c r="D24"/>
  <c r="L24" s="1"/>
  <c r="D23"/>
  <c r="I23" s="1"/>
  <c r="D22"/>
  <c r="J22" s="1"/>
  <c r="D21"/>
  <c r="K21" s="1"/>
  <c r="H16"/>
  <c r="H17" s="1"/>
  <c r="H18" s="1"/>
  <c r="H19" s="1"/>
  <c r="G16"/>
  <c r="G17" s="1"/>
  <c r="G18" s="1"/>
  <c r="G19" s="1"/>
  <c r="F16"/>
  <c r="F17" s="1"/>
  <c r="F18" s="1"/>
  <c r="F19" s="1"/>
  <c r="E16"/>
  <c r="E17" s="1"/>
  <c r="E18" s="1"/>
  <c r="E19" s="1"/>
  <c r="E9"/>
  <c r="B9"/>
  <c r="F8"/>
  <c r="F9" s="1"/>
  <c r="E8"/>
  <c r="C8"/>
  <c r="C9" s="1"/>
  <c r="E7"/>
  <c r="B7"/>
  <c r="F6"/>
  <c r="F7" s="1"/>
  <c r="C6"/>
  <c r="C7" s="1"/>
  <c r="G62" i="250"/>
  <c r="E62"/>
  <c r="E61"/>
  <c r="G61" s="1"/>
  <c r="G60"/>
  <c r="E60"/>
  <c r="E59"/>
  <c r="G59" s="1"/>
  <c r="B59"/>
  <c r="E58"/>
  <c r="G58" s="1"/>
  <c r="E57"/>
  <c r="G57" s="1"/>
  <c r="D57"/>
  <c r="B57"/>
  <c r="E56"/>
  <c r="G56" s="1"/>
  <c r="B56"/>
  <c r="E55"/>
  <c r="G55" s="1"/>
  <c r="B55"/>
  <c r="E48"/>
  <c r="G48" s="1"/>
  <c r="B48"/>
  <c r="E47"/>
  <c r="G47" s="1"/>
  <c r="B47"/>
  <c r="G46"/>
  <c r="E46"/>
  <c r="E45"/>
  <c r="G45" s="1"/>
  <c r="G44"/>
  <c r="E44"/>
  <c r="E43"/>
  <c r="G43" s="1"/>
  <c r="G42"/>
  <c r="D37"/>
  <c r="D24"/>
  <c r="L24" s="1"/>
  <c r="I23"/>
  <c r="D23"/>
  <c r="J23" s="1"/>
  <c r="J22"/>
  <c r="D22"/>
  <c r="K22" s="1"/>
  <c r="D21"/>
  <c r="K21" s="1"/>
  <c r="H16"/>
  <c r="H17" s="1"/>
  <c r="H18" s="1"/>
  <c r="H19" s="1"/>
  <c r="G16"/>
  <c r="G17" s="1"/>
  <c r="G18" s="1"/>
  <c r="G19" s="1"/>
  <c r="F16"/>
  <c r="F17" s="1"/>
  <c r="F18" s="1"/>
  <c r="F19" s="1"/>
  <c r="E16"/>
  <c r="E17" s="1"/>
  <c r="E18" s="1"/>
  <c r="E19" s="1"/>
  <c r="E9"/>
  <c r="B9"/>
  <c r="F8"/>
  <c r="F9" s="1"/>
  <c r="E8"/>
  <c r="C8"/>
  <c r="C9" s="1"/>
  <c r="E7"/>
  <c r="B7"/>
  <c r="F6"/>
  <c r="F7" s="1"/>
  <c r="C6"/>
  <c r="C7" s="1"/>
  <c r="G62" i="249"/>
  <c r="E62"/>
  <c r="E61"/>
  <c r="G61" s="1"/>
  <c r="G60"/>
  <c r="E60"/>
  <c r="E59"/>
  <c r="G59" s="1"/>
  <c r="B59"/>
  <c r="E58"/>
  <c r="G58" s="1"/>
  <c r="E57"/>
  <c r="G57" s="1"/>
  <c r="D57"/>
  <c r="B57"/>
  <c r="E56"/>
  <c r="G56" s="1"/>
  <c r="B56"/>
  <c r="E55"/>
  <c r="G55" s="1"/>
  <c r="B55"/>
  <c r="E48"/>
  <c r="G48" s="1"/>
  <c r="B48"/>
  <c r="E47"/>
  <c r="G47" s="1"/>
  <c r="B47"/>
  <c r="G46"/>
  <c r="E46"/>
  <c r="E45"/>
  <c r="G45" s="1"/>
  <c r="G44"/>
  <c r="E44"/>
  <c r="E43"/>
  <c r="G43" s="1"/>
  <c r="G42"/>
  <c r="I40" s="1"/>
  <c r="D37"/>
  <c r="D24"/>
  <c r="L24" s="1"/>
  <c r="D23"/>
  <c r="I23" s="1"/>
  <c r="D22"/>
  <c r="J22" s="1"/>
  <c r="D21"/>
  <c r="K21" s="1"/>
  <c r="H16"/>
  <c r="H17" s="1"/>
  <c r="H18" s="1"/>
  <c r="H19" s="1"/>
  <c r="G16"/>
  <c r="G17" s="1"/>
  <c r="G18" s="1"/>
  <c r="G19" s="1"/>
  <c r="F16"/>
  <c r="F17" s="1"/>
  <c r="F18" s="1"/>
  <c r="F19" s="1"/>
  <c r="E16"/>
  <c r="E17" s="1"/>
  <c r="E18" s="1"/>
  <c r="E19" s="1"/>
  <c r="E9"/>
  <c r="B9"/>
  <c r="F8"/>
  <c r="F9" s="1"/>
  <c r="E8"/>
  <c r="C8"/>
  <c r="C9" s="1"/>
  <c r="E7"/>
  <c r="B7"/>
  <c r="F6"/>
  <c r="F7" s="1"/>
  <c r="C6"/>
  <c r="C7" s="1"/>
  <c r="G64" i="248"/>
  <c r="E64"/>
  <c r="E63"/>
  <c r="G63" s="1"/>
  <c r="G62"/>
  <c r="E62"/>
  <c r="E61"/>
  <c r="G61" s="1"/>
  <c r="G60"/>
  <c r="E60"/>
  <c r="B60"/>
  <c r="E59"/>
  <c r="G59" s="1"/>
  <c r="D59"/>
  <c r="B59"/>
  <c r="G58"/>
  <c r="E58"/>
  <c r="B58"/>
  <c r="G57"/>
  <c r="E57"/>
  <c r="B57"/>
  <c r="G50"/>
  <c r="E50"/>
  <c r="B50"/>
  <c r="E49"/>
  <c r="G49" s="1"/>
  <c r="E48"/>
  <c r="G48" s="1"/>
  <c r="B48"/>
  <c r="G47"/>
  <c r="E47"/>
  <c r="B47"/>
  <c r="G46"/>
  <c r="E46"/>
  <c r="E45"/>
  <c r="G45" s="1"/>
  <c r="G44"/>
  <c r="E44"/>
  <c r="E43"/>
  <c r="G43" s="1"/>
  <c r="G42"/>
  <c r="I40" s="1"/>
  <c r="D37"/>
  <c r="D24"/>
  <c r="I24" s="1"/>
  <c r="D23"/>
  <c r="J23" s="1"/>
  <c r="D22"/>
  <c r="K22" s="1"/>
  <c r="D21"/>
  <c r="L21" s="1"/>
  <c r="H16"/>
  <c r="H17" s="1"/>
  <c r="H18" s="1"/>
  <c r="H19" s="1"/>
  <c r="G16"/>
  <c r="G17" s="1"/>
  <c r="G18" s="1"/>
  <c r="G19" s="1"/>
  <c r="F16"/>
  <c r="F17" s="1"/>
  <c r="F18" s="1"/>
  <c r="F19" s="1"/>
  <c r="E16"/>
  <c r="E17" s="1"/>
  <c r="E18" s="1"/>
  <c r="E19" s="1"/>
  <c r="E9"/>
  <c r="B9"/>
  <c r="F8"/>
  <c r="F9" s="1"/>
  <c r="E8"/>
  <c r="C8"/>
  <c r="C9" s="1"/>
  <c r="E7"/>
  <c r="B7"/>
  <c r="F6"/>
  <c r="F7" s="1"/>
  <c r="C6"/>
  <c r="C7" s="1"/>
  <c r="G64" i="247"/>
  <c r="E64"/>
  <c r="E63"/>
  <c r="G63" s="1"/>
  <c r="G62"/>
  <c r="E62"/>
  <c r="E61"/>
  <c r="G61" s="1"/>
  <c r="G60"/>
  <c r="E60"/>
  <c r="B60"/>
  <c r="E59"/>
  <c r="G59" s="1"/>
  <c r="D59"/>
  <c r="B59"/>
  <c r="E58"/>
  <c r="G58" s="1"/>
  <c r="B58"/>
  <c r="G57"/>
  <c r="E73" s="1"/>
  <c r="I71" s="1"/>
  <c r="D18" s="1"/>
  <c r="E57"/>
  <c r="B57"/>
  <c r="G50"/>
  <c r="E50"/>
  <c r="B50"/>
  <c r="E49"/>
  <c r="G49" s="1"/>
  <c r="E48"/>
  <c r="G48" s="1"/>
  <c r="B48"/>
  <c r="G47"/>
  <c r="E47"/>
  <c r="B47"/>
  <c r="G46"/>
  <c r="E46"/>
  <c r="E45"/>
  <c r="G45" s="1"/>
  <c r="G44"/>
  <c r="E44"/>
  <c r="E43"/>
  <c r="G43" s="1"/>
  <c r="G42"/>
  <c r="D37"/>
  <c r="I24"/>
  <c r="D24"/>
  <c r="J24" s="1"/>
  <c r="J23"/>
  <c r="I23"/>
  <c r="D23"/>
  <c r="K23" s="1"/>
  <c r="K22"/>
  <c r="J22"/>
  <c r="I22"/>
  <c r="D22"/>
  <c r="L22" s="1"/>
  <c r="D21"/>
  <c r="I21" s="1"/>
  <c r="H16"/>
  <c r="H17" s="1"/>
  <c r="H18" s="1"/>
  <c r="H19" s="1"/>
  <c r="G16"/>
  <c r="G17" s="1"/>
  <c r="G18" s="1"/>
  <c r="G19" s="1"/>
  <c r="F16"/>
  <c r="F17" s="1"/>
  <c r="F18" s="1"/>
  <c r="F19" s="1"/>
  <c r="E16"/>
  <c r="E17" s="1"/>
  <c r="E18" s="1"/>
  <c r="E19" s="1"/>
  <c r="E9"/>
  <c r="B9"/>
  <c r="F8"/>
  <c r="F9" s="1"/>
  <c r="E8"/>
  <c r="C8"/>
  <c r="C9" s="1"/>
  <c r="E7"/>
  <c r="B7"/>
  <c r="F6"/>
  <c r="F7" s="1"/>
  <c r="C6"/>
  <c r="C7" s="1"/>
  <c r="G64" i="246"/>
  <c r="E64"/>
  <c r="E63"/>
  <c r="G63" s="1"/>
  <c r="G62"/>
  <c r="E62"/>
  <c r="E61"/>
  <c r="G61" s="1"/>
  <c r="G60"/>
  <c r="E60"/>
  <c r="B60"/>
  <c r="E59"/>
  <c r="G59" s="1"/>
  <c r="D59"/>
  <c r="B59"/>
  <c r="E58"/>
  <c r="G58" s="1"/>
  <c r="B58"/>
  <c r="E57"/>
  <c r="G57" s="1"/>
  <c r="B57"/>
  <c r="E50"/>
  <c r="G50" s="1"/>
  <c r="B50"/>
  <c r="G49"/>
  <c r="E49"/>
  <c r="E48"/>
  <c r="G48" s="1"/>
  <c r="B48"/>
  <c r="E47"/>
  <c r="G47" s="1"/>
  <c r="B47"/>
  <c r="G46"/>
  <c r="E46"/>
  <c r="E45"/>
  <c r="G45" s="1"/>
  <c r="G44"/>
  <c r="E44"/>
  <c r="E43"/>
  <c r="G43" s="1"/>
  <c r="G42"/>
  <c r="D37"/>
  <c r="D24"/>
  <c r="K24" s="1"/>
  <c r="D23"/>
  <c r="L23" s="1"/>
  <c r="D22"/>
  <c r="I22" s="1"/>
  <c r="D21"/>
  <c r="J21" s="1"/>
  <c r="H16"/>
  <c r="H17" s="1"/>
  <c r="H18" s="1"/>
  <c r="H19" s="1"/>
  <c r="G16"/>
  <c r="G17" s="1"/>
  <c r="G18" s="1"/>
  <c r="G19" s="1"/>
  <c r="F16"/>
  <c r="F17" s="1"/>
  <c r="F18" s="1"/>
  <c r="F19" s="1"/>
  <c r="E16"/>
  <c r="E17" s="1"/>
  <c r="E18" s="1"/>
  <c r="E19" s="1"/>
  <c r="E9"/>
  <c r="B9"/>
  <c r="F8"/>
  <c r="F9" s="1"/>
  <c r="E8"/>
  <c r="C8"/>
  <c r="C9" s="1"/>
  <c r="E7"/>
  <c r="B7"/>
  <c r="F6"/>
  <c r="F7" s="1"/>
  <c r="C6"/>
  <c r="C7" s="1"/>
  <c r="G62" i="245"/>
  <c r="E62"/>
  <c r="E61"/>
  <c r="G61" s="1"/>
  <c r="G60"/>
  <c r="E60"/>
  <c r="E59"/>
  <c r="G59" s="1"/>
  <c r="G58"/>
  <c r="E58"/>
  <c r="D58"/>
  <c r="B58"/>
  <c r="G57"/>
  <c r="E57"/>
  <c r="B57"/>
  <c r="G56"/>
  <c r="E71" s="1"/>
  <c r="I69" s="1"/>
  <c r="D18" s="1"/>
  <c r="E56"/>
  <c r="B56"/>
  <c r="G49"/>
  <c r="E49"/>
  <c r="E48"/>
  <c r="G48" s="1"/>
  <c r="G47"/>
  <c r="E47"/>
  <c r="E46"/>
  <c r="G46" s="1"/>
  <c r="G45"/>
  <c r="E45"/>
  <c r="E44"/>
  <c r="G44" s="1"/>
  <c r="G43"/>
  <c r="E43"/>
  <c r="G42"/>
  <c r="D37"/>
  <c r="D24"/>
  <c r="L24" s="1"/>
  <c r="D23"/>
  <c r="I23" s="1"/>
  <c r="D22"/>
  <c r="J22" s="1"/>
  <c r="D21"/>
  <c r="K21" s="1"/>
  <c r="H16"/>
  <c r="H17" s="1"/>
  <c r="H18" s="1"/>
  <c r="H19" s="1"/>
  <c r="G16"/>
  <c r="G17" s="1"/>
  <c r="G18" s="1"/>
  <c r="G19" s="1"/>
  <c r="F16"/>
  <c r="F17" s="1"/>
  <c r="F18" s="1"/>
  <c r="F19" s="1"/>
  <c r="E16"/>
  <c r="E17" s="1"/>
  <c r="E18" s="1"/>
  <c r="E19" s="1"/>
  <c r="E9"/>
  <c r="B9"/>
  <c r="F8"/>
  <c r="F9" s="1"/>
  <c r="E8"/>
  <c r="C8"/>
  <c r="C9" s="1"/>
  <c r="E7"/>
  <c r="B7"/>
  <c r="F6"/>
  <c r="F7" s="1"/>
  <c r="C6"/>
  <c r="C7" s="1"/>
  <c r="G62" i="244"/>
  <c r="E62"/>
  <c r="E61"/>
  <c r="G61" s="1"/>
  <c r="G60"/>
  <c r="E60"/>
  <c r="E59"/>
  <c r="G59" s="1"/>
  <c r="G58"/>
  <c r="E58"/>
  <c r="D58"/>
  <c r="B58"/>
  <c r="G57"/>
  <c r="E57"/>
  <c r="B57"/>
  <c r="G56"/>
  <c r="E71" s="1"/>
  <c r="I69" s="1"/>
  <c r="D18" s="1"/>
  <c r="E56"/>
  <c r="B56"/>
  <c r="G49"/>
  <c r="E49"/>
  <c r="E48"/>
  <c r="G48" s="1"/>
  <c r="G47"/>
  <c r="E47"/>
  <c r="E46"/>
  <c r="G46" s="1"/>
  <c r="G45"/>
  <c r="E45"/>
  <c r="E44"/>
  <c r="G44" s="1"/>
  <c r="G43"/>
  <c r="E43"/>
  <c r="G42"/>
  <c r="D37"/>
  <c r="D24"/>
  <c r="I24" s="1"/>
  <c r="D23"/>
  <c r="J23" s="1"/>
  <c r="D22"/>
  <c r="K22" s="1"/>
  <c r="D21"/>
  <c r="L21" s="1"/>
  <c r="H16"/>
  <c r="H17" s="1"/>
  <c r="H18" s="1"/>
  <c r="H19" s="1"/>
  <c r="G16"/>
  <c r="G17" s="1"/>
  <c r="G18" s="1"/>
  <c r="G19" s="1"/>
  <c r="F16"/>
  <c r="F17" s="1"/>
  <c r="F18" s="1"/>
  <c r="F19" s="1"/>
  <c r="E16"/>
  <c r="E17" s="1"/>
  <c r="E18" s="1"/>
  <c r="E19" s="1"/>
  <c r="E9"/>
  <c r="B9"/>
  <c r="F8"/>
  <c r="F9" s="1"/>
  <c r="E8"/>
  <c r="C8"/>
  <c r="C9" s="1"/>
  <c r="E7"/>
  <c r="B7"/>
  <c r="F6"/>
  <c r="F7" s="1"/>
  <c r="C6"/>
  <c r="C7" s="1"/>
  <c r="G62" i="243"/>
  <c r="E62"/>
  <c r="E61"/>
  <c r="G61" s="1"/>
  <c r="G60"/>
  <c r="E60"/>
  <c r="E59"/>
  <c r="G59" s="1"/>
  <c r="G58"/>
  <c r="E58"/>
  <c r="D58"/>
  <c r="B58"/>
  <c r="G57"/>
  <c r="E57"/>
  <c r="B57"/>
  <c r="E56"/>
  <c r="G56" s="1"/>
  <c r="B56"/>
  <c r="G49"/>
  <c r="E49"/>
  <c r="E48"/>
  <c r="G48" s="1"/>
  <c r="G47"/>
  <c r="E47"/>
  <c r="E46"/>
  <c r="G46" s="1"/>
  <c r="G45"/>
  <c r="E45"/>
  <c r="G44"/>
  <c r="E44"/>
  <c r="G43"/>
  <c r="E43"/>
  <c r="G42"/>
  <c r="I40" s="1"/>
  <c r="D37"/>
  <c r="D24"/>
  <c r="J24" s="1"/>
  <c r="D23"/>
  <c r="K23" s="1"/>
  <c r="D22"/>
  <c r="L22" s="1"/>
  <c r="D21"/>
  <c r="I21" s="1"/>
  <c r="H16"/>
  <c r="H17" s="1"/>
  <c r="H18" s="1"/>
  <c r="H19" s="1"/>
  <c r="G16"/>
  <c r="G17" s="1"/>
  <c r="G18" s="1"/>
  <c r="G19" s="1"/>
  <c r="F16"/>
  <c r="F17" s="1"/>
  <c r="F18" s="1"/>
  <c r="F19" s="1"/>
  <c r="E16"/>
  <c r="E17" s="1"/>
  <c r="E18" s="1"/>
  <c r="E19" s="1"/>
  <c r="E9"/>
  <c r="B9"/>
  <c r="F8"/>
  <c r="F9" s="1"/>
  <c r="E8"/>
  <c r="C8"/>
  <c r="C9" s="1"/>
  <c r="E7"/>
  <c r="B7"/>
  <c r="F6"/>
  <c r="F7" s="1"/>
  <c r="C6"/>
  <c r="C7" s="1"/>
  <c r="G61" i="242"/>
  <c r="E61"/>
  <c r="E60"/>
  <c r="G60" s="1"/>
  <c r="G59"/>
  <c r="E59"/>
  <c r="E58"/>
  <c r="G58" s="1"/>
  <c r="G57"/>
  <c r="E57"/>
  <c r="B57"/>
  <c r="E56"/>
  <c r="G56" s="1"/>
  <c r="B56"/>
  <c r="G49"/>
  <c r="E49"/>
  <c r="G48"/>
  <c r="E48"/>
  <c r="G47"/>
  <c r="E47"/>
  <c r="G46"/>
  <c r="E46"/>
  <c r="G45"/>
  <c r="E45"/>
  <c r="E44"/>
  <c r="G44" s="1"/>
  <c r="E43"/>
  <c r="G43" s="1"/>
  <c r="G42"/>
  <c r="D37"/>
  <c r="D24"/>
  <c r="K24" s="1"/>
  <c r="D23"/>
  <c r="L23" s="1"/>
  <c r="I22"/>
  <c r="D22"/>
  <c r="J22" s="1"/>
  <c r="D21"/>
  <c r="J21" s="1"/>
  <c r="H16"/>
  <c r="H17" s="1"/>
  <c r="H18" s="1"/>
  <c r="H19" s="1"/>
  <c r="G16"/>
  <c r="G17" s="1"/>
  <c r="G18" s="1"/>
  <c r="G19" s="1"/>
  <c r="F16"/>
  <c r="F17" s="1"/>
  <c r="F18" s="1"/>
  <c r="F19" s="1"/>
  <c r="E16"/>
  <c r="E17" s="1"/>
  <c r="E18" s="1"/>
  <c r="E19" s="1"/>
  <c r="E9"/>
  <c r="B9"/>
  <c r="F8"/>
  <c r="F9" s="1"/>
  <c r="E8"/>
  <c r="C8"/>
  <c r="C9" s="1"/>
  <c r="E7"/>
  <c r="B7"/>
  <c r="F6"/>
  <c r="F7" s="1"/>
  <c r="C6"/>
  <c r="C7" s="1"/>
  <c r="G61" i="241"/>
  <c r="E61"/>
  <c r="E60"/>
  <c r="G60" s="1"/>
  <c r="G59"/>
  <c r="E59"/>
  <c r="G58"/>
  <c r="E58"/>
  <c r="G57"/>
  <c r="E57"/>
  <c r="B57"/>
  <c r="E56"/>
  <c r="G56" s="1"/>
  <c r="B56"/>
  <c r="E49"/>
  <c r="G49" s="1"/>
  <c r="E48"/>
  <c r="G48" s="1"/>
  <c r="E47"/>
  <c r="G47" s="1"/>
  <c r="G46"/>
  <c r="E46"/>
  <c r="E45"/>
  <c r="G45" s="1"/>
  <c r="G44"/>
  <c r="E44"/>
  <c r="E43"/>
  <c r="G43" s="1"/>
  <c r="G42"/>
  <c r="D37"/>
  <c r="I24"/>
  <c r="D24"/>
  <c r="J24" s="1"/>
  <c r="J23"/>
  <c r="I23"/>
  <c r="D23"/>
  <c r="K23" s="1"/>
  <c r="K22"/>
  <c r="J22"/>
  <c r="D22"/>
  <c r="L22" s="1"/>
  <c r="D21"/>
  <c r="I21" s="1"/>
  <c r="H16"/>
  <c r="H17" s="1"/>
  <c r="H18" s="1"/>
  <c r="H19" s="1"/>
  <c r="G16"/>
  <c r="G17" s="1"/>
  <c r="G18" s="1"/>
  <c r="G19" s="1"/>
  <c r="F16"/>
  <c r="F17" s="1"/>
  <c r="F18" s="1"/>
  <c r="F19" s="1"/>
  <c r="E16"/>
  <c r="E17" s="1"/>
  <c r="E18" s="1"/>
  <c r="E19" s="1"/>
  <c r="E9"/>
  <c r="C9"/>
  <c r="B9"/>
  <c r="F8"/>
  <c r="F9" s="1"/>
  <c r="E8"/>
  <c r="C8"/>
  <c r="E7"/>
  <c r="B7"/>
  <c r="F6"/>
  <c r="F7" s="1"/>
  <c r="C6"/>
  <c r="C7" s="1"/>
  <c r="G61" i="240"/>
  <c r="E61"/>
  <c r="E60"/>
  <c r="G60" s="1"/>
  <c r="G59"/>
  <c r="E59"/>
  <c r="E58"/>
  <c r="G58" s="1"/>
  <c r="G57"/>
  <c r="E57"/>
  <c r="B57"/>
  <c r="E56"/>
  <c r="G56" s="1"/>
  <c r="B56"/>
  <c r="E49"/>
  <c r="G49" s="1"/>
  <c r="E48"/>
  <c r="G48" s="1"/>
  <c r="E47"/>
  <c r="G47" s="1"/>
  <c r="E46"/>
  <c r="G46" s="1"/>
  <c r="E45"/>
  <c r="G45" s="1"/>
  <c r="E44"/>
  <c r="G44" s="1"/>
  <c r="G43"/>
  <c r="E43"/>
  <c r="G42"/>
  <c r="D37"/>
  <c r="J24"/>
  <c r="I24"/>
  <c r="D24"/>
  <c r="K24" s="1"/>
  <c r="K23"/>
  <c r="J23"/>
  <c r="D23"/>
  <c r="L23" s="1"/>
  <c r="D22"/>
  <c r="I22" s="1"/>
  <c r="D21"/>
  <c r="J21" s="1"/>
  <c r="H16"/>
  <c r="H17" s="1"/>
  <c r="H18" s="1"/>
  <c r="H19" s="1"/>
  <c r="G16"/>
  <c r="G17" s="1"/>
  <c r="G18" s="1"/>
  <c r="G19" s="1"/>
  <c r="F16"/>
  <c r="F17" s="1"/>
  <c r="F18" s="1"/>
  <c r="F19" s="1"/>
  <c r="E16"/>
  <c r="E17" s="1"/>
  <c r="E18" s="1"/>
  <c r="E19" s="1"/>
  <c r="E9"/>
  <c r="B9"/>
  <c r="F8"/>
  <c r="F9" s="1"/>
  <c r="E8"/>
  <c r="C8"/>
  <c r="C9" s="1"/>
  <c r="E7"/>
  <c r="B7"/>
  <c r="F6"/>
  <c r="F7" s="1"/>
  <c r="C6"/>
  <c r="C7" s="1"/>
  <c r="I40" l="1"/>
  <c r="E70"/>
  <c r="I68" s="1"/>
  <c r="D18" s="1"/>
  <c r="I54"/>
  <c r="D17" s="1"/>
  <c r="E70" i="241"/>
  <c r="I68" s="1"/>
  <c r="D18" s="1"/>
  <c r="I54"/>
  <c r="D17" s="1"/>
  <c r="E70" i="242"/>
  <c r="I68" s="1"/>
  <c r="D18" s="1"/>
  <c r="I54"/>
  <c r="D17" s="1"/>
  <c r="D16" i="243"/>
  <c r="K18" i="244"/>
  <c r="L18"/>
  <c r="I18"/>
  <c r="J18"/>
  <c r="D16" i="248"/>
  <c r="D16" i="249"/>
  <c r="E71"/>
  <c r="I69" s="1"/>
  <c r="D18" s="1"/>
  <c r="I53"/>
  <c r="D17" s="1"/>
  <c r="I21" i="240"/>
  <c r="L22"/>
  <c r="L21" i="241"/>
  <c r="I54" i="244"/>
  <c r="D17" s="1"/>
  <c r="I40" i="252"/>
  <c r="E71" i="253"/>
  <c r="I69" s="1"/>
  <c r="D18" s="1"/>
  <c r="L18" i="247"/>
  <c r="I18"/>
  <c r="J18"/>
  <c r="K18"/>
  <c r="I55" i="252"/>
  <c r="D17" s="1"/>
  <c r="E73"/>
  <c r="I71" s="1"/>
  <c r="D18" s="1"/>
  <c r="D16" i="253"/>
  <c r="L21" i="240"/>
  <c r="K22"/>
  <c r="K21" i="241"/>
  <c r="L24"/>
  <c r="E71" i="243"/>
  <c r="I69" s="1"/>
  <c r="D18" s="1"/>
  <c r="I54"/>
  <c r="D17" s="1"/>
  <c r="J18" i="245"/>
  <c r="K18"/>
  <c r="L18"/>
  <c r="I18"/>
  <c r="E73" i="246"/>
  <c r="I71" s="1"/>
  <c r="D18" s="1"/>
  <c r="I55"/>
  <c r="D17" s="1"/>
  <c r="E71" i="250"/>
  <c r="I69" s="1"/>
  <c r="D18" s="1"/>
  <c r="I53"/>
  <c r="D17" s="1"/>
  <c r="E71" i="251"/>
  <c r="I69" s="1"/>
  <c r="D18" s="1"/>
  <c r="I53"/>
  <c r="D17" s="1"/>
  <c r="K21" i="240"/>
  <c r="J22"/>
  <c r="I23"/>
  <c r="L24"/>
  <c r="J21" i="241"/>
  <c r="I22"/>
  <c r="L23"/>
  <c r="K24"/>
  <c r="I40" i="242"/>
  <c r="I40" i="244"/>
  <c r="I40" i="245"/>
  <c r="I40" i="246"/>
  <c r="E73" i="248"/>
  <c r="I71" s="1"/>
  <c r="D18" s="1"/>
  <c r="I40" i="250"/>
  <c r="I40" i="251"/>
  <c r="I53" i="253"/>
  <c r="D17" s="1"/>
  <c r="I40" i="241"/>
  <c r="I40" i="247"/>
  <c r="I21" i="242"/>
  <c r="L22"/>
  <c r="K23"/>
  <c r="J24"/>
  <c r="L21" i="243"/>
  <c r="K22"/>
  <c r="J23"/>
  <c r="I24"/>
  <c r="K21" i="244"/>
  <c r="J22"/>
  <c r="I23"/>
  <c r="L24"/>
  <c r="J21" i="245"/>
  <c r="I22"/>
  <c r="L23"/>
  <c r="K24"/>
  <c r="I54"/>
  <c r="D17" s="1"/>
  <c r="I21" i="246"/>
  <c r="L22"/>
  <c r="K23"/>
  <c r="J24"/>
  <c r="L21" i="247"/>
  <c r="K21" i="248"/>
  <c r="J22"/>
  <c r="I23"/>
  <c r="L24"/>
  <c r="I55"/>
  <c r="D17" s="1"/>
  <c r="J21" i="249"/>
  <c r="I22"/>
  <c r="L23"/>
  <c r="K24"/>
  <c r="J21" i="250"/>
  <c r="I22"/>
  <c r="L23"/>
  <c r="K24"/>
  <c r="J21" i="251"/>
  <c r="I22"/>
  <c r="L23"/>
  <c r="K24"/>
  <c r="J21" i="252"/>
  <c r="I22"/>
  <c r="L23"/>
  <c r="K24"/>
  <c r="L22" i="253"/>
  <c r="L21" i="242"/>
  <c r="K22"/>
  <c r="J23"/>
  <c r="I24"/>
  <c r="K21" i="243"/>
  <c r="J22"/>
  <c r="I23"/>
  <c r="L24"/>
  <c r="J21" i="244"/>
  <c r="I22"/>
  <c r="L23"/>
  <c r="K24"/>
  <c r="I21" i="245"/>
  <c r="L22"/>
  <c r="K23"/>
  <c r="J24"/>
  <c r="L21" i="246"/>
  <c r="K22"/>
  <c r="J23"/>
  <c r="I24"/>
  <c r="K21" i="247"/>
  <c r="L24"/>
  <c r="I55"/>
  <c r="D17" s="1"/>
  <c r="J21" i="248"/>
  <c r="I22"/>
  <c r="L23"/>
  <c r="K24"/>
  <c r="I21" i="249"/>
  <c r="L22"/>
  <c r="K23"/>
  <c r="J24"/>
  <c r="I21" i="250"/>
  <c r="L22"/>
  <c r="K23"/>
  <c r="J24"/>
  <c r="I21" i="251"/>
  <c r="L22"/>
  <c r="K23"/>
  <c r="J24"/>
  <c r="I21" i="252"/>
  <c r="L22"/>
  <c r="L21" i="253"/>
  <c r="K22"/>
  <c r="J23"/>
  <c r="I24"/>
  <c r="K21" i="242"/>
  <c r="I23"/>
  <c r="L24"/>
  <c r="J21" i="243"/>
  <c r="I22"/>
  <c r="L23"/>
  <c r="K24"/>
  <c r="I21" i="244"/>
  <c r="L22"/>
  <c r="K23"/>
  <c r="J24"/>
  <c r="L21" i="245"/>
  <c r="K22"/>
  <c r="J23"/>
  <c r="I24"/>
  <c r="K21" i="246"/>
  <c r="J22"/>
  <c r="I23"/>
  <c r="L24"/>
  <c r="J21" i="247"/>
  <c r="L23"/>
  <c r="K24"/>
  <c r="I21" i="248"/>
  <c r="L22"/>
  <c r="K23"/>
  <c r="J24"/>
  <c r="L21" i="249"/>
  <c r="K22"/>
  <c r="J23"/>
  <c r="I24"/>
  <c r="L21" i="250"/>
  <c r="I24"/>
  <c r="L21" i="251"/>
  <c r="K22"/>
  <c r="J23"/>
  <c r="I24"/>
  <c r="L21" i="252"/>
  <c r="K21" i="253"/>
  <c r="J22"/>
  <c r="L24"/>
  <c r="J17" l="1"/>
  <c r="K17"/>
  <c r="L17"/>
  <c r="I17"/>
  <c r="I77" i="246"/>
  <c r="D19" s="1"/>
  <c r="D16"/>
  <c r="I80"/>
  <c r="D20" s="1"/>
  <c r="K17" i="251"/>
  <c r="L17"/>
  <c r="I17"/>
  <c r="J17"/>
  <c r="J17" i="246"/>
  <c r="K17"/>
  <c r="L17"/>
  <c r="I17"/>
  <c r="I77" i="252"/>
  <c r="D19" s="1"/>
  <c r="D16"/>
  <c r="I80"/>
  <c r="D20" s="1"/>
  <c r="I96"/>
  <c r="I99"/>
  <c r="I16" i="248"/>
  <c r="J16"/>
  <c r="K16"/>
  <c r="L16"/>
  <c r="I17" i="241"/>
  <c r="J17"/>
  <c r="K17"/>
  <c r="L17"/>
  <c r="I74" i="240"/>
  <c r="D19" s="1"/>
  <c r="D16"/>
  <c r="I77"/>
  <c r="D20" s="1"/>
  <c r="I75" i="253"/>
  <c r="D19" s="1"/>
  <c r="I80" i="248"/>
  <c r="D20" s="1"/>
  <c r="I17" i="247"/>
  <c r="J17"/>
  <c r="K17"/>
  <c r="L17"/>
  <c r="L17" i="248"/>
  <c r="I17"/>
  <c r="J17"/>
  <c r="K17"/>
  <c r="I74" i="241"/>
  <c r="D19" s="1"/>
  <c r="I77"/>
  <c r="D20" s="1"/>
  <c r="I96"/>
  <c r="D16"/>
  <c r="K18" i="248"/>
  <c r="L18"/>
  <c r="I18"/>
  <c r="J18"/>
  <c r="I74" i="242"/>
  <c r="D19" s="1"/>
  <c r="D16"/>
  <c r="I77"/>
  <c r="D20" s="1"/>
  <c r="I93"/>
  <c r="J18" i="250"/>
  <c r="K18"/>
  <c r="L18"/>
  <c r="I18"/>
  <c r="L18" i="243"/>
  <c r="I18"/>
  <c r="J18"/>
  <c r="K18"/>
  <c r="I18" i="253"/>
  <c r="J18"/>
  <c r="K18"/>
  <c r="L18"/>
  <c r="I18" i="242"/>
  <c r="J18"/>
  <c r="K18"/>
  <c r="L18"/>
  <c r="I18" i="240"/>
  <c r="J18"/>
  <c r="K18"/>
  <c r="L18"/>
  <c r="I78" i="253"/>
  <c r="D20" s="1"/>
  <c r="I75" i="249"/>
  <c r="D19" s="1"/>
  <c r="I78"/>
  <c r="D20" s="1"/>
  <c r="I75" i="243"/>
  <c r="D19" s="1"/>
  <c r="I96" i="247"/>
  <c r="I77"/>
  <c r="D19" s="1"/>
  <c r="D16"/>
  <c r="I80"/>
  <c r="D20" s="1"/>
  <c r="I78" i="250"/>
  <c r="D20" s="1"/>
  <c r="D16"/>
  <c r="I97"/>
  <c r="I75"/>
  <c r="D19" s="1"/>
  <c r="I78" i="244"/>
  <c r="D20" s="1"/>
  <c r="I97"/>
  <c r="I75"/>
  <c r="D19" s="1"/>
  <c r="D16"/>
  <c r="K17" i="250"/>
  <c r="L17"/>
  <c r="I17"/>
  <c r="J17"/>
  <c r="I17" i="243"/>
  <c r="J17"/>
  <c r="K17"/>
  <c r="L17"/>
  <c r="K16" i="253"/>
  <c r="L16"/>
  <c r="D25"/>
  <c r="I16"/>
  <c r="J16"/>
  <c r="K17" i="252"/>
  <c r="L17"/>
  <c r="I17"/>
  <c r="J17"/>
  <c r="J18" i="249"/>
  <c r="K18"/>
  <c r="L18"/>
  <c r="I18"/>
  <c r="L16"/>
  <c r="D25"/>
  <c r="I16"/>
  <c r="J16"/>
  <c r="K16"/>
  <c r="J16" i="243"/>
  <c r="K16"/>
  <c r="L16"/>
  <c r="I16"/>
  <c r="J17" i="242"/>
  <c r="K17"/>
  <c r="L17"/>
  <c r="I17"/>
  <c r="J17" i="240"/>
  <c r="K17"/>
  <c r="L17"/>
  <c r="I17"/>
  <c r="K17" i="245"/>
  <c r="L17"/>
  <c r="I17"/>
  <c r="J17"/>
  <c r="I78" i="251"/>
  <c r="D20" s="1"/>
  <c r="D16"/>
  <c r="I94"/>
  <c r="I97"/>
  <c r="I75"/>
  <c r="D19" s="1"/>
  <c r="I75" i="245"/>
  <c r="D19" s="1"/>
  <c r="D16"/>
  <c r="I78"/>
  <c r="D20" s="1"/>
  <c r="I97"/>
  <c r="J18" i="251"/>
  <c r="K18"/>
  <c r="L18"/>
  <c r="I18"/>
  <c r="I18" i="246"/>
  <c r="J18"/>
  <c r="K18"/>
  <c r="L18"/>
  <c r="J18" i="252"/>
  <c r="K18"/>
  <c r="L18"/>
  <c r="I18"/>
  <c r="L17" i="244"/>
  <c r="I17"/>
  <c r="J17"/>
  <c r="K17"/>
  <c r="K17" i="249"/>
  <c r="L17"/>
  <c r="I17"/>
  <c r="J17"/>
  <c r="L18" i="241"/>
  <c r="I18"/>
  <c r="J18"/>
  <c r="K18"/>
  <c r="I94" i="253"/>
  <c r="I94" i="249"/>
  <c r="I77" i="248"/>
  <c r="D19" s="1"/>
  <c r="D25" s="1"/>
  <c r="I78" i="243"/>
  <c r="D20" s="1"/>
  <c r="I94"/>
  <c r="J20" l="1"/>
  <c r="K20"/>
  <c r="L20"/>
  <c r="I20"/>
  <c r="I19" i="245"/>
  <c r="J19"/>
  <c r="K19"/>
  <c r="L19"/>
  <c r="L16" i="251"/>
  <c r="D25"/>
  <c r="I16"/>
  <c r="J16"/>
  <c r="K16"/>
  <c r="J20" i="247"/>
  <c r="K20"/>
  <c r="L20"/>
  <c r="I20"/>
  <c r="I19" i="249"/>
  <c r="J19"/>
  <c r="K19"/>
  <c r="L19"/>
  <c r="K16" i="242"/>
  <c r="L16"/>
  <c r="D25"/>
  <c r="I16"/>
  <c r="J16"/>
  <c r="L19" i="240"/>
  <c r="I19"/>
  <c r="J19"/>
  <c r="K19"/>
  <c r="D25" i="243"/>
  <c r="I97"/>
  <c r="I97" i="253"/>
  <c r="I96" i="246"/>
  <c r="I99"/>
  <c r="L16" i="245"/>
  <c r="D25"/>
  <c r="I16"/>
  <c r="J16"/>
  <c r="K16"/>
  <c r="J19" i="244"/>
  <c r="K19"/>
  <c r="L19"/>
  <c r="I19"/>
  <c r="I19" i="250"/>
  <c r="J19"/>
  <c r="K19"/>
  <c r="L19"/>
  <c r="L20"/>
  <c r="I20"/>
  <c r="J20"/>
  <c r="K20"/>
  <c r="L20" i="249"/>
  <c r="L25" s="1"/>
  <c r="G9" s="1"/>
  <c r="I20"/>
  <c r="J20"/>
  <c r="K20"/>
  <c r="K25" s="1"/>
  <c r="G8" s="1"/>
  <c r="K20" i="242"/>
  <c r="L20"/>
  <c r="I20"/>
  <c r="J20"/>
  <c r="J16" i="241"/>
  <c r="K16"/>
  <c r="L16"/>
  <c r="D25"/>
  <c r="I16"/>
  <c r="K19"/>
  <c r="L19"/>
  <c r="I19"/>
  <c r="J19"/>
  <c r="L19" i="253"/>
  <c r="L25" s="1"/>
  <c r="G9" s="1"/>
  <c r="I19"/>
  <c r="J19"/>
  <c r="K19"/>
  <c r="K16" i="240"/>
  <c r="L16"/>
  <c r="D25"/>
  <c r="I16"/>
  <c r="J16"/>
  <c r="I19" i="252"/>
  <c r="J19"/>
  <c r="K19"/>
  <c r="L19"/>
  <c r="L19" i="246"/>
  <c r="I19"/>
  <c r="J19"/>
  <c r="K19"/>
  <c r="I99" i="247"/>
  <c r="L20" i="245"/>
  <c r="I20"/>
  <c r="J20"/>
  <c r="K20"/>
  <c r="D25" i="244"/>
  <c r="I16"/>
  <c r="J16"/>
  <c r="K16"/>
  <c r="L16"/>
  <c r="I20"/>
  <c r="J20"/>
  <c r="K20"/>
  <c r="L20"/>
  <c r="L16" i="250"/>
  <c r="L25" s="1"/>
  <c r="G9" s="1"/>
  <c r="D25"/>
  <c r="I16"/>
  <c r="I25" s="1"/>
  <c r="G6" s="1"/>
  <c r="J16"/>
  <c r="J25" s="1"/>
  <c r="G7" s="1"/>
  <c r="K16"/>
  <c r="K25" s="1"/>
  <c r="G8" s="1"/>
  <c r="K19" i="247"/>
  <c r="L19"/>
  <c r="I19"/>
  <c r="J19"/>
  <c r="J20" i="241"/>
  <c r="K20"/>
  <c r="L20"/>
  <c r="I20"/>
  <c r="K20" i="240"/>
  <c r="L20"/>
  <c r="I20"/>
  <c r="J20"/>
  <c r="L16" i="252"/>
  <c r="D25"/>
  <c r="I16"/>
  <c r="J16"/>
  <c r="K16"/>
  <c r="K16" i="246"/>
  <c r="L16"/>
  <c r="D25"/>
  <c r="I16"/>
  <c r="J16"/>
  <c r="I99" i="248"/>
  <c r="I25" i="249"/>
  <c r="G6" s="1"/>
  <c r="I96" i="248"/>
  <c r="I96" i="242"/>
  <c r="I97" i="249"/>
  <c r="J19" i="248"/>
  <c r="J25" s="1"/>
  <c r="G7" s="1"/>
  <c r="K19"/>
  <c r="K25" s="1"/>
  <c r="G8" s="1"/>
  <c r="L19"/>
  <c r="I19"/>
  <c r="I19" i="251"/>
  <c r="J19"/>
  <c r="K19"/>
  <c r="L19"/>
  <c r="L20"/>
  <c r="I20"/>
  <c r="J20"/>
  <c r="K20"/>
  <c r="J16" i="247"/>
  <c r="J25" s="1"/>
  <c r="G7" s="1"/>
  <c r="K16"/>
  <c r="K25" s="1"/>
  <c r="G8" s="1"/>
  <c r="L16"/>
  <c r="L25" s="1"/>
  <c r="G9" s="1"/>
  <c r="D25"/>
  <c r="I16"/>
  <c r="I25" s="1"/>
  <c r="G6" s="1"/>
  <c r="K19" i="243"/>
  <c r="K25" s="1"/>
  <c r="G8" s="1"/>
  <c r="L19"/>
  <c r="I19"/>
  <c r="I25" s="1"/>
  <c r="G6" s="1"/>
  <c r="J19"/>
  <c r="J25" s="1"/>
  <c r="G7" s="1"/>
  <c r="K20" i="253"/>
  <c r="L20"/>
  <c r="I20"/>
  <c r="I25" s="1"/>
  <c r="G6" s="1"/>
  <c r="J20"/>
  <c r="L19" i="242"/>
  <c r="I19"/>
  <c r="J19"/>
  <c r="K19"/>
  <c r="I20" i="248"/>
  <c r="J20"/>
  <c r="K20"/>
  <c r="L20"/>
  <c r="L25" s="1"/>
  <c r="G9" s="1"/>
  <c r="L20" i="252"/>
  <c r="I20"/>
  <c r="J20"/>
  <c r="K20"/>
  <c r="K20" i="246"/>
  <c r="L20"/>
  <c r="I20"/>
  <c r="J20"/>
  <c r="I94" i="245"/>
  <c r="L25" i="243"/>
  <c r="G9" s="1"/>
  <c r="J25" i="249"/>
  <c r="G7" s="1"/>
  <c r="J25" i="253"/>
  <c r="G7" s="1"/>
  <c r="K25"/>
  <c r="G8" s="1"/>
  <c r="I94" i="244"/>
  <c r="I94" i="250"/>
  <c r="I93" i="241"/>
  <c r="I93" i="240"/>
  <c r="I96"/>
  <c r="I25" i="248"/>
  <c r="G6" s="1"/>
  <c r="I25" i="246" l="1"/>
  <c r="G6" s="1"/>
  <c r="K25" i="252"/>
  <c r="G8" s="1"/>
  <c r="L25"/>
  <c r="G9" s="1"/>
  <c r="J25" i="244"/>
  <c r="G7" s="1"/>
  <c r="I25" i="240"/>
  <c r="G6" s="1"/>
  <c r="I25" i="241"/>
  <c r="G6" s="1"/>
  <c r="J25"/>
  <c r="G7" s="1"/>
  <c r="I25" i="242"/>
  <c r="G6" s="1"/>
  <c r="K25" i="251"/>
  <c r="G8" s="1"/>
  <c r="L25"/>
  <c r="G9" s="1"/>
  <c r="J25" i="246"/>
  <c r="G7" s="1"/>
  <c r="K25"/>
  <c r="G8" s="1"/>
  <c r="K25" i="244"/>
  <c r="G8" s="1"/>
  <c r="J25" i="240"/>
  <c r="G7" s="1"/>
  <c r="K25"/>
  <c r="G8" s="1"/>
  <c r="K25" i="241"/>
  <c r="G8" s="1"/>
  <c r="I25" i="245"/>
  <c r="G6" s="1"/>
  <c r="J25" i="242"/>
  <c r="G7" s="1"/>
  <c r="K25"/>
  <c r="G8" s="1"/>
  <c r="L25" i="246"/>
  <c r="G9" s="1"/>
  <c r="I25" i="252"/>
  <c r="G6" s="1"/>
  <c r="L25" i="244"/>
  <c r="G9" s="1"/>
  <c r="L25" i="240"/>
  <c r="G9" s="1"/>
  <c r="L25" i="241"/>
  <c r="G9" s="1"/>
  <c r="J25" i="245"/>
  <c r="G7" s="1"/>
  <c r="L25" i="242"/>
  <c r="G9" s="1"/>
  <c r="I25" i="251"/>
  <c r="G6" s="1"/>
  <c r="J25" i="252"/>
  <c r="G7" s="1"/>
  <c r="I25" i="244"/>
  <c r="G6" s="1"/>
  <c r="K25" i="245"/>
  <c r="G8" s="1"/>
  <c r="L25"/>
  <c r="G9" s="1"/>
  <c r="J25" i="251"/>
  <c r="G7" s="1"/>
  <c r="E47" i="239" l="1"/>
  <c r="G47" s="1"/>
  <c r="D47"/>
  <c r="B47"/>
  <c r="E46"/>
  <c r="G46" s="1"/>
  <c r="D46"/>
  <c r="B46"/>
  <c r="I40"/>
  <c r="D24"/>
  <c r="J24" s="1"/>
  <c r="K23"/>
  <c r="J23"/>
  <c r="I23"/>
  <c r="D23"/>
  <c r="L23" s="1"/>
  <c r="K22"/>
  <c r="J22"/>
  <c r="D22"/>
  <c r="L22" s="1"/>
  <c r="D21"/>
  <c r="I21" s="1"/>
  <c r="G17"/>
  <c r="G18" s="1"/>
  <c r="G19" s="1"/>
  <c r="H16"/>
  <c r="H17" s="1"/>
  <c r="H18" s="1"/>
  <c r="H19" s="1"/>
  <c r="G16"/>
  <c r="F16"/>
  <c r="F17" s="1"/>
  <c r="F18" s="1"/>
  <c r="F19" s="1"/>
  <c r="E16"/>
  <c r="E17" s="1"/>
  <c r="E18" s="1"/>
  <c r="E19" s="1"/>
  <c r="D16"/>
  <c r="J16" s="1"/>
  <c r="F9"/>
  <c r="E9"/>
  <c r="B9"/>
  <c r="C8"/>
  <c r="C9" s="1"/>
  <c r="F7"/>
  <c r="E7"/>
  <c r="B7"/>
  <c r="C6"/>
  <c r="C7" s="1"/>
  <c r="I44" l="1"/>
  <c r="D17" s="1"/>
  <c r="E54"/>
  <c r="I52" s="1"/>
  <c r="D18" s="1"/>
  <c r="I16"/>
  <c r="L21"/>
  <c r="I24"/>
  <c r="L16"/>
  <c r="K21"/>
  <c r="L24"/>
  <c r="K16"/>
  <c r="J21"/>
  <c r="I22"/>
  <c r="K24"/>
  <c r="I59" l="1"/>
  <c r="D20" s="1"/>
  <c r="I56"/>
  <c r="D19" s="1"/>
  <c r="D25" s="1"/>
  <c r="I17"/>
  <c r="J17"/>
  <c r="K17"/>
  <c r="L17"/>
  <c r="L18"/>
  <c r="I18"/>
  <c r="J18"/>
  <c r="K18"/>
  <c r="J20" l="1"/>
  <c r="K20"/>
  <c r="L20"/>
  <c r="I20"/>
  <c r="I25" s="1"/>
  <c r="G6" s="1"/>
  <c r="I74"/>
  <c r="I77"/>
  <c r="K19"/>
  <c r="K25" s="1"/>
  <c r="G8" s="1"/>
  <c r="L19"/>
  <c r="L25" s="1"/>
  <c r="G9" s="1"/>
  <c r="I19"/>
  <c r="J19"/>
  <c r="J25" s="1"/>
  <c r="G7" s="1"/>
  <c r="E49" i="238" l="1"/>
  <c r="G49" s="1"/>
  <c r="D49"/>
  <c r="B49"/>
  <c r="E48"/>
  <c r="G48" s="1"/>
  <c r="D48"/>
  <c r="B48"/>
  <c r="E47"/>
  <c r="G47" s="1"/>
  <c r="D47"/>
  <c r="B47"/>
  <c r="E46"/>
  <c r="G46" s="1"/>
  <c r="D46"/>
  <c r="B46"/>
  <c r="E45"/>
  <c r="G45" s="1"/>
  <c r="D45"/>
  <c r="B45"/>
  <c r="D37"/>
  <c r="I24"/>
  <c r="D24"/>
  <c r="J24" s="1"/>
  <c r="K23"/>
  <c r="J23"/>
  <c r="I23"/>
  <c r="D23"/>
  <c r="L23" s="1"/>
  <c r="K22"/>
  <c r="D22"/>
  <c r="L22" s="1"/>
  <c r="D21"/>
  <c r="I21" s="1"/>
  <c r="H16"/>
  <c r="H17" s="1"/>
  <c r="H18" s="1"/>
  <c r="H19" s="1"/>
  <c r="G16"/>
  <c r="G17" s="1"/>
  <c r="G18" s="1"/>
  <c r="G19" s="1"/>
  <c r="F16"/>
  <c r="F17" s="1"/>
  <c r="F18" s="1"/>
  <c r="F19" s="1"/>
  <c r="E16"/>
  <c r="E17" s="1"/>
  <c r="E18" s="1"/>
  <c r="E19" s="1"/>
  <c r="D16"/>
  <c r="E9"/>
  <c r="B9"/>
  <c r="F8"/>
  <c r="F9" s="1"/>
  <c r="C8"/>
  <c r="C9" s="1"/>
  <c r="E7"/>
  <c r="B7"/>
  <c r="F6"/>
  <c r="F7" s="1"/>
  <c r="C6"/>
  <c r="C7" s="1"/>
  <c r="G49" i="237"/>
  <c r="E49"/>
  <c r="D49"/>
  <c r="B49"/>
  <c r="G48"/>
  <c r="E48"/>
  <c r="D48"/>
  <c r="B48"/>
  <c r="G47"/>
  <c r="E47"/>
  <c r="D47"/>
  <c r="B47"/>
  <c r="G46"/>
  <c r="E46"/>
  <c r="D46"/>
  <c r="B46"/>
  <c r="G45"/>
  <c r="E56" s="1"/>
  <c r="I54" s="1"/>
  <c r="D18" s="1"/>
  <c r="E45"/>
  <c r="D45"/>
  <c r="B45"/>
  <c r="I43"/>
  <c r="D37"/>
  <c r="K24"/>
  <c r="I24"/>
  <c r="D24"/>
  <c r="L24" s="1"/>
  <c r="D23"/>
  <c r="I23" s="1"/>
  <c r="K22"/>
  <c r="J22"/>
  <c r="I22"/>
  <c r="D22"/>
  <c r="L22" s="1"/>
  <c r="J21"/>
  <c r="D21"/>
  <c r="K21" s="1"/>
  <c r="D17"/>
  <c r="H16"/>
  <c r="H17" s="1"/>
  <c r="H18" s="1"/>
  <c r="H19" s="1"/>
  <c r="G16"/>
  <c r="G17" s="1"/>
  <c r="G18" s="1"/>
  <c r="G19" s="1"/>
  <c r="F16"/>
  <c r="F17" s="1"/>
  <c r="F18" s="1"/>
  <c r="F19" s="1"/>
  <c r="E16"/>
  <c r="I16" s="1"/>
  <c r="D16"/>
  <c r="L16" s="1"/>
  <c r="E9"/>
  <c r="B9"/>
  <c r="F8"/>
  <c r="F9" s="1"/>
  <c r="C8"/>
  <c r="C9" s="1"/>
  <c r="E7"/>
  <c r="B7"/>
  <c r="F6"/>
  <c r="F7" s="1"/>
  <c r="C6"/>
  <c r="C7" s="1"/>
  <c r="G49" i="236"/>
  <c r="E49"/>
  <c r="D49"/>
  <c r="B49"/>
  <c r="G48"/>
  <c r="E48"/>
  <c r="D48"/>
  <c r="B48"/>
  <c r="G47"/>
  <c r="E47"/>
  <c r="D47"/>
  <c r="B47"/>
  <c r="G46"/>
  <c r="E46"/>
  <c r="D46"/>
  <c r="B46"/>
  <c r="G45"/>
  <c r="E56" s="1"/>
  <c r="I54" s="1"/>
  <c r="D18" s="1"/>
  <c r="E45"/>
  <c r="D45"/>
  <c r="B45"/>
  <c r="I43"/>
  <c r="I58" s="1"/>
  <c r="D19" s="1"/>
  <c r="D37"/>
  <c r="K24"/>
  <c r="I24"/>
  <c r="D24"/>
  <c r="J24" s="1"/>
  <c r="J23"/>
  <c r="D23"/>
  <c r="K23" s="1"/>
  <c r="K22"/>
  <c r="J22"/>
  <c r="I22"/>
  <c r="D22"/>
  <c r="L22" s="1"/>
  <c r="D21"/>
  <c r="I21" s="1"/>
  <c r="D17"/>
  <c r="H16"/>
  <c r="H17" s="1"/>
  <c r="H18" s="1"/>
  <c r="H19" s="1"/>
  <c r="G16"/>
  <c r="K16" s="1"/>
  <c r="F16"/>
  <c r="F17" s="1"/>
  <c r="F18" s="1"/>
  <c r="F19" s="1"/>
  <c r="E16"/>
  <c r="E17" s="1"/>
  <c r="E18" s="1"/>
  <c r="E19" s="1"/>
  <c r="D16"/>
  <c r="E9"/>
  <c r="B9"/>
  <c r="F8"/>
  <c r="F9" s="1"/>
  <c r="C8"/>
  <c r="C9" s="1"/>
  <c r="E7"/>
  <c r="B7"/>
  <c r="F6"/>
  <c r="F7" s="1"/>
  <c r="C6"/>
  <c r="C7" s="1"/>
  <c r="J16" i="238" l="1"/>
  <c r="J16" i="236"/>
  <c r="J18" i="237"/>
  <c r="K18"/>
  <c r="L18"/>
  <c r="I43" i="238"/>
  <c r="E56"/>
  <c r="I54" s="1"/>
  <c r="D18" s="1"/>
  <c r="I76" i="237"/>
  <c r="I17" i="236"/>
  <c r="K17" i="237"/>
  <c r="L19" i="236"/>
  <c r="I19"/>
  <c r="J19"/>
  <c r="L18"/>
  <c r="I18"/>
  <c r="J18"/>
  <c r="I16"/>
  <c r="L17"/>
  <c r="L21"/>
  <c r="D25"/>
  <c r="I79"/>
  <c r="K16" i="237"/>
  <c r="J17"/>
  <c r="L23"/>
  <c r="I61"/>
  <c r="D20" s="1"/>
  <c r="I16" i="238"/>
  <c r="L21"/>
  <c r="L16" i="236"/>
  <c r="G17"/>
  <c r="G18" s="1"/>
  <c r="G19" s="1"/>
  <c r="K19" s="1"/>
  <c r="K17"/>
  <c r="K21"/>
  <c r="I23"/>
  <c r="L24"/>
  <c r="I76"/>
  <c r="J16" i="237"/>
  <c r="E17"/>
  <c r="E18" s="1"/>
  <c r="E19" s="1"/>
  <c r="I21"/>
  <c r="K23"/>
  <c r="J24"/>
  <c r="I58"/>
  <c r="D19" s="1"/>
  <c r="L16" i="238"/>
  <c r="K21"/>
  <c r="J22"/>
  <c r="L24"/>
  <c r="J17" i="236"/>
  <c r="J21"/>
  <c r="L23"/>
  <c r="I61"/>
  <c r="D20" s="1"/>
  <c r="L17" i="237"/>
  <c r="L21"/>
  <c r="J23"/>
  <c r="I79"/>
  <c r="K16" i="238"/>
  <c r="J21"/>
  <c r="I22"/>
  <c r="K24"/>
  <c r="J25" i="236" l="1"/>
  <c r="G7" s="1"/>
  <c r="I58" i="238"/>
  <c r="D19" s="1"/>
  <c r="I61"/>
  <c r="D20" s="1"/>
  <c r="I76"/>
  <c r="I79"/>
  <c r="D17"/>
  <c r="L18"/>
  <c r="I18"/>
  <c r="J18"/>
  <c r="K18"/>
  <c r="L20" i="237"/>
  <c r="I20"/>
  <c r="J20"/>
  <c r="K20"/>
  <c r="J20" i="236"/>
  <c r="K20"/>
  <c r="L20"/>
  <c r="L25" s="1"/>
  <c r="G9" s="1"/>
  <c r="I20"/>
  <c r="I25" s="1"/>
  <c r="G6" s="1"/>
  <c r="I19" i="237"/>
  <c r="J19"/>
  <c r="K19"/>
  <c r="K25" s="1"/>
  <c r="G8" s="1"/>
  <c r="L19"/>
  <c r="L25" s="1"/>
  <c r="G9" s="1"/>
  <c r="J25"/>
  <c r="G7" s="1"/>
  <c r="D25"/>
  <c r="I17"/>
  <c r="K18" i="236"/>
  <c r="K25" s="1"/>
  <c r="G8" s="1"/>
  <c r="I18" i="237"/>
  <c r="J20" i="238" l="1"/>
  <c r="K20"/>
  <c r="L20"/>
  <c r="I20"/>
  <c r="I25" i="237"/>
  <c r="G6" s="1"/>
  <c r="I17" i="238"/>
  <c r="J17"/>
  <c r="K17"/>
  <c r="L17"/>
  <c r="D25"/>
  <c r="K19"/>
  <c r="L19"/>
  <c r="I19"/>
  <c r="J19"/>
  <c r="K25" l="1"/>
  <c r="G8" s="1"/>
  <c r="L25"/>
  <c r="G9" s="1"/>
  <c r="I25"/>
  <c r="G6" s="1"/>
  <c r="J25"/>
  <c r="G7" s="1"/>
  <c r="I78" i="235" l="1"/>
  <c r="G62"/>
  <c r="E62"/>
  <c r="G61"/>
  <c r="E61"/>
  <c r="G60"/>
  <c r="E60"/>
  <c r="G59"/>
  <c r="E59"/>
  <c r="B59"/>
  <c r="E58"/>
  <c r="G58" s="1"/>
  <c r="E57"/>
  <c r="G57" s="1"/>
  <c r="G49"/>
  <c r="E49"/>
  <c r="B49"/>
  <c r="E48"/>
  <c r="G48" s="1"/>
  <c r="E47"/>
  <c r="G47" s="1"/>
  <c r="E46"/>
  <c r="G46" s="1"/>
  <c r="E45"/>
  <c r="G45" s="1"/>
  <c r="E44"/>
  <c r="G44" s="1"/>
  <c r="E43"/>
  <c r="G43" s="1"/>
  <c r="I40" s="1"/>
  <c r="G42"/>
  <c r="D37"/>
  <c r="K24"/>
  <c r="I24"/>
  <c r="D24"/>
  <c r="L24" s="1"/>
  <c r="D23"/>
  <c r="I23" s="1"/>
  <c r="K22"/>
  <c r="I22"/>
  <c r="D22"/>
  <c r="J22" s="1"/>
  <c r="J21"/>
  <c r="D21"/>
  <c r="K21" s="1"/>
  <c r="K20"/>
  <c r="I20"/>
  <c r="D20"/>
  <c r="L20" s="1"/>
  <c r="H17"/>
  <c r="H18" s="1"/>
  <c r="H19" s="1"/>
  <c r="F17"/>
  <c r="F18" s="1"/>
  <c r="F19" s="1"/>
  <c r="H16"/>
  <c r="G16"/>
  <c r="G17" s="1"/>
  <c r="G18" s="1"/>
  <c r="G19" s="1"/>
  <c r="F16"/>
  <c r="E16"/>
  <c r="E17" s="1"/>
  <c r="E18" s="1"/>
  <c r="E19" s="1"/>
  <c r="F9"/>
  <c r="E9"/>
  <c r="C8"/>
  <c r="C9" s="1"/>
  <c r="F7"/>
  <c r="E7"/>
  <c r="C6"/>
  <c r="C7" s="1"/>
  <c r="I79" i="234"/>
  <c r="D20" s="1"/>
  <c r="G63"/>
  <c r="E63"/>
  <c r="G62"/>
  <c r="E62"/>
  <c r="G61"/>
  <c r="E61"/>
  <c r="G60"/>
  <c r="E60"/>
  <c r="B60"/>
  <c r="E59"/>
  <c r="G59" s="1"/>
  <c r="E58"/>
  <c r="G58" s="1"/>
  <c r="E57"/>
  <c r="G57" s="1"/>
  <c r="B57"/>
  <c r="E49"/>
  <c r="G49" s="1"/>
  <c r="E48"/>
  <c r="G48" s="1"/>
  <c r="E47"/>
  <c r="G47" s="1"/>
  <c r="E46"/>
  <c r="G46" s="1"/>
  <c r="E45"/>
  <c r="G45" s="1"/>
  <c r="E44"/>
  <c r="G44" s="1"/>
  <c r="E43"/>
  <c r="G43" s="1"/>
  <c r="G42"/>
  <c r="D37"/>
  <c r="K24"/>
  <c r="I24"/>
  <c r="D24"/>
  <c r="J24" s="1"/>
  <c r="J23"/>
  <c r="D23"/>
  <c r="K23" s="1"/>
  <c r="K22"/>
  <c r="I22"/>
  <c r="D22"/>
  <c r="L22" s="1"/>
  <c r="D21"/>
  <c r="I21" s="1"/>
  <c r="H17"/>
  <c r="H18" s="1"/>
  <c r="H19" s="1"/>
  <c r="F17"/>
  <c r="F18" s="1"/>
  <c r="F19" s="1"/>
  <c r="H16"/>
  <c r="G16"/>
  <c r="G17" s="1"/>
  <c r="G18" s="1"/>
  <c r="G19" s="1"/>
  <c r="F16"/>
  <c r="E16"/>
  <c r="E17" s="1"/>
  <c r="E18" s="1"/>
  <c r="E19" s="1"/>
  <c r="F9"/>
  <c r="E9"/>
  <c r="C8"/>
  <c r="C9" s="1"/>
  <c r="F7"/>
  <c r="E7"/>
  <c r="B7"/>
  <c r="B8" s="1"/>
  <c r="B9" s="1"/>
  <c r="C6"/>
  <c r="C7" s="1"/>
  <c r="D16" i="235" l="1"/>
  <c r="I55" i="234"/>
  <c r="D17" s="1"/>
  <c r="E72"/>
  <c r="I70" s="1"/>
  <c r="D18" s="1"/>
  <c r="J20"/>
  <c r="K20"/>
  <c r="L20"/>
  <c r="I20"/>
  <c r="I55" i="235"/>
  <c r="D17" s="1"/>
  <c r="E71"/>
  <c r="I69" s="1"/>
  <c r="D18" s="1"/>
  <c r="I40" i="234"/>
  <c r="L21"/>
  <c r="L23" i="235"/>
  <c r="K21" i="234"/>
  <c r="J22"/>
  <c r="I23"/>
  <c r="L24"/>
  <c r="J20" i="235"/>
  <c r="I21"/>
  <c r="L22"/>
  <c r="K23"/>
  <c r="J24"/>
  <c r="J21" i="234"/>
  <c r="L23"/>
  <c r="L21" i="235"/>
  <c r="J23"/>
  <c r="I76" i="234" l="1"/>
  <c r="D19" s="1"/>
  <c r="D16"/>
  <c r="I98"/>
  <c r="I17"/>
  <c r="J17"/>
  <c r="K17"/>
  <c r="L17"/>
  <c r="I97" i="235"/>
  <c r="I75"/>
  <c r="D19" s="1"/>
  <c r="J18"/>
  <c r="K18"/>
  <c r="L18"/>
  <c r="I18"/>
  <c r="L18" i="234"/>
  <c r="I18"/>
  <c r="J18"/>
  <c r="K18"/>
  <c r="L16" i="235"/>
  <c r="D25"/>
  <c r="I16"/>
  <c r="J16"/>
  <c r="K16"/>
  <c r="K17"/>
  <c r="L17"/>
  <c r="I17"/>
  <c r="J17"/>
  <c r="I94"/>
  <c r="K19" i="234" l="1"/>
  <c r="L19"/>
  <c r="I19"/>
  <c r="J19"/>
  <c r="I25" i="235"/>
  <c r="G6" s="1"/>
  <c r="I19"/>
  <c r="J19"/>
  <c r="J25" s="1"/>
  <c r="G7" s="1"/>
  <c r="K19"/>
  <c r="L19"/>
  <c r="I95" i="234"/>
  <c r="J16"/>
  <c r="J25" s="1"/>
  <c r="G7" s="1"/>
  <c r="K16"/>
  <c r="K25" s="1"/>
  <c r="G8" s="1"/>
  <c r="L16"/>
  <c r="L25" s="1"/>
  <c r="G9" s="1"/>
  <c r="D25"/>
  <c r="I16"/>
  <c r="I25" s="1"/>
  <c r="G6" s="1"/>
  <c r="K25" i="235"/>
  <c r="G8" s="1"/>
  <c r="L25"/>
  <c r="G9" s="1"/>
  <c r="I80" i="233" l="1"/>
  <c r="G64"/>
  <c r="E64"/>
  <c r="G63"/>
  <c r="E63"/>
  <c r="G62"/>
  <c r="E62"/>
  <c r="G61"/>
  <c r="E61"/>
  <c r="B61"/>
  <c r="E60"/>
  <c r="G60" s="1"/>
  <c r="E59"/>
  <c r="G59" s="1"/>
  <c r="B59"/>
  <c r="G58"/>
  <c r="I56" s="1"/>
  <c r="D17" s="1"/>
  <c r="E58"/>
  <c r="E50"/>
  <c r="G50" s="1"/>
  <c r="B50"/>
  <c r="G49"/>
  <c r="E49"/>
  <c r="B49"/>
  <c r="E48"/>
  <c r="G48" s="1"/>
  <c r="B48"/>
  <c r="G47"/>
  <c r="E47"/>
  <c r="B47"/>
  <c r="E46"/>
  <c r="G46" s="1"/>
  <c r="D46"/>
  <c r="B46"/>
  <c r="E45"/>
  <c r="G45" s="1"/>
  <c r="E44"/>
  <c r="G44" s="1"/>
  <c r="E43"/>
  <c r="G43" s="1"/>
  <c r="E42"/>
  <c r="G42" s="1"/>
  <c r="D37"/>
  <c r="J24"/>
  <c r="D24"/>
  <c r="K24" s="1"/>
  <c r="K23"/>
  <c r="I23"/>
  <c r="D23"/>
  <c r="L23" s="1"/>
  <c r="D22"/>
  <c r="I22" s="1"/>
  <c r="K21"/>
  <c r="I21"/>
  <c r="D21"/>
  <c r="J21" s="1"/>
  <c r="J20"/>
  <c r="D20"/>
  <c r="K20" s="1"/>
  <c r="H16"/>
  <c r="H17" s="1"/>
  <c r="H18" s="1"/>
  <c r="H19" s="1"/>
  <c r="G16"/>
  <c r="G17" s="1"/>
  <c r="G18" s="1"/>
  <c r="G19" s="1"/>
  <c r="F16"/>
  <c r="F17" s="1"/>
  <c r="F18" s="1"/>
  <c r="F19" s="1"/>
  <c r="E16"/>
  <c r="E17" s="1"/>
  <c r="E18" s="1"/>
  <c r="E19" s="1"/>
  <c r="F9"/>
  <c r="B9"/>
  <c r="C8"/>
  <c r="C9" s="1"/>
  <c r="F7"/>
  <c r="E7"/>
  <c r="C7"/>
  <c r="B7"/>
  <c r="C6"/>
  <c r="I80" i="232"/>
  <c r="E64"/>
  <c r="G64" s="1"/>
  <c r="G63"/>
  <c r="E63"/>
  <c r="E62"/>
  <c r="G62" s="1"/>
  <c r="G61"/>
  <c r="E61"/>
  <c r="B61"/>
  <c r="E60"/>
  <c r="G60" s="1"/>
  <c r="E59"/>
  <c r="G59" s="1"/>
  <c r="B59"/>
  <c r="G58"/>
  <c r="I56" s="1"/>
  <c r="D17" s="1"/>
  <c r="E58"/>
  <c r="E50"/>
  <c r="G50" s="1"/>
  <c r="B50"/>
  <c r="E49"/>
  <c r="G49" s="1"/>
  <c r="B49"/>
  <c r="E48"/>
  <c r="G48" s="1"/>
  <c r="B48"/>
  <c r="G47"/>
  <c r="E47"/>
  <c r="B47"/>
  <c r="E46"/>
  <c r="G46" s="1"/>
  <c r="D46"/>
  <c r="B46"/>
  <c r="E45"/>
  <c r="G45" s="1"/>
  <c r="E44"/>
  <c r="G44" s="1"/>
  <c r="E43"/>
  <c r="G43" s="1"/>
  <c r="E42"/>
  <c r="G42" s="1"/>
  <c r="D37"/>
  <c r="J24"/>
  <c r="D24"/>
  <c r="K24" s="1"/>
  <c r="K23"/>
  <c r="I23"/>
  <c r="D23"/>
  <c r="L23" s="1"/>
  <c r="D22"/>
  <c r="I22" s="1"/>
  <c r="K21"/>
  <c r="J21"/>
  <c r="I21"/>
  <c r="D21"/>
  <c r="L21" s="1"/>
  <c r="J20"/>
  <c r="D20"/>
  <c r="K20" s="1"/>
  <c r="H16"/>
  <c r="H17" s="1"/>
  <c r="H18" s="1"/>
  <c r="H19" s="1"/>
  <c r="G16"/>
  <c r="G17" s="1"/>
  <c r="G18" s="1"/>
  <c r="G19" s="1"/>
  <c r="F16"/>
  <c r="F17" s="1"/>
  <c r="F18" s="1"/>
  <c r="F19" s="1"/>
  <c r="E16"/>
  <c r="E17" s="1"/>
  <c r="E18" s="1"/>
  <c r="E19" s="1"/>
  <c r="F9"/>
  <c r="B9"/>
  <c r="C8"/>
  <c r="C9" s="1"/>
  <c r="F7"/>
  <c r="E7"/>
  <c r="C7"/>
  <c r="B7"/>
  <c r="C6"/>
  <c r="I80" i="231"/>
  <c r="G64"/>
  <c r="E64"/>
  <c r="G63"/>
  <c r="E63"/>
  <c r="G62"/>
  <c r="E62"/>
  <c r="G61"/>
  <c r="E61"/>
  <c r="B61"/>
  <c r="E60"/>
  <c r="G60" s="1"/>
  <c r="E59"/>
  <c r="G59" s="1"/>
  <c r="I56" s="1"/>
  <c r="D17" s="1"/>
  <c r="B59"/>
  <c r="G58"/>
  <c r="E58"/>
  <c r="E50"/>
  <c r="G50" s="1"/>
  <c r="B50"/>
  <c r="G49"/>
  <c r="E49"/>
  <c r="B49"/>
  <c r="E48"/>
  <c r="G48" s="1"/>
  <c r="B48"/>
  <c r="G47"/>
  <c r="E47"/>
  <c r="B47"/>
  <c r="E46"/>
  <c r="G46" s="1"/>
  <c r="D46"/>
  <c r="B46"/>
  <c r="E45"/>
  <c r="G45" s="1"/>
  <c r="E44"/>
  <c r="G44" s="1"/>
  <c r="E43"/>
  <c r="G43" s="1"/>
  <c r="E42"/>
  <c r="G42" s="1"/>
  <c r="I40" s="1"/>
  <c r="D37"/>
  <c r="D24"/>
  <c r="K24" s="1"/>
  <c r="K23"/>
  <c r="I23"/>
  <c r="D23"/>
  <c r="L23" s="1"/>
  <c r="D22"/>
  <c r="I22" s="1"/>
  <c r="K21"/>
  <c r="I21"/>
  <c r="D21"/>
  <c r="J21" s="1"/>
  <c r="D20"/>
  <c r="K20" s="1"/>
  <c r="H16"/>
  <c r="H17" s="1"/>
  <c r="H18" s="1"/>
  <c r="H19" s="1"/>
  <c r="G16"/>
  <c r="G17" s="1"/>
  <c r="G18" s="1"/>
  <c r="G19" s="1"/>
  <c r="F16"/>
  <c r="F17" s="1"/>
  <c r="F18" s="1"/>
  <c r="F19" s="1"/>
  <c r="E16"/>
  <c r="E17" s="1"/>
  <c r="E18" s="1"/>
  <c r="E19" s="1"/>
  <c r="F9"/>
  <c r="B9"/>
  <c r="C8"/>
  <c r="C9" s="1"/>
  <c r="F7"/>
  <c r="E7"/>
  <c r="C7"/>
  <c r="B7"/>
  <c r="C6"/>
  <c r="I80" i="230"/>
  <c r="G64"/>
  <c r="E64"/>
  <c r="G63"/>
  <c r="E63"/>
  <c r="G62"/>
  <c r="E62"/>
  <c r="G61"/>
  <c r="E61"/>
  <c r="B61"/>
  <c r="E60"/>
  <c r="G60" s="1"/>
  <c r="E59"/>
  <c r="G59" s="1"/>
  <c r="I56" s="1"/>
  <c r="D17" s="1"/>
  <c r="B59"/>
  <c r="G58"/>
  <c r="E58"/>
  <c r="E50"/>
  <c r="G50" s="1"/>
  <c r="B50"/>
  <c r="G49"/>
  <c r="E49"/>
  <c r="B49"/>
  <c r="E48"/>
  <c r="G48" s="1"/>
  <c r="B48"/>
  <c r="G47"/>
  <c r="E47"/>
  <c r="B47"/>
  <c r="E46"/>
  <c r="G46" s="1"/>
  <c r="D46"/>
  <c r="B46"/>
  <c r="E45"/>
  <c r="G45" s="1"/>
  <c r="E44"/>
  <c r="G44" s="1"/>
  <c r="E43"/>
  <c r="G43" s="1"/>
  <c r="E42"/>
  <c r="G42" s="1"/>
  <c r="I40" s="1"/>
  <c r="D37"/>
  <c r="D24"/>
  <c r="K24" s="1"/>
  <c r="K23"/>
  <c r="I23"/>
  <c r="D23"/>
  <c r="L23" s="1"/>
  <c r="D22"/>
  <c r="I22" s="1"/>
  <c r="K21"/>
  <c r="I21"/>
  <c r="D21"/>
  <c r="J21" s="1"/>
  <c r="D20"/>
  <c r="K20" s="1"/>
  <c r="G17"/>
  <c r="G18" s="1"/>
  <c r="G19" s="1"/>
  <c r="H16"/>
  <c r="H17" s="1"/>
  <c r="H18" s="1"/>
  <c r="H19" s="1"/>
  <c r="G16"/>
  <c r="F16"/>
  <c r="F17" s="1"/>
  <c r="F18" s="1"/>
  <c r="F19" s="1"/>
  <c r="E16"/>
  <c r="E17" s="1"/>
  <c r="E18" s="1"/>
  <c r="E19" s="1"/>
  <c r="F9"/>
  <c r="B9"/>
  <c r="C8"/>
  <c r="C9" s="1"/>
  <c r="F7"/>
  <c r="E7"/>
  <c r="C7"/>
  <c r="B7"/>
  <c r="C6"/>
  <c r="E53" i="229"/>
  <c r="G53" s="1"/>
  <c r="D53"/>
  <c r="B53"/>
  <c r="G42"/>
  <c r="E42"/>
  <c r="D42"/>
  <c r="B42"/>
  <c r="I40"/>
  <c r="D37"/>
  <c r="K24"/>
  <c r="I24"/>
  <c r="D24"/>
  <c r="L24" s="1"/>
  <c r="D23"/>
  <c r="I23" s="1"/>
  <c r="K22"/>
  <c r="I22"/>
  <c r="D22"/>
  <c r="J22" s="1"/>
  <c r="D21"/>
  <c r="K21" s="1"/>
  <c r="K20"/>
  <c r="I20"/>
  <c r="D20"/>
  <c r="L20" s="1"/>
  <c r="D17"/>
  <c r="H16"/>
  <c r="H17" s="1"/>
  <c r="H18" s="1"/>
  <c r="H19" s="1"/>
  <c r="G16"/>
  <c r="G17" s="1"/>
  <c r="G18" s="1"/>
  <c r="G19" s="1"/>
  <c r="F16"/>
  <c r="F17" s="1"/>
  <c r="F18" s="1"/>
  <c r="F19" s="1"/>
  <c r="E16"/>
  <c r="I16" s="1"/>
  <c r="D16"/>
  <c r="L16" s="1"/>
  <c r="E9"/>
  <c r="C9"/>
  <c r="B9"/>
  <c r="C8"/>
  <c r="E7"/>
  <c r="C7"/>
  <c r="B7"/>
  <c r="C6"/>
  <c r="I80" i="228"/>
  <c r="G64"/>
  <c r="E64"/>
  <c r="G63"/>
  <c r="E63"/>
  <c r="G62"/>
  <c r="E62"/>
  <c r="G61"/>
  <c r="E61"/>
  <c r="B61"/>
  <c r="E60"/>
  <c r="G60" s="1"/>
  <c r="E59"/>
  <c r="G59" s="1"/>
  <c r="I56" s="1"/>
  <c r="D17" s="1"/>
  <c r="B59"/>
  <c r="G58"/>
  <c r="E58"/>
  <c r="E50"/>
  <c r="G50" s="1"/>
  <c r="B50"/>
  <c r="G49"/>
  <c r="E49"/>
  <c r="B49"/>
  <c r="E48"/>
  <c r="G48" s="1"/>
  <c r="B48"/>
  <c r="G47"/>
  <c r="E47"/>
  <c r="B47"/>
  <c r="E46"/>
  <c r="G46" s="1"/>
  <c r="D46"/>
  <c r="B46"/>
  <c r="E45"/>
  <c r="G45" s="1"/>
  <c r="E44"/>
  <c r="G44" s="1"/>
  <c r="E43"/>
  <c r="G43" s="1"/>
  <c r="E42"/>
  <c r="G42" s="1"/>
  <c r="I40" s="1"/>
  <c r="D37"/>
  <c r="D24"/>
  <c r="K24" s="1"/>
  <c r="K23"/>
  <c r="I23"/>
  <c r="D23"/>
  <c r="L23" s="1"/>
  <c r="J22"/>
  <c r="D22"/>
  <c r="I22" s="1"/>
  <c r="K21"/>
  <c r="I21"/>
  <c r="D21"/>
  <c r="J21" s="1"/>
  <c r="D20"/>
  <c r="K20" s="1"/>
  <c r="H16"/>
  <c r="H17" s="1"/>
  <c r="H18" s="1"/>
  <c r="H19" s="1"/>
  <c r="G16"/>
  <c r="G17" s="1"/>
  <c r="G18" s="1"/>
  <c r="G19" s="1"/>
  <c r="F16"/>
  <c r="F17" s="1"/>
  <c r="F18" s="1"/>
  <c r="F19" s="1"/>
  <c r="E16"/>
  <c r="E17" s="1"/>
  <c r="E18" s="1"/>
  <c r="E19" s="1"/>
  <c r="F9"/>
  <c r="E9"/>
  <c r="B9"/>
  <c r="C8"/>
  <c r="C9" s="1"/>
  <c r="F7"/>
  <c r="E7"/>
  <c r="B7"/>
  <c r="C6"/>
  <c r="C7" s="1"/>
  <c r="I80" i="227"/>
  <c r="E64"/>
  <c r="G64" s="1"/>
  <c r="E63"/>
  <c r="G63" s="1"/>
  <c r="E62"/>
  <c r="G62" s="1"/>
  <c r="E61"/>
  <c r="G61" s="1"/>
  <c r="B61"/>
  <c r="G60"/>
  <c r="E60"/>
  <c r="G59"/>
  <c r="E59"/>
  <c r="B59"/>
  <c r="E58"/>
  <c r="G58" s="1"/>
  <c r="G50"/>
  <c r="E50"/>
  <c r="B50"/>
  <c r="E49"/>
  <c r="G49" s="1"/>
  <c r="B49"/>
  <c r="G48"/>
  <c r="E48"/>
  <c r="B48"/>
  <c r="E47"/>
  <c r="G47" s="1"/>
  <c r="I40" s="1"/>
  <c r="B47"/>
  <c r="G46"/>
  <c r="E46"/>
  <c r="D46"/>
  <c r="B46"/>
  <c r="G45"/>
  <c r="E45"/>
  <c r="G44"/>
  <c r="E44"/>
  <c r="G43"/>
  <c r="E43"/>
  <c r="G42"/>
  <c r="E42"/>
  <c r="D37"/>
  <c r="K24"/>
  <c r="I24"/>
  <c r="D24"/>
  <c r="L24" s="1"/>
  <c r="D23"/>
  <c r="I23" s="1"/>
  <c r="K22"/>
  <c r="I22"/>
  <c r="D22"/>
  <c r="J22" s="1"/>
  <c r="J21"/>
  <c r="D21"/>
  <c r="K21" s="1"/>
  <c r="K20"/>
  <c r="I20"/>
  <c r="D20"/>
  <c r="L20" s="1"/>
  <c r="H17"/>
  <c r="H18" s="1"/>
  <c r="H19" s="1"/>
  <c r="H16"/>
  <c r="G16"/>
  <c r="G17" s="1"/>
  <c r="G18" s="1"/>
  <c r="G19" s="1"/>
  <c r="F16"/>
  <c r="F17" s="1"/>
  <c r="F18" s="1"/>
  <c r="F19" s="1"/>
  <c r="E16"/>
  <c r="E17" s="1"/>
  <c r="E18" s="1"/>
  <c r="E19" s="1"/>
  <c r="F9"/>
  <c r="E9"/>
  <c r="B9"/>
  <c r="C8"/>
  <c r="C9" s="1"/>
  <c r="F7"/>
  <c r="E7"/>
  <c r="C7"/>
  <c r="B7"/>
  <c r="C6"/>
  <c r="K17" i="229" l="1"/>
  <c r="D16" i="228"/>
  <c r="J17"/>
  <c r="K17"/>
  <c r="L17"/>
  <c r="I17"/>
  <c r="D16" i="230"/>
  <c r="J17"/>
  <c r="K17"/>
  <c r="L17"/>
  <c r="I17"/>
  <c r="D16" i="231"/>
  <c r="J17"/>
  <c r="K17"/>
  <c r="L17"/>
  <c r="I17"/>
  <c r="J17" i="232"/>
  <c r="K17"/>
  <c r="L17"/>
  <c r="I17"/>
  <c r="J17" i="233"/>
  <c r="K17"/>
  <c r="L17"/>
  <c r="I17"/>
  <c r="I56" i="227"/>
  <c r="D17" s="1"/>
  <c r="E73"/>
  <c r="I71" s="1"/>
  <c r="D18" s="1"/>
  <c r="I40" i="232"/>
  <c r="D16" i="227"/>
  <c r="E73" i="228"/>
  <c r="I71" s="1"/>
  <c r="D18" s="1"/>
  <c r="E73" i="230"/>
  <c r="I71" s="1"/>
  <c r="D18" s="1"/>
  <c r="E73" i="231"/>
  <c r="I71" s="1"/>
  <c r="D18" s="1"/>
  <c r="I40" i="233"/>
  <c r="L23" i="227"/>
  <c r="J20" i="228"/>
  <c r="L22"/>
  <c r="J24"/>
  <c r="K16" i="229"/>
  <c r="J17"/>
  <c r="J21"/>
  <c r="L23"/>
  <c r="J20" i="230"/>
  <c r="L22"/>
  <c r="J24"/>
  <c r="J20" i="231"/>
  <c r="L22"/>
  <c r="J24"/>
  <c r="L22" i="232"/>
  <c r="E73"/>
  <c r="I71" s="1"/>
  <c r="D18" s="1"/>
  <c r="L22" i="233"/>
  <c r="E73"/>
  <c r="I71" s="1"/>
  <c r="D18" s="1"/>
  <c r="J20" i="227"/>
  <c r="I21"/>
  <c r="L22"/>
  <c r="K23"/>
  <c r="J24"/>
  <c r="I20" i="228"/>
  <c r="L21"/>
  <c r="K22"/>
  <c r="J23"/>
  <c r="I24"/>
  <c r="J16" i="229"/>
  <c r="E17"/>
  <c r="E18" s="1"/>
  <c r="E19" s="1"/>
  <c r="J20"/>
  <c r="I21"/>
  <c r="L22"/>
  <c r="K23"/>
  <c r="J24"/>
  <c r="I20" i="230"/>
  <c r="L21"/>
  <c r="K22"/>
  <c r="J23"/>
  <c r="I24"/>
  <c r="I20" i="231"/>
  <c r="L21"/>
  <c r="K22"/>
  <c r="J23"/>
  <c r="I24"/>
  <c r="I20" i="232"/>
  <c r="K22"/>
  <c r="J23"/>
  <c r="I24"/>
  <c r="I20" i="233"/>
  <c r="L21"/>
  <c r="K22"/>
  <c r="J23"/>
  <c r="I24"/>
  <c r="L21" i="227"/>
  <c r="J23"/>
  <c r="L20" i="228"/>
  <c r="L24"/>
  <c r="L17" i="229"/>
  <c r="L21"/>
  <c r="J23"/>
  <c r="L20" i="230"/>
  <c r="J22"/>
  <c r="L24"/>
  <c r="L20" i="231"/>
  <c r="J22"/>
  <c r="L24"/>
  <c r="L20" i="232"/>
  <c r="J22"/>
  <c r="L24"/>
  <c r="L20" i="233"/>
  <c r="J22"/>
  <c r="L24"/>
  <c r="I51" i="229"/>
  <c r="D18" s="1"/>
  <c r="J18" l="1"/>
  <c r="K18"/>
  <c r="L18"/>
  <c r="I18"/>
  <c r="I18" i="230"/>
  <c r="J18"/>
  <c r="K18"/>
  <c r="L18"/>
  <c r="K17" i="227"/>
  <c r="L17"/>
  <c r="I17"/>
  <c r="J17"/>
  <c r="I18" i="233"/>
  <c r="J18"/>
  <c r="K18"/>
  <c r="L18"/>
  <c r="I18" i="231"/>
  <c r="J18"/>
  <c r="K18"/>
  <c r="L18"/>
  <c r="J18" i="227"/>
  <c r="K18"/>
  <c r="L18"/>
  <c r="I18"/>
  <c r="I99" i="231"/>
  <c r="I77" i="233"/>
  <c r="D19" s="1"/>
  <c r="D16"/>
  <c r="I99"/>
  <c r="I77" i="232"/>
  <c r="D19" s="1"/>
  <c r="D16"/>
  <c r="I99"/>
  <c r="I17" i="229"/>
  <c r="I77" i="227"/>
  <c r="I77" i="231"/>
  <c r="D19" s="1"/>
  <c r="I77" i="230"/>
  <c r="D19" s="1"/>
  <c r="I77" i="228"/>
  <c r="D19" s="1"/>
  <c r="I18" i="232"/>
  <c r="J18"/>
  <c r="K18"/>
  <c r="L18"/>
  <c r="I18" i="228"/>
  <c r="J18"/>
  <c r="K18"/>
  <c r="L18"/>
  <c r="L16" i="227"/>
  <c r="I16"/>
  <c r="J16"/>
  <c r="K16"/>
  <c r="K16" i="231"/>
  <c r="L16"/>
  <c r="D25"/>
  <c r="I16"/>
  <c r="J16"/>
  <c r="K16" i="230"/>
  <c r="L16"/>
  <c r="D25"/>
  <c r="I16"/>
  <c r="J16"/>
  <c r="K16" i="228"/>
  <c r="L16"/>
  <c r="D25"/>
  <c r="I16"/>
  <c r="J16"/>
  <c r="I58" i="229"/>
  <c r="D19" s="1"/>
  <c r="L19" i="231" l="1"/>
  <c r="L25" s="1"/>
  <c r="G9" s="1"/>
  <c r="I19"/>
  <c r="J19"/>
  <c r="J25" s="1"/>
  <c r="G7" s="1"/>
  <c r="K19"/>
  <c r="K25" s="1"/>
  <c r="G8" s="1"/>
  <c r="I79" i="229"/>
  <c r="I96" i="232"/>
  <c r="I96" i="233"/>
  <c r="I99" i="230"/>
  <c r="I96" i="231"/>
  <c r="L19" i="230"/>
  <c r="I19"/>
  <c r="I25" s="1"/>
  <c r="G6" s="1"/>
  <c r="J19"/>
  <c r="J25" s="1"/>
  <c r="G7" s="1"/>
  <c r="K19"/>
  <c r="K25" s="1"/>
  <c r="G8" s="1"/>
  <c r="I99" i="228"/>
  <c r="I96" i="230"/>
  <c r="I76" i="229"/>
  <c r="I19"/>
  <c r="I25" s="1"/>
  <c r="G6" s="1"/>
  <c r="J19"/>
  <c r="J25" s="1"/>
  <c r="G7" s="1"/>
  <c r="K19"/>
  <c r="K25" s="1"/>
  <c r="G8" s="1"/>
  <c r="L19"/>
  <c r="L25" s="1"/>
  <c r="G9" s="1"/>
  <c r="L19" i="228"/>
  <c r="L25" s="1"/>
  <c r="G9" s="1"/>
  <c r="I19"/>
  <c r="I25" s="1"/>
  <c r="G6" s="1"/>
  <c r="J19"/>
  <c r="J25" s="1"/>
  <c r="G7" s="1"/>
  <c r="K19"/>
  <c r="K25" s="1"/>
  <c r="G8" s="1"/>
  <c r="L19" i="232"/>
  <c r="I19"/>
  <c r="J19"/>
  <c r="K19"/>
  <c r="L19" i="233"/>
  <c r="I19"/>
  <c r="J19"/>
  <c r="K19"/>
  <c r="L25" i="230"/>
  <c r="G9" s="1"/>
  <c r="I96" i="228"/>
  <c r="D19" i="227"/>
  <c r="I99"/>
  <c r="K16" i="232"/>
  <c r="L16"/>
  <c r="D25"/>
  <c r="I16"/>
  <c r="I25" s="1"/>
  <c r="G6" s="1"/>
  <c r="J16"/>
  <c r="J25" s="1"/>
  <c r="G7" s="1"/>
  <c r="K16" i="233"/>
  <c r="L16"/>
  <c r="D25"/>
  <c r="I16"/>
  <c r="I25" s="1"/>
  <c r="G6" s="1"/>
  <c r="J16"/>
  <c r="D25" i="229"/>
  <c r="I25" i="231"/>
  <c r="G6" s="1"/>
  <c r="I96" i="227"/>
  <c r="J25" i="233" l="1"/>
  <c r="G7" s="1"/>
  <c r="L25"/>
  <c r="G9" s="1"/>
  <c r="L25" i="232"/>
  <c r="G9" s="1"/>
  <c r="K25"/>
  <c r="G8" s="1"/>
  <c r="K25" i="233"/>
  <c r="G8" s="1"/>
  <c r="I19" i="227"/>
  <c r="I25" s="1"/>
  <c r="G6" s="1"/>
  <c r="J19"/>
  <c r="J25" s="1"/>
  <c r="G7" s="1"/>
  <c r="K19"/>
  <c r="K25" s="1"/>
  <c r="G8" s="1"/>
  <c r="L19"/>
  <c r="L25" s="1"/>
  <c r="G9" s="1"/>
  <c r="D25"/>
  <c r="D61" i="226" l="1"/>
  <c r="D52"/>
  <c r="D50"/>
  <c r="D49"/>
  <c r="D54" s="1"/>
  <c r="D46"/>
  <c r="D45"/>
  <c r="Q26"/>
  <c r="Q25"/>
  <c r="I22"/>
  <c r="D22"/>
  <c r="L22" s="1"/>
  <c r="J21"/>
  <c r="D21"/>
  <c r="I21" s="1"/>
  <c r="O20"/>
  <c r="Q20" s="1"/>
  <c r="I20"/>
  <c r="D20"/>
  <c r="L20" s="1"/>
  <c r="D19"/>
  <c r="K19" s="1"/>
  <c r="O16"/>
  <c r="P16" s="1"/>
  <c r="K16"/>
  <c r="J16"/>
  <c r="I16"/>
  <c r="D16"/>
  <c r="L16" s="1"/>
  <c r="O14"/>
  <c r="P14" s="1"/>
  <c r="I14"/>
  <c r="D14"/>
  <c r="J14" s="1"/>
  <c r="L11"/>
  <c r="K11"/>
  <c r="J11"/>
  <c r="I11"/>
  <c r="J7"/>
  <c r="F7"/>
  <c r="C7"/>
  <c r="J6"/>
  <c r="F6"/>
  <c r="C6"/>
  <c r="E1"/>
  <c r="D56" l="1"/>
  <c r="J19"/>
  <c r="K20"/>
  <c r="L21"/>
  <c r="K22"/>
  <c r="D53"/>
  <c r="L14"/>
  <c r="I19"/>
  <c r="O19"/>
  <c r="P19" s="1"/>
  <c r="J20"/>
  <c r="K21"/>
  <c r="J22"/>
  <c r="K14"/>
  <c r="L19"/>
  <c r="I39" l="1"/>
  <c r="D62"/>
  <c r="D64" s="1"/>
  <c r="I70" l="1"/>
  <c r="D17" s="1"/>
  <c r="D15"/>
  <c r="I73"/>
  <c r="O17" l="1"/>
  <c r="P17" s="1"/>
  <c r="I17"/>
  <c r="J17"/>
  <c r="K17"/>
  <c r="L17"/>
  <c r="D18"/>
  <c r="I89"/>
  <c r="K15"/>
  <c r="L15"/>
  <c r="O15"/>
  <c r="I15"/>
  <c r="J15"/>
  <c r="D23"/>
  <c r="P15" l="1"/>
  <c r="P23" s="1"/>
  <c r="J18"/>
  <c r="J23" s="1"/>
  <c r="G7" s="1"/>
  <c r="K18"/>
  <c r="L18"/>
  <c r="L23" s="1"/>
  <c r="O18"/>
  <c r="Q18" s="1"/>
  <c r="Q23" s="1"/>
  <c r="I18"/>
  <c r="I23"/>
  <c r="G6" s="1"/>
  <c r="K23"/>
  <c r="Q24" l="1"/>
  <c r="Q27" s="1"/>
  <c r="O23"/>
  <c r="E45" i="225"/>
  <c r="G45" s="1"/>
  <c r="D45"/>
  <c r="B45"/>
  <c r="I40"/>
  <c r="D37"/>
  <c r="K24"/>
  <c r="J24"/>
  <c r="I24"/>
  <c r="D24"/>
  <c r="L24" s="1"/>
  <c r="K23"/>
  <c r="J23"/>
  <c r="D23"/>
  <c r="L23" s="1"/>
  <c r="D22"/>
  <c r="I22" s="1"/>
  <c r="I21"/>
  <c r="D21"/>
  <c r="J21" s="1"/>
  <c r="H16"/>
  <c r="H19" s="1"/>
  <c r="G16"/>
  <c r="G17" s="1"/>
  <c r="F16"/>
  <c r="F17" s="1"/>
  <c r="E16"/>
  <c r="E18" s="1"/>
  <c r="D16"/>
  <c r="F9"/>
  <c r="E9"/>
  <c r="B9"/>
  <c r="C8"/>
  <c r="C9" s="1"/>
  <c r="F7"/>
  <c r="E7"/>
  <c r="B7"/>
  <c r="C6"/>
  <c r="C7" s="1"/>
  <c r="E45" i="224"/>
  <c r="G45" s="1"/>
  <c r="D45"/>
  <c r="B45"/>
  <c r="I40"/>
  <c r="D37"/>
  <c r="K24"/>
  <c r="J24"/>
  <c r="D24"/>
  <c r="L24" s="1"/>
  <c r="D23"/>
  <c r="I23" s="1"/>
  <c r="I22"/>
  <c r="D22"/>
  <c r="J22" s="1"/>
  <c r="J21"/>
  <c r="I21"/>
  <c r="D21"/>
  <c r="K21" s="1"/>
  <c r="H16"/>
  <c r="H17" s="1"/>
  <c r="G16"/>
  <c r="G17" s="1"/>
  <c r="F16"/>
  <c r="F18" s="1"/>
  <c r="E16"/>
  <c r="E19" s="1"/>
  <c r="D16"/>
  <c r="L16" s="1"/>
  <c r="F9"/>
  <c r="E9"/>
  <c r="B9"/>
  <c r="C8"/>
  <c r="C9" s="1"/>
  <c r="F7"/>
  <c r="E7"/>
  <c r="B7"/>
  <c r="C6"/>
  <c r="C7" s="1"/>
  <c r="E45" i="223"/>
  <c r="G45" s="1"/>
  <c r="D45"/>
  <c r="B45"/>
  <c r="I40"/>
  <c r="D37"/>
  <c r="K24"/>
  <c r="D24"/>
  <c r="I24" s="1"/>
  <c r="D23"/>
  <c r="J23" s="1"/>
  <c r="J22"/>
  <c r="I22"/>
  <c r="D22"/>
  <c r="K22" s="1"/>
  <c r="K21"/>
  <c r="J21"/>
  <c r="I21"/>
  <c r="D21"/>
  <c r="L21" s="1"/>
  <c r="H16"/>
  <c r="H17" s="1"/>
  <c r="G16"/>
  <c r="G18" s="1"/>
  <c r="F16"/>
  <c r="F19" s="1"/>
  <c r="E16"/>
  <c r="E19" s="1"/>
  <c r="D16"/>
  <c r="F9"/>
  <c r="E9"/>
  <c r="B9"/>
  <c r="C8"/>
  <c r="C9" s="1"/>
  <c r="F7"/>
  <c r="E7"/>
  <c r="B7"/>
  <c r="C6"/>
  <c r="C7" s="1"/>
  <c r="E45" i="222"/>
  <c r="G45" s="1"/>
  <c r="D45"/>
  <c r="B45"/>
  <c r="I40"/>
  <c r="D37"/>
  <c r="D24"/>
  <c r="J24" s="1"/>
  <c r="D23"/>
  <c r="K23" s="1"/>
  <c r="D22"/>
  <c r="L22" s="1"/>
  <c r="I21"/>
  <c r="D21"/>
  <c r="J21" s="1"/>
  <c r="H16"/>
  <c r="H18" s="1"/>
  <c r="G16"/>
  <c r="G19" s="1"/>
  <c r="F16"/>
  <c r="F17" s="1"/>
  <c r="E16"/>
  <c r="E17" s="1"/>
  <c r="D16"/>
  <c r="F9"/>
  <c r="E9"/>
  <c r="B9"/>
  <c r="C8"/>
  <c r="C9" s="1"/>
  <c r="F7"/>
  <c r="E7"/>
  <c r="B7"/>
  <c r="C6"/>
  <c r="C7" s="1"/>
  <c r="E45" i="221"/>
  <c r="G45" s="1"/>
  <c r="D45"/>
  <c r="B45"/>
  <c r="I40"/>
  <c r="D37"/>
  <c r="K24"/>
  <c r="J24"/>
  <c r="D24"/>
  <c r="L24" s="1"/>
  <c r="K23"/>
  <c r="D23"/>
  <c r="L23" s="1"/>
  <c r="D22"/>
  <c r="I22" s="1"/>
  <c r="J21"/>
  <c r="I21"/>
  <c r="D21"/>
  <c r="K21" s="1"/>
  <c r="H16"/>
  <c r="H19" s="1"/>
  <c r="G16"/>
  <c r="G17" s="1"/>
  <c r="F16"/>
  <c r="F17" s="1"/>
  <c r="E16"/>
  <c r="E18" s="1"/>
  <c r="D16"/>
  <c r="F9"/>
  <c r="E9"/>
  <c r="B9"/>
  <c r="C8"/>
  <c r="C9" s="1"/>
  <c r="F7"/>
  <c r="E7"/>
  <c r="B7"/>
  <c r="C6"/>
  <c r="C7" s="1"/>
  <c r="E45" i="220"/>
  <c r="G45" s="1"/>
  <c r="D45"/>
  <c r="B45"/>
  <c r="I40"/>
  <c r="D37"/>
  <c r="K24"/>
  <c r="J24"/>
  <c r="I24"/>
  <c r="D24"/>
  <c r="L24" s="1"/>
  <c r="D23"/>
  <c r="I23" s="1"/>
  <c r="I22"/>
  <c r="D22"/>
  <c r="J22" s="1"/>
  <c r="J21"/>
  <c r="I21"/>
  <c r="D21"/>
  <c r="K21" s="1"/>
  <c r="H16"/>
  <c r="H17" s="1"/>
  <c r="G16"/>
  <c r="G17" s="1"/>
  <c r="F16"/>
  <c r="F18" s="1"/>
  <c r="E16"/>
  <c r="E19" s="1"/>
  <c r="D16"/>
  <c r="L16" s="1"/>
  <c r="F9"/>
  <c r="E9"/>
  <c r="B9"/>
  <c r="E8"/>
  <c r="C8"/>
  <c r="C9" s="1"/>
  <c r="F7"/>
  <c r="E7"/>
  <c r="B7"/>
  <c r="C6"/>
  <c r="C7" s="1"/>
  <c r="E45" i="219"/>
  <c r="G45" s="1"/>
  <c r="D45"/>
  <c r="B45"/>
  <c r="I40"/>
  <c r="D37"/>
  <c r="K24"/>
  <c r="I24"/>
  <c r="D24"/>
  <c r="J24" s="1"/>
  <c r="D23"/>
  <c r="K23" s="1"/>
  <c r="K22"/>
  <c r="I22"/>
  <c r="D22"/>
  <c r="L22" s="1"/>
  <c r="J21"/>
  <c r="D21"/>
  <c r="I21" s="1"/>
  <c r="H17"/>
  <c r="H16"/>
  <c r="H18" s="1"/>
  <c r="G16"/>
  <c r="G19" s="1"/>
  <c r="F16"/>
  <c r="F18" s="1"/>
  <c r="E16"/>
  <c r="E17" s="1"/>
  <c r="D16"/>
  <c r="F9"/>
  <c r="E9"/>
  <c r="B9"/>
  <c r="E8"/>
  <c r="C8"/>
  <c r="C9" s="1"/>
  <c r="F7"/>
  <c r="E7"/>
  <c r="B7"/>
  <c r="C6"/>
  <c r="C7" s="1"/>
  <c r="H18" i="221" l="1"/>
  <c r="K16"/>
  <c r="J16" i="222"/>
  <c r="E18" i="224"/>
  <c r="E17" i="221"/>
  <c r="F17" i="219"/>
  <c r="E18" i="220"/>
  <c r="E17" i="224"/>
  <c r="H18" i="225"/>
  <c r="E17" i="223"/>
  <c r="J16" i="219"/>
  <c r="F17" i="220"/>
  <c r="E18" i="223"/>
  <c r="H19" i="224"/>
  <c r="E17" i="225"/>
  <c r="H19" i="219"/>
  <c r="F17" i="223"/>
  <c r="H18" i="224"/>
  <c r="K16" i="225"/>
  <c r="I43" i="220"/>
  <c r="E52"/>
  <c r="I50" s="1"/>
  <c r="D18" s="1"/>
  <c r="E52" i="222"/>
  <c r="I50" s="1"/>
  <c r="D18" s="1"/>
  <c r="I43"/>
  <c r="I43" i="225"/>
  <c r="E52"/>
  <c r="I50" s="1"/>
  <c r="D18" s="1"/>
  <c r="E52" i="223"/>
  <c r="I50" s="1"/>
  <c r="D18" s="1"/>
  <c r="I43"/>
  <c r="I43" i="224"/>
  <c r="I72" s="1"/>
  <c r="E52"/>
  <c r="I50" s="1"/>
  <c r="D18" s="1"/>
  <c r="E52" i="219"/>
  <c r="I50" s="1"/>
  <c r="D18" s="1"/>
  <c r="I43"/>
  <c r="I43" i="221"/>
  <c r="E52"/>
  <c r="I50" s="1"/>
  <c r="D18" s="1"/>
  <c r="I54" i="225"/>
  <c r="D19" s="1"/>
  <c r="I16" i="219"/>
  <c r="G18"/>
  <c r="F19"/>
  <c r="L21"/>
  <c r="J23"/>
  <c r="K16" i="220"/>
  <c r="H19"/>
  <c r="L23"/>
  <c r="I54"/>
  <c r="D19" s="1"/>
  <c r="J16" i="221"/>
  <c r="G19"/>
  <c r="L22"/>
  <c r="I16" i="222"/>
  <c r="H17"/>
  <c r="G18"/>
  <c r="F19"/>
  <c r="L21"/>
  <c r="K22"/>
  <c r="J23"/>
  <c r="I24"/>
  <c r="L16" i="223"/>
  <c r="G17"/>
  <c r="F18"/>
  <c r="I23"/>
  <c r="L24"/>
  <c r="K16" i="224"/>
  <c r="F17"/>
  <c r="L23"/>
  <c r="I54"/>
  <c r="D19" s="1"/>
  <c r="J16" i="225"/>
  <c r="G19"/>
  <c r="L22"/>
  <c r="L16" i="219"/>
  <c r="G17"/>
  <c r="E19"/>
  <c r="K21"/>
  <c r="J22"/>
  <c r="I23"/>
  <c r="L24"/>
  <c r="J16" i="220"/>
  <c r="E17"/>
  <c r="H18"/>
  <c r="G19"/>
  <c r="L22"/>
  <c r="K23"/>
  <c r="I16" i="221"/>
  <c r="H17"/>
  <c r="G18"/>
  <c r="F19"/>
  <c r="L21"/>
  <c r="K22"/>
  <c r="J23"/>
  <c r="I24"/>
  <c r="L16" i="222"/>
  <c r="G17"/>
  <c r="F18"/>
  <c r="E19"/>
  <c r="K21"/>
  <c r="J22"/>
  <c r="I23"/>
  <c r="L24"/>
  <c r="K16" i="223"/>
  <c r="H19"/>
  <c r="L23"/>
  <c r="I54"/>
  <c r="D19" s="1"/>
  <c r="J16" i="224"/>
  <c r="G19"/>
  <c r="L22"/>
  <c r="K23"/>
  <c r="I16" i="225"/>
  <c r="H17"/>
  <c r="G18"/>
  <c r="F19"/>
  <c r="L21"/>
  <c r="K22"/>
  <c r="I72"/>
  <c r="K16" i="219"/>
  <c r="E18"/>
  <c r="L23"/>
  <c r="I54"/>
  <c r="D19" s="1"/>
  <c r="I16" i="220"/>
  <c r="G18"/>
  <c r="F19"/>
  <c r="L21"/>
  <c r="K22"/>
  <c r="J23"/>
  <c r="L16" i="221"/>
  <c r="F18"/>
  <c r="E19"/>
  <c r="J22"/>
  <c r="I23"/>
  <c r="K16" i="222"/>
  <c r="E18"/>
  <c r="H19"/>
  <c r="I22"/>
  <c r="L23"/>
  <c r="K24"/>
  <c r="I54"/>
  <c r="D19" s="1"/>
  <c r="J16" i="223"/>
  <c r="H18"/>
  <c r="G19"/>
  <c r="L22"/>
  <c r="K23"/>
  <c r="J24"/>
  <c r="I16" i="224"/>
  <c r="G18"/>
  <c r="F19"/>
  <c r="L21"/>
  <c r="K22"/>
  <c r="J23"/>
  <c r="I24"/>
  <c r="L16" i="225"/>
  <c r="F18"/>
  <c r="E19"/>
  <c r="K21"/>
  <c r="J22"/>
  <c r="I23"/>
  <c r="I16" i="223"/>
  <c r="I57" i="219" l="1"/>
  <c r="D20" s="1"/>
  <c r="D17"/>
  <c r="I57" i="225"/>
  <c r="D17"/>
  <c r="I57" i="220"/>
  <c r="D17"/>
  <c r="I72" i="222"/>
  <c r="I75" i="219"/>
  <c r="K19" i="222"/>
  <c r="L19"/>
  <c r="I19"/>
  <c r="J19"/>
  <c r="J19" i="223"/>
  <c r="K19"/>
  <c r="L19"/>
  <c r="I19"/>
  <c r="I19" i="224"/>
  <c r="J19"/>
  <c r="K19"/>
  <c r="L19"/>
  <c r="I57" i="221"/>
  <c r="D20" s="1"/>
  <c r="D17"/>
  <c r="K18" i="223"/>
  <c r="L18"/>
  <c r="I18"/>
  <c r="J18"/>
  <c r="I18" i="225"/>
  <c r="J18"/>
  <c r="K18"/>
  <c r="L18"/>
  <c r="J18" i="220"/>
  <c r="K18"/>
  <c r="L18"/>
  <c r="I18"/>
  <c r="I54" i="221"/>
  <c r="K19" i="219"/>
  <c r="L19"/>
  <c r="I19"/>
  <c r="J19"/>
  <c r="I19" i="220"/>
  <c r="J19"/>
  <c r="K19"/>
  <c r="L19"/>
  <c r="I18" i="221"/>
  <c r="J18"/>
  <c r="K18"/>
  <c r="L18"/>
  <c r="I57" i="224"/>
  <c r="D17"/>
  <c r="D17" i="223"/>
  <c r="I57"/>
  <c r="L18" i="222"/>
  <c r="I18"/>
  <c r="J18"/>
  <c r="K18"/>
  <c r="I72" i="219"/>
  <c r="L19" i="225"/>
  <c r="I19"/>
  <c r="J19"/>
  <c r="K19"/>
  <c r="L18" i="219"/>
  <c r="I18"/>
  <c r="J18"/>
  <c r="K18"/>
  <c r="J18" i="224"/>
  <c r="K18"/>
  <c r="L18"/>
  <c r="I18"/>
  <c r="I57" i="222"/>
  <c r="D20" s="1"/>
  <c r="D17"/>
  <c r="I72" i="220"/>
  <c r="I72" i="223"/>
  <c r="I17" i="222" l="1"/>
  <c r="J17"/>
  <c r="K17"/>
  <c r="L17"/>
  <c r="D25"/>
  <c r="L17" i="223"/>
  <c r="I17"/>
  <c r="J17"/>
  <c r="K17"/>
  <c r="D20" i="220"/>
  <c r="I75"/>
  <c r="J20" i="219"/>
  <c r="K20"/>
  <c r="L20"/>
  <c r="I20"/>
  <c r="I75" i="222"/>
  <c r="D20" i="223"/>
  <c r="I75"/>
  <c r="D19" i="221"/>
  <c r="I75"/>
  <c r="I72"/>
  <c r="K17" i="220"/>
  <c r="L17"/>
  <c r="I17"/>
  <c r="J17"/>
  <c r="D25"/>
  <c r="I17" i="219"/>
  <c r="I25" s="1"/>
  <c r="G6" s="1"/>
  <c r="J17"/>
  <c r="J25" s="1"/>
  <c r="G7" s="1"/>
  <c r="K17"/>
  <c r="K25" s="1"/>
  <c r="G8" s="1"/>
  <c r="L17"/>
  <c r="L25" s="1"/>
  <c r="G9" s="1"/>
  <c r="D25"/>
  <c r="D20" i="224"/>
  <c r="I75"/>
  <c r="K20" i="221"/>
  <c r="L20"/>
  <c r="I20"/>
  <c r="J20"/>
  <c r="D20" i="225"/>
  <c r="I75"/>
  <c r="J20" i="222"/>
  <c r="K20"/>
  <c r="L20"/>
  <c r="I20"/>
  <c r="K17" i="224"/>
  <c r="L17"/>
  <c r="I17"/>
  <c r="J17"/>
  <c r="D25"/>
  <c r="J17" i="221"/>
  <c r="K17"/>
  <c r="L17"/>
  <c r="I17"/>
  <c r="D25"/>
  <c r="J17" i="225"/>
  <c r="K17"/>
  <c r="L17"/>
  <c r="I17"/>
  <c r="D25"/>
  <c r="L20" i="224" l="1"/>
  <c r="I20"/>
  <c r="J20"/>
  <c r="K20"/>
  <c r="K25"/>
  <c r="G8" s="1"/>
  <c r="I25" i="222"/>
  <c r="G6" s="1"/>
  <c r="I20" i="223"/>
  <c r="J20"/>
  <c r="K20"/>
  <c r="K25" s="1"/>
  <c r="G8" s="1"/>
  <c r="L20"/>
  <c r="L25" i="224"/>
  <c r="G9" s="1"/>
  <c r="D25" i="223"/>
  <c r="L25"/>
  <c r="G9" s="1"/>
  <c r="J25" i="222"/>
  <c r="G7" s="1"/>
  <c r="K20" i="225"/>
  <c r="L20"/>
  <c r="L25" s="1"/>
  <c r="G9" s="1"/>
  <c r="I20"/>
  <c r="I25" s="1"/>
  <c r="G6" s="1"/>
  <c r="J20"/>
  <c r="L20" i="220"/>
  <c r="I20"/>
  <c r="I25" s="1"/>
  <c r="G6" s="1"/>
  <c r="J20"/>
  <c r="J25" s="1"/>
  <c r="G7" s="1"/>
  <c r="K20"/>
  <c r="J25" i="225"/>
  <c r="G7" s="1"/>
  <c r="I25" i="224"/>
  <c r="G6" s="1"/>
  <c r="K25" i="220"/>
  <c r="G8" s="1"/>
  <c r="I25" i="223"/>
  <c r="G6" s="1"/>
  <c r="K25" i="222"/>
  <c r="G8" s="1"/>
  <c r="L19" i="221"/>
  <c r="L25" s="1"/>
  <c r="G9" s="1"/>
  <c r="I19"/>
  <c r="I25" s="1"/>
  <c r="G6" s="1"/>
  <c r="J19"/>
  <c r="J25" s="1"/>
  <c r="G7" s="1"/>
  <c r="K19"/>
  <c r="K25" s="1"/>
  <c r="G8" s="1"/>
  <c r="K25" i="225"/>
  <c r="G8" s="1"/>
  <c r="J25" i="224"/>
  <c r="G7" s="1"/>
  <c r="L25" i="220"/>
  <c r="G9" s="1"/>
  <c r="J25" i="223"/>
  <c r="G7" s="1"/>
  <c r="L25" i="222"/>
  <c r="G9" s="1"/>
  <c r="E53" i="218" l="1"/>
  <c r="G53" s="1"/>
  <c r="D53"/>
  <c r="B53"/>
  <c r="E52"/>
  <c r="G52" s="1"/>
  <c r="D52"/>
  <c r="B52"/>
  <c r="E51"/>
  <c r="G51" s="1"/>
  <c r="D51"/>
  <c r="B51"/>
  <c r="E50"/>
  <c r="G50" s="1"/>
  <c r="D50"/>
  <c r="B50"/>
  <c r="E49"/>
  <c r="G49" s="1"/>
  <c r="D49"/>
  <c r="B49"/>
  <c r="F42"/>
  <c r="G42" s="1"/>
  <c r="I40" s="1"/>
  <c r="E42"/>
  <c r="D42"/>
  <c r="B42"/>
  <c r="D37"/>
  <c r="K24"/>
  <c r="J24"/>
  <c r="D24"/>
  <c r="L24" s="1"/>
  <c r="K23"/>
  <c r="D23"/>
  <c r="I23" s="1"/>
  <c r="D22"/>
  <c r="J22" s="1"/>
  <c r="J21"/>
  <c r="I21"/>
  <c r="D21"/>
  <c r="K21" s="1"/>
  <c r="H16"/>
  <c r="H17" s="1"/>
  <c r="H18" s="1"/>
  <c r="H19" s="1"/>
  <c r="G16"/>
  <c r="G17" s="1"/>
  <c r="G18" s="1"/>
  <c r="G19" s="1"/>
  <c r="F16"/>
  <c r="F17" s="1"/>
  <c r="F18" s="1"/>
  <c r="F19" s="1"/>
  <c r="E16"/>
  <c r="E17" s="1"/>
  <c r="E18" s="1"/>
  <c r="E19" s="1"/>
  <c r="F9"/>
  <c r="E9"/>
  <c r="B9"/>
  <c r="C8"/>
  <c r="C9" s="1"/>
  <c r="F7"/>
  <c r="E7"/>
  <c r="C7"/>
  <c r="B7"/>
  <c r="C6"/>
  <c r="E53" i="217"/>
  <c r="G53" s="1"/>
  <c r="D53"/>
  <c r="B53"/>
  <c r="E52"/>
  <c r="G52" s="1"/>
  <c r="D52"/>
  <c r="B52"/>
  <c r="E51"/>
  <c r="G51" s="1"/>
  <c r="D51"/>
  <c r="B51"/>
  <c r="E50"/>
  <c r="G50" s="1"/>
  <c r="D50"/>
  <c r="B50"/>
  <c r="E49"/>
  <c r="G49" s="1"/>
  <c r="D49"/>
  <c r="B49"/>
  <c r="F42"/>
  <c r="G42" s="1"/>
  <c r="I40" s="1"/>
  <c r="E42"/>
  <c r="D42"/>
  <c r="B42"/>
  <c r="D37"/>
  <c r="K24"/>
  <c r="D24"/>
  <c r="J24" s="1"/>
  <c r="D23"/>
  <c r="K23" s="1"/>
  <c r="I22"/>
  <c r="D22"/>
  <c r="L22" s="1"/>
  <c r="K21"/>
  <c r="J21"/>
  <c r="I21"/>
  <c r="D21"/>
  <c r="L21" s="1"/>
  <c r="H16"/>
  <c r="H17" s="1"/>
  <c r="H18" s="1"/>
  <c r="H19" s="1"/>
  <c r="G16"/>
  <c r="G17" s="1"/>
  <c r="G18" s="1"/>
  <c r="G19" s="1"/>
  <c r="F16"/>
  <c r="F17" s="1"/>
  <c r="F18" s="1"/>
  <c r="F19" s="1"/>
  <c r="E16"/>
  <c r="E17" s="1"/>
  <c r="E18" s="1"/>
  <c r="E19" s="1"/>
  <c r="F9"/>
  <c r="E9"/>
  <c r="B9"/>
  <c r="C8"/>
  <c r="C9" s="1"/>
  <c r="F7"/>
  <c r="E7"/>
  <c r="B7"/>
  <c r="C6"/>
  <c r="C7" s="1"/>
  <c r="E53" i="216"/>
  <c r="G53" s="1"/>
  <c r="D53"/>
  <c r="B53"/>
  <c r="E52"/>
  <c r="G52" s="1"/>
  <c r="D52"/>
  <c r="B52"/>
  <c r="E51"/>
  <c r="G51" s="1"/>
  <c r="D51"/>
  <c r="B51"/>
  <c r="E50"/>
  <c r="G50" s="1"/>
  <c r="D50"/>
  <c r="B50"/>
  <c r="E49"/>
  <c r="G49" s="1"/>
  <c r="D49"/>
  <c r="B49"/>
  <c r="G42"/>
  <c r="I40" s="1"/>
  <c r="F42"/>
  <c r="E42"/>
  <c r="D42"/>
  <c r="B42"/>
  <c r="D37"/>
  <c r="D24"/>
  <c r="L24" s="1"/>
  <c r="J23"/>
  <c r="I23"/>
  <c r="D23"/>
  <c r="K23" s="1"/>
  <c r="K22"/>
  <c r="J22"/>
  <c r="D22"/>
  <c r="L22" s="1"/>
  <c r="D21"/>
  <c r="K21" s="1"/>
  <c r="H16"/>
  <c r="H17" s="1"/>
  <c r="H18" s="1"/>
  <c r="H19" s="1"/>
  <c r="G16"/>
  <c r="G17" s="1"/>
  <c r="G18" s="1"/>
  <c r="G19" s="1"/>
  <c r="F16"/>
  <c r="F17" s="1"/>
  <c r="F18" s="1"/>
  <c r="F19" s="1"/>
  <c r="E16"/>
  <c r="E17" s="1"/>
  <c r="E18" s="1"/>
  <c r="E19" s="1"/>
  <c r="F9"/>
  <c r="E9"/>
  <c r="B9"/>
  <c r="C8"/>
  <c r="C9" s="1"/>
  <c r="F7"/>
  <c r="E7"/>
  <c r="C7"/>
  <c r="B7"/>
  <c r="C6"/>
  <c r="I47" i="218" l="1"/>
  <c r="D17" s="1"/>
  <c r="E60"/>
  <c r="I58" s="1"/>
  <c r="D18" s="1"/>
  <c r="D16" i="216"/>
  <c r="D16" i="217"/>
  <c r="I47" i="216"/>
  <c r="D17" s="1"/>
  <c r="E60"/>
  <c r="I58" s="1"/>
  <c r="D18" s="1"/>
  <c r="E60" i="217"/>
  <c r="I58" s="1"/>
  <c r="D18" s="1"/>
  <c r="I47"/>
  <c r="D17" s="1"/>
  <c r="I62" i="218"/>
  <c r="D19" s="1"/>
  <c r="D16"/>
  <c r="I65"/>
  <c r="D20" s="1"/>
  <c r="I80"/>
  <c r="I83"/>
  <c r="J21" i="216"/>
  <c r="I22"/>
  <c r="L23"/>
  <c r="K24"/>
  <c r="K22" i="217"/>
  <c r="J23"/>
  <c r="I24"/>
  <c r="I22" i="218"/>
  <c r="L23"/>
  <c r="I21" i="216"/>
  <c r="J24"/>
  <c r="J22" i="217"/>
  <c r="I23"/>
  <c r="L24"/>
  <c r="L22" i="218"/>
  <c r="L21" i="216"/>
  <c r="I24"/>
  <c r="L23" i="217"/>
  <c r="L21" i="218"/>
  <c r="K22"/>
  <c r="J23"/>
  <c r="I24"/>
  <c r="I19" l="1"/>
  <c r="J19"/>
  <c r="K19"/>
  <c r="L19"/>
  <c r="K17" i="216"/>
  <c r="L17"/>
  <c r="I17"/>
  <c r="J17"/>
  <c r="K17" i="218"/>
  <c r="L17"/>
  <c r="I17"/>
  <c r="J17"/>
  <c r="I67" i="216"/>
  <c r="D20" s="1"/>
  <c r="L16" i="218"/>
  <c r="D25"/>
  <c r="I16"/>
  <c r="J16"/>
  <c r="K16"/>
  <c r="J18" i="216"/>
  <c r="K18"/>
  <c r="L18"/>
  <c r="I18"/>
  <c r="J18" i="218"/>
  <c r="K18"/>
  <c r="L18"/>
  <c r="I18"/>
  <c r="I62" i="217"/>
  <c r="D19" s="1"/>
  <c r="D25" s="1"/>
  <c r="L20" i="218"/>
  <c r="I20"/>
  <c r="J20"/>
  <c r="K20"/>
  <c r="L18" i="217"/>
  <c r="I18"/>
  <c r="J18"/>
  <c r="K18"/>
  <c r="J16"/>
  <c r="K16"/>
  <c r="L16"/>
  <c r="I16"/>
  <c r="I85" i="216"/>
  <c r="I64"/>
  <c r="D19" s="1"/>
  <c r="D25" s="1"/>
  <c r="I17" i="217"/>
  <c r="J17"/>
  <c r="K17"/>
  <c r="L17"/>
  <c r="L16" i="216"/>
  <c r="I16"/>
  <c r="J16"/>
  <c r="K16"/>
  <c r="I65" i="217"/>
  <c r="D20" s="1"/>
  <c r="I80"/>
  <c r="K25" i="218" l="1"/>
  <c r="G8" s="1"/>
  <c r="I82" i="216"/>
  <c r="I25" i="218"/>
  <c r="G6" s="1"/>
  <c r="I83" i="217"/>
  <c r="J20"/>
  <c r="K20"/>
  <c r="L20"/>
  <c r="I20"/>
  <c r="L20" i="216"/>
  <c r="I20"/>
  <c r="J20"/>
  <c r="K20"/>
  <c r="J25" i="218"/>
  <c r="G7" s="1"/>
  <c r="L25"/>
  <c r="G9" s="1"/>
  <c r="I19" i="216"/>
  <c r="I25" s="1"/>
  <c r="G6" s="1"/>
  <c r="J19"/>
  <c r="J25" s="1"/>
  <c r="G7" s="1"/>
  <c r="K19"/>
  <c r="K25" s="1"/>
  <c r="G8" s="1"/>
  <c r="L19"/>
  <c r="K19" i="217"/>
  <c r="K25" s="1"/>
  <c r="G8" s="1"/>
  <c r="L19"/>
  <c r="I19"/>
  <c r="I25" s="1"/>
  <c r="G6" s="1"/>
  <c r="J19"/>
  <c r="J25" s="1"/>
  <c r="G7" s="1"/>
  <c r="L25"/>
  <c r="G9" s="1"/>
  <c r="L25" i="216" l="1"/>
  <c r="G9" s="1"/>
  <c r="E45" i="215"/>
  <c r="G45" s="1"/>
  <c r="D45"/>
  <c r="B45"/>
  <c r="D37"/>
  <c r="J24"/>
  <c r="D24"/>
  <c r="K24" s="1"/>
  <c r="K23"/>
  <c r="J23"/>
  <c r="I23"/>
  <c r="D23"/>
  <c r="L23" s="1"/>
  <c r="D22"/>
  <c r="L22" s="1"/>
  <c r="I21"/>
  <c r="D21"/>
  <c r="J21" s="1"/>
  <c r="H16"/>
  <c r="H17" s="1"/>
  <c r="H18" s="1"/>
  <c r="H19" s="1"/>
  <c r="G16"/>
  <c r="G17" s="1"/>
  <c r="G18" s="1"/>
  <c r="G19" s="1"/>
  <c r="F16"/>
  <c r="F17" s="1"/>
  <c r="F18" s="1"/>
  <c r="F19" s="1"/>
  <c r="E16"/>
  <c r="E17" s="1"/>
  <c r="E18" s="1"/>
  <c r="E19" s="1"/>
  <c r="D16"/>
  <c r="F9"/>
  <c r="E9"/>
  <c r="B9"/>
  <c r="C8"/>
  <c r="C9" s="1"/>
  <c r="F7"/>
  <c r="E7"/>
  <c r="C7"/>
  <c r="B7"/>
  <c r="C6"/>
  <c r="J16" l="1"/>
  <c r="I43"/>
  <c r="E52"/>
  <c r="I50" s="1"/>
  <c r="D18" s="1"/>
  <c r="I16"/>
  <c r="L21"/>
  <c r="K22"/>
  <c r="I24"/>
  <c r="L16"/>
  <c r="K21"/>
  <c r="J22"/>
  <c r="L24"/>
  <c r="K16"/>
  <c r="I22"/>
  <c r="I54" l="1"/>
  <c r="D19" s="1"/>
  <c r="I57"/>
  <c r="D20" s="1"/>
  <c r="D17"/>
  <c r="L18"/>
  <c r="I18"/>
  <c r="J18"/>
  <c r="K18"/>
  <c r="I17" l="1"/>
  <c r="J17"/>
  <c r="K17"/>
  <c r="L17"/>
  <c r="D25"/>
  <c r="K19"/>
  <c r="L19"/>
  <c r="I19"/>
  <c r="J19"/>
  <c r="J20"/>
  <c r="K20"/>
  <c r="L20"/>
  <c r="I20"/>
  <c r="I73"/>
  <c r="I76"/>
  <c r="I25" l="1"/>
  <c r="G6" s="1"/>
  <c r="J25"/>
  <c r="G7" s="1"/>
  <c r="K25"/>
  <c r="G8" s="1"/>
  <c r="L25"/>
  <c r="G9" s="1"/>
  <c r="E51" i="214" l="1"/>
  <c r="G51" s="1"/>
  <c r="D51"/>
  <c r="B51"/>
  <c r="E50"/>
  <c r="G50" s="1"/>
  <c r="D50"/>
  <c r="B50"/>
  <c r="E49"/>
  <c r="G49" s="1"/>
  <c r="D49"/>
  <c r="B49"/>
  <c r="E48"/>
  <c r="G48" s="1"/>
  <c r="D48"/>
  <c r="B48"/>
  <c r="E47"/>
  <c r="G47" s="1"/>
  <c r="D47"/>
  <c r="B47"/>
  <c r="E46"/>
  <c r="G46" s="1"/>
  <c r="D46"/>
  <c r="B46"/>
  <c r="E45"/>
  <c r="G45" s="1"/>
  <c r="D45"/>
  <c r="B45"/>
  <c r="K24"/>
  <c r="D24"/>
  <c r="I24" s="1"/>
  <c r="D23"/>
  <c r="J23" s="1"/>
  <c r="K22"/>
  <c r="J22"/>
  <c r="I22"/>
  <c r="D22"/>
  <c r="L22" s="1"/>
  <c r="K21"/>
  <c r="J21"/>
  <c r="D21"/>
  <c r="L21" s="1"/>
  <c r="H16"/>
  <c r="H17" s="1"/>
  <c r="H18" s="1"/>
  <c r="H19" s="1"/>
  <c r="G16"/>
  <c r="G17" s="1"/>
  <c r="G18" s="1"/>
  <c r="G19" s="1"/>
  <c r="F16"/>
  <c r="F17" s="1"/>
  <c r="F18" s="1"/>
  <c r="F19" s="1"/>
  <c r="E16"/>
  <c r="E17" s="1"/>
  <c r="E18" s="1"/>
  <c r="E19" s="1"/>
  <c r="D16"/>
  <c r="F9"/>
  <c r="E9"/>
  <c r="B9"/>
  <c r="C8"/>
  <c r="C9" s="1"/>
  <c r="F7"/>
  <c r="E7"/>
  <c r="C7"/>
  <c r="B7"/>
  <c r="C6"/>
  <c r="G51" i="213"/>
  <c r="E50"/>
  <c r="G50" s="1"/>
  <c r="D50"/>
  <c r="B50"/>
  <c r="E49"/>
  <c r="G49" s="1"/>
  <c r="D49"/>
  <c r="B49"/>
  <c r="E48"/>
  <c r="G48" s="1"/>
  <c r="D48"/>
  <c r="B48"/>
  <c r="E47"/>
  <c r="G47" s="1"/>
  <c r="D47"/>
  <c r="B47"/>
  <c r="E46"/>
  <c r="G46" s="1"/>
  <c r="D46"/>
  <c r="B46"/>
  <c r="E45"/>
  <c r="G45" s="1"/>
  <c r="D45"/>
  <c r="B45"/>
  <c r="K24"/>
  <c r="I24"/>
  <c r="D24"/>
  <c r="J24" s="1"/>
  <c r="D23"/>
  <c r="J23" s="1"/>
  <c r="K22"/>
  <c r="I22"/>
  <c r="D22"/>
  <c r="L22" s="1"/>
  <c r="D21"/>
  <c r="L21" s="1"/>
  <c r="H16"/>
  <c r="H17" s="1"/>
  <c r="H18" s="1"/>
  <c r="H19" s="1"/>
  <c r="G16"/>
  <c r="K16" s="1"/>
  <c r="F16"/>
  <c r="F17" s="1"/>
  <c r="F18" s="1"/>
  <c r="F19" s="1"/>
  <c r="E16"/>
  <c r="I16" s="1"/>
  <c r="D16"/>
  <c r="F9"/>
  <c r="E9"/>
  <c r="B9"/>
  <c r="C8"/>
  <c r="C9" s="1"/>
  <c r="F7"/>
  <c r="E7"/>
  <c r="C7"/>
  <c r="B7"/>
  <c r="C6"/>
  <c r="E57" l="1"/>
  <c r="I55" s="1"/>
  <c r="D18" s="1"/>
  <c r="I43"/>
  <c r="I43" i="214"/>
  <c r="E57"/>
  <c r="I55" s="1"/>
  <c r="D18" s="1"/>
  <c r="L16" i="213"/>
  <c r="G17"/>
  <c r="G18" s="1"/>
  <c r="G19" s="1"/>
  <c r="K21"/>
  <c r="J22"/>
  <c r="I23"/>
  <c r="L24"/>
  <c r="L16" i="214"/>
  <c r="I23"/>
  <c r="L24"/>
  <c r="J21" i="213"/>
  <c r="L23"/>
  <c r="K16" i="214"/>
  <c r="L23"/>
  <c r="J16" i="213"/>
  <c r="E17"/>
  <c r="E18" s="1"/>
  <c r="E19" s="1"/>
  <c r="I21"/>
  <c r="K23"/>
  <c r="J16" i="214"/>
  <c r="I21"/>
  <c r="K23"/>
  <c r="J24"/>
  <c r="I16"/>
  <c r="I59" l="1"/>
  <c r="D19" s="1"/>
  <c r="D17"/>
  <c r="I62"/>
  <c r="D20" s="1"/>
  <c r="I81"/>
  <c r="K18"/>
  <c r="L18"/>
  <c r="I18"/>
  <c r="J18"/>
  <c r="K18" i="213"/>
  <c r="L18"/>
  <c r="I18"/>
  <c r="J18"/>
  <c r="D17"/>
  <c r="I59"/>
  <c r="D19" s="1"/>
  <c r="I62"/>
  <c r="D20" s="1"/>
  <c r="J19" l="1"/>
  <c r="K19"/>
  <c r="L19"/>
  <c r="I19"/>
  <c r="J19" i="214"/>
  <c r="K19"/>
  <c r="L19"/>
  <c r="I19"/>
  <c r="I20" i="213"/>
  <c r="J20"/>
  <c r="K20"/>
  <c r="L20"/>
  <c r="L17" i="214"/>
  <c r="I17"/>
  <c r="J17"/>
  <c r="K17"/>
  <c r="D25"/>
  <c r="I20"/>
  <c r="J20"/>
  <c r="K20"/>
  <c r="L20"/>
  <c r="I78" i="213"/>
  <c r="I81"/>
  <c r="L17"/>
  <c r="I17"/>
  <c r="J17"/>
  <c r="K17"/>
  <c r="D25"/>
  <c r="I78" i="214"/>
  <c r="L25" i="213" l="1"/>
  <c r="G9" s="1"/>
  <c r="K25"/>
  <c r="G8" s="1"/>
  <c r="J25"/>
  <c r="G7" s="1"/>
  <c r="I25"/>
  <c r="G6" s="1"/>
  <c r="L25" i="214"/>
  <c r="G9" s="1"/>
  <c r="I25"/>
  <c r="G6" s="1"/>
  <c r="J25"/>
  <c r="G7" s="1"/>
  <c r="K25"/>
  <c r="G8" s="1"/>
  <c r="D73" i="212" l="1"/>
  <c r="D75" s="1"/>
  <c r="I68" s="1"/>
  <c r="D14" s="1"/>
  <c r="D62"/>
  <c r="D63" s="1"/>
  <c r="D65" s="1"/>
  <c r="I46" s="1"/>
  <c r="D57"/>
  <c r="D58" s="1"/>
  <c r="D53"/>
  <c r="D50"/>
  <c r="D21"/>
  <c r="G21" s="1"/>
  <c r="D20"/>
  <c r="G20" s="1"/>
  <c r="H19"/>
  <c r="G19"/>
  <c r="D19"/>
  <c r="G18"/>
  <c r="D18"/>
  <c r="H18" s="1"/>
  <c r="H15"/>
  <c r="G15"/>
  <c r="D15"/>
  <c r="K5"/>
  <c r="F5"/>
  <c r="C5"/>
  <c r="G14" l="1"/>
  <c r="H14"/>
  <c r="D13"/>
  <c r="I84"/>
  <c r="D16" s="1"/>
  <c r="I87"/>
  <c r="H20"/>
  <c r="H21"/>
  <c r="G13" l="1"/>
  <c r="H13"/>
  <c r="D22"/>
  <c r="G16"/>
  <c r="H16"/>
  <c r="D17"/>
  <c r="I102"/>
  <c r="G22" l="1"/>
  <c r="G5" s="1"/>
  <c r="G17"/>
  <c r="H17"/>
  <c r="H22" s="1"/>
  <c r="G6" s="1"/>
  <c r="D48" i="211" l="1"/>
  <c r="D45"/>
  <c r="D49" s="1"/>
  <c r="I38" s="1"/>
  <c r="D39"/>
  <c r="Q26"/>
  <c r="Q25"/>
  <c r="K22"/>
  <c r="I22"/>
  <c r="D22"/>
  <c r="L22" s="1"/>
  <c r="D21"/>
  <c r="I21" s="1"/>
  <c r="O20"/>
  <c r="Q20" s="1"/>
  <c r="K20"/>
  <c r="I20"/>
  <c r="D20"/>
  <c r="L20" s="1"/>
  <c r="J19"/>
  <c r="D19"/>
  <c r="K19" s="1"/>
  <c r="D17"/>
  <c r="O17" s="1"/>
  <c r="P17" s="1"/>
  <c r="O16"/>
  <c r="P16" s="1"/>
  <c r="K16"/>
  <c r="J16"/>
  <c r="I16"/>
  <c r="D16"/>
  <c r="L16" s="1"/>
  <c r="J15"/>
  <c r="D15"/>
  <c r="K15" s="1"/>
  <c r="L11"/>
  <c r="K11"/>
  <c r="J11"/>
  <c r="I11"/>
  <c r="J7"/>
  <c r="F7"/>
  <c r="C7"/>
  <c r="J6"/>
  <c r="F6"/>
  <c r="C6"/>
  <c r="I61" l="1"/>
  <c r="D14"/>
  <c r="L17"/>
  <c r="L21"/>
  <c r="I15"/>
  <c r="O15"/>
  <c r="P15" s="1"/>
  <c r="K17"/>
  <c r="I19"/>
  <c r="O19"/>
  <c r="P19" s="1"/>
  <c r="J20"/>
  <c r="K21"/>
  <c r="J22"/>
  <c r="L15"/>
  <c r="J17"/>
  <c r="L19"/>
  <c r="J21"/>
  <c r="I17"/>
  <c r="H49" i="210"/>
  <c r="H48"/>
  <c r="H47"/>
  <c r="H46"/>
  <c r="H45"/>
  <c r="B24" s="1"/>
  <c r="C24" s="1"/>
  <c r="H44"/>
  <c r="H43"/>
  <c r="H42"/>
  <c r="H41"/>
  <c r="B22" s="1"/>
  <c r="C22" s="1"/>
  <c r="H40"/>
  <c r="H39"/>
  <c r="H38"/>
  <c r="H37"/>
  <c r="B20" s="1"/>
  <c r="C20" s="1"/>
  <c r="H36"/>
  <c r="H35"/>
  <c r="H34"/>
  <c r="H33"/>
  <c r="B18" s="1"/>
  <c r="H32"/>
  <c r="H31"/>
  <c r="C26"/>
  <c r="B26"/>
  <c r="B25"/>
  <c r="C25" s="1"/>
  <c r="B23"/>
  <c r="C23" s="1"/>
  <c r="B21"/>
  <c r="C21" s="1"/>
  <c r="B19"/>
  <c r="C19" s="1"/>
  <c r="H53" i="209"/>
  <c r="H52"/>
  <c r="B26" s="1"/>
  <c r="C26" s="1"/>
  <c r="H51"/>
  <c r="H50"/>
  <c r="H49"/>
  <c r="H48"/>
  <c r="H47"/>
  <c r="H46"/>
  <c r="H45"/>
  <c r="H43"/>
  <c r="H42"/>
  <c r="H41"/>
  <c r="B20" s="1"/>
  <c r="C20" s="1"/>
  <c r="H40"/>
  <c r="H39"/>
  <c r="H38"/>
  <c r="H37"/>
  <c r="H36"/>
  <c r="H35"/>
  <c r="H34"/>
  <c r="H33"/>
  <c r="B18" s="1"/>
  <c r="H32"/>
  <c r="H31"/>
  <c r="G44" s="1"/>
  <c r="H44" s="1"/>
  <c r="B21" s="1"/>
  <c r="C21" s="1"/>
  <c r="B25"/>
  <c r="C25" s="1"/>
  <c r="B24"/>
  <c r="C24" s="1"/>
  <c r="B23"/>
  <c r="C23" s="1"/>
  <c r="B22"/>
  <c r="C22" s="1"/>
  <c r="B19"/>
  <c r="C19" s="1"/>
  <c r="H53" i="208"/>
  <c r="H52"/>
  <c r="B26" s="1"/>
  <c r="C26" s="1"/>
  <c r="H51"/>
  <c r="H50"/>
  <c r="H49"/>
  <c r="H48"/>
  <c r="H47"/>
  <c r="H46"/>
  <c r="H45"/>
  <c r="H43"/>
  <c r="H42"/>
  <c r="H41"/>
  <c r="B20" s="1"/>
  <c r="C20" s="1"/>
  <c r="H40"/>
  <c r="H39"/>
  <c r="H38"/>
  <c r="H37"/>
  <c r="H36"/>
  <c r="H35"/>
  <c r="H34"/>
  <c r="H33"/>
  <c r="B18" s="1"/>
  <c r="H32"/>
  <c r="H31"/>
  <c r="G44" s="1"/>
  <c r="H44" s="1"/>
  <c r="B21" s="1"/>
  <c r="C21" s="1"/>
  <c r="B25"/>
  <c r="C25" s="1"/>
  <c r="B24"/>
  <c r="C24" s="1"/>
  <c r="B23"/>
  <c r="C23" s="1"/>
  <c r="B22"/>
  <c r="C22" s="1"/>
  <c r="B19"/>
  <c r="C19" s="1"/>
  <c r="H49" i="207"/>
  <c r="H48"/>
  <c r="B26" s="1"/>
  <c r="C26" s="1"/>
  <c r="H47"/>
  <c r="H46"/>
  <c r="H45"/>
  <c r="H44"/>
  <c r="B23" s="1"/>
  <c r="C23" s="1"/>
  <c r="H43"/>
  <c r="H42"/>
  <c r="H41"/>
  <c r="H40"/>
  <c r="B21" s="1"/>
  <c r="C21" s="1"/>
  <c r="H39"/>
  <c r="H38"/>
  <c r="H37"/>
  <c r="H36"/>
  <c r="B19" s="1"/>
  <c r="C19" s="1"/>
  <c r="H35"/>
  <c r="H34"/>
  <c r="H33"/>
  <c r="H32"/>
  <c r="B18" s="1"/>
  <c r="H31"/>
  <c r="C25"/>
  <c r="B25"/>
  <c r="C24"/>
  <c r="B24"/>
  <c r="C22"/>
  <c r="B22"/>
  <c r="C20"/>
  <c r="B20"/>
  <c r="H52" i="206"/>
  <c r="H51"/>
  <c r="H50"/>
  <c r="B24" s="1"/>
  <c r="C24" s="1"/>
  <c r="H49"/>
  <c r="H48"/>
  <c r="H47"/>
  <c r="H46"/>
  <c r="B23" s="1"/>
  <c r="C23" s="1"/>
  <c r="H45"/>
  <c r="H44"/>
  <c r="H41"/>
  <c r="H40"/>
  <c r="H39"/>
  <c r="H38"/>
  <c r="H37"/>
  <c r="H36"/>
  <c r="H35"/>
  <c r="H34"/>
  <c r="B18" s="1"/>
  <c r="H33"/>
  <c r="H32"/>
  <c r="H31"/>
  <c r="C26"/>
  <c r="B26"/>
  <c r="C25"/>
  <c r="B25"/>
  <c r="B22"/>
  <c r="C22" s="1"/>
  <c r="B20"/>
  <c r="C20" s="1"/>
  <c r="C19"/>
  <c r="B19"/>
  <c r="D18" i="211" l="1"/>
  <c r="I77"/>
  <c r="J14"/>
  <c r="K14"/>
  <c r="L14"/>
  <c r="O14"/>
  <c r="I14"/>
  <c r="B27" i="207"/>
  <c r="C27" s="1"/>
  <c r="C18"/>
  <c r="C18" i="209"/>
  <c r="B27"/>
  <c r="C27" s="1"/>
  <c r="C18" i="210"/>
  <c r="B27"/>
  <c r="C27" s="1"/>
  <c r="C18" i="206"/>
  <c r="C18" i="208"/>
  <c r="B27"/>
  <c r="C27" s="1"/>
  <c r="G43" i="206"/>
  <c r="H43" s="1"/>
  <c r="B21" s="1"/>
  <c r="C21" s="1"/>
  <c r="AH404" i="205"/>
  <c r="AI402"/>
  <c r="AH402"/>
  <c r="U349"/>
  <c r="T349"/>
  <c r="BE348"/>
  <c r="X348"/>
  <c r="U348"/>
  <c r="T348"/>
  <c r="C348"/>
  <c r="BE347"/>
  <c r="U347"/>
  <c r="T347"/>
  <c r="C347"/>
  <c r="BE346"/>
  <c r="X346"/>
  <c r="U346"/>
  <c r="T346"/>
  <c r="I346"/>
  <c r="C346"/>
  <c r="BE345"/>
  <c r="X345"/>
  <c r="U345"/>
  <c r="T345"/>
  <c r="C345"/>
  <c r="BE344"/>
  <c r="X344"/>
  <c r="U344"/>
  <c r="T344"/>
  <c r="C344"/>
  <c r="BE343"/>
  <c r="X343"/>
  <c r="U343"/>
  <c r="T343"/>
  <c r="C343"/>
  <c r="BE342"/>
  <c r="X342"/>
  <c r="U342"/>
  <c r="T342"/>
  <c r="C342"/>
  <c r="X341"/>
  <c r="U341"/>
  <c r="T341"/>
  <c r="X340"/>
  <c r="U340"/>
  <c r="T340"/>
  <c r="X338"/>
  <c r="U338"/>
  <c r="T338"/>
  <c r="BE337"/>
  <c r="C337"/>
  <c r="X336"/>
  <c r="U336"/>
  <c r="T336"/>
  <c r="X335"/>
  <c r="U335"/>
  <c r="T335"/>
  <c r="BE334"/>
  <c r="C334"/>
  <c r="BE333"/>
  <c r="X333"/>
  <c r="U333"/>
  <c r="C333"/>
  <c r="BE332"/>
  <c r="C332"/>
  <c r="BE331"/>
  <c r="X331"/>
  <c r="T331"/>
  <c r="M331"/>
  <c r="U331" s="1"/>
  <c r="C331"/>
  <c r="BE330"/>
  <c r="X330"/>
  <c r="U330"/>
  <c r="T330"/>
  <c r="C330"/>
  <c r="BE329"/>
  <c r="X329"/>
  <c r="U329"/>
  <c r="T329"/>
  <c r="C329"/>
  <c r="BE328"/>
  <c r="X328"/>
  <c r="U328"/>
  <c r="T328"/>
  <c r="C328"/>
  <c r="BE327"/>
  <c r="X327"/>
  <c r="U327"/>
  <c r="T327"/>
  <c r="C327"/>
  <c r="BE326"/>
  <c r="X326"/>
  <c r="U326"/>
  <c r="T326"/>
  <c r="C326"/>
  <c r="BE325"/>
  <c r="X325"/>
  <c r="U325"/>
  <c r="T325"/>
  <c r="C325"/>
  <c r="BE324"/>
  <c r="X324"/>
  <c r="U324"/>
  <c r="T324"/>
  <c r="C324"/>
  <c r="BE323"/>
  <c r="X323"/>
  <c r="U323"/>
  <c r="T323"/>
  <c r="C323"/>
  <c r="BE322"/>
  <c r="X322"/>
  <c r="U322"/>
  <c r="T322"/>
  <c r="C322"/>
  <c r="X321"/>
  <c r="C321"/>
  <c r="X320"/>
  <c r="X319"/>
  <c r="C318"/>
  <c r="X317"/>
  <c r="U317"/>
  <c r="T317"/>
  <c r="X316"/>
  <c r="U316"/>
  <c r="T316"/>
  <c r="C316"/>
  <c r="AS315"/>
  <c r="C315" s="1"/>
  <c r="AS314"/>
  <c r="C314" s="1"/>
  <c r="AP314"/>
  <c r="AM314"/>
  <c r="AS313"/>
  <c r="C313" s="1"/>
  <c r="AP313"/>
  <c r="AL313"/>
  <c r="AS312"/>
  <c r="C312" s="1"/>
  <c r="AR312"/>
  <c r="AL311"/>
  <c r="AS311" s="1"/>
  <c r="C311" s="1"/>
  <c r="AM310"/>
  <c r="AS310" s="1"/>
  <c r="C310" s="1"/>
  <c r="AS309"/>
  <c r="AP309"/>
  <c r="AH309"/>
  <c r="AS308"/>
  <c r="AL308"/>
  <c r="AH308"/>
  <c r="C308"/>
  <c r="AS307"/>
  <c r="AL307"/>
  <c r="AH307"/>
  <c r="C307"/>
  <c r="AH306"/>
  <c r="AH310" s="1"/>
  <c r="C306"/>
  <c r="C291"/>
  <c r="C290"/>
  <c r="BE289"/>
  <c r="X289"/>
  <c r="U289"/>
  <c r="T289"/>
  <c r="C289"/>
  <c r="BE288"/>
  <c r="X288"/>
  <c r="U288"/>
  <c r="T288"/>
  <c r="C288"/>
  <c r="BE287"/>
  <c r="X287"/>
  <c r="U287"/>
  <c r="T287"/>
  <c r="C287"/>
  <c r="BE286"/>
  <c r="X286"/>
  <c r="U286"/>
  <c r="T286"/>
  <c r="C286"/>
  <c r="BE285"/>
  <c r="X285"/>
  <c r="U285"/>
  <c r="T285"/>
  <c r="C285"/>
  <c r="BE284"/>
  <c r="X284"/>
  <c r="U284"/>
  <c r="T284"/>
  <c r="C284"/>
  <c r="BE283"/>
  <c r="X283"/>
  <c r="U283"/>
  <c r="T283"/>
  <c r="C283"/>
  <c r="BE282"/>
  <c r="X282"/>
  <c r="U282"/>
  <c r="T282"/>
  <c r="C282"/>
  <c r="BE281"/>
  <c r="X281"/>
  <c r="U281"/>
  <c r="T281"/>
  <c r="C281"/>
  <c r="BE280"/>
  <c r="X280"/>
  <c r="U280"/>
  <c r="T280"/>
  <c r="C280"/>
  <c r="BE279"/>
  <c r="X279"/>
  <c r="U279"/>
  <c r="T279"/>
  <c r="C279"/>
  <c r="BE278"/>
  <c r="X278"/>
  <c r="U278"/>
  <c r="T278"/>
  <c r="C278"/>
  <c r="BE277"/>
  <c r="X277"/>
  <c r="U277"/>
  <c r="T277"/>
  <c r="C277"/>
  <c r="BE276"/>
  <c r="C276"/>
  <c r="BE275"/>
  <c r="X275"/>
  <c r="U275"/>
  <c r="T275"/>
  <c r="C275"/>
  <c r="BE274"/>
  <c r="X274"/>
  <c r="U274"/>
  <c r="T274"/>
  <c r="C274"/>
  <c r="BE273"/>
  <c r="X273"/>
  <c r="U273"/>
  <c r="T273"/>
  <c r="C273"/>
  <c r="BE272"/>
  <c r="X272"/>
  <c r="U272"/>
  <c r="T272"/>
  <c r="C272"/>
  <c r="BE271"/>
  <c r="X271"/>
  <c r="U271"/>
  <c r="T271"/>
  <c r="C271"/>
  <c r="BE270"/>
  <c r="X270"/>
  <c r="U270"/>
  <c r="T270"/>
  <c r="C270"/>
  <c r="BE269"/>
  <c r="X269"/>
  <c r="U269"/>
  <c r="T269"/>
  <c r="C269"/>
  <c r="BE268"/>
  <c r="X268"/>
  <c r="U268"/>
  <c r="T268"/>
  <c r="C268"/>
  <c r="BE267"/>
  <c r="X267"/>
  <c r="U267"/>
  <c r="T267"/>
  <c r="C267"/>
  <c r="BE266"/>
  <c r="X266"/>
  <c r="U266"/>
  <c r="T266"/>
  <c r="C266"/>
  <c r="BE265"/>
  <c r="X265"/>
  <c r="U265"/>
  <c r="T265"/>
  <c r="C265"/>
  <c r="P265" s="1"/>
  <c r="BE264"/>
  <c r="X264"/>
  <c r="U264"/>
  <c r="T264"/>
  <c r="P264"/>
  <c r="C264"/>
  <c r="BE263"/>
  <c r="X263"/>
  <c r="U263"/>
  <c r="T263"/>
  <c r="C263"/>
  <c r="P263" s="1"/>
  <c r="BE262"/>
  <c r="X262"/>
  <c r="U262"/>
  <c r="T262"/>
  <c r="P262"/>
  <c r="C262"/>
  <c r="BE261"/>
  <c r="X261"/>
  <c r="U261"/>
  <c r="T261"/>
  <c r="C261"/>
  <c r="P261" s="1"/>
  <c r="BE260"/>
  <c r="X260"/>
  <c r="U260"/>
  <c r="T260"/>
  <c r="C260"/>
  <c r="BE259"/>
  <c r="X259"/>
  <c r="U259"/>
  <c r="T259"/>
  <c r="C259"/>
  <c r="BE258"/>
  <c r="X258"/>
  <c r="U258"/>
  <c r="T258"/>
  <c r="C258"/>
  <c r="BE257"/>
  <c r="X257"/>
  <c r="U257"/>
  <c r="T257"/>
  <c r="C257"/>
  <c r="BE256"/>
  <c r="X256"/>
  <c r="U256"/>
  <c r="T256"/>
  <c r="C256"/>
  <c r="BE255"/>
  <c r="X255"/>
  <c r="U255"/>
  <c r="T255"/>
  <c r="C255"/>
  <c r="BE254"/>
  <c r="X254"/>
  <c r="U254"/>
  <c r="T254"/>
  <c r="C254"/>
  <c r="X253"/>
  <c r="U253"/>
  <c r="T253"/>
  <c r="X252"/>
  <c r="U252"/>
  <c r="T252"/>
  <c r="X251"/>
  <c r="U251"/>
  <c r="T251"/>
  <c r="BE250"/>
  <c r="X250"/>
  <c r="U250"/>
  <c r="T250"/>
  <c r="C250"/>
  <c r="X249"/>
  <c r="U249"/>
  <c r="T249"/>
  <c r="BE246"/>
  <c r="BE245"/>
  <c r="X245"/>
  <c r="U245"/>
  <c r="T245"/>
  <c r="C245"/>
  <c r="BE244"/>
  <c r="X244"/>
  <c r="U244"/>
  <c r="T244"/>
  <c r="C244"/>
  <c r="BE243"/>
  <c r="C243"/>
  <c r="BE242"/>
  <c r="C242"/>
  <c r="BE241"/>
  <c r="X241"/>
  <c r="U241"/>
  <c r="T241"/>
  <c r="C241"/>
  <c r="BE240"/>
  <c r="X240"/>
  <c r="U240"/>
  <c r="T240"/>
  <c r="C240"/>
  <c r="BE239"/>
  <c r="X239"/>
  <c r="U239"/>
  <c r="T239"/>
  <c r="C239"/>
  <c r="BE238"/>
  <c r="X238"/>
  <c r="U238"/>
  <c r="T238"/>
  <c r="C238"/>
  <c r="BE237"/>
  <c r="X237"/>
  <c r="U237"/>
  <c r="T237"/>
  <c r="C237"/>
  <c r="U236"/>
  <c r="T236"/>
  <c r="BE235"/>
  <c r="X234"/>
  <c r="U234"/>
  <c r="T234"/>
  <c r="BE233"/>
  <c r="X233"/>
  <c r="U233"/>
  <c r="T233"/>
  <c r="C233"/>
  <c r="BE232"/>
  <c r="X232"/>
  <c r="C232" s="1"/>
  <c r="U232"/>
  <c r="T232"/>
  <c r="BE231"/>
  <c r="X231"/>
  <c r="U231"/>
  <c r="T231"/>
  <c r="C231"/>
  <c r="U230"/>
  <c r="T230"/>
  <c r="BE228"/>
  <c r="U227"/>
  <c r="T227"/>
  <c r="X226"/>
  <c r="U226"/>
  <c r="T226"/>
  <c r="X225"/>
  <c r="U225"/>
  <c r="T225"/>
  <c r="X224"/>
  <c r="U224"/>
  <c r="T224"/>
  <c r="X223"/>
  <c r="U223"/>
  <c r="T223"/>
  <c r="X222"/>
  <c r="U222"/>
  <c r="T222"/>
  <c r="X221"/>
  <c r="U221"/>
  <c r="T221"/>
  <c r="X220"/>
  <c r="U220"/>
  <c r="T220"/>
  <c r="X219"/>
  <c r="U219"/>
  <c r="T219"/>
  <c r="X218"/>
  <c r="U218"/>
  <c r="T218"/>
  <c r="BE217"/>
  <c r="U217"/>
  <c r="T217"/>
  <c r="C217"/>
  <c r="U216"/>
  <c r="T216"/>
  <c r="BE215"/>
  <c r="X215"/>
  <c r="U215"/>
  <c r="T215"/>
  <c r="C215"/>
  <c r="BE214"/>
  <c r="X214"/>
  <c r="U214"/>
  <c r="T214"/>
  <c r="C214"/>
  <c r="BE213"/>
  <c r="X213"/>
  <c r="U213"/>
  <c r="T213"/>
  <c r="C213"/>
  <c r="BE212"/>
  <c r="X212"/>
  <c r="U212"/>
  <c r="T212"/>
  <c r="C212"/>
  <c r="BE211"/>
  <c r="X211"/>
  <c r="U211"/>
  <c r="T211"/>
  <c r="C211"/>
  <c r="BE210"/>
  <c r="X210"/>
  <c r="U210"/>
  <c r="T210"/>
  <c r="C210"/>
  <c r="BE209"/>
  <c r="X209"/>
  <c r="U209"/>
  <c r="T209"/>
  <c r="C209"/>
  <c r="BE208"/>
  <c r="X208"/>
  <c r="U208"/>
  <c r="T208"/>
  <c r="C208"/>
  <c r="BE207"/>
  <c r="X207"/>
  <c r="U207"/>
  <c r="T207"/>
  <c r="C207"/>
  <c r="BE206"/>
  <c r="X206"/>
  <c r="U206"/>
  <c r="T206"/>
  <c r="C206"/>
  <c r="BE205"/>
  <c r="X205"/>
  <c r="U205"/>
  <c r="T205"/>
  <c r="C205"/>
  <c r="BE203"/>
  <c r="X203"/>
  <c r="U200"/>
  <c r="T200"/>
  <c r="X199"/>
  <c r="U199"/>
  <c r="T199"/>
  <c r="X198"/>
  <c r="U198"/>
  <c r="T198"/>
  <c r="X197"/>
  <c r="U197"/>
  <c r="T197"/>
  <c r="X196"/>
  <c r="U196"/>
  <c r="T196"/>
  <c r="X195"/>
  <c r="U195"/>
  <c r="T195"/>
  <c r="BE194"/>
  <c r="X194"/>
  <c r="U194"/>
  <c r="T194"/>
  <c r="C194"/>
  <c r="BE193"/>
  <c r="X193"/>
  <c r="U193"/>
  <c r="T193"/>
  <c r="C193"/>
  <c r="BE192"/>
  <c r="X192"/>
  <c r="U192"/>
  <c r="T192"/>
  <c r="C192"/>
  <c r="BE191"/>
  <c r="X191"/>
  <c r="U191"/>
  <c r="T191"/>
  <c r="C191"/>
  <c r="BE190"/>
  <c r="X190"/>
  <c r="U190"/>
  <c r="T190"/>
  <c r="C190"/>
  <c r="BE189"/>
  <c r="X189"/>
  <c r="U189"/>
  <c r="T189"/>
  <c r="C189"/>
  <c r="BE188"/>
  <c r="X188"/>
  <c r="U188"/>
  <c r="T188"/>
  <c r="C188"/>
  <c r="BE187"/>
  <c r="X187"/>
  <c r="U187"/>
  <c r="T187"/>
  <c r="C187"/>
  <c r="BE186"/>
  <c r="X186"/>
  <c r="U186"/>
  <c r="T186"/>
  <c r="C186"/>
  <c r="BE185"/>
  <c r="X185"/>
  <c r="U185"/>
  <c r="T185"/>
  <c r="C185"/>
  <c r="BE184"/>
  <c r="X184"/>
  <c r="U184"/>
  <c r="T184"/>
  <c r="C184"/>
  <c r="BE183"/>
  <c r="X183"/>
  <c r="U183"/>
  <c r="T183"/>
  <c r="C183"/>
  <c r="BE182"/>
  <c r="X182"/>
  <c r="U182"/>
  <c r="T182"/>
  <c r="C182"/>
  <c r="BE181"/>
  <c r="X181"/>
  <c r="U181"/>
  <c r="T181"/>
  <c r="C181"/>
  <c r="BE180"/>
  <c r="X180"/>
  <c r="U180"/>
  <c r="T180"/>
  <c r="C180"/>
  <c r="BE179"/>
  <c r="X179"/>
  <c r="U179"/>
  <c r="T179"/>
  <c r="C179"/>
  <c r="BE178"/>
  <c r="X178"/>
  <c r="U178"/>
  <c r="T178"/>
  <c r="C178"/>
  <c r="BE177"/>
  <c r="X177"/>
  <c r="U177"/>
  <c r="T177"/>
  <c r="C177"/>
  <c r="BE176"/>
  <c r="X176"/>
  <c r="U176"/>
  <c r="T176"/>
  <c r="C176"/>
  <c r="BE175"/>
  <c r="X175"/>
  <c r="U175"/>
  <c r="T175"/>
  <c r="C175"/>
  <c r="BE174"/>
  <c r="X174"/>
  <c r="U174"/>
  <c r="T174"/>
  <c r="C174"/>
  <c r="BE173"/>
  <c r="X173"/>
  <c r="U173"/>
  <c r="T173"/>
  <c r="C173"/>
  <c r="BE172"/>
  <c r="X172"/>
  <c r="U172"/>
  <c r="T172"/>
  <c r="C172"/>
  <c r="BE171"/>
  <c r="X171"/>
  <c r="U171"/>
  <c r="T171"/>
  <c r="C171"/>
  <c r="BE170"/>
  <c r="X170"/>
  <c r="U170"/>
  <c r="T170"/>
  <c r="C170"/>
  <c r="BE169"/>
  <c r="X169"/>
  <c r="U169"/>
  <c r="T169"/>
  <c r="C169"/>
  <c r="BE168"/>
  <c r="X168"/>
  <c r="U168"/>
  <c r="T168"/>
  <c r="C168"/>
  <c r="BE167"/>
  <c r="X167"/>
  <c r="U167"/>
  <c r="T167"/>
  <c r="C167"/>
  <c r="BE166"/>
  <c r="X166"/>
  <c r="U166"/>
  <c r="T166"/>
  <c r="C166"/>
  <c r="BE165"/>
  <c r="X165"/>
  <c r="U165"/>
  <c r="T165"/>
  <c r="C165"/>
  <c r="BE164"/>
  <c r="X164"/>
  <c r="U164"/>
  <c r="T164"/>
  <c r="C164"/>
  <c r="BE163"/>
  <c r="X163"/>
  <c r="U163"/>
  <c r="T163"/>
  <c r="C163"/>
  <c r="BE162"/>
  <c r="X162"/>
  <c r="U162"/>
  <c r="T162"/>
  <c r="C162"/>
  <c r="BE161"/>
  <c r="X161"/>
  <c r="U161"/>
  <c r="T161"/>
  <c r="C161"/>
  <c r="BE160"/>
  <c r="X160"/>
  <c r="U160"/>
  <c r="T160"/>
  <c r="C160"/>
  <c r="BE159"/>
  <c r="X159"/>
  <c r="U159"/>
  <c r="T159"/>
  <c r="C159"/>
  <c r="BE158"/>
  <c r="X158"/>
  <c r="U158"/>
  <c r="T158"/>
  <c r="C158"/>
  <c r="BE157"/>
  <c r="X157"/>
  <c r="U157"/>
  <c r="T157"/>
  <c r="C157"/>
  <c r="BE156"/>
  <c r="X156"/>
  <c r="U156"/>
  <c r="T156"/>
  <c r="C156"/>
  <c r="BE155"/>
  <c r="X155"/>
  <c r="U155"/>
  <c r="T155"/>
  <c r="C155"/>
  <c r="BE154"/>
  <c r="X154"/>
  <c r="U154"/>
  <c r="T154"/>
  <c r="C154"/>
  <c r="BE153"/>
  <c r="X153"/>
  <c r="U153"/>
  <c r="T153"/>
  <c r="C153"/>
  <c r="BE152"/>
  <c r="X152"/>
  <c r="U152"/>
  <c r="T152"/>
  <c r="C152"/>
  <c r="BE151"/>
  <c r="X151"/>
  <c r="U151"/>
  <c r="T151"/>
  <c r="C151"/>
  <c r="BE150"/>
  <c r="X150"/>
  <c r="U150"/>
  <c r="T150"/>
  <c r="C150"/>
  <c r="BE149"/>
  <c r="X149"/>
  <c r="U149"/>
  <c r="T149"/>
  <c r="C149"/>
  <c r="BE148"/>
  <c r="X148"/>
  <c r="U148"/>
  <c r="T148"/>
  <c r="C148"/>
  <c r="BE147"/>
  <c r="U145"/>
  <c r="T145"/>
  <c r="BE143"/>
  <c r="X143"/>
  <c r="U143"/>
  <c r="T143"/>
  <c r="C143"/>
  <c r="BE142"/>
  <c r="C142"/>
  <c r="BE141"/>
  <c r="X141"/>
  <c r="U141"/>
  <c r="T141"/>
  <c r="C141"/>
  <c r="BE140"/>
  <c r="X140"/>
  <c r="U140"/>
  <c r="T140"/>
  <c r="C140"/>
  <c r="BE139"/>
  <c r="X139"/>
  <c r="U139"/>
  <c r="T139"/>
  <c r="C139"/>
  <c r="BE138"/>
  <c r="X138"/>
  <c r="U138"/>
  <c r="T138"/>
  <c r="C138"/>
  <c r="BE137"/>
  <c r="X137"/>
  <c r="U137"/>
  <c r="T137"/>
  <c r="P137"/>
  <c r="C137"/>
  <c r="BE136"/>
  <c r="X136"/>
  <c r="U136"/>
  <c r="T136"/>
  <c r="P136"/>
  <c r="C136"/>
  <c r="BE135"/>
  <c r="X135"/>
  <c r="U135"/>
  <c r="T135"/>
  <c r="P135"/>
  <c r="C135"/>
  <c r="BE134"/>
  <c r="X134"/>
  <c r="U134"/>
  <c r="T134"/>
  <c r="P134"/>
  <c r="C134"/>
  <c r="BE133"/>
  <c r="X133"/>
  <c r="U133"/>
  <c r="T133"/>
  <c r="P133"/>
  <c r="C133"/>
  <c r="BE132"/>
  <c r="X132"/>
  <c r="U132"/>
  <c r="T132"/>
  <c r="C132"/>
  <c r="BE131"/>
  <c r="X131"/>
  <c r="U131"/>
  <c r="T131"/>
  <c r="C131"/>
  <c r="BE130"/>
  <c r="X130"/>
  <c r="U130"/>
  <c r="T130"/>
  <c r="C130"/>
  <c r="BE129"/>
  <c r="X129"/>
  <c r="U129"/>
  <c r="T129"/>
  <c r="C129"/>
  <c r="BE127"/>
  <c r="U127"/>
  <c r="T127"/>
  <c r="C127"/>
  <c r="BE126"/>
  <c r="U126"/>
  <c r="T126"/>
  <c r="C126"/>
  <c r="BE125"/>
  <c r="X125"/>
  <c r="C125" s="1"/>
  <c r="U125"/>
  <c r="T125"/>
  <c r="BE124"/>
  <c r="U124"/>
  <c r="T124"/>
  <c r="C124"/>
  <c r="BE123"/>
  <c r="U123"/>
  <c r="T123"/>
  <c r="C123"/>
  <c r="BE122"/>
  <c r="U122"/>
  <c r="T122"/>
  <c r="C122"/>
  <c r="BE121"/>
  <c r="U121"/>
  <c r="T121"/>
  <c r="C121"/>
  <c r="BE120"/>
  <c r="C120"/>
  <c r="BE119"/>
  <c r="X119"/>
  <c r="C119"/>
  <c r="U118"/>
  <c r="T118"/>
  <c r="C118"/>
  <c r="BE117"/>
  <c r="X117"/>
  <c r="U117"/>
  <c r="T117"/>
  <c r="C117"/>
  <c r="BE116"/>
  <c r="X116"/>
  <c r="U116"/>
  <c r="T116"/>
  <c r="P116"/>
  <c r="C116"/>
  <c r="BE115"/>
  <c r="X115"/>
  <c r="U115"/>
  <c r="T115"/>
  <c r="P115"/>
  <c r="F115"/>
  <c r="C115"/>
  <c r="BE114"/>
  <c r="X114"/>
  <c r="U114"/>
  <c r="T114"/>
  <c r="P114"/>
  <c r="C114"/>
  <c r="BE113"/>
  <c r="X113"/>
  <c r="U113"/>
  <c r="T113"/>
  <c r="P113"/>
  <c r="C113"/>
  <c r="BE112"/>
  <c r="X112"/>
  <c r="U112"/>
  <c r="T112"/>
  <c r="P112"/>
  <c r="C112"/>
  <c r="BE111"/>
  <c r="X111"/>
  <c r="U111"/>
  <c r="T111"/>
  <c r="P111"/>
  <c r="C111"/>
  <c r="BE110"/>
  <c r="X110"/>
  <c r="U110"/>
  <c r="T110"/>
  <c r="P110"/>
  <c r="C110"/>
  <c r="BE109"/>
  <c r="X109"/>
  <c r="P109"/>
  <c r="F109"/>
  <c r="T109" s="1"/>
  <c r="C109"/>
  <c r="BE108"/>
  <c r="X108"/>
  <c r="U108"/>
  <c r="T108"/>
  <c r="P108"/>
  <c r="C108"/>
  <c r="BE107"/>
  <c r="X107"/>
  <c r="U107"/>
  <c r="T107"/>
  <c r="P107"/>
  <c r="C107"/>
  <c r="BE106"/>
  <c r="X106"/>
  <c r="U106"/>
  <c r="T106"/>
  <c r="P106"/>
  <c r="C106"/>
  <c r="BE105"/>
  <c r="X105"/>
  <c r="U105"/>
  <c r="T105"/>
  <c r="P105"/>
  <c r="C105"/>
  <c r="BE103"/>
  <c r="X103"/>
  <c r="U103"/>
  <c r="T103"/>
  <c r="C103"/>
  <c r="BE102"/>
  <c r="X102"/>
  <c r="U102"/>
  <c r="T102"/>
  <c r="C102"/>
  <c r="BE101"/>
  <c r="X101"/>
  <c r="U101"/>
  <c r="T101"/>
  <c r="C101"/>
  <c r="U99"/>
  <c r="T99"/>
  <c r="BE98"/>
  <c r="X98"/>
  <c r="U98"/>
  <c r="T98"/>
  <c r="C98"/>
  <c r="BE97"/>
  <c r="X97"/>
  <c r="U97"/>
  <c r="T97"/>
  <c r="C97"/>
  <c r="BE96"/>
  <c r="AP96"/>
  <c r="X96"/>
  <c r="U96"/>
  <c r="T96"/>
  <c r="C96"/>
  <c r="BE95"/>
  <c r="AP95"/>
  <c r="X95"/>
  <c r="C95" s="1"/>
  <c r="U95"/>
  <c r="T95"/>
  <c r="BE94"/>
  <c r="AP94"/>
  <c r="AM94"/>
  <c r="AK94"/>
  <c r="AJ94"/>
  <c r="X94"/>
  <c r="C94"/>
  <c r="BE93"/>
  <c r="BE202" s="1"/>
  <c r="AL93"/>
  <c r="AP93" s="1"/>
  <c r="X93"/>
  <c r="X202" s="1"/>
  <c r="BE92"/>
  <c r="X92"/>
  <c r="I92"/>
  <c r="T92" s="1"/>
  <c r="C92"/>
  <c r="BE91"/>
  <c r="X91"/>
  <c r="V91"/>
  <c r="U91"/>
  <c r="T91"/>
  <c r="I91"/>
  <c r="C91"/>
  <c r="BE90"/>
  <c r="X90"/>
  <c r="I90"/>
  <c r="U90" s="1"/>
  <c r="C90"/>
  <c r="BE89"/>
  <c r="X89"/>
  <c r="V89"/>
  <c r="I89"/>
  <c r="T89" s="1"/>
  <c r="C89"/>
  <c r="BE88"/>
  <c r="AP88"/>
  <c r="X88"/>
  <c r="V88"/>
  <c r="T88"/>
  <c r="I88"/>
  <c r="U88" s="1"/>
  <c r="C88"/>
  <c r="BE87"/>
  <c r="AP87"/>
  <c r="X87"/>
  <c r="V87"/>
  <c r="U87"/>
  <c r="T87"/>
  <c r="C87"/>
  <c r="BE86"/>
  <c r="X86"/>
  <c r="U86"/>
  <c r="T86"/>
  <c r="C86"/>
  <c r="BE85"/>
  <c r="AP85"/>
  <c r="X85"/>
  <c r="U85"/>
  <c r="T85"/>
  <c r="P85"/>
  <c r="V85" s="1"/>
  <c r="C85"/>
  <c r="BE84"/>
  <c r="AP84"/>
  <c r="AS88" s="1"/>
  <c r="X84"/>
  <c r="U84"/>
  <c r="T84"/>
  <c r="P84"/>
  <c r="V84" s="1"/>
  <c r="C84"/>
  <c r="BE83"/>
  <c r="X83"/>
  <c r="U83"/>
  <c r="T83"/>
  <c r="P83"/>
  <c r="V83" s="1"/>
  <c r="C83"/>
  <c r="BE82"/>
  <c r="X82"/>
  <c r="U82"/>
  <c r="T82"/>
  <c r="I82"/>
  <c r="C82"/>
  <c r="BE81"/>
  <c r="AU81"/>
  <c r="X81"/>
  <c r="U81"/>
  <c r="T81"/>
  <c r="I81"/>
  <c r="C81"/>
  <c r="BE80"/>
  <c r="X80"/>
  <c r="U80"/>
  <c r="T80"/>
  <c r="P80"/>
  <c r="V80" s="1"/>
  <c r="I80"/>
  <c r="C80"/>
  <c r="BE79"/>
  <c r="X79"/>
  <c r="U79"/>
  <c r="T79"/>
  <c r="P79"/>
  <c r="V79" s="1"/>
  <c r="I79"/>
  <c r="C79"/>
  <c r="BE78"/>
  <c r="X78"/>
  <c r="U78"/>
  <c r="T78"/>
  <c r="P78"/>
  <c r="V78" s="1"/>
  <c r="I78"/>
  <c r="C78"/>
  <c r="BE77"/>
  <c r="AU77"/>
  <c r="AQ77"/>
  <c r="X77"/>
  <c r="U77"/>
  <c r="P77"/>
  <c r="V77" s="1"/>
  <c r="I77"/>
  <c r="T77" s="1"/>
  <c r="C77"/>
  <c r="BE76"/>
  <c r="AQ76"/>
  <c r="AU76" s="1"/>
  <c r="X76"/>
  <c r="T76"/>
  <c r="I76"/>
  <c r="U76" s="1"/>
  <c r="C76"/>
  <c r="BE75"/>
  <c r="X75"/>
  <c r="U75"/>
  <c r="T75"/>
  <c r="I75"/>
  <c r="C75"/>
  <c r="BE74"/>
  <c r="X74"/>
  <c r="T74"/>
  <c r="I74"/>
  <c r="U74" s="1"/>
  <c r="C74"/>
  <c r="BE73"/>
  <c r="AU73"/>
  <c r="AQ73"/>
  <c r="X73"/>
  <c r="T73"/>
  <c r="I73"/>
  <c r="U73" s="1"/>
  <c r="C73"/>
  <c r="BE72"/>
  <c r="AU72"/>
  <c r="X72"/>
  <c r="I72"/>
  <c r="T72" s="1"/>
  <c r="C72"/>
  <c r="BE71"/>
  <c r="X71"/>
  <c r="U71"/>
  <c r="T71"/>
  <c r="I71"/>
  <c r="C71"/>
  <c r="BE70"/>
  <c r="AU70"/>
  <c r="X70"/>
  <c r="U70"/>
  <c r="T70"/>
  <c r="C70"/>
  <c r="BE69"/>
  <c r="AU69"/>
  <c r="X69"/>
  <c r="U69"/>
  <c r="T69"/>
  <c r="C69"/>
  <c r="BE68"/>
  <c r="AH68"/>
  <c r="AL68" s="1"/>
  <c r="X68"/>
  <c r="U68"/>
  <c r="T68"/>
  <c r="C68"/>
  <c r="BE67"/>
  <c r="AU67"/>
  <c r="AH67"/>
  <c r="AL67" s="1"/>
  <c r="X67"/>
  <c r="U67"/>
  <c r="T67"/>
  <c r="C67"/>
  <c r="BE66"/>
  <c r="AU66"/>
  <c r="X66"/>
  <c r="U66"/>
  <c r="T66"/>
  <c r="C66"/>
  <c r="BE65"/>
  <c r="X65"/>
  <c r="U65"/>
  <c r="T65"/>
  <c r="C65"/>
  <c r="BE64"/>
  <c r="X64"/>
  <c r="I64"/>
  <c r="T64" s="1"/>
  <c r="C64"/>
  <c r="BE63"/>
  <c r="X63"/>
  <c r="U63"/>
  <c r="T63"/>
  <c r="I63"/>
  <c r="C63"/>
  <c r="BE62"/>
  <c r="X62"/>
  <c r="I62"/>
  <c r="T62" s="1"/>
  <c r="C62"/>
  <c r="BE61"/>
  <c r="X61"/>
  <c r="U61"/>
  <c r="T61"/>
  <c r="I61"/>
  <c r="C61"/>
  <c r="BE60"/>
  <c r="X60"/>
  <c r="I60"/>
  <c r="T60" s="1"/>
  <c r="C60"/>
  <c r="BE59"/>
  <c r="X59"/>
  <c r="U59"/>
  <c r="T59"/>
  <c r="I59"/>
  <c r="C59"/>
  <c r="BE58"/>
  <c r="X58"/>
  <c r="U58"/>
  <c r="T58"/>
  <c r="C58"/>
  <c r="BE57"/>
  <c r="X57"/>
  <c r="U57"/>
  <c r="T57"/>
  <c r="C57"/>
  <c r="BE56"/>
  <c r="X56"/>
  <c r="U56"/>
  <c r="T56"/>
  <c r="C56"/>
  <c r="BE55"/>
  <c r="X55"/>
  <c r="U55"/>
  <c r="T55"/>
  <c r="C55"/>
  <c r="BE54"/>
  <c r="X54"/>
  <c r="U54"/>
  <c r="T54"/>
  <c r="C54"/>
  <c r="BE53"/>
  <c r="X53"/>
  <c r="U53"/>
  <c r="T53"/>
  <c r="C53"/>
  <c r="BE52"/>
  <c r="X52"/>
  <c r="U52"/>
  <c r="T52"/>
  <c r="C52"/>
  <c r="BE51"/>
  <c r="X51"/>
  <c r="U51"/>
  <c r="T51"/>
  <c r="C51"/>
  <c r="BE50"/>
  <c r="X50"/>
  <c r="U50"/>
  <c r="T50"/>
  <c r="C50"/>
  <c r="BE49"/>
  <c r="X49"/>
  <c r="U49"/>
  <c r="T49"/>
  <c r="C49"/>
  <c r="BE48"/>
  <c r="X48"/>
  <c r="U48"/>
  <c r="T48"/>
  <c r="C48"/>
  <c r="BE47"/>
  <c r="AN47"/>
  <c r="X47"/>
  <c r="U47"/>
  <c r="T47"/>
  <c r="C47"/>
  <c r="BE46"/>
  <c r="AN46"/>
  <c r="X46"/>
  <c r="U46"/>
  <c r="T46"/>
  <c r="C46"/>
  <c r="BE45"/>
  <c r="X45"/>
  <c r="U45"/>
  <c r="T45"/>
  <c r="C45"/>
  <c r="BE44"/>
  <c r="X44"/>
  <c r="U44"/>
  <c r="T44"/>
  <c r="C44"/>
  <c r="BE43"/>
  <c r="X43"/>
  <c r="U43"/>
  <c r="T43"/>
  <c r="C43"/>
  <c r="BE42"/>
  <c r="X42"/>
  <c r="U42"/>
  <c r="T42"/>
  <c r="C42"/>
  <c r="BE41"/>
  <c r="X41"/>
  <c r="U41"/>
  <c r="T41"/>
  <c r="C41"/>
  <c r="BE40"/>
  <c r="X40"/>
  <c r="U40"/>
  <c r="T40"/>
  <c r="C40"/>
  <c r="BE39"/>
  <c r="X39"/>
  <c r="U39"/>
  <c r="T39"/>
  <c r="C39"/>
  <c r="BE38"/>
  <c r="X38"/>
  <c r="C38" s="1"/>
  <c r="U38"/>
  <c r="T38"/>
  <c r="BE36"/>
  <c r="X36"/>
  <c r="U36"/>
  <c r="T36"/>
  <c r="C36"/>
  <c r="BE35"/>
  <c r="X35"/>
  <c r="M35"/>
  <c r="T35" s="1"/>
  <c r="C35"/>
  <c r="BE34"/>
  <c r="AN34"/>
  <c r="C320" s="1"/>
  <c r="X34"/>
  <c r="T34"/>
  <c r="M34"/>
  <c r="U34" s="1"/>
  <c r="C34"/>
  <c r="BE33"/>
  <c r="AN33"/>
  <c r="C319" s="1"/>
  <c r="X33"/>
  <c r="M33"/>
  <c r="T33" s="1"/>
  <c r="C33"/>
  <c r="BE32"/>
  <c r="AN32"/>
  <c r="C93" s="1"/>
  <c r="X32"/>
  <c r="T32"/>
  <c r="M32"/>
  <c r="U32" s="1"/>
  <c r="C32"/>
  <c r="BE31"/>
  <c r="AN31"/>
  <c r="C203" s="1"/>
  <c r="X31"/>
  <c r="M31"/>
  <c r="T31" s="1"/>
  <c r="C31"/>
  <c r="BE30"/>
  <c r="X30"/>
  <c r="U30"/>
  <c r="T30"/>
  <c r="M30"/>
  <c r="C30"/>
  <c r="BE29"/>
  <c r="AN29"/>
  <c r="AP29" s="1"/>
  <c r="X29"/>
  <c r="U29"/>
  <c r="T29"/>
  <c r="C29"/>
  <c r="BE28"/>
  <c r="AN28"/>
  <c r="AP28" s="1"/>
  <c r="X28"/>
  <c r="U28"/>
  <c r="T28"/>
  <c r="C28"/>
  <c r="BE27"/>
  <c r="AN27"/>
  <c r="AP27" s="1"/>
  <c r="X27"/>
  <c r="U27"/>
  <c r="T27"/>
  <c r="C27"/>
  <c r="BE26"/>
  <c r="AQ26"/>
  <c r="AN26"/>
  <c r="AO26" s="1"/>
  <c r="X26"/>
  <c r="U26"/>
  <c r="T26"/>
  <c r="C26"/>
  <c r="BE25"/>
  <c r="AN25"/>
  <c r="AO25" s="1"/>
  <c r="X25"/>
  <c r="U25"/>
  <c r="T25"/>
  <c r="C25"/>
  <c r="BE24"/>
  <c r="AI24"/>
  <c r="AN24" s="1"/>
  <c r="X24"/>
  <c r="U24"/>
  <c r="T24"/>
  <c r="C24"/>
  <c r="C23"/>
  <c r="C22"/>
  <c r="BE21"/>
  <c r="AN21"/>
  <c r="AP21" s="1"/>
  <c r="X21"/>
  <c r="U21"/>
  <c r="T21"/>
  <c r="C21"/>
  <c r="BE20"/>
  <c r="X20"/>
  <c r="U20"/>
  <c r="T20"/>
  <c r="C20"/>
  <c r="BE19"/>
  <c r="X19"/>
  <c r="U19"/>
  <c r="T19"/>
  <c r="C19"/>
  <c r="BE18"/>
  <c r="X18"/>
  <c r="U18"/>
  <c r="T18"/>
  <c r="C18"/>
  <c r="U17"/>
  <c r="T17"/>
  <c r="U15"/>
  <c r="T15"/>
  <c r="U6"/>
  <c r="T6"/>
  <c r="F58" i="204"/>
  <c r="I57" s="1"/>
  <c r="D22" s="1"/>
  <c r="I51"/>
  <c r="I48"/>
  <c r="I67" s="1"/>
  <c r="D36"/>
  <c r="D24"/>
  <c r="I24" s="1"/>
  <c r="I23"/>
  <c r="D23"/>
  <c r="J23" s="1"/>
  <c r="D21"/>
  <c r="D20"/>
  <c r="I20" s="1"/>
  <c r="D19"/>
  <c r="J19" s="1"/>
  <c r="D18"/>
  <c r="D17"/>
  <c r="H16"/>
  <c r="H21" s="1"/>
  <c r="G16"/>
  <c r="G21" s="1"/>
  <c r="K21" s="1"/>
  <c r="F16"/>
  <c r="F21" s="1"/>
  <c r="J21" s="1"/>
  <c r="E16"/>
  <c r="E21" s="1"/>
  <c r="I21" s="1"/>
  <c r="D16"/>
  <c r="D25" s="1"/>
  <c r="F9"/>
  <c r="E9"/>
  <c r="B9"/>
  <c r="C8"/>
  <c r="C9" s="1"/>
  <c r="F7"/>
  <c r="E7"/>
  <c r="C7"/>
  <c r="B7"/>
  <c r="C6"/>
  <c r="I57" i="203"/>
  <c r="I51"/>
  <c r="I48"/>
  <c r="I69" s="1"/>
  <c r="D36"/>
  <c r="K24"/>
  <c r="D24"/>
  <c r="L24" s="1"/>
  <c r="I23"/>
  <c r="D23"/>
  <c r="J23" s="1"/>
  <c r="D22"/>
  <c r="I22" s="1"/>
  <c r="D21"/>
  <c r="D20"/>
  <c r="K20" s="1"/>
  <c r="D19"/>
  <c r="L19" s="1"/>
  <c r="D18"/>
  <c r="D17"/>
  <c r="H16"/>
  <c r="H21" s="1"/>
  <c r="G16"/>
  <c r="G21" s="1"/>
  <c r="K21" s="1"/>
  <c r="F16"/>
  <c r="F21" s="1"/>
  <c r="J21" s="1"/>
  <c r="E16"/>
  <c r="E21" s="1"/>
  <c r="D16"/>
  <c r="F9"/>
  <c r="E9"/>
  <c r="B9"/>
  <c r="C8"/>
  <c r="C9" s="1"/>
  <c r="F7"/>
  <c r="E7"/>
  <c r="B7"/>
  <c r="C6"/>
  <c r="C7" s="1"/>
  <c r="I51" i="202"/>
  <c r="I48"/>
  <c r="I66" s="1"/>
  <c r="D36"/>
  <c r="J24"/>
  <c r="D24"/>
  <c r="L24" s="1"/>
  <c r="D23"/>
  <c r="I23" s="1"/>
  <c r="D22"/>
  <c r="D21"/>
  <c r="D20"/>
  <c r="L20" s="1"/>
  <c r="D19"/>
  <c r="I19" s="1"/>
  <c r="D18"/>
  <c r="D17"/>
  <c r="H16"/>
  <c r="H21" s="1"/>
  <c r="G16"/>
  <c r="G21" s="1"/>
  <c r="F16"/>
  <c r="F21" s="1"/>
  <c r="E16"/>
  <c r="E21" s="1"/>
  <c r="D16"/>
  <c r="L16" s="1"/>
  <c r="F9"/>
  <c r="E9"/>
  <c r="B9"/>
  <c r="C8"/>
  <c r="C9" s="1"/>
  <c r="F7"/>
  <c r="E7"/>
  <c r="B7"/>
  <c r="C6"/>
  <c r="C7" s="1"/>
  <c r="K16" i="203" l="1"/>
  <c r="F17" i="204"/>
  <c r="J17" s="1"/>
  <c r="F17" i="203"/>
  <c r="J17" s="1"/>
  <c r="K21" i="202"/>
  <c r="J18" i="211"/>
  <c r="K18"/>
  <c r="L18"/>
  <c r="O18"/>
  <c r="Q18" s="1"/>
  <c r="Q23" s="1"/>
  <c r="I18"/>
  <c r="D23"/>
  <c r="L23"/>
  <c r="P14"/>
  <c r="P23" s="1"/>
  <c r="O23"/>
  <c r="I23"/>
  <c r="G6" s="1"/>
  <c r="J23"/>
  <c r="G7" s="1"/>
  <c r="K23"/>
  <c r="B27" i="206"/>
  <c r="C27" s="1"/>
  <c r="C202" i="205"/>
  <c r="C147"/>
  <c r="AH66"/>
  <c r="AL66" s="1"/>
  <c r="C246"/>
  <c r="X246"/>
  <c r="AM43"/>
  <c r="AI43"/>
  <c r="AJ43"/>
  <c r="AK43"/>
  <c r="AL43"/>
  <c r="AH43"/>
  <c r="AO24"/>
  <c r="AP24"/>
  <c r="AJ44"/>
  <c r="AK44"/>
  <c r="AQ49"/>
  <c r="AQ50" s="1"/>
  <c r="AQ51" s="1"/>
  <c r="AL44"/>
  <c r="AH44"/>
  <c r="C146"/>
  <c r="AM44"/>
  <c r="AI44"/>
  <c r="AO21"/>
  <c r="AP25"/>
  <c r="AP26"/>
  <c r="AO27"/>
  <c r="AO28"/>
  <c r="AO29"/>
  <c r="U31"/>
  <c r="U35"/>
  <c r="U72"/>
  <c r="T90"/>
  <c r="U109"/>
  <c r="U33"/>
  <c r="AN35"/>
  <c r="U60"/>
  <c r="U62"/>
  <c r="U64"/>
  <c r="U89"/>
  <c r="U92"/>
  <c r="I22" i="204"/>
  <c r="J22"/>
  <c r="L21" i="203"/>
  <c r="L21" i="204"/>
  <c r="K16" i="202"/>
  <c r="F17"/>
  <c r="F18" s="1"/>
  <c r="J18" s="1"/>
  <c r="L19"/>
  <c r="K20"/>
  <c r="J21"/>
  <c r="K24"/>
  <c r="J16" i="203"/>
  <c r="E17"/>
  <c r="E18" s="1"/>
  <c r="I18" s="1"/>
  <c r="K19"/>
  <c r="J20"/>
  <c r="I21"/>
  <c r="J22"/>
  <c r="J24"/>
  <c r="I66"/>
  <c r="L16" i="204"/>
  <c r="G17"/>
  <c r="F18"/>
  <c r="J18" s="1"/>
  <c r="I19"/>
  <c r="L20"/>
  <c r="L24"/>
  <c r="I70"/>
  <c r="J16" i="202"/>
  <c r="E17"/>
  <c r="E18" s="1"/>
  <c r="I18" s="1"/>
  <c r="K19"/>
  <c r="J20"/>
  <c r="I21"/>
  <c r="J22"/>
  <c r="I69"/>
  <c r="I16" i="203"/>
  <c r="H17"/>
  <c r="L17" s="1"/>
  <c r="J19"/>
  <c r="I20"/>
  <c r="I24"/>
  <c r="D25"/>
  <c r="K16" i="204"/>
  <c r="L19"/>
  <c r="K20"/>
  <c r="K24"/>
  <c r="I16" i="202"/>
  <c r="H17"/>
  <c r="L17" s="1"/>
  <c r="J19"/>
  <c r="I20"/>
  <c r="L21"/>
  <c r="I22"/>
  <c r="J23"/>
  <c r="I24"/>
  <c r="D25"/>
  <c r="L16" i="203"/>
  <c r="G17"/>
  <c r="F18"/>
  <c r="J18" s="1"/>
  <c r="I19"/>
  <c r="L20"/>
  <c r="J16" i="204"/>
  <c r="E17"/>
  <c r="K19"/>
  <c r="J20"/>
  <c r="J24"/>
  <c r="G17" i="202"/>
  <c r="I16" i="204"/>
  <c r="H17"/>
  <c r="L17" s="1"/>
  <c r="J17" i="202" l="1"/>
  <c r="I17"/>
  <c r="I25" s="1"/>
  <c r="G6" s="1"/>
  <c r="I17" i="203"/>
  <c r="Q24" i="211"/>
  <c r="Q27" s="1"/>
  <c r="C228" i="205"/>
  <c r="X228"/>
  <c r="AL69"/>
  <c r="AL42"/>
  <c r="AL49" s="1"/>
  <c r="AL50" s="1"/>
  <c r="AL51" s="1"/>
  <c r="AL52" s="1"/>
  <c r="AH42"/>
  <c r="AH49" s="1"/>
  <c r="AM42"/>
  <c r="AM49" s="1"/>
  <c r="AM50" s="1"/>
  <c r="AM51" s="1"/>
  <c r="AM52" s="1"/>
  <c r="AI42"/>
  <c r="AI49" s="1"/>
  <c r="AI50" s="1"/>
  <c r="AI51" s="1"/>
  <c r="AI52" s="1"/>
  <c r="AL71"/>
  <c r="AJ42"/>
  <c r="AJ49" s="1"/>
  <c r="AJ50" s="1"/>
  <c r="AJ51" s="1"/>
  <c r="AJ52" s="1"/>
  <c r="AK42"/>
  <c r="AK49" s="1"/>
  <c r="AK50" s="1"/>
  <c r="AK51" s="1"/>
  <c r="AK52" s="1"/>
  <c r="C235"/>
  <c r="X235"/>
  <c r="G18" i="202"/>
  <c r="G22"/>
  <c r="K22" s="1"/>
  <c r="I25" i="203"/>
  <c r="G6" s="1"/>
  <c r="H22"/>
  <c r="L22" s="1"/>
  <c r="H18"/>
  <c r="G18" i="204"/>
  <c r="G22"/>
  <c r="K22" s="1"/>
  <c r="K17"/>
  <c r="J25" i="203"/>
  <c r="G7" s="1"/>
  <c r="K17" i="202"/>
  <c r="H18" i="204"/>
  <c r="H22"/>
  <c r="L22" s="1"/>
  <c r="G22" i="203"/>
  <c r="K22" s="1"/>
  <c r="K17"/>
  <c r="G18"/>
  <c r="J25" i="204"/>
  <c r="G7" s="1"/>
  <c r="I17"/>
  <c r="E18"/>
  <c r="I18" s="1"/>
  <c r="H22" i="202"/>
  <c r="L22" s="1"/>
  <c r="H18"/>
  <c r="J25"/>
  <c r="G7" s="1"/>
  <c r="I25" i="204" l="1"/>
  <c r="G6" s="1"/>
  <c r="AH50" i="205"/>
  <c r="AN49"/>
  <c r="C145" s="1"/>
  <c r="C17"/>
  <c r="C11"/>
  <c r="C14"/>
  <c r="C16"/>
  <c r="C13"/>
  <c r="C12"/>
  <c r="C15"/>
  <c r="C10"/>
  <c r="C9"/>
  <c r="C8"/>
  <c r="C6"/>
  <c r="C7"/>
  <c r="H23" i="202"/>
  <c r="L23" s="1"/>
  <c r="L18"/>
  <c r="G23"/>
  <c r="K23" s="1"/>
  <c r="K18"/>
  <c r="G23" i="203"/>
  <c r="K23" s="1"/>
  <c r="K18"/>
  <c r="H23" i="204"/>
  <c r="L23" s="1"/>
  <c r="L18"/>
  <c r="H23" i="203"/>
  <c r="L23" s="1"/>
  <c r="L18"/>
  <c r="G23" i="204"/>
  <c r="K23" s="1"/>
  <c r="K18"/>
  <c r="K25" i="203" l="1"/>
  <c r="G8" s="1"/>
  <c r="K25" i="204"/>
  <c r="G8" s="1"/>
  <c r="L25"/>
  <c r="G9" s="1"/>
  <c r="K25" i="202"/>
  <c r="G8" s="1"/>
  <c r="AH51" i="205"/>
  <c r="AN50"/>
  <c r="L25" i="202"/>
  <c r="G9" s="1"/>
  <c r="L25" i="203"/>
  <c r="G9" s="1"/>
  <c r="AH52" i="205" l="1"/>
  <c r="AN52" s="1"/>
  <c r="AN51"/>
  <c r="E52" i="201"/>
  <c r="G52" s="1"/>
  <c r="E51"/>
  <c r="G51" s="1"/>
  <c r="E50"/>
  <c r="G50" s="1"/>
  <c r="E49"/>
  <c r="G49" s="1"/>
  <c r="E48"/>
  <c r="G48" s="1"/>
  <c r="E47"/>
  <c r="G47" s="1"/>
  <c r="D47"/>
  <c r="B47"/>
  <c r="E46"/>
  <c r="G46" s="1"/>
  <c r="D46"/>
  <c r="B46"/>
  <c r="E45"/>
  <c r="G45" s="1"/>
  <c r="D45"/>
  <c r="B45"/>
  <c r="D37"/>
  <c r="D24"/>
  <c r="L24" s="1"/>
  <c r="K23"/>
  <c r="J23"/>
  <c r="I23"/>
  <c r="D23"/>
  <c r="L23" s="1"/>
  <c r="K22"/>
  <c r="J22"/>
  <c r="D22"/>
  <c r="L22" s="1"/>
  <c r="D21"/>
  <c r="K21" s="1"/>
  <c r="H16"/>
  <c r="H17" s="1"/>
  <c r="H18" s="1"/>
  <c r="H19" s="1"/>
  <c r="G16"/>
  <c r="G17" s="1"/>
  <c r="G18" s="1"/>
  <c r="G19" s="1"/>
  <c r="F16"/>
  <c r="F17" s="1"/>
  <c r="F18" s="1"/>
  <c r="F19" s="1"/>
  <c r="E16"/>
  <c r="E17" s="1"/>
  <c r="E18" s="1"/>
  <c r="E19" s="1"/>
  <c r="D16"/>
  <c r="L16" s="1"/>
  <c r="E9"/>
  <c r="B9"/>
  <c r="F8"/>
  <c r="F9" s="1"/>
  <c r="C8"/>
  <c r="C9" s="1"/>
  <c r="E7"/>
  <c r="B7"/>
  <c r="F6"/>
  <c r="F7" s="1"/>
  <c r="C6"/>
  <c r="C7" s="1"/>
  <c r="G52" i="200"/>
  <c r="E52"/>
  <c r="E51"/>
  <c r="G51" s="1"/>
  <c r="G50"/>
  <c r="E50"/>
  <c r="E49"/>
  <c r="G49" s="1"/>
  <c r="G48"/>
  <c r="E48"/>
  <c r="E47"/>
  <c r="G47" s="1"/>
  <c r="D47"/>
  <c r="B47"/>
  <c r="E46"/>
  <c r="G46" s="1"/>
  <c r="D46"/>
  <c r="B46"/>
  <c r="E45"/>
  <c r="G45" s="1"/>
  <c r="D45"/>
  <c r="B45"/>
  <c r="D37"/>
  <c r="I24"/>
  <c r="D24"/>
  <c r="L24" s="1"/>
  <c r="J23"/>
  <c r="I23"/>
  <c r="D23"/>
  <c r="K23" s="1"/>
  <c r="K22"/>
  <c r="J22"/>
  <c r="D22"/>
  <c r="L22" s="1"/>
  <c r="D21"/>
  <c r="K21" s="1"/>
  <c r="H16"/>
  <c r="H17" s="1"/>
  <c r="H18" s="1"/>
  <c r="H19" s="1"/>
  <c r="G16"/>
  <c r="G17" s="1"/>
  <c r="G18" s="1"/>
  <c r="G19" s="1"/>
  <c r="F16"/>
  <c r="F17" s="1"/>
  <c r="F18" s="1"/>
  <c r="F19" s="1"/>
  <c r="E16"/>
  <c r="I16" s="1"/>
  <c r="D16"/>
  <c r="L16" s="1"/>
  <c r="E9"/>
  <c r="B9"/>
  <c r="F8"/>
  <c r="F9" s="1"/>
  <c r="C8"/>
  <c r="C9" s="1"/>
  <c r="E7"/>
  <c r="B7"/>
  <c r="F6"/>
  <c r="F7" s="1"/>
  <c r="C6"/>
  <c r="C7" s="1"/>
  <c r="E61" l="1"/>
  <c r="I59" s="1"/>
  <c r="D18" s="1"/>
  <c r="I43"/>
  <c r="E61" i="201"/>
  <c r="I59" s="1"/>
  <c r="D18" s="1"/>
  <c r="I43"/>
  <c r="K16" i="200"/>
  <c r="J21"/>
  <c r="I22"/>
  <c r="L23"/>
  <c r="K24"/>
  <c r="K16" i="201"/>
  <c r="J21"/>
  <c r="I22"/>
  <c r="K24"/>
  <c r="J16" i="200"/>
  <c r="E17"/>
  <c r="E18" s="1"/>
  <c r="E19" s="1"/>
  <c r="I21"/>
  <c r="J24"/>
  <c r="J16" i="201"/>
  <c r="I21"/>
  <c r="J24"/>
  <c r="L21" i="200"/>
  <c r="I16" i="201"/>
  <c r="L21"/>
  <c r="I24"/>
  <c r="J18" l="1"/>
  <c r="K18"/>
  <c r="L18"/>
  <c r="I18"/>
  <c r="J18" i="200"/>
  <c r="K18"/>
  <c r="L18"/>
  <c r="I18"/>
  <c r="I65" i="201"/>
  <c r="D19" s="1"/>
  <c r="I68"/>
  <c r="D20" s="1"/>
  <c r="D17"/>
  <c r="I84"/>
  <c r="I87"/>
  <c r="I65" i="200"/>
  <c r="D19" s="1"/>
  <c r="I68"/>
  <c r="D20" s="1"/>
  <c r="D17"/>
  <c r="I84"/>
  <c r="I87"/>
  <c r="I19" l="1"/>
  <c r="J19"/>
  <c r="K19"/>
  <c r="L19"/>
  <c r="L20" i="201"/>
  <c r="I20"/>
  <c r="J20"/>
  <c r="K20"/>
  <c r="L20" i="200"/>
  <c r="I20"/>
  <c r="J20"/>
  <c r="K20"/>
  <c r="K17" i="201"/>
  <c r="L17"/>
  <c r="I17"/>
  <c r="J17"/>
  <c r="D25"/>
  <c r="K17" i="200"/>
  <c r="L17"/>
  <c r="L25" s="1"/>
  <c r="G9" s="1"/>
  <c r="I17"/>
  <c r="J17"/>
  <c r="D25"/>
  <c r="I19" i="201"/>
  <c r="J19"/>
  <c r="K19"/>
  <c r="L19"/>
  <c r="K25" i="200" l="1"/>
  <c r="G8" s="1"/>
  <c r="I25"/>
  <c r="G6" s="1"/>
  <c r="J25"/>
  <c r="G7" s="1"/>
  <c r="K25" i="201"/>
  <c r="G8" s="1"/>
  <c r="L25"/>
  <c r="G9" s="1"/>
  <c r="I25"/>
  <c r="G6" s="1"/>
  <c r="J25"/>
  <c r="G7" s="1"/>
  <c r="H106" i="199" l="1"/>
  <c r="G106"/>
  <c r="H100"/>
  <c r="G100"/>
  <c r="H94"/>
  <c r="G93"/>
  <c r="G94" s="1"/>
  <c r="H88"/>
  <c r="G88"/>
  <c r="H82"/>
  <c r="G82"/>
  <c r="G81"/>
  <c r="H76"/>
  <c r="G75"/>
  <c r="G76" s="1"/>
  <c r="H68"/>
  <c r="G67"/>
  <c r="G66"/>
  <c r="G68" s="1"/>
  <c r="H61"/>
  <c r="G61"/>
  <c r="H55"/>
  <c r="H110" s="1"/>
  <c r="H111" s="1"/>
  <c r="G55"/>
  <c r="G54"/>
  <c r="D35"/>
  <c r="H35" s="1"/>
  <c r="D34"/>
  <c r="F34" s="1"/>
  <c r="D32"/>
  <c r="F32" s="1"/>
  <c r="D31"/>
  <c r="H31" s="1"/>
  <c r="D28"/>
  <c r="F28" s="1"/>
  <c r="D27"/>
  <c r="H27" s="1"/>
  <c r="D23"/>
  <c r="F23" s="1"/>
  <c r="D22"/>
  <c r="F22" s="1"/>
  <c r="D20"/>
  <c r="F20" s="1"/>
  <c r="D19"/>
  <c r="F19" s="1"/>
  <c r="D16"/>
  <c r="F16" s="1"/>
  <c r="D15"/>
  <c r="F15" s="1"/>
  <c r="G12"/>
  <c r="C12"/>
  <c r="A12"/>
  <c r="G11"/>
  <c r="E11"/>
  <c r="C11"/>
  <c r="A11"/>
  <c r="G10"/>
  <c r="C10"/>
  <c r="A10"/>
  <c r="G9"/>
  <c r="C9"/>
  <c r="A9"/>
  <c r="G8"/>
  <c r="C8"/>
  <c r="A8"/>
  <c r="G7"/>
  <c r="E7"/>
  <c r="E9" s="1"/>
  <c r="C7"/>
  <c r="A7"/>
  <c r="D18" l="1"/>
  <c r="D30"/>
  <c r="D33"/>
  <c r="D21"/>
  <c r="D29"/>
  <c r="D17"/>
  <c r="D110"/>
  <c r="D112" s="1"/>
  <c r="H22"/>
  <c r="D24"/>
  <c r="F27"/>
  <c r="H28"/>
  <c r="F31"/>
  <c r="H32"/>
  <c r="F35"/>
  <c r="H15"/>
  <c r="H19"/>
  <c r="H23"/>
  <c r="H16"/>
  <c r="H20"/>
  <c r="H34"/>
  <c r="D36"/>
  <c r="H21" l="1"/>
  <c r="F21"/>
  <c r="F18"/>
  <c r="H18"/>
  <c r="F29"/>
  <c r="H29"/>
  <c r="H36" s="1"/>
  <c r="H12" s="1"/>
  <c r="F30"/>
  <c r="H30"/>
  <c r="H17"/>
  <c r="H24" s="1"/>
  <c r="F17"/>
  <c r="F33"/>
  <c r="H33"/>
  <c r="F36"/>
  <c r="H11" s="1"/>
  <c r="H8" l="1"/>
  <c r="H10"/>
  <c r="F24"/>
  <c r="H100" i="198"/>
  <c r="G100"/>
  <c r="H94"/>
  <c r="G94"/>
  <c r="H88"/>
  <c r="G87"/>
  <c r="G88" s="1"/>
  <c r="D19" s="1"/>
  <c r="H82"/>
  <c r="G81"/>
  <c r="G82" s="1"/>
  <c r="D18" s="1"/>
  <c r="H76"/>
  <c r="H70"/>
  <c r="G69"/>
  <c r="G70" s="1"/>
  <c r="D16" s="1"/>
  <c r="H63"/>
  <c r="G63"/>
  <c r="G62"/>
  <c r="H57"/>
  <c r="G57"/>
  <c r="H51"/>
  <c r="H104" s="1"/>
  <c r="H105" s="1"/>
  <c r="G50"/>
  <c r="G49"/>
  <c r="G48"/>
  <c r="G47"/>
  <c r="G46"/>
  <c r="G45"/>
  <c r="G44"/>
  <c r="G43"/>
  <c r="G42"/>
  <c r="G41"/>
  <c r="G40"/>
  <c r="G51" s="1"/>
  <c r="D21"/>
  <c r="F21" s="1"/>
  <c r="D20"/>
  <c r="F20" s="1"/>
  <c r="D15"/>
  <c r="F15" s="1"/>
  <c r="F14"/>
  <c r="D14"/>
  <c r="H14" s="1"/>
  <c r="C8"/>
  <c r="A8"/>
  <c r="E7"/>
  <c r="C7"/>
  <c r="A7"/>
  <c r="H7" i="199" l="1"/>
  <c r="H9"/>
  <c r="F19" i="198"/>
  <c r="H19"/>
  <c r="F16"/>
  <c r="H16"/>
  <c r="F75"/>
  <c r="G75" s="1"/>
  <c r="G76" s="1"/>
  <c r="D17" s="1"/>
  <c r="D13"/>
  <c r="H18"/>
  <c r="F18"/>
  <c r="H15"/>
  <c r="H20"/>
  <c r="H21"/>
  <c r="D104" l="1"/>
  <c r="D106" s="1"/>
  <c r="F17"/>
  <c r="H17"/>
  <c r="F13"/>
  <c r="F22" s="1"/>
  <c r="H7" s="1"/>
  <c r="H13"/>
  <c r="H22" s="1"/>
  <c r="H8" s="1"/>
  <c r="D22"/>
  <c r="I80" i="197" l="1"/>
  <c r="E64"/>
  <c r="G64" s="1"/>
  <c r="E63"/>
  <c r="G63" s="1"/>
  <c r="E62"/>
  <c r="G62" s="1"/>
  <c r="E61"/>
  <c r="G61" s="1"/>
  <c r="B61"/>
  <c r="E60"/>
  <c r="G60" s="1"/>
  <c r="E59"/>
  <c r="G59" s="1"/>
  <c r="B59"/>
  <c r="E58"/>
  <c r="G58" s="1"/>
  <c r="G50"/>
  <c r="E50"/>
  <c r="B50"/>
  <c r="G49"/>
  <c r="E49"/>
  <c r="B49"/>
  <c r="E48"/>
  <c r="G48" s="1"/>
  <c r="B48"/>
  <c r="E47"/>
  <c r="G47" s="1"/>
  <c r="B47"/>
  <c r="E46"/>
  <c r="G46" s="1"/>
  <c r="D46"/>
  <c r="B46"/>
  <c r="E45"/>
  <c r="G45" s="1"/>
  <c r="E44"/>
  <c r="G44" s="1"/>
  <c r="E43"/>
  <c r="G43" s="1"/>
  <c r="E42"/>
  <c r="G42" s="1"/>
  <c r="D37"/>
  <c r="J24"/>
  <c r="D24"/>
  <c r="K24" s="1"/>
  <c r="K23"/>
  <c r="I23"/>
  <c r="D23"/>
  <c r="L23" s="1"/>
  <c r="D22"/>
  <c r="I22" s="1"/>
  <c r="K21"/>
  <c r="I21"/>
  <c r="D21"/>
  <c r="J21" s="1"/>
  <c r="D20"/>
  <c r="K20" s="1"/>
  <c r="H16"/>
  <c r="H17" s="1"/>
  <c r="H18" s="1"/>
  <c r="H19" s="1"/>
  <c r="G16"/>
  <c r="G17" s="1"/>
  <c r="G18" s="1"/>
  <c r="G19" s="1"/>
  <c r="F16"/>
  <c r="F17" s="1"/>
  <c r="F18" s="1"/>
  <c r="F19" s="1"/>
  <c r="E16"/>
  <c r="E17" s="1"/>
  <c r="E18" s="1"/>
  <c r="E19" s="1"/>
  <c r="F9"/>
  <c r="E9"/>
  <c r="B9"/>
  <c r="C8"/>
  <c r="C9" s="1"/>
  <c r="F7"/>
  <c r="E7"/>
  <c r="C7"/>
  <c r="B7"/>
  <c r="C6"/>
  <c r="I80" i="196"/>
  <c r="E64"/>
  <c r="G64" s="1"/>
  <c r="G63"/>
  <c r="E63"/>
  <c r="E62"/>
  <c r="G62" s="1"/>
  <c r="G61"/>
  <c r="E61"/>
  <c r="B61"/>
  <c r="E60"/>
  <c r="G60" s="1"/>
  <c r="E59"/>
  <c r="G59" s="1"/>
  <c r="B59"/>
  <c r="E58"/>
  <c r="G58" s="1"/>
  <c r="E50"/>
  <c r="G50" s="1"/>
  <c r="B50"/>
  <c r="E49"/>
  <c r="G49" s="1"/>
  <c r="B49"/>
  <c r="E48"/>
  <c r="G48" s="1"/>
  <c r="B48"/>
  <c r="E47"/>
  <c r="G47" s="1"/>
  <c r="B47"/>
  <c r="E46"/>
  <c r="G46" s="1"/>
  <c r="D46"/>
  <c r="B46"/>
  <c r="E45"/>
  <c r="G45" s="1"/>
  <c r="E44"/>
  <c r="G44" s="1"/>
  <c r="E43"/>
  <c r="G43" s="1"/>
  <c r="E42"/>
  <c r="G42" s="1"/>
  <c r="D37"/>
  <c r="D24"/>
  <c r="L24" s="1"/>
  <c r="K23"/>
  <c r="I23"/>
  <c r="D23"/>
  <c r="J23" s="1"/>
  <c r="J22"/>
  <c r="D22"/>
  <c r="K22" s="1"/>
  <c r="K21"/>
  <c r="I21"/>
  <c r="D21"/>
  <c r="L21" s="1"/>
  <c r="D20"/>
  <c r="L20" s="1"/>
  <c r="H16"/>
  <c r="H17" s="1"/>
  <c r="H18" s="1"/>
  <c r="H19" s="1"/>
  <c r="G16"/>
  <c r="G17" s="1"/>
  <c r="G18" s="1"/>
  <c r="G19" s="1"/>
  <c r="F16"/>
  <c r="F17" s="1"/>
  <c r="F18" s="1"/>
  <c r="F19" s="1"/>
  <c r="E16"/>
  <c r="E17" s="1"/>
  <c r="E18" s="1"/>
  <c r="E19" s="1"/>
  <c r="F9"/>
  <c r="E9"/>
  <c r="C9"/>
  <c r="B9"/>
  <c r="C8"/>
  <c r="F7"/>
  <c r="E7"/>
  <c r="B7"/>
  <c r="C6"/>
  <c r="C7" s="1"/>
  <c r="J20" i="197" l="1"/>
  <c r="I40"/>
  <c r="D16" s="1"/>
  <c r="I40" i="196"/>
  <c r="D16" s="1"/>
  <c r="I56" i="197"/>
  <c r="D17" s="1"/>
  <c r="E73"/>
  <c r="I71" s="1"/>
  <c r="D18" s="1"/>
  <c r="E73" i="196"/>
  <c r="I71" s="1"/>
  <c r="D18" s="1"/>
  <c r="I56"/>
  <c r="D17" s="1"/>
  <c r="K20"/>
  <c r="J21"/>
  <c r="I22"/>
  <c r="L23"/>
  <c r="K24"/>
  <c r="L22" i="197"/>
  <c r="J20" i="196"/>
  <c r="L22"/>
  <c r="J24"/>
  <c r="I20" i="197"/>
  <c r="L21"/>
  <c r="K22"/>
  <c r="J23"/>
  <c r="I24"/>
  <c r="I20" i="196"/>
  <c r="I24"/>
  <c r="L20" i="197"/>
  <c r="J22"/>
  <c r="L24"/>
  <c r="I77" i="196" l="1"/>
  <c r="D19" s="1"/>
  <c r="I99"/>
  <c r="J17" i="197"/>
  <c r="K17"/>
  <c r="L17"/>
  <c r="I17"/>
  <c r="I96" i="196"/>
  <c r="I77" i="197"/>
  <c r="D19" s="1"/>
  <c r="D25" s="1"/>
  <c r="I18"/>
  <c r="J18"/>
  <c r="K18"/>
  <c r="L18"/>
  <c r="K16"/>
  <c r="L16"/>
  <c r="I16"/>
  <c r="J16"/>
  <c r="I19" i="196"/>
  <c r="J19"/>
  <c r="K19"/>
  <c r="L19"/>
  <c r="J18"/>
  <c r="K18"/>
  <c r="L18"/>
  <c r="I18"/>
  <c r="I96" i="197"/>
  <c r="K17" i="196"/>
  <c r="L17"/>
  <c r="I17"/>
  <c r="J17"/>
  <c r="L16"/>
  <c r="D25"/>
  <c r="I16"/>
  <c r="J16"/>
  <c r="K16"/>
  <c r="I99" i="197"/>
  <c r="J25" i="196" l="1"/>
  <c r="G7" s="1"/>
  <c r="I25"/>
  <c r="G6" s="1"/>
  <c r="K25"/>
  <c r="G8" s="1"/>
  <c r="L25"/>
  <c r="G9" s="1"/>
  <c r="L19" i="197"/>
  <c r="L25" s="1"/>
  <c r="G9" s="1"/>
  <c r="I19"/>
  <c r="I25" s="1"/>
  <c r="G6" s="1"/>
  <c r="J19"/>
  <c r="J25" s="1"/>
  <c r="G7" s="1"/>
  <c r="K19"/>
  <c r="K25" s="1"/>
  <c r="G8" s="1"/>
  <c r="E65" i="195" l="1"/>
  <c r="G65" s="1"/>
  <c r="E64"/>
  <c r="G64" s="1"/>
  <c r="E63"/>
  <c r="G63" s="1"/>
  <c r="E62"/>
  <c r="G62" s="1"/>
  <c r="E61"/>
  <c r="G61" s="1"/>
  <c r="D61"/>
  <c r="B61"/>
  <c r="E60"/>
  <c r="G60" s="1"/>
  <c r="D60"/>
  <c r="B60"/>
  <c r="E59"/>
  <c r="G59" s="1"/>
  <c r="D59"/>
  <c r="B59"/>
  <c r="E58"/>
  <c r="G58" s="1"/>
  <c r="D58"/>
  <c r="B58"/>
  <c r="E57"/>
  <c r="G57" s="1"/>
  <c r="B57"/>
  <c r="E49"/>
  <c r="G49" s="1"/>
  <c r="E48"/>
  <c r="G48" s="1"/>
  <c r="E47"/>
  <c r="G47" s="1"/>
  <c r="E46"/>
  <c r="G46" s="1"/>
  <c r="E45"/>
  <c r="G45" s="1"/>
  <c r="E44"/>
  <c r="G44" s="1"/>
  <c r="E43"/>
  <c r="G43" s="1"/>
  <c r="G42"/>
  <c r="D37"/>
  <c r="K24"/>
  <c r="I24"/>
  <c r="D24"/>
  <c r="J24" s="1"/>
  <c r="D23"/>
  <c r="J23" s="1"/>
  <c r="K22"/>
  <c r="J22"/>
  <c r="I22"/>
  <c r="D22"/>
  <c r="L22" s="1"/>
  <c r="D21"/>
  <c r="L21" s="1"/>
  <c r="H16"/>
  <c r="H17" s="1"/>
  <c r="H18" s="1"/>
  <c r="H19" s="1"/>
  <c r="G16"/>
  <c r="G17" s="1"/>
  <c r="G18" s="1"/>
  <c r="G19" s="1"/>
  <c r="F16"/>
  <c r="F17" s="1"/>
  <c r="F18" s="1"/>
  <c r="F19" s="1"/>
  <c r="E16"/>
  <c r="E17" s="1"/>
  <c r="E18" s="1"/>
  <c r="E19" s="1"/>
  <c r="E9"/>
  <c r="B9"/>
  <c r="F8"/>
  <c r="F9" s="1"/>
  <c r="C8"/>
  <c r="C9" s="1"/>
  <c r="E7"/>
  <c r="B7"/>
  <c r="F6"/>
  <c r="F7" s="1"/>
  <c r="C6"/>
  <c r="C7" s="1"/>
  <c r="G65" i="194"/>
  <c r="E65"/>
  <c r="G64"/>
  <c r="E64"/>
  <c r="G63"/>
  <c r="E63"/>
  <c r="G62"/>
  <c r="E62"/>
  <c r="G61"/>
  <c r="E61"/>
  <c r="D61"/>
  <c r="B61"/>
  <c r="G60"/>
  <c r="E60"/>
  <c r="D60"/>
  <c r="B60"/>
  <c r="G59"/>
  <c r="E59"/>
  <c r="D59"/>
  <c r="B59"/>
  <c r="G58"/>
  <c r="E58"/>
  <c r="D58"/>
  <c r="B58"/>
  <c r="G57"/>
  <c r="I55" s="1"/>
  <c r="D17" s="1"/>
  <c r="E57"/>
  <c r="B57"/>
  <c r="G49"/>
  <c r="E49"/>
  <c r="G48"/>
  <c r="E48"/>
  <c r="G47"/>
  <c r="E47"/>
  <c r="G46"/>
  <c r="E46"/>
  <c r="G45"/>
  <c r="E45"/>
  <c r="G44"/>
  <c r="E44"/>
  <c r="G43"/>
  <c r="E43"/>
  <c r="G42"/>
  <c r="I40" s="1"/>
  <c r="D37"/>
  <c r="J24"/>
  <c r="D24"/>
  <c r="K24" s="1"/>
  <c r="K23"/>
  <c r="I23"/>
  <c r="D23"/>
  <c r="L23" s="1"/>
  <c r="D22"/>
  <c r="L22" s="1"/>
  <c r="K21"/>
  <c r="I21"/>
  <c r="D21"/>
  <c r="J21" s="1"/>
  <c r="H16"/>
  <c r="H17" s="1"/>
  <c r="H18" s="1"/>
  <c r="H19" s="1"/>
  <c r="G16"/>
  <c r="G17" s="1"/>
  <c r="G18" s="1"/>
  <c r="G19" s="1"/>
  <c r="F16"/>
  <c r="F17" s="1"/>
  <c r="F18" s="1"/>
  <c r="F19" s="1"/>
  <c r="E16"/>
  <c r="E17" s="1"/>
  <c r="E18" s="1"/>
  <c r="E19" s="1"/>
  <c r="F9"/>
  <c r="E9"/>
  <c r="B9"/>
  <c r="F8"/>
  <c r="C8"/>
  <c r="C9" s="1"/>
  <c r="E7"/>
  <c r="B7"/>
  <c r="F6"/>
  <c r="F7" s="1"/>
  <c r="C6"/>
  <c r="C7" s="1"/>
  <c r="G65" i="193"/>
  <c r="E65"/>
  <c r="E64"/>
  <c r="G64" s="1"/>
  <c r="G63"/>
  <c r="E63"/>
  <c r="E62"/>
  <c r="G62" s="1"/>
  <c r="G61"/>
  <c r="E61"/>
  <c r="D61"/>
  <c r="B61"/>
  <c r="G60"/>
  <c r="E60"/>
  <c r="D60"/>
  <c r="B60"/>
  <c r="G59"/>
  <c r="E59"/>
  <c r="D59"/>
  <c r="B59"/>
  <c r="G58"/>
  <c r="E58"/>
  <c r="B58"/>
  <c r="E57"/>
  <c r="G57" s="1"/>
  <c r="B57"/>
  <c r="E49"/>
  <c r="G49" s="1"/>
  <c r="E48"/>
  <c r="G48" s="1"/>
  <c r="E47"/>
  <c r="G47" s="1"/>
  <c r="E46"/>
  <c r="G46" s="1"/>
  <c r="E45"/>
  <c r="G45" s="1"/>
  <c r="E44"/>
  <c r="G44" s="1"/>
  <c r="E43"/>
  <c r="G43" s="1"/>
  <c r="I40" s="1"/>
  <c r="G42"/>
  <c r="D37"/>
  <c r="K24"/>
  <c r="J24"/>
  <c r="I24"/>
  <c r="D24"/>
  <c r="L24" s="1"/>
  <c r="K23"/>
  <c r="J23"/>
  <c r="D23"/>
  <c r="L23" s="1"/>
  <c r="K22"/>
  <c r="D22"/>
  <c r="L22" s="1"/>
  <c r="D21"/>
  <c r="I21" s="1"/>
  <c r="H16"/>
  <c r="H17" s="1"/>
  <c r="H18" s="1"/>
  <c r="H19" s="1"/>
  <c r="G16"/>
  <c r="G17" s="1"/>
  <c r="G18" s="1"/>
  <c r="G19" s="1"/>
  <c r="F16"/>
  <c r="F17" s="1"/>
  <c r="F18" s="1"/>
  <c r="F19" s="1"/>
  <c r="E16"/>
  <c r="E17" s="1"/>
  <c r="E18" s="1"/>
  <c r="E19" s="1"/>
  <c r="E9"/>
  <c r="B9"/>
  <c r="F8"/>
  <c r="F9" s="1"/>
  <c r="C8"/>
  <c r="C9" s="1"/>
  <c r="E7"/>
  <c r="B7"/>
  <c r="F6"/>
  <c r="F7" s="1"/>
  <c r="C6"/>
  <c r="C7" s="1"/>
  <c r="G62" i="192"/>
  <c r="E62"/>
  <c r="G61"/>
  <c r="E61"/>
  <c r="G60"/>
  <c r="E60"/>
  <c r="G59"/>
  <c r="E59"/>
  <c r="G58"/>
  <c r="E58"/>
  <c r="B58"/>
  <c r="E57"/>
  <c r="G57" s="1"/>
  <c r="B57"/>
  <c r="E49"/>
  <c r="G49" s="1"/>
  <c r="E48"/>
  <c r="G48" s="1"/>
  <c r="E47"/>
  <c r="G47" s="1"/>
  <c r="E46"/>
  <c r="G46" s="1"/>
  <c r="E45"/>
  <c r="G45" s="1"/>
  <c r="E44"/>
  <c r="G44" s="1"/>
  <c r="E43"/>
  <c r="G43" s="1"/>
  <c r="I40" s="1"/>
  <c r="G42"/>
  <c r="D37"/>
  <c r="K24"/>
  <c r="I24"/>
  <c r="D24"/>
  <c r="J24" s="1"/>
  <c r="D23"/>
  <c r="K23" s="1"/>
  <c r="K22"/>
  <c r="I22"/>
  <c r="D22"/>
  <c r="L22" s="1"/>
  <c r="D21"/>
  <c r="I21" s="1"/>
  <c r="H16"/>
  <c r="H17" s="1"/>
  <c r="H18" s="1"/>
  <c r="H19" s="1"/>
  <c r="G16"/>
  <c r="G17" s="1"/>
  <c r="G18" s="1"/>
  <c r="G19" s="1"/>
  <c r="F16"/>
  <c r="F17" s="1"/>
  <c r="F18" s="1"/>
  <c r="F19" s="1"/>
  <c r="E16"/>
  <c r="E17" s="1"/>
  <c r="E18" s="1"/>
  <c r="E19" s="1"/>
  <c r="E9"/>
  <c r="B9"/>
  <c r="F8"/>
  <c r="F9" s="1"/>
  <c r="C8"/>
  <c r="C9" s="1"/>
  <c r="E7"/>
  <c r="B7"/>
  <c r="F6"/>
  <c r="F7" s="1"/>
  <c r="C6"/>
  <c r="C7" s="1"/>
  <c r="G65" i="191"/>
  <c r="E65"/>
  <c r="G64"/>
  <c r="E64"/>
  <c r="G63"/>
  <c r="E63"/>
  <c r="G62"/>
  <c r="E62"/>
  <c r="G61"/>
  <c r="E61"/>
  <c r="D61"/>
  <c r="B61"/>
  <c r="G60"/>
  <c r="E60"/>
  <c r="D60"/>
  <c r="B60"/>
  <c r="G59"/>
  <c r="E59"/>
  <c r="D59"/>
  <c r="B59"/>
  <c r="G58"/>
  <c r="E58"/>
  <c r="B58"/>
  <c r="E57"/>
  <c r="G57" s="1"/>
  <c r="B57"/>
  <c r="E49"/>
  <c r="G49" s="1"/>
  <c r="E48"/>
  <c r="G48" s="1"/>
  <c r="E47"/>
  <c r="G47" s="1"/>
  <c r="E46"/>
  <c r="G46" s="1"/>
  <c r="E45"/>
  <c r="G45" s="1"/>
  <c r="E44"/>
  <c r="G44" s="1"/>
  <c r="E43"/>
  <c r="G43" s="1"/>
  <c r="I40" s="1"/>
  <c r="G42"/>
  <c r="D37"/>
  <c r="K24"/>
  <c r="I24"/>
  <c r="D24"/>
  <c r="J24" s="1"/>
  <c r="D23"/>
  <c r="K23" s="1"/>
  <c r="K22"/>
  <c r="I22"/>
  <c r="D22"/>
  <c r="L22" s="1"/>
  <c r="D21"/>
  <c r="I21" s="1"/>
  <c r="H16"/>
  <c r="H17" s="1"/>
  <c r="H18" s="1"/>
  <c r="H19" s="1"/>
  <c r="G16"/>
  <c r="G17" s="1"/>
  <c r="G18" s="1"/>
  <c r="G19" s="1"/>
  <c r="F16"/>
  <c r="F17" s="1"/>
  <c r="F18" s="1"/>
  <c r="F19" s="1"/>
  <c r="E16"/>
  <c r="E17" s="1"/>
  <c r="E18" s="1"/>
  <c r="E19" s="1"/>
  <c r="E9"/>
  <c r="B9"/>
  <c r="F8"/>
  <c r="F9" s="1"/>
  <c r="C8"/>
  <c r="C9" s="1"/>
  <c r="E7"/>
  <c r="B7"/>
  <c r="F6"/>
  <c r="F7" s="1"/>
  <c r="C6"/>
  <c r="C7" s="1"/>
  <c r="G62" i="190"/>
  <c r="E62"/>
  <c r="G61"/>
  <c r="E61"/>
  <c r="G60"/>
  <c r="E60"/>
  <c r="G59"/>
  <c r="E59"/>
  <c r="G58"/>
  <c r="E58"/>
  <c r="B58"/>
  <c r="E57"/>
  <c r="G57" s="1"/>
  <c r="B57"/>
  <c r="E49"/>
  <c r="G49" s="1"/>
  <c r="E48"/>
  <c r="G48" s="1"/>
  <c r="E47"/>
  <c r="G47" s="1"/>
  <c r="E46"/>
  <c r="G46" s="1"/>
  <c r="E45"/>
  <c r="G45" s="1"/>
  <c r="E44"/>
  <c r="G44" s="1"/>
  <c r="E43"/>
  <c r="G43" s="1"/>
  <c r="I40" s="1"/>
  <c r="G42"/>
  <c r="D37"/>
  <c r="K24"/>
  <c r="I24"/>
  <c r="D24"/>
  <c r="J24" s="1"/>
  <c r="D23"/>
  <c r="K23" s="1"/>
  <c r="K22"/>
  <c r="I22"/>
  <c r="D22"/>
  <c r="L22" s="1"/>
  <c r="D21"/>
  <c r="I21" s="1"/>
  <c r="H16"/>
  <c r="H17" s="1"/>
  <c r="H18" s="1"/>
  <c r="H19" s="1"/>
  <c r="G16"/>
  <c r="G17" s="1"/>
  <c r="G18" s="1"/>
  <c r="G19" s="1"/>
  <c r="F16"/>
  <c r="F17" s="1"/>
  <c r="F18" s="1"/>
  <c r="F19" s="1"/>
  <c r="E16"/>
  <c r="E17" s="1"/>
  <c r="E18" s="1"/>
  <c r="E19" s="1"/>
  <c r="E9"/>
  <c r="B9"/>
  <c r="F8"/>
  <c r="F9" s="1"/>
  <c r="C8"/>
  <c r="C9" s="1"/>
  <c r="E7"/>
  <c r="B7"/>
  <c r="F6"/>
  <c r="F7" s="1"/>
  <c r="C6"/>
  <c r="C7" s="1"/>
  <c r="G65" i="189"/>
  <c r="E65"/>
  <c r="G64"/>
  <c r="E64"/>
  <c r="G63"/>
  <c r="E63"/>
  <c r="G62"/>
  <c r="E62"/>
  <c r="G61"/>
  <c r="E61"/>
  <c r="D61"/>
  <c r="B61"/>
  <c r="G60"/>
  <c r="E60"/>
  <c r="D60"/>
  <c r="B60"/>
  <c r="G59"/>
  <c r="E59"/>
  <c r="D59"/>
  <c r="B59"/>
  <c r="G58"/>
  <c r="E58"/>
  <c r="B58"/>
  <c r="E57"/>
  <c r="G57" s="1"/>
  <c r="B57"/>
  <c r="E49"/>
  <c r="G49" s="1"/>
  <c r="E48"/>
  <c r="G48" s="1"/>
  <c r="E47"/>
  <c r="G47" s="1"/>
  <c r="E46"/>
  <c r="G46" s="1"/>
  <c r="E45"/>
  <c r="G45" s="1"/>
  <c r="E44"/>
  <c r="G44" s="1"/>
  <c r="E43"/>
  <c r="G43" s="1"/>
  <c r="I40" s="1"/>
  <c r="G42"/>
  <c r="D37"/>
  <c r="K24"/>
  <c r="I24"/>
  <c r="D24"/>
  <c r="J24" s="1"/>
  <c r="D23"/>
  <c r="K23" s="1"/>
  <c r="K22"/>
  <c r="I22"/>
  <c r="D22"/>
  <c r="L22" s="1"/>
  <c r="D21"/>
  <c r="I21" s="1"/>
  <c r="H16"/>
  <c r="H17" s="1"/>
  <c r="H18" s="1"/>
  <c r="H19" s="1"/>
  <c r="G16"/>
  <c r="G17" s="1"/>
  <c r="G18" s="1"/>
  <c r="G19" s="1"/>
  <c r="F16"/>
  <c r="F17" s="1"/>
  <c r="F18" s="1"/>
  <c r="F19" s="1"/>
  <c r="E16"/>
  <c r="E17" s="1"/>
  <c r="E18" s="1"/>
  <c r="E19" s="1"/>
  <c r="E9"/>
  <c r="B9"/>
  <c r="F8"/>
  <c r="F9" s="1"/>
  <c r="C8"/>
  <c r="C9" s="1"/>
  <c r="E7"/>
  <c r="B7"/>
  <c r="F6"/>
  <c r="F7" s="1"/>
  <c r="C6"/>
  <c r="C7" s="1"/>
  <c r="G62" i="188"/>
  <c r="E62"/>
  <c r="G61"/>
  <c r="E61"/>
  <c r="G60"/>
  <c r="E60"/>
  <c r="G59"/>
  <c r="E59"/>
  <c r="G58"/>
  <c r="E58"/>
  <c r="B58"/>
  <c r="E57"/>
  <c r="G57" s="1"/>
  <c r="B57"/>
  <c r="E49"/>
  <c r="G49" s="1"/>
  <c r="E48"/>
  <c r="G48" s="1"/>
  <c r="E47"/>
  <c r="G47" s="1"/>
  <c r="E46"/>
  <c r="G46" s="1"/>
  <c r="E45"/>
  <c r="G45" s="1"/>
  <c r="E44"/>
  <c r="G44" s="1"/>
  <c r="E43"/>
  <c r="G43" s="1"/>
  <c r="I40" s="1"/>
  <c r="G42"/>
  <c r="D37"/>
  <c r="K24"/>
  <c r="I24"/>
  <c r="D24"/>
  <c r="J24" s="1"/>
  <c r="D23"/>
  <c r="K23" s="1"/>
  <c r="K22"/>
  <c r="I22"/>
  <c r="D22"/>
  <c r="L22" s="1"/>
  <c r="D21"/>
  <c r="I21" s="1"/>
  <c r="H16"/>
  <c r="H17" s="1"/>
  <c r="H18" s="1"/>
  <c r="H19" s="1"/>
  <c r="G16"/>
  <c r="G17" s="1"/>
  <c r="G18" s="1"/>
  <c r="G19" s="1"/>
  <c r="F16"/>
  <c r="F17" s="1"/>
  <c r="F18" s="1"/>
  <c r="F19" s="1"/>
  <c r="E16"/>
  <c r="E17" s="1"/>
  <c r="E18" s="1"/>
  <c r="E19" s="1"/>
  <c r="E9"/>
  <c r="B9"/>
  <c r="F8"/>
  <c r="F9" s="1"/>
  <c r="C8"/>
  <c r="C9" s="1"/>
  <c r="E7"/>
  <c r="B7"/>
  <c r="F6"/>
  <c r="F7" s="1"/>
  <c r="C6"/>
  <c r="C7" s="1"/>
  <c r="I55" i="195" l="1"/>
  <c r="D17" s="1"/>
  <c r="E74"/>
  <c r="I72" s="1"/>
  <c r="D18" s="1"/>
  <c r="I40"/>
  <c r="D16" i="193"/>
  <c r="I81"/>
  <c r="D20" s="1"/>
  <c r="E74"/>
  <c r="I72" s="1"/>
  <c r="D18" s="1"/>
  <c r="I55"/>
  <c r="D17" s="1"/>
  <c r="I17" i="194"/>
  <c r="J17"/>
  <c r="K17"/>
  <c r="L17"/>
  <c r="D16" i="188"/>
  <c r="E71"/>
  <c r="I69" s="1"/>
  <c r="D18" s="1"/>
  <c r="I55"/>
  <c r="D17" s="1"/>
  <c r="D16" i="189"/>
  <c r="E74"/>
  <c r="I72" s="1"/>
  <c r="D18" s="1"/>
  <c r="I55"/>
  <c r="D17" s="1"/>
  <c r="D16" i="190"/>
  <c r="E71"/>
  <c r="I69" s="1"/>
  <c r="D18" s="1"/>
  <c r="I55"/>
  <c r="D17" s="1"/>
  <c r="D16" i="191"/>
  <c r="I81"/>
  <c r="D20" s="1"/>
  <c r="E74"/>
  <c r="I72" s="1"/>
  <c r="D18" s="1"/>
  <c r="I55"/>
  <c r="D17" s="1"/>
  <c r="D16" i="192"/>
  <c r="E71"/>
  <c r="I69" s="1"/>
  <c r="D18" s="1"/>
  <c r="I55"/>
  <c r="D17" s="1"/>
  <c r="D16" i="194"/>
  <c r="L21" i="188"/>
  <c r="J23"/>
  <c r="L21" i="189"/>
  <c r="J23"/>
  <c r="L21" i="190"/>
  <c r="J23"/>
  <c r="L21" i="191"/>
  <c r="J23"/>
  <c r="L21" i="192"/>
  <c r="J23"/>
  <c r="L21" i="193"/>
  <c r="L21" i="194"/>
  <c r="K22"/>
  <c r="J23"/>
  <c r="I24"/>
  <c r="K21" i="195"/>
  <c r="I23"/>
  <c r="L24"/>
  <c r="K21" i="188"/>
  <c r="J22"/>
  <c r="I23"/>
  <c r="L24"/>
  <c r="K21" i="189"/>
  <c r="J22"/>
  <c r="I23"/>
  <c r="L24"/>
  <c r="K21" i="190"/>
  <c r="J22"/>
  <c r="I23"/>
  <c r="L24"/>
  <c r="K21" i="191"/>
  <c r="J22"/>
  <c r="I23"/>
  <c r="L24"/>
  <c r="K21" i="192"/>
  <c r="J22"/>
  <c r="I23"/>
  <c r="L24"/>
  <c r="K21" i="193"/>
  <c r="J22"/>
  <c r="I23"/>
  <c r="J22" i="194"/>
  <c r="L24"/>
  <c r="E74"/>
  <c r="I72" s="1"/>
  <c r="D18" s="1"/>
  <c r="J21" i="195"/>
  <c r="L23"/>
  <c r="J21" i="188"/>
  <c r="L23"/>
  <c r="J21" i="189"/>
  <c r="L23"/>
  <c r="J21" i="190"/>
  <c r="L23"/>
  <c r="J21" i="191"/>
  <c r="L23"/>
  <c r="J21" i="192"/>
  <c r="L23"/>
  <c r="J21" i="193"/>
  <c r="I22"/>
  <c r="I22" i="194"/>
  <c r="I21" i="195"/>
  <c r="K23"/>
  <c r="J16" i="194" l="1"/>
  <c r="K16"/>
  <c r="L16"/>
  <c r="I16"/>
  <c r="I17" i="192"/>
  <c r="J17"/>
  <c r="K17"/>
  <c r="L17"/>
  <c r="L18" i="191"/>
  <c r="I18"/>
  <c r="J18"/>
  <c r="K18"/>
  <c r="J16" i="189"/>
  <c r="K16"/>
  <c r="L16"/>
  <c r="I16"/>
  <c r="I17" i="188"/>
  <c r="J17"/>
  <c r="K17"/>
  <c r="L17"/>
  <c r="L18" i="193"/>
  <c r="I18"/>
  <c r="J18"/>
  <c r="K18"/>
  <c r="L17" i="195"/>
  <c r="I17"/>
  <c r="J17"/>
  <c r="K17"/>
  <c r="I75" i="192"/>
  <c r="D19" s="1"/>
  <c r="I100" i="191"/>
  <c r="I78" i="190"/>
  <c r="D20" s="1"/>
  <c r="I75" i="188"/>
  <c r="D19" s="1"/>
  <c r="D25" s="1"/>
  <c r="I100" i="193"/>
  <c r="L18" i="194"/>
  <c r="I18"/>
  <c r="J18"/>
  <c r="K18"/>
  <c r="J16" i="192"/>
  <c r="K16"/>
  <c r="L16"/>
  <c r="I16"/>
  <c r="I17" i="191"/>
  <c r="J17"/>
  <c r="K17"/>
  <c r="L17"/>
  <c r="L18" i="190"/>
  <c r="I18"/>
  <c r="J18"/>
  <c r="K18"/>
  <c r="J16" i="188"/>
  <c r="K16"/>
  <c r="L16"/>
  <c r="I16"/>
  <c r="I17" i="193"/>
  <c r="J17"/>
  <c r="K17"/>
  <c r="L17"/>
  <c r="K18" i="195"/>
  <c r="L18"/>
  <c r="I18"/>
  <c r="J18"/>
  <c r="I78" i="194"/>
  <c r="I81"/>
  <c r="D20" s="1"/>
  <c r="I78" i="191"/>
  <c r="I81" i="189"/>
  <c r="D20" s="1"/>
  <c r="I78" i="193"/>
  <c r="D19" s="1"/>
  <c r="J16" i="191"/>
  <c r="K16"/>
  <c r="L16"/>
  <c r="I16"/>
  <c r="I17" i="190"/>
  <c r="J17"/>
  <c r="K17"/>
  <c r="L17"/>
  <c r="L18" i="189"/>
  <c r="I18"/>
  <c r="J18"/>
  <c r="K18"/>
  <c r="J16" i="193"/>
  <c r="K16"/>
  <c r="L16"/>
  <c r="D25"/>
  <c r="I16"/>
  <c r="I78" i="195"/>
  <c r="D19" s="1"/>
  <c r="I81"/>
  <c r="D20" s="1"/>
  <c r="I100"/>
  <c r="D16"/>
  <c r="I78" i="192"/>
  <c r="D20" s="1"/>
  <c r="I94"/>
  <c r="I75" i="190"/>
  <c r="D19" s="1"/>
  <c r="D25" s="1"/>
  <c r="I100" i="189"/>
  <c r="I78" i="188"/>
  <c r="D20" s="1"/>
  <c r="I94"/>
  <c r="L18" i="192"/>
  <c r="I18"/>
  <c r="J18"/>
  <c r="K18"/>
  <c r="J20" i="191"/>
  <c r="K20"/>
  <c r="L20"/>
  <c r="I20"/>
  <c r="J16" i="190"/>
  <c r="K16"/>
  <c r="L16"/>
  <c r="I16"/>
  <c r="I17" i="189"/>
  <c r="J17"/>
  <c r="K17"/>
  <c r="L17"/>
  <c r="L18" i="188"/>
  <c r="I18"/>
  <c r="J18"/>
  <c r="K18"/>
  <c r="J20" i="193"/>
  <c r="K20"/>
  <c r="L20"/>
  <c r="I20"/>
  <c r="I97" i="192"/>
  <c r="I78" i="189"/>
  <c r="D19" s="1"/>
  <c r="I97" i="188"/>
  <c r="I97" i="193"/>
  <c r="K19" i="189" l="1"/>
  <c r="L19"/>
  <c r="I19"/>
  <c r="I25" s="1"/>
  <c r="G6" s="1"/>
  <c r="J19"/>
  <c r="J20" i="188"/>
  <c r="K20"/>
  <c r="L20"/>
  <c r="I20"/>
  <c r="J20" i="192"/>
  <c r="K20"/>
  <c r="L20"/>
  <c r="I20"/>
  <c r="I20" i="195"/>
  <c r="J20"/>
  <c r="K20"/>
  <c r="L20"/>
  <c r="K19" i="193"/>
  <c r="L19"/>
  <c r="L25" s="1"/>
  <c r="G9" s="1"/>
  <c r="I19"/>
  <c r="I25" s="1"/>
  <c r="G6" s="1"/>
  <c r="J19"/>
  <c r="D19" i="191"/>
  <c r="I97"/>
  <c r="J20" i="190"/>
  <c r="K20"/>
  <c r="L20"/>
  <c r="I20"/>
  <c r="D25" i="189"/>
  <c r="I97" i="195"/>
  <c r="I97" i="190"/>
  <c r="I94"/>
  <c r="K19"/>
  <c r="L19"/>
  <c r="L25" s="1"/>
  <c r="G9" s="1"/>
  <c r="I19"/>
  <c r="I25" s="1"/>
  <c r="G6" s="1"/>
  <c r="J19"/>
  <c r="J20" i="189"/>
  <c r="K20"/>
  <c r="L20"/>
  <c r="I20"/>
  <c r="D19" i="194"/>
  <c r="I100"/>
  <c r="I97"/>
  <c r="K19" i="188"/>
  <c r="K25" s="1"/>
  <c r="G8" s="1"/>
  <c r="L19"/>
  <c r="I19"/>
  <c r="I25" s="1"/>
  <c r="G6" s="1"/>
  <c r="J19"/>
  <c r="J25" s="1"/>
  <c r="G7" s="1"/>
  <c r="K19" i="192"/>
  <c r="K25" s="1"/>
  <c r="G8" s="1"/>
  <c r="L19"/>
  <c r="L25" s="1"/>
  <c r="G9" s="1"/>
  <c r="I19"/>
  <c r="I25" s="1"/>
  <c r="G6" s="1"/>
  <c r="J19"/>
  <c r="J25" s="1"/>
  <c r="G7" s="1"/>
  <c r="J25" i="190"/>
  <c r="G7" s="1"/>
  <c r="J25" i="193"/>
  <c r="G7" s="1"/>
  <c r="K25" i="189"/>
  <c r="G8" s="1"/>
  <c r="D25" i="195"/>
  <c r="I16"/>
  <c r="J16"/>
  <c r="K16"/>
  <c r="L16"/>
  <c r="J19"/>
  <c r="K19"/>
  <c r="L19"/>
  <c r="I19"/>
  <c r="J20" i="194"/>
  <c r="K20"/>
  <c r="L20"/>
  <c r="I20"/>
  <c r="K25" i="190"/>
  <c r="G8" s="1"/>
  <c r="K25" i="193"/>
  <c r="G8" s="1"/>
  <c r="I97" i="189"/>
  <c r="L25" i="188"/>
  <c r="G9" s="1"/>
  <c r="D25" i="192"/>
  <c r="L25" i="189" l="1"/>
  <c r="G9" s="1"/>
  <c r="J25" i="195"/>
  <c r="G7" s="1"/>
  <c r="L25"/>
  <c r="G9" s="1"/>
  <c r="J25" i="189"/>
  <c r="G7" s="1"/>
  <c r="K19" i="194"/>
  <c r="K25" s="1"/>
  <c r="G8" s="1"/>
  <c r="L19"/>
  <c r="L25" s="1"/>
  <c r="G9" s="1"/>
  <c r="I19"/>
  <c r="I25" s="1"/>
  <c r="G6" s="1"/>
  <c r="J19"/>
  <c r="J25" s="1"/>
  <c r="G7" s="1"/>
  <c r="D25"/>
  <c r="K19" i="191"/>
  <c r="K25" s="1"/>
  <c r="G8" s="1"/>
  <c r="L19"/>
  <c r="L25" s="1"/>
  <c r="G9" s="1"/>
  <c r="I19"/>
  <c r="I25" s="1"/>
  <c r="G6" s="1"/>
  <c r="J19"/>
  <c r="J25" s="1"/>
  <c r="G7" s="1"/>
  <c r="D25"/>
  <c r="I25" i="195"/>
  <c r="G6" s="1"/>
  <c r="K25"/>
  <c r="G8" s="1"/>
  <c r="E66" i="187" l="1"/>
  <c r="G66" s="1"/>
  <c r="E65"/>
  <c r="G65" s="1"/>
  <c r="E64"/>
  <c r="G64" s="1"/>
  <c r="E63"/>
  <c r="G63" s="1"/>
  <c r="E62"/>
  <c r="G62" s="1"/>
  <c r="E61"/>
  <c r="G61" s="1"/>
  <c r="D61"/>
  <c r="B61"/>
  <c r="E60"/>
  <c r="G60" s="1"/>
  <c r="D60"/>
  <c r="B60"/>
  <c r="E59"/>
  <c r="G59" s="1"/>
  <c r="D59"/>
  <c r="B59"/>
  <c r="E58"/>
  <c r="G58" s="1"/>
  <c r="D58"/>
  <c r="B58"/>
  <c r="E57"/>
  <c r="G57" s="1"/>
  <c r="D57"/>
  <c r="B57"/>
  <c r="E49"/>
  <c r="G49" s="1"/>
  <c r="G48"/>
  <c r="E48"/>
  <c r="E47"/>
  <c r="G47" s="1"/>
  <c r="G46"/>
  <c r="E46"/>
  <c r="E45"/>
  <c r="G45" s="1"/>
  <c r="G44"/>
  <c r="E44"/>
  <c r="E43"/>
  <c r="G43" s="1"/>
  <c r="G42"/>
  <c r="I40" s="1"/>
  <c r="D37"/>
  <c r="D24"/>
  <c r="L24" s="1"/>
  <c r="K23"/>
  <c r="J23"/>
  <c r="I23"/>
  <c r="D23"/>
  <c r="L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3" i="186"/>
  <c r="E63"/>
  <c r="E62"/>
  <c r="G62" s="1"/>
  <c r="G61"/>
  <c r="E61"/>
  <c r="E60"/>
  <c r="G60" s="1"/>
  <c r="G59"/>
  <c r="E59"/>
  <c r="E58"/>
  <c r="G58" s="1"/>
  <c r="D58"/>
  <c r="B58"/>
  <c r="E57"/>
  <c r="G57" s="1"/>
  <c r="D57"/>
  <c r="B57"/>
  <c r="E49"/>
  <c r="G49" s="1"/>
  <c r="G48"/>
  <c r="E48"/>
  <c r="E47"/>
  <c r="G47" s="1"/>
  <c r="G46"/>
  <c r="E46"/>
  <c r="E45"/>
  <c r="G45" s="1"/>
  <c r="G44"/>
  <c r="E44"/>
  <c r="E43"/>
  <c r="G43" s="1"/>
  <c r="G42"/>
  <c r="I40" s="1"/>
  <c r="D37"/>
  <c r="I24"/>
  <c r="D24"/>
  <c r="L24" s="1"/>
  <c r="J23"/>
  <c r="I23"/>
  <c r="D23"/>
  <c r="K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3" i="185"/>
  <c r="E63"/>
  <c r="G62"/>
  <c r="E62"/>
  <c r="G61"/>
  <c r="E61"/>
  <c r="G60"/>
  <c r="E60"/>
  <c r="G59"/>
  <c r="I55" s="1"/>
  <c r="D17" s="1"/>
  <c r="E59"/>
  <c r="G58"/>
  <c r="E58"/>
  <c r="D58"/>
  <c r="B58"/>
  <c r="G57"/>
  <c r="E72" s="1"/>
  <c r="I70" s="1"/>
  <c r="D18" s="1"/>
  <c r="E57"/>
  <c r="D57"/>
  <c r="B57"/>
  <c r="E49"/>
  <c r="G49" s="1"/>
  <c r="G48"/>
  <c r="E48"/>
  <c r="E47"/>
  <c r="G47" s="1"/>
  <c r="G46"/>
  <c r="E46"/>
  <c r="E45"/>
  <c r="G45" s="1"/>
  <c r="G44"/>
  <c r="E44"/>
  <c r="E43"/>
  <c r="G43" s="1"/>
  <c r="G42"/>
  <c r="D37"/>
  <c r="I24"/>
  <c r="D24"/>
  <c r="L24" s="1"/>
  <c r="J23"/>
  <c r="I23"/>
  <c r="D23"/>
  <c r="K23" s="1"/>
  <c r="K22"/>
  <c r="J22"/>
  <c r="I22"/>
  <c r="D22"/>
  <c r="L22" s="1"/>
  <c r="D21"/>
  <c r="K21" s="1"/>
  <c r="H16"/>
  <c r="H17" s="1"/>
  <c r="H18" s="1"/>
  <c r="H19" s="1"/>
  <c r="G16"/>
  <c r="G17" s="1"/>
  <c r="G18" s="1"/>
  <c r="G19" s="1"/>
  <c r="F16"/>
  <c r="F17" s="1"/>
  <c r="F18" s="1"/>
  <c r="F19" s="1"/>
  <c r="E16"/>
  <c r="E17" s="1"/>
  <c r="E18" s="1"/>
  <c r="E19" s="1"/>
  <c r="E9"/>
  <c r="B9"/>
  <c r="F8"/>
  <c r="F9" s="1"/>
  <c r="C8"/>
  <c r="C9" s="1"/>
  <c r="E7"/>
  <c r="B7"/>
  <c r="F6"/>
  <c r="F7" s="1"/>
  <c r="C6"/>
  <c r="C7" s="1"/>
  <c r="G63" i="184"/>
  <c r="E63"/>
  <c r="E62"/>
  <c r="G62" s="1"/>
  <c r="G61"/>
  <c r="E61"/>
  <c r="E60"/>
  <c r="G60" s="1"/>
  <c r="G59"/>
  <c r="E59"/>
  <c r="E58"/>
  <c r="G58" s="1"/>
  <c r="D58"/>
  <c r="B58"/>
  <c r="E57"/>
  <c r="G57" s="1"/>
  <c r="D57"/>
  <c r="B57"/>
  <c r="E49"/>
  <c r="G49" s="1"/>
  <c r="G48"/>
  <c r="E48"/>
  <c r="E47"/>
  <c r="G47" s="1"/>
  <c r="G46"/>
  <c r="E46"/>
  <c r="E45"/>
  <c r="G45" s="1"/>
  <c r="G44"/>
  <c r="E44"/>
  <c r="E43"/>
  <c r="G43" s="1"/>
  <c r="G42"/>
  <c r="D37"/>
  <c r="I24"/>
  <c r="D24"/>
  <c r="L24" s="1"/>
  <c r="J23"/>
  <c r="I23"/>
  <c r="D23"/>
  <c r="K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3" i="183"/>
  <c r="E63"/>
  <c r="E62"/>
  <c r="G62" s="1"/>
  <c r="G61"/>
  <c r="E61"/>
  <c r="E60"/>
  <c r="G60" s="1"/>
  <c r="G59"/>
  <c r="I55" s="1"/>
  <c r="D17" s="1"/>
  <c r="E59"/>
  <c r="G58"/>
  <c r="E58"/>
  <c r="D58"/>
  <c r="B58"/>
  <c r="G57"/>
  <c r="E57"/>
  <c r="D57"/>
  <c r="B57"/>
  <c r="E49"/>
  <c r="G49" s="1"/>
  <c r="G48"/>
  <c r="E48"/>
  <c r="E47"/>
  <c r="G47" s="1"/>
  <c r="G46"/>
  <c r="E46"/>
  <c r="E45"/>
  <c r="G45" s="1"/>
  <c r="G44"/>
  <c r="E44"/>
  <c r="E43"/>
  <c r="G43" s="1"/>
  <c r="G42"/>
  <c r="I40" s="1"/>
  <c r="D37"/>
  <c r="I24"/>
  <c r="D24"/>
  <c r="L24" s="1"/>
  <c r="J23"/>
  <c r="I23"/>
  <c r="D23"/>
  <c r="K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3" i="182"/>
  <c r="E63"/>
  <c r="E62"/>
  <c r="G62" s="1"/>
  <c r="G61"/>
  <c r="E61"/>
  <c r="E60"/>
  <c r="G60" s="1"/>
  <c r="G59"/>
  <c r="E59"/>
  <c r="E58"/>
  <c r="G58" s="1"/>
  <c r="D58"/>
  <c r="B58"/>
  <c r="E57"/>
  <c r="G57" s="1"/>
  <c r="D57"/>
  <c r="B57"/>
  <c r="E49"/>
  <c r="G49" s="1"/>
  <c r="G48"/>
  <c r="E48"/>
  <c r="E47"/>
  <c r="G47" s="1"/>
  <c r="G46"/>
  <c r="E46"/>
  <c r="E45"/>
  <c r="G45" s="1"/>
  <c r="G44"/>
  <c r="E44"/>
  <c r="E43"/>
  <c r="G43" s="1"/>
  <c r="G42"/>
  <c r="D37"/>
  <c r="I24"/>
  <c r="D24"/>
  <c r="L24" s="1"/>
  <c r="J23"/>
  <c r="I23"/>
  <c r="D23"/>
  <c r="K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3" i="181"/>
  <c r="E63"/>
  <c r="G62"/>
  <c r="E62"/>
  <c r="G61"/>
  <c r="E61"/>
  <c r="G60"/>
  <c r="E60"/>
  <c r="G59"/>
  <c r="I55" s="1"/>
  <c r="D17" s="1"/>
  <c r="E59"/>
  <c r="G58"/>
  <c r="E58"/>
  <c r="D58"/>
  <c r="B58"/>
  <c r="G57"/>
  <c r="E72" s="1"/>
  <c r="I70" s="1"/>
  <c r="D18" s="1"/>
  <c r="E57"/>
  <c r="D57"/>
  <c r="B57"/>
  <c r="E49"/>
  <c r="G49" s="1"/>
  <c r="G48"/>
  <c r="E48"/>
  <c r="E47"/>
  <c r="G47" s="1"/>
  <c r="G46"/>
  <c r="E46"/>
  <c r="E45"/>
  <c r="G45" s="1"/>
  <c r="G44"/>
  <c r="E44"/>
  <c r="E43"/>
  <c r="G43" s="1"/>
  <c r="G42"/>
  <c r="I40" s="1"/>
  <c r="D37"/>
  <c r="I24"/>
  <c r="D24"/>
  <c r="L24" s="1"/>
  <c r="J23"/>
  <c r="I23"/>
  <c r="D23"/>
  <c r="K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4" i="180"/>
  <c r="E64"/>
  <c r="E63"/>
  <c r="G63" s="1"/>
  <c r="G62"/>
  <c r="E62"/>
  <c r="E61"/>
  <c r="G61" s="1"/>
  <c r="G60"/>
  <c r="E60"/>
  <c r="E59"/>
  <c r="G59" s="1"/>
  <c r="D59"/>
  <c r="B59"/>
  <c r="E58"/>
  <c r="G58" s="1"/>
  <c r="D58"/>
  <c r="B58"/>
  <c r="E57"/>
  <c r="G57" s="1"/>
  <c r="D57"/>
  <c r="B57"/>
  <c r="E49"/>
  <c r="G49" s="1"/>
  <c r="G48"/>
  <c r="E48"/>
  <c r="E47"/>
  <c r="G47" s="1"/>
  <c r="G46"/>
  <c r="E46"/>
  <c r="E45"/>
  <c r="G45" s="1"/>
  <c r="G44"/>
  <c r="E44"/>
  <c r="E43"/>
  <c r="G43" s="1"/>
  <c r="G42"/>
  <c r="D37"/>
  <c r="I24"/>
  <c r="D24"/>
  <c r="L24" s="1"/>
  <c r="J23"/>
  <c r="I23"/>
  <c r="D23"/>
  <c r="K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4" i="179"/>
  <c r="E64"/>
  <c r="E63"/>
  <c r="G63" s="1"/>
  <c r="G62"/>
  <c r="E62"/>
  <c r="E61"/>
  <c r="G61" s="1"/>
  <c r="G60"/>
  <c r="E60"/>
  <c r="E59"/>
  <c r="G59" s="1"/>
  <c r="D59"/>
  <c r="B59"/>
  <c r="E58"/>
  <c r="G58" s="1"/>
  <c r="D58"/>
  <c r="B58"/>
  <c r="E57"/>
  <c r="G57" s="1"/>
  <c r="D57"/>
  <c r="B57"/>
  <c r="E49"/>
  <c r="G49" s="1"/>
  <c r="G48"/>
  <c r="E48"/>
  <c r="E47"/>
  <c r="G47" s="1"/>
  <c r="G46"/>
  <c r="E46"/>
  <c r="E45"/>
  <c r="G45" s="1"/>
  <c r="G44"/>
  <c r="E44"/>
  <c r="E43"/>
  <c r="G43" s="1"/>
  <c r="G42"/>
  <c r="D37"/>
  <c r="D24"/>
  <c r="I24" s="1"/>
  <c r="J23"/>
  <c r="I23"/>
  <c r="D23"/>
  <c r="K23" s="1"/>
  <c r="K22"/>
  <c r="J22"/>
  <c r="D22"/>
  <c r="L22" s="1"/>
  <c r="L21"/>
  <c r="K21"/>
  <c r="D21"/>
  <c r="H16"/>
  <c r="H17" s="1"/>
  <c r="H18" s="1"/>
  <c r="H19" s="1"/>
  <c r="G16"/>
  <c r="G17" s="1"/>
  <c r="G18" s="1"/>
  <c r="G19" s="1"/>
  <c r="F16"/>
  <c r="F17" s="1"/>
  <c r="F18" s="1"/>
  <c r="F19" s="1"/>
  <c r="E16"/>
  <c r="E17" s="1"/>
  <c r="E18" s="1"/>
  <c r="E19" s="1"/>
  <c r="E9"/>
  <c r="B9"/>
  <c r="F8"/>
  <c r="F9" s="1"/>
  <c r="C8"/>
  <c r="C9" s="1"/>
  <c r="E7"/>
  <c r="C7"/>
  <c r="B7"/>
  <c r="F6"/>
  <c r="F7" s="1"/>
  <c r="C6"/>
  <c r="G64" i="178"/>
  <c r="E64"/>
  <c r="G63"/>
  <c r="E63"/>
  <c r="G62"/>
  <c r="E62"/>
  <c r="G61"/>
  <c r="E61"/>
  <c r="G60"/>
  <c r="E60"/>
  <c r="E59"/>
  <c r="G59" s="1"/>
  <c r="D59"/>
  <c r="B59"/>
  <c r="E58"/>
  <c r="G58" s="1"/>
  <c r="D58"/>
  <c r="B58"/>
  <c r="E57"/>
  <c r="G57" s="1"/>
  <c r="D57"/>
  <c r="B57"/>
  <c r="E49"/>
  <c r="G49" s="1"/>
  <c r="G48"/>
  <c r="E48"/>
  <c r="E47"/>
  <c r="G47" s="1"/>
  <c r="G46"/>
  <c r="E46"/>
  <c r="E45"/>
  <c r="G45" s="1"/>
  <c r="G44"/>
  <c r="E44"/>
  <c r="E43"/>
  <c r="G43" s="1"/>
  <c r="G42"/>
  <c r="D37"/>
  <c r="L24"/>
  <c r="I24"/>
  <c r="D24"/>
  <c r="J23"/>
  <c r="I23"/>
  <c r="D23"/>
  <c r="K23" s="1"/>
  <c r="K22"/>
  <c r="J22"/>
  <c r="D22"/>
  <c r="L22" s="1"/>
  <c r="L21"/>
  <c r="K21"/>
  <c r="D21"/>
  <c r="H16"/>
  <c r="H17" s="1"/>
  <c r="H18" s="1"/>
  <c r="H19" s="1"/>
  <c r="G16"/>
  <c r="G17" s="1"/>
  <c r="G18" s="1"/>
  <c r="G19" s="1"/>
  <c r="F16"/>
  <c r="F17" s="1"/>
  <c r="F18" s="1"/>
  <c r="F19" s="1"/>
  <c r="E16"/>
  <c r="E17" s="1"/>
  <c r="E18" s="1"/>
  <c r="E19" s="1"/>
  <c r="E9"/>
  <c r="C9"/>
  <c r="B9"/>
  <c r="F8"/>
  <c r="F9" s="1"/>
  <c r="C8"/>
  <c r="E7"/>
  <c r="B7"/>
  <c r="F6"/>
  <c r="F7" s="1"/>
  <c r="C6"/>
  <c r="C7" s="1"/>
  <c r="E64" i="177"/>
  <c r="G64" s="1"/>
  <c r="E63"/>
  <c r="G63" s="1"/>
  <c r="E62"/>
  <c r="G62" s="1"/>
  <c r="E61"/>
  <c r="G61" s="1"/>
  <c r="G60"/>
  <c r="E60"/>
  <c r="E59"/>
  <c r="G59" s="1"/>
  <c r="D59"/>
  <c r="B59"/>
  <c r="E58"/>
  <c r="G58" s="1"/>
  <c r="D58"/>
  <c r="B58"/>
  <c r="E57"/>
  <c r="G57" s="1"/>
  <c r="D57"/>
  <c r="B57"/>
  <c r="E49"/>
  <c r="G49" s="1"/>
  <c r="G48"/>
  <c r="E48"/>
  <c r="E47"/>
  <c r="G47" s="1"/>
  <c r="G46"/>
  <c r="E46"/>
  <c r="E45"/>
  <c r="G45" s="1"/>
  <c r="G44"/>
  <c r="E44"/>
  <c r="E43"/>
  <c r="G43" s="1"/>
  <c r="G42"/>
  <c r="D37"/>
  <c r="I24"/>
  <c r="D24"/>
  <c r="L24" s="1"/>
  <c r="J23"/>
  <c r="I23"/>
  <c r="D23"/>
  <c r="K23" s="1"/>
  <c r="K22"/>
  <c r="J22"/>
  <c r="D22"/>
  <c r="L22" s="1"/>
  <c r="L21"/>
  <c r="K21"/>
  <c r="D21"/>
  <c r="H16"/>
  <c r="H17" s="1"/>
  <c r="H18" s="1"/>
  <c r="H19" s="1"/>
  <c r="G16"/>
  <c r="G17" s="1"/>
  <c r="G18" s="1"/>
  <c r="G19" s="1"/>
  <c r="F16"/>
  <c r="F17" s="1"/>
  <c r="F18" s="1"/>
  <c r="F19" s="1"/>
  <c r="E16"/>
  <c r="E17" s="1"/>
  <c r="E18" s="1"/>
  <c r="E19" s="1"/>
  <c r="F9"/>
  <c r="E9"/>
  <c r="B9"/>
  <c r="F8"/>
  <c r="C8"/>
  <c r="C9" s="1"/>
  <c r="F7"/>
  <c r="E7"/>
  <c r="B7"/>
  <c r="F6"/>
  <c r="C6"/>
  <c r="C7" s="1"/>
  <c r="G64" i="176"/>
  <c r="E64"/>
  <c r="E63"/>
  <c r="G63" s="1"/>
  <c r="G62"/>
  <c r="E62"/>
  <c r="E61"/>
  <c r="G61" s="1"/>
  <c r="G60"/>
  <c r="E60"/>
  <c r="E59"/>
  <c r="G59" s="1"/>
  <c r="D59"/>
  <c r="B59"/>
  <c r="E58"/>
  <c r="G58" s="1"/>
  <c r="D58"/>
  <c r="B58"/>
  <c r="E57"/>
  <c r="G57" s="1"/>
  <c r="D57"/>
  <c r="B57"/>
  <c r="G49"/>
  <c r="E49"/>
  <c r="G48"/>
  <c r="E48"/>
  <c r="G47"/>
  <c r="E47"/>
  <c r="G46"/>
  <c r="E46"/>
  <c r="G45"/>
  <c r="E45"/>
  <c r="G44"/>
  <c r="E44"/>
  <c r="G43"/>
  <c r="E43"/>
  <c r="G42"/>
  <c r="I40" s="1"/>
  <c r="D37"/>
  <c r="J24"/>
  <c r="I24"/>
  <c r="D24"/>
  <c r="K24" s="1"/>
  <c r="K23"/>
  <c r="J23"/>
  <c r="I23"/>
  <c r="D23"/>
  <c r="L23" s="1"/>
  <c r="D22"/>
  <c r="K22" s="1"/>
  <c r="I21"/>
  <c r="D21"/>
  <c r="L21" s="1"/>
  <c r="H16"/>
  <c r="H17" s="1"/>
  <c r="H18" s="1"/>
  <c r="H19" s="1"/>
  <c r="G16"/>
  <c r="G17" s="1"/>
  <c r="G18" s="1"/>
  <c r="G19" s="1"/>
  <c r="F16"/>
  <c r="F17" s="1"/>
  <c r="F18" s="1"/>
  <c r="F19" s="1"/>
  <c r="E16"/>
  <c r="E17" s="1"/>
  <c r="E18" s="1"/>
  <c r="E19" s="1"/>
  <c r="E9"/>
  <c r="B9"/>
  <c r="F8"/>
  <c r="F9" s="1"/>
  <c r="C8"/>
  <c r="C9" s="1"/>
  <c r="E7"/>
  <c r="B7"/>
  <c r="F6"/>
  <c r="F7" s="1"/>
  <c r="C6"/>
  <c r="C7" s="1"/>
  <c r="E73" l="1"/>
  <c r="I71" s="1"/>
  <c r="D18" s="1"/>
  <c r="I55"/>
  <c r="D17" s="1"/>
  <c r="I77"/>
  <c r="D19" s="1"/>
  <c r="D16"/>
  <c r="I21" i="177"/>
  <c r="J21"/>
  <c r="J24" i="178"/>
  <c r="K24"/>
  <c r="E73"/>
  <c r="I71" s="1"/>
  <c r="D18" s="1"/>
  <c r="I55"/>
  <c r="D17" s="1"/>
  <c r="I21" i="179"/>
  <c r="J21"/>
  <c r="E72" i="182"/>
  <c r="I70" s="1"/>
  <c r="D18" s="1"/>
  <c r="I55"/>
  <c r="D17" s="1"/>
  <c r="K17" i="185"/>
  <c r="L17"/>
  <c r="I17"/>
  <c r="J17"/>
  <c r="K21" i="176"/>
  <c r="J22"/>
  <c r="L24"/>
  <c r="I40" i="177"/>
  <c r="I40" i="179"/>
  <c r="I40" i="180"/>
  <c r="I40" i="185"/>
  <c r="I21" i="178"/>
  <c r="J21"/>
  <c r="J18" i="181"/>
  <c r="K18"/>
  <c r="L18"/>
  <c r="I18"/>
  <c r="E72" i="186"/>
  <c r="I70" s="1"/>
  <c r="D18" s="1"/>
  <c r="I55"/>
  <c r="D17" s="1"/>
  <c r="E75" i="187"/>
  <c r="I73" s="1"/>
  <c r="D18" s="1"/>
  <c r="I55"/>
  <c r="D17" s="1"/>
  <c r="J21" i="176"/>
  <c r="I22"/>
  <c r="I40" i="178"/>
  <c r="L24" i="179"/>
  <c r="I40" i="182"/>
  <c r="E72" i="183"/>
  <c r="I70" s="1"/>
  <c r="D18" s="1"/>
  <c r="E72" i="184"/>
  <c r="I70" s="1"/>
  <c r="D18" s="1"/>
  <c r="I55"/>
  <c r="D17" s="1"/>
  <c r="J18" i="185"/>
  <c r="K18"/>
  <c r="L18"/>
  <c r="I18"/>
  <c r="I76" i="186"/>
  <c r="D19" s="1"/>
  <c r="D16"/>
  <c r="I79"/>
  <c r="D20" s="1"/>
  <c r="I95"/>
  <c r="I98"/>
  <c r="I79" i="187"/>
  <c r="D19" s="1"/>
  <c r="D16"/>
  <c r="I82"/>
  <c r="D20" s="1"/>
  <c r="I98"/>
  <c r="L22" i="176"/>
  <c r="J24" i="177"/>
  <c r="K24"/>
  <c r="E73"/>
  <c r="I71" s="1"/>
  <c r="D18" s="1"/>
  <c r="I55"/>
  <c r="D17" s="1"/>
  <c r="J24" i="179"/>
  <c r="K24"/>
  <c r="E73"/>
  <c r="I71" s="1"/>
  <c r="D18" s="1"/>
  <c r="I55"/>
  <c r="D17" s="1"/>
  <c r="E73" i="180"/>
  <c r="I71" s="1"/>
  <c r="D18" s="1"/>
  <c r="I55"/>
  <c r="D17" s="1"/>
  <c r="I76" i="181"/>
  <c r="D19" s="1"/>
  <c r="D16"/>
  <c r="I79"/>
  <c r="D20" s="1"/>
  <c r="I95"/>
  <c r="K17"/>
  <c r="L17"/>
  <c r="I17"/>
  <c r="J17"/>
  <c r="I76" i="183"/>
  <c r="D19" s="1"/>
  <c r="D16"/>
  <c r="I79"/>
  <c r="D20" s="1"/>
  <c r="I95"/>
  <c r="K17"/>
  <c r="L17"/>
  <c r="I17"/>
  <c r="J17"/>
  <c r="I40" i="184"/>
  <c r="I22" i="177"/>
  <c r="L23"/>
  <c r="I22" i="178"/>
  <c r="L23"/>
  <c r="I22" i="179"/>
  <c r="L23"/>
  <c r="J21" i="180"/>
  <c r="I22"/>
  <c r="L23"/>
  <c r="K24"/>
  <c r="J21" i="181"/>
  <c r="I22"/>
  <c r="L23"/>
  <c r="K24"/>
  <c r="J21" i="182"/>
  <c r="I22"/>
  <c r="L23"/>
  <c r="K24"/>
  <c r="J21" i="183"/>
  <c r="I22"/>
  <c r="L23"/>
  <c r="K24"/>
  <c r="J21" i="184"/>
  <c r="I22"/>
  <c r="L23"/>
  <c r="K24"/>
  <c r="J21" i="185"/>
  <c r="L23"/>
  <c r="K24"/>
  <c r="J21" i="186"/>
  <c r="I22"/>
  <c r="L23"/>
  <c r="K24"/>
  <c r="J21" i="187"/>
  <c r="I22"/>
  <c r="K24"/>
  <c r="I21" i="180"/>
  <c r="J24"/>
  <c r="I21" i="181"/>
  <c r="J24"/>
  <c r="I21" i="182"/>
  <c r="J24"/>
  <c r="I21" i="183"/>
  <c r="J24"/>
  <c r="I21" i="184"/>
  <c r="J24"/>
  <c r="I21" i="185"/>
  <c r="J24"/>
  <c r="I21" i="186"/>
  <c r="J24"/>
  <c r="I21" i="187"/>
  <c r="J24"/>
  <c r="L21" i="180"/>
  <c r="L21" i="181"/>
  <c r="L21" i="182"/>
  <c r="L21" i="183"/>
  <c r="L21" i="184"/>
  <c r="L21" i="185"/>
  <c r="L21" i="186"/>
  <c r="L21" i="187"/>
  <c r="I24"/>
  <c r="I19" i="183" l="1"/>
  <c r="J19"/>
  <c r="K19"/>
  <c r="L19"/>
  <c r="L16" i="181"/>
  <c r="D25"/>
  <c r="I16"/>
  <c r="J16"/>
  <c r="K16"/>
  <c r="I17" i="179"/>
  <c r="J17"/>
  <c r="K17"/>
  <c r="L17"/>
  <c r="J17" i="177"/>
  <c r="I17"/>
  <c r="K17"/>
  <c r="L17"/>
  <c r="L16" i="187"/>
  <c r="D25"/>
  <c r="I16"/>
  <c r="J16"/>
  <c r="K16"/>
  <c r="L20" i="186"/>
  <c r="I20"/>
  <c r="J20"/>
  <c r="K20"/>
  <c r="J18" i="184"/>
  <c r="K18"/>
  <c r="L18"/>
  <c r="I18"/>
  <c r="I77" i="178"/>
  <c r="D19" s="1"/>
  <c r="I80"/>
  <c r="D20" s="1"/>
  <c r="D16"/>
  <c r="J18" i="187"/>
  <c r="K18"/>
  <c r="L18"/>
  <c r="I18"/>
  <c r="I99" i="177"/>
  <c r="I80"/>
  <c r="D20" s="1"/>
  <c r="I77"/>
  <c r="D19" s="1"/>
  <c r="D16"/>
  <c r="K17" i="182"/>
  <c r="L17"/>
  <c r="I17"/>
  <c r="J17"/>
  <c r="I17" i="178"/>
  <c r="J17"/>
  <c r="K17"/>
  <c r="L17"/>
  <c r="K18" i="176"/>
  <c r="L18"/>
  <c r="I18"/>
  <c r="J18"/>
  <c r="I98" i="183"/>
  <c r="I76" i="184"/>
  <c r="D19" s="1"/>
  <c r="D16"/>
  <c r="I79"/>
  <c r="D20" s="1"/>
  <c r="I98"/>
  <c r="L16" i="183"/>
  <c r="D25"/>
  <c r="I16"/>
  <c r="J16"/>
  <c r="K16"/>
  <c r="L20" i="181"/>
  <c r="I20"/>
  <c r="J20"/>
  <c r="K20"/>
  <c r="J18" i="180"/>
  <c r="K18"/>
  <c r="L18"/>
  <c r="I18"/>
  <c r="L20" i="187"/>
  <c r="I20"/>
  <c r="J20"/>
  <c r="K20"/>
  <c r="K17" i="184"/>
  <c r="L17"/>
  <c r="I17"/>
  <c r="J17"/>
  <c r="K17" i="187"/>
  <c r="L17"/>
  <c r="I17"/>
  <c r="J17"/>
  <c r="I77" i="179"/>
  <c r="D19" s="1"/>
  <c r="I99"/>
  <c r="D16"/>
  <c r="I80"/>
  <c r="D20" s="1"/>
  <c r="J19" i="176"/>
  <c r="K19"/>
  <c r="L19"/>
  <c r="I19"/>
  <c r="L17"/>
  <c r="I17"/>
  <c r="J17"/>
  <c r="K17"/>
  <c r="L20" i="183"/>
  <c r="I20"/>
  <c r="J20"/>
  <c r="K20"/>
  <c r="K17" i="180"/>
  <c r="L17"/>
  <c r="I17"/>
  <c r="J17"/>
  <c r="I19" i="186"/>
  <c r="J19"/>
  <c r="K19"/>
  <c r="L19"/>
  <c r="I76" i="182"/>
  <c r="D19" s="1"/>
  <c r="D16"/>
  <c r="I79"/>
  <c r="D20" s="1"/>
  <c r="I95"/>
  <c r="I98"/>
  <c r="J18" i="186"/>
  <c r="K18"/>
  <c r="L18"/>
  <c r="I18"/>
  <c r="I77" i="180"/>
  <c r="D19" s="1"/>
  <c r="D16"/>
  <c r="I80"/>
  <c r="D20" s="1"/>
  <c r="I99"/>
  <c r="I16" i="176"/>
  <c r="J16"/>
  <c r="K16"/>
  <c r="L16"/>
  <c r="I80"/>
  <c r="D20" s="1"/>
  <c r="I19" i="181"/>
  <c r="J19"/>
  <c r="K19"/>
  <c r="L19"/>
  <c r="L18" i="179"/>
  <c r="I18"/>
  <c r="J18"/>
  <c r="K18"/>
  <c r="L18" i="177"/>
  <c r="I18"/>
  <c r="J18"/>
  <c r="K18"/>
  <c r="I19" i="187"/>
  <c r="J19"/>
  <c r="K19"/>
  <c r="L19"/>
  <c r="L16" i="186"/>
  <c r="D25"/>
  <c r="I16"/>
  <c r="J16"/>
  <c r="K16"/>
  <c r="J18" i="183"/>
  <c r="K18"/>
  <c r="L18"/>
  <c r="I18"/>
  <c r="K17" i="186"/>
  <c r="L17"/>
  <c r="I17"/>
  <c r="J17"/>
  <c r="I76" i="185"/>
  <c r="D19" s="1"/>
  <c r="D16"/>
  <c r="I79"/>
  <c r="D20" s="1"/>
  <c r="I98"/>
  <c r="J18" i="182"/>
  <c r="K18"/>
  <c r="L18"/>
  <c r="I18"/>
  <c r="L18" i="178"/>
  <c r="I18"/>
  <c r="J18"/>
  <c r="K18"/>
  <c r="I98" i="181"/>
  <c r="I101" i="187"/>
  <c r="I96" i="176"/>
  <c r="J25" i="186" l="1"/>
  <c r="G7" s="1"/>
  <c r="L20" i="185"/>
  <c r="I20"/>
  <c r="J20"/>
  <c r="K20"/>
  <c r="I20" i="176"/>
  <c r="J20"/>
  <c r="K20"/>
  <c r="L20"/>
  <c r="L20" i="180"/>
  <c r="I20"/>
  <c r="J20"/>
  <c r="K20"/>
  <c r="J20" i="179"/>
  <c r="K20"/>
  <c r="I20"/>
  <c r="L20"/>
  <c r="K19"/>
  <c r="L19"/>
  <c r="I19"/>
  <c r="J19"/>
  <c r="L20" i="184"/>
  <c r="I20"/>
  <c r="J20"/>
  <c r="K20"/>
  <c r="K19" i="178"/>
  <c r="L19"/>
  <c r="I19"/>
  <c r="J19"/>
  <c r="I25" i="176"/>
  <c r="G6" s="1"/>
  <c r="J25" i="187"/>
  <c r="G7" s="1"/>
  <c r="K25" i="181"/>
  <c r="G8" s="1"/>
  <c r="L25"/>
  <c r="G9" s="1"/>
  <c r="I19" i="182"/>
  <c r="J19"/>
  <c r="K19"/>
  <c r="L19"/>
  <c r="J20" i="177"/>
  <c r="K20"/>
  <c r="I20"/>
  <c r="L20"/>
  <c r="J20" i="178"/>
  <c r="K20"/>
  <c r="I20"/>
  <c r="L20"/>
  <c r="I95" i="185"/>
  <c r="K25" i="186"/>
  <c r="G8" s="1"/>
  <c r="L25"/>
  <c r="G9" s="1"/>
  <c r="J25" i="176"/>
  <c r="G7" s="1"/>
  <c r="I96" i="180"/>
  <c r="I96" i="179"/>
  <c r="I25" i="183"/>
  <c r="G6" s="1"/>
  <c r="I95" i="184"/>
  <c r="I99" i="176"/>
  <c r="K25" i="187"/>
  <c r="G8" s="1"/>
  <c r="L25"/>
  <c r="G9" s="1"/>
  <c r="I19" i="185"/>
  <c r="J19"/>
  <c r="K19"/>
  <c r="L19"/>
  <c r="I19" i="180"/>
  <c r="J19"/>
  <c r="K19"/>
  <c r="L19"/>
  <c r="L16" i="182"/>
  <c r="D25"/>
  <c r="I16"/>
  <c r="J16"/>
  <c r="K16"/>
  <c r="I19" i="184"/>
  <c r="J19"/>
  <c r="K19"/>
  <c r="L19"/>
  <c r="K19" i="177"/>
  <c r="L19"/>
  <c r="I19"/>
  <c r="J19"/>
  <c r="J16" i="178"/>
  <c r="K16"/>
  <c r="I16"/>
  <c r="I25" s="1"/>
  <c r="G6" s="1"/>
  <c r="L16"/>
  <c r="D25"/>
  <c r="K25" i="176"/>
  <c r="G8" s="1"/>
  <c r="J25" i="183"/>
  <c r="G7" s="1"/>
  <c r="I96" i="178"/>
  <c r="I25" i="181"/>
  <c r="G6" s="1"/>
  <c r="L16" i="185"/>
  <c r="D25"/>
  <c r="I16"/>
  <c r="I25" s="1"/>
  <c r="G6" s="1"/>
  <c r="J16"/>
  <c r="J25" s="1"/>
  <c r="G7" s="1"/>
  <c r="K16"/>
  <c r="K25" s="1"/>
  <c r="G8" s="1"/>
  <c r="L16" i="180"/>
  <c r="L25" s="1"/>
  <c r="G9" s="1"/>
  <c r="D25"/>
  <c r="I16"/>
  <c r="J16"/>
  <c r="K16"/>
  <c r="L20" i="182"/>
  <c r="I20"/>
  <c r="J20"/>
  <c r="K20"/>
  <c r="J16" i="179"/>
  <c r="J25" s="1"/>
  <c r="G7" s="1"/>
  <c r="K16"/>
  <c r="K25" s="1"/>
  <c r="G8" s="1"/>
  <c r="I16"/>
  <c r="L16"/>
  <c r="D25"/>
  <c r="L16" i="184"/>
  <c r="D25"/>
  <c r="I16"/>
  <c r="J16"/>
  <c r="K16"/>
  <c r="I16" i="177"/>
  <c r="J16"/>
  <c r="J25" s="1"/>
  <c r="G7" s="1"/>
  <c r="K16"/>
  <c r="D25"/>
  <c r="L16"/>
  <c r="L25" s="1"/>
  <c r="G9" s="1"/>
  <c r="I25" i="186"/>
  <c r="G6" s="1"/>
  <c r="L25" i="176"/>
  <c r="G9" s="1"/>
  <c r="D25"/>
  <c r="K25" i="183"/>
  <c r="G8" s="1"/>
  <c r="L25"/>
  <c r="G9" s="1"/>
  <c r="I96" i="177"/>
  <c r="I99" i="178"/>
  <c r="I25" i="187"/>
  <c r="G6" s="1"/>
  <c r="J25" i="181"/>
  <c r="G7" s="1"/>
  <c r="K25" i="177" l="1"/>
  <c r="G8" s="1"/>
  <c r="J25" i="180"/>
  <c r="G7" s="1"/>
  <c r="K25" i="178"/>
  <c r="G8" s="1"/>
  <c r="I25" i="184"/>
  <c r="G6" s="1"/>
  <c r="K25"/>
  <c r="G8" s="1"/>
  <c r="L25"/>
  <c r="G9" s="1"/>
  <c r="J25" i="178"/>
  <c r="G7" s="1"/>
  <c r="I25" i="177"/>
  <c r="G6" s="1"/>
  <c r="I25" i="179"/>
  <c r="G6" s="1"/>
  <c r="L25"/>
  <c r="G9" s="1"/>
  <c r="K25" i="180"/>
  <c r="G8" s="1"/>
  <c r="J25" i="184"/>
  <c r="G7" s="1"/>
  <c r="L25" i="178"/>
  <c r="G9" s="1"/>
  <c r="I25" i="180"/>
  <c r="G6" s="1"/>
  <c r="L25" i="185"/>
  <c r="G9" s="1"/>
  <c r="I25" i="182"/>
  <c r="G6" s="1"/>
  <c r="J25"/>
  <c r="G7" s="1"/>
  <c r="K25"/>
  <c r="G8" s="1"/>
  <c r="L25"/>
  <c r="G9" s="1"/>
  <c r="I79" i="175" l="1"/>
  <c r="E63"/>
  <c r="G63" s="1"/>
  <c r="E62"/>
  <c r="G62" s="1"/>
  <c r="E61"/>
  <c r="G61" s="1"/>
  <c r="E60"/>
  <c r="G60" s="1"/>
  <c r="B60"/>
  <c r="E59"/>
  <c r="G59" s="1"/>
  <c r="E58"/>
  <c r="G58" s="1"/>
  <c r="E50"/>
  <c r="G50" s="1"/>
  <c r="B50"/>
  <c r="E49"/>
  <c r="G49" s="1"/>
  <c r="B49"/>
  <c r="E48"/>
  <c r="G48" s="1"/>
  <c r="B48"/>
  <c r="G47"/>
  <c r="E47"/>
  <c r="B47"/>
  <c r="E46"/>
  <c r="G46" s="1"/>
  <c r="E45"/>
  <c r="G45" s="1"/>
  <c r="E44"/>
  <c r="G44" s="1"/>
  <c r="E43"/>
  <c r="G43" s="1"/>
  <c r="G42"/>
  <c r="J24"/>
  <c r="D24"/>
  <c r="L24" s="1"/>
  <c r="K23"/>
  <c r="J23"/>
  <c r="I23"/>
  <c r="D23"/>
  <c r="L23" s="1"/>
  <c r="D22"/>
  <c r="J22" s="1"/>
  <c r="K21"/>
  <c r="I21"/>
  <c r="D21"/>
  <c r="L21" s="1"/>
  <c r="J20"/>
  <c r="D20"/>
  <c r="L20" s="1"/>
  <c r="H16"/>
  <c r="H17" s="1"/>
  <c r="H18" s="1"/>
  <c r="H19" s="1"/>
  <c r="G16"/>
  <c r="G17" s="1"/>
  <c r="G18" s="1"/>
  <c r="G19" s="1"/>
  <c r="F16"/>
  <c r="F17" s="1"/>
  <c r="F18" s="1"/>
  <c r="F19" s="1"/>
  <c r="E16"/>
  <c r="E17" s="1"/>
  <c r="E18" s="1"/>
  <c r="E19" s="1"/>
  <c r="F9"/>
  <c r="E9"/>
  <c r="C8"/>
  <c r="C9" s="1"/>
  <c r="F7"/>
  <c r="E7"/>
  <c r="C7"/>
  <c r="C6"/>
  <c r="I78" i="174"/>
  <c r="G62"/>
  <c r="E62"/>
  <c r="G61"/>
  <c r="E61"/>
  <c r="G60"/>
  <c r="E60"/>
  <c r="G59"/>
  <c r="E59"/>
  <c r="B59"/>
  <c r="E58"/>
  <c r="G58" s="1"/>
  <c r="E57"/>
  <c r="G57" s="1"/>
  <c r="E49"/>
  <c r="G49" s="1"/>
  <c r="B49"/>
  <c r="E48"/>
  <c r="G48" s="1"/>
  <c r="E47"/>
  <c r="G47" s="1"/>
  <c r="E46"/>
  <c r="G46" s="1"/>
  <c r="E45"/>
  <c r="G45" s="1"/>
  <c r="E44"/>
  <c r="G44" s="1"/>
  <c r="E43"/>
  <c r="G43" s="1"/>
  <c r="G42"/>
  <c r="J24"/>
  <c r="D24"/>
  <c r="K24" s="1"/>
  <c r="K23"/>
  <c r="I23"/>
  <c r="D23"/>
  <c r="L23" s="1"/>
  <c r="D22"/>
  <c r="I22" s="1"/>
  <c r="K21"/>
  <c r="I21"/>
  <c r="D21"/>
  <c r="J21" s="1"/>
  <c r="J20"/>
  <c r="D20"/>
  <c r="K20" s="1"/>
  <c r="G17"/>
  <c r="G18" s="1"/>
  <c r="G19" s="1"/>
  <c r="H16"/>
  <c r="H17" s="1"/>
  <c r="H18" s="1"/>
  <c r="H19" s="1"/>
  <c r="G16"/>
  <c r="F16"/>
  <c r="F17" s="1"/>
  <c r="F18" s="1"/>
  <c r="F19" s="1"/>
  <c r="E16"/>
  <c r="E17" s="1"/>
  <c r="E18" s="1"/>
  <c r="E19" s="1"/>
  <c r="F9"/>
  <c r="E9"/>
  <c r="C8"/>
  <c r="C9" s="1"/>
  <c r="F7"/>
  <c r="E7"/>
  <c r="C7"/>
  <c r="C6"/>
  <c r="I80" i="173"/>
  <c r="E64"/>
  <c r="G64" s="1"/>
  <c r="E63"/>
  <c r="G63" s="1"/>
  <c r="E62"/>
  <c r="G62" s="1"/>
  <c r="E61"/>
  <c r="G61" s="1"/>
  <c r="B61"/>
  <c r="E60"/>
  <c r="G60" s="1"/>
  <c r="E59"/>
  <c r="G59" s="1"/>
  <c r="B59"/>
  <c r="E58"/>
  <c r="G58" s="1"/>
  <c r="E50"/>
  <c r="G50" s="1"/>
  <c r="B50"/>
  <c r="E49"/>
  <c r="G49" s="1"/>
  <c r="B49"/>
  <c r="G48"/>
  <c r="E48"/>
  <c r="B48"/>
  <c r="E47"/>
  <c r="G47" s="1"/>
  <c r="B47"/>
  <c r="E46"/>
  <c r="G46" s="1"/>
  <c r="D46"/>
  <c r="B46"/>
  <c r="E45"/>
  <c r="G45" s="1"/>
  <c r="E44"/>
  <c r="G44" s="1"/>
  <c r="E43"/>
  <c r="G43" s="1"/>
  <c r="E42"/>
  <c r="G42" s="1"/>
  <c r="D37"/>
  <c r="K24"/>
  <c r="I24"/>
  <c r="D24"/>
  <c r="J24" s="1"/>
  <c r="J23"/>
  <c r="D23"/>
  <c r="K23" s="1"/>
  <c r="K22"/>
  <c r="I22"/>
  <c r="D22"/>
  <c r="L22" s="1"/>
  <c r="D21"/>
  <c r="I21" s="1"/>
  <c r="K20"/>
  <c r="I20"/>
  <c r="D20"/>
  <c r="J20" s="1"/>
  <c r="H17"/>
  <c r="H18" s="1"/>
  <c r="H19" s="1"/>
  <c r="H16"/>
  <c r="G16"/>
  <c r="G17" s="1"/>
  <c r="G18" s="1"/>
  <c r="G19" s="1"/>
  <c r="F16"/>
  <c r="F17" s="1"/>
  <c r="F18" s="1"/>
  <c r="F19" s="1"/>
  <c r="E16"/>
  <c r="E17" s="1"/>
  <c r="E18" s="1"/>
  <c r="E19" s="1"/>
  <c r="F9"/>
  <c r="E9"/>
  <c r="C8"/>
  <c r="C9" s="1"/>
  <c r="F7"/>
  <c r="E7"/>
  <c r="C6"/>
  <c r="C7" s="1"/>
  <c r="I80" i="172"/>
  <c r="D20" s="1"/>
  <c r="I20" s="1"/>
  <c r="E64"/>
  <c r="G64" s="1"/>
  <c r="E63"/>
  <c r="G63" s="1"/>
  <c r="E62"/>
  <c r="G62" s="1"/>
  <c r="E61"/>
  <c r="G61" s="1"/>
  <c r="B61"/>
  <c r="E60"/>
  <c r="G60" s="1"/>
  <c r="E59"/>
  <c r="G59" s="1"/>
  <c r="B59"/>
  <c r="E58"/>
  <c r="G58" s="1"/>
  <c r="E50"/>
  <c r="G50" s="1"/>
  <c r="B50"/>
  <c r="E49"/>
  <c r="G49" s="1"/>
  <c r="B49"/>
  <c r="E48"/>
  <c r="G48" s="1"/>
  <c r="B48"/>
  <c r="E47"/>
  <c r="G47" s="1"/>
  <c r="B47"/>
  <c r="E46"/>
  <c r="G46" s="1"/>
  <c r="D46"/>
  <c r="B46"/>
  <c r="E45"/>
  <c r="G45" s="1"/>
  <c r="E44"/>
  <c r="G44" s="1"/>
  <c r="E43"/>
  <c r="G43" s="1"/>
  <c r="E42"/>
  <c r="G42" s="1"/>
  <c r="D37"/>
  <c r="D24"/>
  <c r="I24" s="1"/>
  <c r="K23"/>
  <c r="I23"/>
  <c r="D23"/>
  <c r="J23" s="1"/>
  <c r="D22"/>
  <c r="K22" s="1"/>
  <c r="K21"/>
  <c r="I21"/>
  <c r="D21"/>
  <c r="L21" s="1"/>
  <c r="H16"/>
  <c r="H17" s="1"/>
  <c r="H18" s="1"/>
  <c r="H19" s="1"/>
  <c r="G16"/>
  <c r="G17" s="1"/>
  <c r="G18" s="1"/>
  <c r="G19" s="1"/>
  <c r="F16"/>
  <c r="F17" s="1"/>
  <c r="F18" s="1"/>
  <c r="F19" s="1"/>
  <c r="E16"/>
  <c r="E17" s="1"/>
  <c r="E18" s="1"/>
  <c r="E19" s="1"/>
  <c r="F9"/>
  <c r="E9"/>
  <c r="C8"/>
  <c r="C9" s="1"/>
  <c r="F7"/>
  <c r="E7"/>
  <c r="C7"/>
  <c r="C6"/>
  <c r="I40" i="175" l="1"/>
  <c r="I56" i="172"/>
  <c r="D17" s="1"/>
  <c r="L17" s="1"/>
  <c r="E73"/>
  <c r="I71" s="1"/>
  <c r="D18" s="1"/>
  <c r="I40" i="173"/>
  <c r="I56" i="175"/>
  <c r="D17" s="1"/>
  <c r="I55" i="174"/>
  <c r="D17" s="1"/>
  <c r="E71"/>
  <c r="I69" s="1"/>
  <c r="D18" s="1"/>
  <c r="I40" i="172"/>
  <c r="I40" i="174"/>
  <c r="E73" i="173"/>
  <c r="I71" s="1"/>
  <c r="D18" s="1"/>
  <c r="I56"/>
  <c r="D17" s="1"/>
  <c r="D16" i="175"/>
  <c r="L20" i="172"/>
  <c r="J22"/>
  <c r="L24"/>
  <c r="L21" i="173"/>
  <c r="L22" i="174"/>
  <c r="K20" i="175"/>
  <c r="J21"/>
  <c r="I22"/>
  <c r="K24"/>
  <c r="E72"/>
  <c r="I70" s="1"/>
  <c r="D18" s="1"/>
  <c r="K20" i="172"/>
  <c r="J21"/>
  <c r="I22"/>
  <c r="L23"/>
  <c r="K24"/>
  <c r="L20" i="173"/>
  <c r="K21"/>
  <c r="J22"/>
  <c r="I23"/>
  <c r="L24"/>
  <c r="I20" i="174"/>
  <c r="L21"/>
  <c r="K22"/>
  <c r="J23"/>
  <c r="I24"/>
  <c r="L22" i="175"/>
  <c r="J20" i="172"/>
  <c r="L22"/>
  <c r="J24"/>
  <c r="J21" i="173"/>
  <c r="L23"/>
  <c r="L20" i="174"/>
  <c r="J22"/>
  <c r="L24"/>
  <c r="I20" i="175"/>
  <c r="K22"/>
  <c r="I24"/>
  <c r="I17" i="172" l="1"/>
  <c r="K17"/>
  <c r="J17"/>
  <c r="I17" i="173"/>
  <c r="J17"/>
  <c r="K17"/>
  <c r="L17"/>
  <c r="I18" i="174"/>
  <c r="J18"/>
  <c r="K18"/>
  <c r="L18"/>
  <c r="K18" i="172"/>
  <c r="L18"/>
  <c r="I18"/>
  <c r="J18"/>
  <c r="I77"/>
  <c r="D19" s="1"/>
  <c r="D16"/>
  <c r="I77" i="173"/>
  <c r="D19" s="1"/>
  <c r="D16"/>
  <c r="I76" i="175"/>
  <c r="D19" s="1"/>
  <c r="D25" s="1"/>
  <c r="J18"/>
  <c r="K18"/>
  <c r="L18"/>
  <c r="I18"/>
  <c r="L16"/>
  <c r="I16"/>
  <c r="J16"/>
  <c r="K16"/>
  <c r="I75" i="174"/>
  <c r="D19" s="1"/>
  <c r="D16"/>
  <c r="I97"/>
  <c r="K17" i="175"/>
  <c r="L17"/>
  <c r="I17"/>
  <c r="J17"/>
  <c r="L18" i="173"/>
  <c r="I18"/>
  <c r="J18"/>
  <c r="K18"/>
  <c r="J17" i="174"/>
  <c r="K17"/>
  <c r="L17"/>
  <c r="I17"/>
  <c r="I95" i="175" l="1"/>
  <c r="I99" i="172"/>
  <c r="K16" i="174"/>
  <c r="L16"/>
  <c r="D25"/>
  <c r="I16"/>
  <c r="J16"/>
  <c r="D25" i="172"/>
  <c r="I16"/>
  <c r="J16"/>
  <c r="K16"/>
  <c r="L16"/>
  <c r="I96" i="173"/>
  <c r="I98" i="175"/>
  <c r="I19"/>
  <c r="I25" s="1"/>
  <c r="G6" s="1"/>
  <c r="J19"/>
  <c r="K19"/>
  <c r="L19"/>
  <c r="L25" s="1"/>
  <c r="G9" s="1"/>
  <c r="I94" i="174"/>
  <c r="J25" i="175"/>
  <c r="G7" s="1"/>
  <c r="I99" i="173"/>
  <c r="I96" i="172"/>
  <c r="K19" i="173"/>
  <c r="L19"/>
  <c r="I19"/>
  <c r="J19"/>
  <c r="K25" i="175"/>
  <c r="G8" s="1"/>
  <c r="L19" i="174"/>
  <c r="I19"/>
  <c r="J19"/>
  <c r="K19"/>
  <c r="J16" i="173"/>
  <c r="J25" s="1"/>
  <c r="G7" s="1"/>
  <c r="K16"/>
  <c r="L16"/>
  <c r="L25" s="1"/>
  <c r="G9" s="1"/>
  <c r="D25"/>
  <c r="I16"/>
  <c r="I25" s="1"/>
  <c r="G6" s="1"/>
  <c r="J19" i="172"/>
  <c r="K19"/>
  <c r="L19"/>
  <c r="I19"/>
  <c r="K25" i="173" l="1"/>
  <c r="G8" s="1"/>
  <c r="K25" i="172"/>
  <c r="G8" s="1"/>
  <c r="J25" i="174"/>
  <c r="G7" s="1"/>
  <c r="K25"/>
  <c r="G8" s="1"/>
  <c r="L25" i="172"/>
  <c r="G9" s="1"/>
  <c r="L25" i="174"/>
  <c r="G9" s="1"/>
  <c r="I25" i="172"/>
  <c r="G6" s="1"/>
  <c r="J25"/>
  <c r="G7" s="1"/>
  <c r="I25" i="174"/>
  <c r="G6" s="1"/>
  <c r="I68" i="171" l="1"/>
  <c r="G52"/>
  <c r="E52"/>
  <c r="B52"/>
  <c r="F51"/>
  <c r="G51" s="1"/>
  <c r="E51"/>
  <c r="B51"/>
  <c r="E50"/>
  <c r="G50" s="1"/>
  <c r="G42"/>
  <c r="E42"/>
  <c r="D42"/>
  <c r="B42"/>
  <c r="I40"/>
  <c r="D24"/>
  <c r="K24" s="1"/>
  <c r="K23"/>
  <c r="I23"/>
  <c r="D23"/>
  <c r="L23" s="1"/>
  <c r="D22"/>
  <c r="I22" s="1"/>
  <c r="K21"/>
  <c r="J21"/>
  <c r="I21"/>
  <c r="D21"/>
  <c r="L21" s="1"/>
  <c r="D20"/>
  <c r="K20" s="1"/>
  <c r="H16"/>
  <c r="H17" s="1"/>
  <c r="H18" s="1"/>
  <c r="H19" s="1"/>
  <c r="G16"/>
  <c r="G17" s="1"/>
  <c r="G18" s="1"/>
  <c r="G19" s="1"/>
  <c r="F16"/>
  <c r="F17" s="1"/>
  <c r="F18" s="1"/>
  <c r="F19" s="1"/>
  <c r="E16"/>
  <c r="E17" s="1"/>
  <c r="E18" s="1"/>
  <c r="E19" s="1"/>
  <c r="D16"/>
  <c r="F9"/>
  <c r="E9"/>
  <c r="B9"/>
  <c r="C8"/>
  <c r="C9" s="1"/>
  <c r="F7"/>
  <c r="E7"/>
  <c r="C7"/>
  <c r="B7"/>
  <c r="C6"/>
  <c r="I68" i="170"/>
  <c r="E52"/>
  <c r="G52" s="1"/>
  <c r="B52"/>
  <c r="F51"/>
  <c r="G51" s="1"/>
  <c r="E51"/>
  <c r="B51"/>
  <c r="E50"/>
  <c r="G50" s="1"/>
  <c r="G42"/>
  <c r="E42"/>
  <c r="D42"/>
  <c r="B42"/>
  <c r="I40"/>
  <c r="K24"/>
  <c r="J24"/>
  <c r="D24"/>
  <c r="L24" s="1"/>
  <c r="K23"/>
  <c r="D23"/>
  <c r="I23" s="1"/>
  <c r="D22"/>
  <c r="J22" s="1"/>
  <c r="J21"/>
  <c r="I21"/>
  <c r="D21"/>
  <c r="K21" s="1"/>
  <c r="K20"/>
  <c r="J20"/>
  <c r="D20"/>
  <c r="L20" s="1"/>
  <c r="H16"/>
  <c r="H17" s="1"/>
  <c r="H18" s="1"/>
  <c r="H19" s="1"/>
  <c r="G16"/>
  <c r="G17" s="1"/>
  <c r="G18" s="1"/>
  <c r="G19" s="1"/>
  <c r="F16"/>
  <c r="J16" s="1"/>
  <c r="E16"/>
  <c r="E17" s="1"/>
  <c r="E18" s="1"/>
  <c r="E19" s="1"/>
  <c r="D16"/>
  <c r="L16" s="1"/>
  <c r="F9"/>
  <c r="E9"/>
  <c r="B9"/>
  <c r="C8"/>
  <c r="C9" s="1"/>
  <c r="F7"/>
  <c r="E7"/>
  <c r="B7"/>
  <c r="C6"/>
  <c r="C7" s="1"/>
  <c r="K16" i="171" l="1"/>
  <c r="E61" i="170"/>
  <c r="I59" s="1"/>
  <c r="D18" s="1"/>
  <c r="I48"/>
  <c r="D17" s="1"/>
  <c r="I48" i="171"/>
  <c r="D17" s="1"/>
  <c r="E61"/>
  <c r="I59" s="1"/>
  <c r="D18" s="1"/>
  <c r="K16" i="170"/>
  <c r="F17"/>
  <c r="F18" s="1"/>
  <c r="F19" s="1"/>
  <c r="I22"/>
  <c r="L23"/>
  <c r="I65"/>
  <c r="D19" s="1"/>
  <c r="J16" i="171"/>
  <c r="J20"/>
  <c r="L22"/>
  <c r="J24"/>
  <c r="L22" i="170"/>
  <c r="I87"/>
  <c r="I16" i="171"/>
  <c r="I20"/>
  <c r="K22"/>
  <c r="J23"/>
  <c r="I24"/>
  <c r="I16" i="170"/>
  <c r="I20"/>
  <c r="L21"/>
  <c r="K22"/>
  <c r="J23"/>
  <c r="I24"/>
  <c r="D25"/>
  <c r="L16" i="171"/>
  <c r="L20"/>
  <c r="J22"/>
  <c r="L24"/>
  <c r="J18" i="170" l="1"/>
  <c r="K18"/>
  <c r="L18"/>
  <c r="I18"/>
  <c r="I19"/>
  <c r="J19"/>
  <c r="K19"/>
  <c r="L19"/>
  <c r="K17"/>
  <c r="L17"/>
  <c r="I17"/>
  <c r="J17"/>
  <c r="I84"/>
  <c r="J17" i="171"/>
  <c r="K17"/>
  <c r="L17"/>
  <c r="I17"/>
  <c r="I65"/>
  <c r="I18"/>
  <c r="J18"/>
  <c r="K18"/>
  <c r="L18"/>
  <c r="L25" i="170" l="1"/>
  <c r="G9" s="1"/>
  <c r="I25"/>
  <c r="G6" s="1"/>
  <c r="K25"/>
  <c r="G8" s="1"/>
  <c r="J25"/>
  <c r="G7" s="1"/>
  <c r="D19" i="171"/>
  <c r="I84"/>
  <c r="I87"/>
  <c r="L19" l="1"/>
  <c r="L25" s="1"/>
  <c r="G9" s="1"/>
  <c r="I19"/>
  <c r="I25" s="1"/>
  <c r="G6" s="1"/>
  <c r="J19"/>
  <c r="J25" s="1"/>
  <c r="G7" s="1"/>
  <c r="K19"/>
  <c r="K25" s="1"/>
  <c r="G8" s="1"/>
  <c r="D25"/>
  <c r="E46" i="169" l="1"/>
  <c r="G46" s="1"/>
  <c r="D46"/>
  <c r="B46"/>
  <c r="I40"/>
  <c r="D37"/>
  <c r="K24"/>
  <c r="J24"/>
  <c r="I24"/>
  <c r="D24"/>
  <c r="L24" s="1"/>
  <c r="K23"/>
  <c r="J23"/>
  <c r="D23"/>
  <c r="L23" s="1"/>
  <c r="D22"/>
  <c r="I22" s="1"/>
  <c r="I21"/>
  <c r="D21"/>
  <c r="J21" s="1"/>
  <c r="H16"/>
  <c r="H17" s="1"/>
  <c r="H18" s="1"/>
  <c r="H19" s="1"/>
  <c r="G16"/>
  <c r="K16" s="1"/>
  <c r="F16"/>
  <c r="F17" s="1"/>
  <c r="F18" s="1"/>
  <c r="F19" s="1"/>
  <c r="E16"/>
  <c r="I16" s="1"/>
  <c r="D16"/>
  <c r="F9"/>
  <c r="E9"/>
  <c r="B9"/>
  <c r="C8"/>
  <c r="C9" s="1"/>
  <c r="F7"/>
  <c r="E7"/>
  <c r="B7"/>
  <c r="C6"/>
  <c r="C7" s="1"/>
  <c r="L16" l="1"/>
  <c r="E17"/>
  <c r="E18" s="1"/>
  <c r="E19" s="1"/>
  <c r="I44"/>
  <c r="D17" s="1"/>
  <c r="E56"/>
  <c r="I54" s="1"/>
  <c r="D18" s="1"/>
  <c r="I60"/>
  <c r="D19" s="1"/>
  <c r="J16"/>
  <c r="L22"/>
  <c r="L21"/>
  <c r="K22"/>
  <c r="I79"/>
  <c r="G17"/>
  <c r="G18" s="1"/>
  <c r="G19" s="1"/>
  <c r="K21"/>
  <c r="J22"/>
  <c r="I23"/>
  <c r="I63"/>
  <c r="D20" s="1"/>
  <c r="J17" l="1"/>
  <c r="K17"/>
  <c r="L17"/>
  <c r="I17"/>
  <c r="I82"/>
  <c r="K20"/>
  <c r="L20"/>
  <c r="I20"/>
  <c r="J20"/>
  <c r="L19"/>
  <c r="I19"/>
  <c r="J19"/>
  <c r="K19"/>
  <c r="I18"/>
  <c r="J18"/>
  <c r="K18"/>
  <c r="L18"/>
  <c r="D25"/>
  <c r="J25" l="1"/>
  <c r="G7" s="1"/>
  <c r="K25"/>
  <c r="G8" s="1"/>
  <c r="L25"/>
  <c r="G9" s="1"/>
  <c r="I25"/>
  <c r="G6" s="1"/>
  <c r="E66" i="168" l="1"/>
  <c r="G66" s="1"/>
  <c r="E65"/>
  <c r="G65" s="1"/>
  <c r="E64"/>
  <c r="G64" s="1"/>
  <c r="E63"/>
  <c r="G63" s="1"/>
  <c r="E62"/>
  <c r="G62" s="1"/>
  <c r="E61"/>
  <c r="G61" s="1"/>
  <c r="D61"/>
  <c r="B61"/>
  <c r="E60"/>
  <c r="G60" s="1"/>
  <c r="D60"/>
  <c r="B60"/>
  <c r="E59"/>
  <c r="G59" s="1"/>
  <c r="D59"/>
  <c r="B59"/>
  <c r="E58"/>
  <c r="G58" s="1"/>
  <c r="D58"/>
  <c r="B58"/>
  <c r="E57"/>
  <c r="G57" s="1"/>
  <c r="D57"/>
  <c r="B57"/>
  <c r="E56"/>
  <c r="G56" s="1"/>
  <c r="B56"/>
  <c r="E49"/>
  <c r="G49" s="1"/>
  <c r="E48"/>
  <c r="G48" s="1"/>
  <c r="E47"/>
  <c r="G47" s="1"/>
  <c r="B47"/>
  <c r="G46"/>
  <c r="E46"/>
  <c r="E45"/>
  <c r="G45" s="1"/>
  <c r="G44"/>
  <c r="E44"/>
  <c r="E43"/>
  <c r="G43" s="1"/>
  <c r="G42"/>
  <c r="D37"/>
  <c r="D24"/>
  <c r="L24" s="1"/>
  <c r="K23"/>
  <c r="J23"/>
  <c r="I23"/>
  <c r="D23"/>
  <c r="L23" s="1"/>
  <c r="J22"/>
  <c r="D22"/>
  <c r="K22" s="1"/>
  <c r="K21"/>
  <c r="I21"/>
  <c r="D21"/>
  <c r="L21" s="1"/>
  <c r="H16"/>
  <c r="H17" s="1"/>
  <c r="H18" s="1"/>
  <c r="H19" s="1"/>
  <c r="G16"/>
  <c r="G17" s="1"/>
  <c r="G18" s="1"/>
  <c r="G19" s="1"/>
  <c r="F16"/>
  <c r="F17" s="1"/>
  <c r="F18" s="1"/>
  <c r="F19" s="1"/>
  <c r="E16"/>
  <c r="E17" s="1"/>
  <c r="E18" s="1"/>
  <c r="E19" s="1"/>
  <c r="E9"/>
  <c r="B9"/>
  <c r="C8"/>
  <c r="C9" s="1"/>
  <c r="E7"/>
  <c r="B7"/>
  <c r="C6"/>
  <c r="C7" s="1"/>
  <c r="I54" l="1"/>
  <c r="D17" s="1"/>
  <c r="E75"/>
  <c r="I73" s="1"/>
  <c r="D18" s="1"/>
  <c r="I40"/>
  <c r="J21"/>
  <c r="I22"/>
  <c r="K24"/>
  <c r="L22"/>
  <c r="J24"/>
  <c r="I24"/>
  <c r="K17" l="1"/>
  <c r="L17"/>
  <c r="I17"/>
  <c r="J17"/>
  <c r="J18"/>
  <c r="K18"/>
  <c r="L18"/>
  <c r="I18"/>
  <c r="I79"/>
  <c r="D19" s="1"/>
  <c r="D16"/>
  <c r="I82"/>
  <c r="D20" s="1"/>
  <c r="I98"/>
  <c r="I19" l="1"/>
  <c r="J19"/>
  <c r="K19"/>
  <c r="L19"/>
  <c r="I101"/>
  <c r="L16"/>
  <c r="D25"/>
  <c r="I16"/>
  <c r="J16"/>
  <c r="K16"/>
  <c r="L20"/>
  <c r="I20"/>
  <c r="J20"/>
  <c r="K20"/>
  <c r="L25" l="1"/>
  <c r="G9" s="1"/>
  <c r="J25"/>
  <c r="G7" s="1"/>
  <c r="K25"/>
  <c r="G8" s="1"/>
  <c r="I25"/>
  <c r="G6" s="1"/>
  <c r="E62" i="167" l="1"/>
  <c r="G62" s="1"/>
  <c r="E61"/>
  <c r="G61" s="1"/>
  <c r="E60"/>
  <c r="G60" s="1"/>
  <c r="E59"/>
  <c r="G59" s="1"/>
  <c r="B59"/>
  <c r="E58"/>
  <c r="G58" s="1"/>
  <c r="E57"/>
  <c r="G57" s="1"/>
  <c r="D57"/>
  <c r="B57"/>
  <c r="E56"/>
  <c r="G56" s="1"/>
  <c r="B56"/>
  <c r="E55"/>
  <c r="G55" s="1"/>
  <c r="B55"/>
  <c r="E48"/>
  <c r="G48" s="1"/>
  <c r="B48"/>
  <c r="E47"/>
  <c r="G47" s="1"/>
  <c r="B47"/>
  <c r="E46"/>
  <c r="G46" s="1"/>
  <c r="G45"/>
  <c r="E45"/>
  <c r="E44"/>
  <c r="G44" s="1"/>
  <c r="E43"/>
  <c r="G43" s="1"/>
  <c r="G42"/>
  <c r="D37"/>
  <c r="K24"/>
  <c r="J24"/>
  <c r="D24"/>
  <c r="L24" s="1"/>
  <c r="K23"/>
  <c r="D23"/>
  <c r="L23" s="1"/>
  <c r="D22"/>
  <c r="I22" s="1"/>
  <c r="J21"/>
  <c r="I21"/>
  <c r="D21"/>
  <c r="K21" s="1"/>
  <c r="H16"/>
  <c r="H17" s="1"/>
  <c r="H18" s="1"/>
  <c r="H19" s="1"/>
  <c r="G16"/>
  <c r="G17" s="1"/>
  <c r="G18" s="1"/>
  <c r="G19" s="1"/>
  <c r="F16"/>
  <c r="F17" s="1"/>
  <c r="F18" s="1"/>
  <c r="F19" s="1"/>
  <c r="E16"/>
  <c r="E17" s="1"/>
  <c r="E18" s="1"/>
  <c r="E19" s="1"/>
  <c r="F9"/>
  <c r="E9"/>
  <c r="B9"/>
  <c r="F8"/>
  <c r="E8"/>
  <c r="C8"/>
  <c r="C9" s="1"/>
  <c r="F7"/>
  <c r="E7"/>
  <c r="B7"/>
  <c r="F6"/>
  <c r="C6"/>
  <c r="C7" s="1"/>
  <c r="E64" i="166"/>
  <c r="G64" s="1"/>
  <c r="E63"/>
  <c r="G63" s="1"/>
  <c r="E62"/>
  <c r="G62" s="1"/>
  <c r="G61"/>
  <c r="E61"/>
  <c r="E60"/>
  <c r="G60" s="1"/>
  <c r="B60"/>
  <c r="E59"/>
  <c r="G59" s="1"/>
  <c r="D59"/>
  <c r="B59"/>
  <c r="E58"/>
  <c r="G58" s="1"/>
  <c r="B58"/>
  <c r="E57"/>
  <c r="G57" s="1"/>
  <c r="B57"/>
  <c r="G50"/>
  <c r="E50"/>
  <c r="B50"/>
  <c r="E49"/>
  <c r="G49" s="1"/>
  <c r="E48"/>
  <c r="G48" s="1"/>
  <c r="B48"/>
  <c r="E47"/>
  <c r="G47" s="1"/>
  <c r="B47"/>
  <c r="E46"/>
  <c r="G46" s="1"/>
  <c r="E45"/>
  <c r="G45" s="1"/>
  <c r="E44"/>
  <c r="G44" s="1"/>
  <c r="E43"/>
  <c r="G43" s="1"/>
  <c r="G42"/>
  <c r="D37"/>
  <c r="K24"/>
  <c r="J24"/>
  <c r="I24"/>
  <c r="D24"/>
  <c r="L24" s="1"/>
  <c r="L23"/>
  <c r="D23"/>
  <c r="I22"/>
  <c r="D22"/>
  <c r="J22" s="1"/>
  <c r="J21"/>
  <c r="D21"/>
  <c r="K21" s="1"/>
  <c r="H16"/>
  <c r="H17" s="1"/>
  <c r="H18" s="1"/>
  <c r="H19" s="1"/>
  <c r="G16"/>
  <c r="G17" s="1"/>
  <c r="G18" s="1"/>
  <c r="G19" s="1"/>
  <c r="F16"/>
  <c r="F17" s="1"/>
  <c r="F18" s="1"/>
  <c r="F19" s="1"/>
  <c r="E16"/>
  <c r="E17" s="1"/>
  <c r="E18" s="1"/>
  <c r="E19" s="1"/>
  <c r="E9"/>
  <c r="B9"/>
  <c r="F8"/>
  <c r="F9" s="1"/>
  <c r="E8"/>
  <c r="C8"/>
  <c r="C9" s="1"/>
  <c r="E7"/>
  <c r="B7"/>
  <c r="F6"/>
  <c r="F7" s="1"/>
  <c r="C6"/>
  <c r="C7" s="1"/>
  <c r="E62" i="165"/>
  <c r="G62" s="1"/>
  <c r="E61"/>
  <c r="G61" s="1"/>
  <c r="E60"/>
  <c r="G60" s="1"/>
  <c r="E59"/>
  <c r="G59" s="1"/>
  <c r="B59"/>
  <c r="E58"/>
  <c r="G58" s="1"/>
  <c r="E57"/>
  <c r="G57" s="1"/>
  <c r="D57"/>
  <c r="B57"/>
  <c r="E56"/>
  <c r="G56" s="1"/>
  <c r="B56"/>
  <c r="E55"/>
  <c r="G55" s="1"/>
  <c r="B55"/>
  <c r="E48"/>
  <c r="G48" s="1"/>
  <c r="B48"/>
  <c r="E47"/>
  <c r="G47" s="1"/>
  <c r="B47"/>
  <c r="E46"/>
  <c r="G46" s="1"/>
  <c r="E45"/>
  <c r="G45" s="1"/>
  <c r="E44"/>
  <c r="G44" s="1"/>
  <c r="E43"/>
  <c r="G43" s="1"/>
  <c r="G42"/>
  <c r="D37"/>
  <c r="K24"/>
  <c r="D24"/>
  <c r="L24" s="1"/>
  <c r="L23"/>
  <c r="D23"/>
  <c r="J22"/>
  <c r="I22"/>
  <c r="D22"/>
  <c r="K22" s="1"/>
  <c r="K21"/>
  <c r="J21"/>
  <c r="D21"/>
  <c r="L21" s="1"/>
  <c r="H16"/>
  <c r="H17" s="1"/>
  <c r="H18" s="1"/>
  <c r="H19" s="1"/>
  <c r="G16"/>
  <c r="G17" s="1"/>
  <c r="G18" s="1"/>
  <c r="G19" s="1"/>
  <c r="F16"/>
  <c r="F17" s="1"/>
  <c r="F18" s="1"/>
  <c r="F19" s="1"/>
  <c r="E16"/>
  <c r="E17" s="1"/>
  <c r="E18" s="1"/>
  <c r="E19" s="1"/>
  <c r="E9"/>
  <c r="B9"/>
  <c r="F8"/>
  <c r="F9" s="1"/>
  <c r="E8"/>
  <c r="C8"/>
  <c r="C9" s="1"/>
  <c r="E7"/>
  <c r="B7"/>
  <c r="F6"/>
  <c r="F7" s="1"/>
  <c r="C6"/>
  <c r="C7" s="1"/>
  <c r="E62" i="164"/>
  <c r="G62" s="1"/>
  <c r="E61"/>
  <c r="G61" s="1"/>
  <c r="E60"/>
  <c r="G60" s="1"/>
  <c r="E59"/>
  <c r="G59" s="1"/>
  <c r="B59"/>
  <c r="E58"/>
  <c r="G58" s="1"/>
  <c r="E57"/>
  <c r="G57" s="1"/>
  <c r="D57"/>
  <c r="B57"/>
  <c r="E56"/>
  <c r="G56" s="1"/>
  <c r="B56"/>
  <c r="E55"/>
  <c r="G55" s="1"/>
  <c r="B55"/>
  <c r="E48"/>
  <c r="G48" s="1"/>
  <c r="B48"/>
  <c r="G47"/>
  <c r="E47"/>
  <c r="B47"/>
  <c r="E46"/>
  <c r="G46" s="1"/>
  <c r="E45"/>
  <c r="G45" s="1"/>
  <c r="E44"/>
  <c r="G44" s="1"/>
  <c r="E43"/>
  <c r="G43" s="1"/>
  <c r="G42"/>
  <c r="D37"/>
  <c r="K24"/>
  <c r="D24"/>
  <c r="L24" s="1"/>
  <c r="L23"/>
  <c r="D23"/>
  <c r="J22"/>
  <c r="I22"/>
  <c r="D22"/>
  <c r="K22" s="1"/>
  <c r="K21"/>
  <c r="J21"/>
  <c r="D21"/>
  <c r="L21" s="1"/>
  <c r="H16"/>
  <c r="H17" s="1"/>
  <c r="H18" s="1"/>
  <c r="H19" s="1"/>
  <c r="G16"/>
  <c r="G17" s="1"/>
  <c r="G18" s="1"/>
  <c r="G19" s="1"/>
  <c r="F16"/>
  <c r="F17" s="1"/>
  <c r="F18" s="1"/>
  <c r="F19" s="1"/>
  <c r="E16"/>
  <c r="E17" s="1"/>
  <c r="E18" s="1"/>
  <c r="E19" s="1"/>
  <c r="E9"/>
  <c r="B9"/>
  <c r="F8"/>
  <c r="F9" s="1"/>
  <c r="E8"/>
  <c r="C8"/>
  <c r="C9" s="1"/>
  <c r="E7"/>
  <c r="C7"/>
  <c r="B7"/>
  <c r="F6"/>
  <c r="F7" s="1"/>
  <c r="C6"/>
  <c r="E62" i="163"/>
  <c r="G62" s="1"/>
  <c r="E61"/>
  <c r="G61" s="1"/>
  <c r="E60"/>
  <c r="G60" s="1"/>
  <c r="E59"/>
  <c r="G59" s="1"/>
  <c r="B59"/>
  <c r="E58"/>
  <c r="G58" s="1"/>
  <c r="E57"/>
  <c r="G57" s="1"/>
  <c r="D57"/>
  <c r="B57"/>
  <c r="E56"/>
  <c r="G56" s="1"/>
  <c r="B56"/>
  <c r="E55"/>
  <c r="G55" s="1"/>
  <c r="B55"/>
  <c r="E48"/>
  <c r="G48" s="1"/>
  <c r="B48"/>
  <c r="E47"/>
  <c r="G47" s="1"/>
  <c r="B47"/>
  <c r="E46"/>
  <c r="G46" s="1"/>
  <c r="E45"/>
  <c r="G45" s="1"/>
  <c r="E44"/>
  <c r="G44" s="1"/>
  <c r="E43"/>
  <c r="G43" s="1"/>
  <c r="G42"/>
  <c r="D37"/>
  <c r="K24"/>
  <c r="D24"/>
  <c r="L24" s="1"/>
  <c r="D23"/>
  <c r="J22"/>
  <c r="I22"/>
  <c r="D22"/>
  <c r="K22" s="1"/>
  <c r="K21"/>
  <c r="J21"/>
  <c r="D21"/>
  <c r="L21" s="1"/>
  <c r="H16"/>
  <c r="H17" s="1"/>
  <c r="H18" s="1"/>
  <c r="H19" s="1"/>
  <c r="G16"/>
  <c r="G17" s="1"/>
  <c r="G18" s="1"/>
  <c r="G19" s="1"/>
  <c r="F16"/>
  <c r="F17" s="1"/>
  <c r="F18" s="1"/>
  <c r="F19" s="1"/>
  <c r="E16"/>
  <c r="E17" s="1"/>
  <c r="E18" s="1"/>
  <c r="E19" s="1"/>
  <c r="E9"/>
  <c r="B9"/>
  <c r="F8"/>
  <c r="F9" s="1"/>
  <c r="E8"/>
  <c r="C8"/>
  <c r="C9" s="1"/>
  <c r="E7"/>
  <c r="B7"/>
  <c r="F6"/>
  <c r="F7" s="1"/>
  <c r="C6"/>
  <c r="C7" s="1"/>
  <c r="E64" i="162"/>
  <c r="G64" s="1"/>
  <c r="E63"/>
  <c r="G63" s="1"/>
  <c r="E62"/>
  <c r="G62" s="1"/>
  <c r="E61"/>
  <c r="G61" s="1"/>
  <c r="E60"/>
  <c r="G60" s="1"/>
  <c r="B60"/>
  <c r="E59"/>
  <c r="G59" s="1"/>
  <c r="D59"/>
  <c r="B59"/>
  <c r="E58"/>
  <c r="G58" s="1"/>
  <c r="B58"/>
  <c r="E57"/>
  <c r="G57" s="1"/>
  <c r="B57"/>
  <c r="E50"/>
  <c r="G50" s="1"/>
  <c r="B50"/>
  <c r="E49"/>
  <c r="G49" s="1"/>
  <c r="E48"/>
  <c r="G48" s="1"/>
  <c r="B48"/>
  <c r="E47"/>
  <c r="G47" s="1"/>
  <c r="B47"/>
  <c r="E46"/>
  <c r="G46" s="1"/>
  <c r="E45"/>
  <c r="G45" s="1"/>
  <c r="E44"/>
  <c r="G44" s="1"/>
  <c r="E43"/>
  <c r="G43" s="1"/>
  <c r="G42"/>
  <c r="D37"/>
  <c r="D24"/>
  <c r="L24" s="1"/>
  <c r="J23"/>
  <c r="I23"/>
  <c r="D23"/>
  <c r="K23" s="1"/>
  <c r="K22"/>
  <c r="J22"/>
  <c r="D22"/>
  <c r="L22" s="1"/>
  <c r="K21"/>
  <c r="D21"/>
  <c r="L21" s="1"/>
  <c r="H16"/>
  <c r="H17" s="1"/>
  <c r="H18" s="1"/>
  <c r="H19" s="1"/>
  <c r="G16"/>
  <c r="G17" s="1"/>
  <c r="G18" s="1"/>
  <c r="G19" s="1"/>
  <c r="F16"/>
  <c r="F17" s="1"/>
  <c r="F18" s="1"/>
  <c r="F19" s="1"/>
  <c r="E16"/>
  <c r="E17" s="1"/>
  <c r="E18" s="1"/>
  <c r="E19" s="1"/>
  <c r="E9"/>
  <c r="C9"/>
  <c r="B9"/>
  <c r="F8"/>
  <c r="F9" s="1"/>
  <c r="E8"/>
  <c r="C8"/>
  <c r="E7"/>
  <c r="B7"/>
  <c r="F6"/>
  <c r="F7" s="1"/>
  <c r="C6"/>
  <c r="C7" s="1"/>
  <c r="E64" i="161"/>
  <c r="G64" s="1"/>
  <c r="E63"/>
  <c r="G63" s="1"/>
  <c r="E62"/>
  <c r="G62" s="1"/>
  <c r="E61"/>
  <c r="G61" s="1"/>
  <c r="G60"/>
  <c r="E60"/>
  <c r="B60"/>
  <c r="E59"/>
  <c r="G59" s="1"/>
  <c r="D59"/>
  <c r="B59"/>
  <c r="E58"/>
  <c r="G58" s="1"/>
  <c r="B58"/>
  <c r="E57"/>
  <c r="G57" s="1"/>
  <c r="B57"/>
  <c r="E50"/>
  <c r="G50" s="1"/>
  <c r="B50"/>
  <c r="E49"/>
  <c r="G49" s="1"/>
  <c r="E48"/>
  <c r="G48" s="1"/>
  <c r="B48"/>
  <c r="E47"/>
  <c r="G47" s="1"/>
  <c r="B47"/>
  <c r="E46"/>
  <c r="G46" s="1"/>
  <c r="E45"/>
  <c r="G45" s="1"/>
  <c r="E44"/>
  <c r="G44" s="1"/>
  <c r="E43"/>
  <c r="G43" s="1"/>
  <c r="G42"/>
  <c r="D37"/>
  <c r="J24"/>
  <c r="I24"/>
  <c r="D24"/>
  <c r="K24" s="1"/>
  <c r="K23"/>
  <c r="J23"/>
  <c r="D23"/>
  <c r="L23" s="1"/>
  <c r="K22"/>
  <c r="D22"/>
  <c r="L22" s="1"/>
  <c r="L21"/>
  <c r="D21"/>
  <c r="H16"/>
  <c r="H17" s="1"/>
  <c r="H18" s="1"/>
  <c r="H19" s="1"/>
  <c r="G16"/>
  <c r="G17" s="1"/>
  <c r="G18" s="1"/>
  <c r="G19" s="1"/>
  <c r="F16"/>
  <c r="F17" s="1"/>
  <c r="F18" s="1"/>
  <c r="F19" s="1"/>
  <c r="E16"/>
  <c r="E17" s="1"/>
  <c r="E18" s="1"/>
  <c r="E19" s="1"/>
  <c r="E9"/>
  <c r="B9"/>
  <c r="F8"/>
  <c r="F9" s="1"/>
  <c r="E8"/>
  <c r="C8"/>
  <c r="C9" s="1"/>
  <c r="F7"/>
  <c r="E7"/>
  <c r="B7"/>
  <c r="F6"/>
  <c r="C6"/>
  <c r="C7" s="1"/>
  <c r="G64" i="160"/>
  <c r="E64"/>
  <c r="E63"/>
  <c r="G63" s="1"/>
  <c r="E62"/>
  <c r="G62" s="1"/>
  <c r="E61"/>
  <c r="G61" s="1"/>
  <c r="E60"/>
  <c r="G60" s="1"/>
  <c r="B60"/>
  <c r="E59"/>
  <c r="G59" s="1"/>
  <c r="D59"/>
  <c r="B59"/>
  <c r="E58"/>
  <c r="G58" s="1"/>
  <c r="B58"/>
  <c r="E57"/>
  <c r="G57" s="1"/>
  <c r="B57"/>
  <c r="E50"/>
  <c r="G50" s="1"/>
  <c r="B50"/>
  <c r="E49"/>
  <c r="G49" s="1"/>
  <c r="G48"/>
  <c r="E48"/>
  <c r="B48"/>
  <c r="E47"/>
  <c r="G47" s="1"/>
  <c r="B47"/>
  <c r="E46"/>
  <c r="G46" s="1"/>
  <c r="G45"/>
  <c r="E45"/>
  <c r="E44"/>
  <c r="G44" s="1"/>
  <c r="E43"/>
  <c r="G43" s="1"/>
  <c r="G42"/>
  <c r="D37"/>
  <c r="K24"/>
  <c r="J24"/>
  <c r="I24"/>
  <c r="D24"/>
  <c r="L24" s="1"/>
  <c r="K23"/>
  <c r="D23"/>
  <c r="L23" s="1"/>
  <c r="D22"/>
  <c r="J21"/>
  <c r="I21"/>
  <c r="D21"/>
  <c r="K21" s="1"/>
  <c r="H16"/>
  <c r="H17" s="1"/>
  <c r="H18" s="1"/>
  <c r="H19" s="1"/>
  <c r="G16"/>
  <c r="G17" s="1"/>
  <c r="G18" s="1"/>
  <c r="G19" s="1"/>
  <c r="F16"/>
  <c r="F17" s="1"/>
  <c r="F18" s="1"/>
  <c r="F19" s="1"/>
  <c r="E16"/>
  <c r="E17" s="1"/>
  <c r="E18" s="1"/>
  <c r="E19" s="1"/>
  <c r="F9"/>
  <c r="E9"/>
  <c r="B9"/>
  <c r="F8"/>
  <c r="E8"/>
  <c r="C8"/>
  <c r="C9" s="1"/>
  <c r="E7"/>
  <c r="B7"/>
  <c r="F6"/>
  <c r="F7" s="1"/>
  <c r="C6"/>
  <c r="C7" s="1"/>
  <c r="E62" i="159"/>
  <c r="G62" s="1"/>
  <c r="G61"/>
  <c r="E61"/>
  <c r="E60"/>
  <c r="G60" s="1"/>
  <c r="E59"/>
  <c r="G59" s="1"/>
  <c r="E58"/>
  <c r="G58" s="1"/>
  <c r="D58"/>
  <c r="B58"/>
  <c r="E57"/>
  <c r="G57" s="1"/>
  <c r="B57"/>
  <c r="E56"/>
  <c r="G56" s="1"/>
  <c r="B56"/>
  <c r="E49"/>
  <c r="G49" s="1"/>
  <c r="E48"/>
  <c r="G48" s="1"/>
  <c r="G47"/>
  <c r="E47"/>
  <c r="E46"/>
  <c r="G46" s="1"/>
  <c r="E45"/>
  <c r="G45" s="1"/>
  <c r="E44"/>
  <c r="G44" s="1"/>
  <c r="E43"/>
  <c r="G43" s="1"/>
  <c r="G42"/>
  <c r="D37"/>
  <c r="K24"/>
  <c r="D24"/>
  <c r="L24" s="1"/>
  <c r="D23"/>
  <c r="J22"/>
  <c r="I22"/>
  <c r="D22"/>
  <c r="K22" s="1"/>
  <c r="K21"/>
  <c r="J21"/>
  <c r="D21"/>
  <c r="L21" s="1"/>
  <c r="H16"/>
  <c r="H17" s="1"/>
  <c r="H18" s="1"/>
  <c r="H19" s="1"/>
  <c r="G16"/>
  <c r="G17" s="1"/>
  <c r="G18" s="1"/>
  <c r="G19" s="1"/>
  <c r="F16"/>
  <c r="F17" s="1"/>
  <c r="F18" s="1"/>
  <c r="F19" s="1"/>
  <c r="E16"/>
  <c r="E17" s="1"/>
  <c r="E18" s="1"/>
  <c r="E19" s="1"/>
  <c r="E9"/>
  <c r="B9"/>
  <c r="F8"/>
  <c r="F9" s="1"/>
  <c r="E8"/>
  <c r="C8"/>
  <c r="C9" s="1"/>
  <c r="E7"/>
  <c r="B7"/>
  <c r="F6"/>
  <c r="F7" s="1"/>
  <c r="C6"/>
  <c r="C7" s="1"/>
  <c r="E62" i="158"/>
  <c r="G62" s="1"/>
  <c r="E61"/>
  <c r="G61" s="1"/>
  <c r="E60"/>
  <c r="G60" s="1"/>
  <c r="E59"/>
  <c r="G59" s="1"/>
  <c r="E58"/>
  <c r="G58" s="1"/>
  <c r="D58"/>
  <c r="B58"/>
  <c r="E57"/>
  <c r="G57" s="1"/>
  <c r="B57"/>
  <c r="E56"/>
  <c r="G56" s="1"/>
  <c r="B56"/>
  <c r="E49"/>
  <c r="G49" s="1"/>
  <c r="G48"/>
  <c r="E48"/>
  <c r="E47"/>
  <c r="G47" s="1"/>
  <c r="E46"/>
  <c r="G46" s="1"/>
  <c r="E45"/>
  <c r="G45" s="1"/>
  <c r="E44"/>
  <c r="G44" s="1"/>
  <c r="E43"/>
  <c r="G43" s="1"/>
  <c r="G42"/>
  <c r="D37"/>
  <c r="L24"/>
  <c r="D24"/>
  <c r="J23"/>
  <c r="I23"/>
  <c r="D23"/>
  <c r="K23" s="1"/>
  <c r="K22"/>
  <c r="J22"/>
  <c r="D22"/>
  <c r="L22" s="1"/>
  <c r="K21"/>
  <c r="D21"/>
  <c r="L21" s="1"/>
  <c r="H16"/>
  <c r="H17" s="1"/>
  <c r="H18" s="1"/>
  <c r="H19" s="1"/>
  <c r="G16"/>
  <c r="G17" s="1"/>
  <c r="G18" s="1"/>
  <c r="G19" s="1"/>
  <c r="F16"/>
  <c r="F17" s="1"/>
  <c r="F18" s="1"/>
  <c r="F19" s="1"/>
  <c r="E16"/>
  <c r="E17" s="1"/>
  <c r="E18" s="1"/>
  <c r="E19" s="1"/>
  <c r="E9"/>
  <c r="C9"/>
  <c r="B9"/>
  <c r="F8"/>
  <c r="F9" s="1"/>
  <c r="E8"/>
  <c r="C8"/>
  <c r="E7"/>
  <c r="B7"/>
  <c r="F6"/>
  <c r="F7" s="1"/>
  <c r="C6"/>
  <c r="C7" s="1"/>
  <c r="G62" i="157"/>
  <c r="E62"/>
  <c r="E61"/>
  <c r="G61" s="1"/>
  <c r="E60"/>
  <c r="G60" s="1"/>
  <c r="E59"/>
  <c r="G59" s="1"/>
  <c r="E58"/>
  <c r="G58" s="1"/>
  <c r="D58"/>
  <c r="B58"/>
  <c r="E57"/>
  <c r="G57" s="1"/>
  <c r="B57"/>
  <c r="E56"/>
  <c r="G56" s="1"/>
  <c r="B56"/>
  <c r="E49"/>
  <c r="G49" s="1"/>
  <c r="E48"/>
  <c r="G48" s="1"/>
  <c r="E47"/>
  <c r="G47" s="1"/>
  <c r="E46"/>
  <c r="G46" s="1"/>
  <c r="E45"/>
  <c r="G45" s="1"/>
  <c r="E44"/>
  <c r="G44" s="1"/>
  <c r="E43"/>
  <c r="G43" s="1"/>
  <c r="I40" s="1"/>
  <c r="G42"/>
  <c r="D37"/>
  <c r="J24"/>
  <c r="I24"/>
  <c r="D24"/>
  <c r="K24" s="1"/>
  <c r="K23"/>
  <c r="J23"/>
  <c r="D23"/>
  <c r="L23" s="1"/>
  <c r="K22"/>
  <c r="D22"/>
  <c r="L22" s="1"/>
  <c r="L21"/>
  <c r="D21"/>
  <c r="H16"/>
  <c r="H17" s="1"/>
  <c r="H18" s="1"/>
  <c r="H19" s="1"/>
  <c r="G16"/>
  <c r="G17" s="1"/>
  <c r="G18" s="1"/>
  <c r="G19" s="1"/>
  <c r="F16"/>
  <c r="F17" s="1"/>
  <c r="F18" s="1"/>
  <c r="F19" s="1"/>
  <c r="E16"/>
  <c r="E17" s="1"/>
  <c r="E18" s="1"/>
  <c r="E19" s="1"/>
  <c r="E9"/>
  <c r="B9"/>
  <c r="F8"/>
  <c r="F9" s="1"/>
  <c r="E8"/>
  <c r="C8"/>
  <c r="C9" s="1"/>
  <c r="F7"/>
  <c r="E7"/>
  <c r="B7"/>
  <c r="F6"/>
  <c r="C6"/>
  <c r="C7" s="1"/>
  <c r="E61" i="156"/>
  <c r="G61" s="1"/>
  <c r="E60"/>
  <c r="G60" s="1"/>
  <c r="E59"/>
  <c r="G59" s="1"/>
  <c r="E58"/>
  <c r="G58" s="1"/>
  <c r="E57"/>
  <c r="G57" s="1"/>
  <c r="B57"/>
  <c r="E56"/>
  <c r="G56" s="1"/>
  <c r="B56"/>
  <c r="E49"/>
  <c r="G49" s="1"/>
  <c r="E48"/>
  <c r="G48" s="1"/>
  <c r="G47"/>
  <c r="E47"/>
  <c r="E46"/>
  <c r="G46" s="1"/>
  <c r="E45"/>
  <c r="G45" s="1"/>
  <c r="E44"/>
  <c r="G44" s="1"/>
  <c r="E43"/>
  <c r="G43" s="1"/>
  <c r="G42"/>
  <c r="D37"/>
  <c r="K24"/>
  <c r="J24"/>
  <c r="D24"/>
  <c r="L24" s="1"/>
  <c r="L23"/>
  <c r="K23"/>
  <c r="D23"/>
  <c r="L22"/>
  <c r="I22"/>
  <c r="D22"/>
  <c r="J21"/>
  <c r="I21"/>
  <c r="D21"/>
  <c r="K21" s="1"/>
  <c r="H16"/>
  <c r="H17" s="1"/>
  <c r="H18" s="1"/>
  <c r="H19" s="1"/>
  <c r="G16"/>
  <c r="G17" s="1"/>
  <c r="G18" s="1"/>
  <c r="G19" s="1"/>
  <c r="F16"/>
  <c r="F17" s="1"/>
  <c r="F18" s="1"/>
  <c r="F19" s="1"/>
  <c r="E16"/>
  <c r="E17" s="1"/>
  <c r="E18" s="1"/>
  <c r="E19" s="1"/>
  <c r="E9"/>
  <c r="C9"/>
  <c r="B9"/>
  <c r="F8"/>
  <c r="F9" s="1"/>
  <c r="E8"/>
  <c r="C8"/>
  <c r="F7"/>
  <c r="E7"/>
  <c r="B7"/>
  <c r="F6"/>
  <c r="C6"/>
  <c r="C7" s="1"/>
  <c r="G61" i="155"/>
  <c r="E61"/>
  <c r="E60"/>
  <c r="G60" s="1"/>
  <c r="E59"/>
  <c r="G59" s="1"/>
  <c r="E58"/>
  <c r="G58" s="1"/>
  <c r="E57"/>
  <c r="G57" s="1"/>
  <c r="B57"/>
  <c r="E56"/>
  <c r="G56" s="1"/>
  <c r="B56"/>
  <c r="E49"/>
  <c r="G49" s="1"/>
  <c r="E48"/>
  <c r="G48" s="1"/>
  <c r="G47"/>
  <c r="E47"/>
  <c r="E46"/>
  <c r="G46" s="1"/>
  <c r="G45"/>
  <c r="E45"/>
  <c r="E44"/>
  <c r="G44" s="1"/>
  <c r="G43"/>
  <c r="E43"/>
  <c r="G42"/>
  <c r="D37"/>
  <c r="J24"/>
  <c r="I24"/>
  <c r="D24"/>
  <c r="K24" s="1"/>
  <c r="K23"/>
  <c r="J23"/>
  <c r="D23"/>
  <c r="L23" s="1"/>
  <c r="D22"/>
  <c r="I22" s="1"/>
  <c r="I21"/>
  <c r="D21"/>
  <c r="J21" s="1"/>
  <c r="H16"/>
  <c r="H17" s="1"/>
  <c r="H18" s="1"/>
  <c r="H19" s="1"/>
  <c r="G16"/>
  <c r="G17" s="1"/>
  <c r="G18" s="1"/>
  <c r="G19" s="1"/>
  <c r="F16"/>
  <c r="F17" s="1"/>
  <c r="F18" s="1"/>
  <c r="F19" s="1"/>
  <c r="E16"/>
  <c r="E17" s="1"/>
  <c r="E18" s="1"/>
  <c r="E19" s="1"/>
  <c r="F9"/>
  <c r="E9"/>
  <c r="B9"/>
  <c r="F8"/>
  <c r="E8"/>
  <c r="C8"/>
  <c r="C9" s="1"/>
  <c r="F7"/>
  <c r="E7"/>
  <c r="B7"/>
  <c r="F6"/>
  <c r="C6"/>
  <c r="C7" s="1"/>
  <c r="G61" i="154"/>
  <c r="E61"/>
  <c r="G60"/>
  <c r="E60"/>
  <c r="G59"/>
  <c r="E59"/>
  <c r="G58"/>
  <c r="E58"/>
  <c r="G57"/>
  <c r="E57"/>
  <c r="B57"/>
  <c r="E56"/>
  <c r="G56" s="1"/>
  <c r="I54" s="1"/>
  <c r="D17" s="1"/>
  <c r="B56"/>
  <c r="E49"/>
  <c r="G49" s="1"/>
  <c r="E48"/>
  <c r="G48" s="1"/>
  <c r="G47"/>
  <c r="E47"/>
  <c r="E46"/>
  <c r="G46" s="1"/>
  <c r="E45"/>
  <c r="G45" s="1"/>
  <c r="E44"/>
  <c r="G44" s="1"/>
  <c r="E43"/>
  <c r="G43" s="1"/>
  <c r="G42"/>
  <c r="D37"/>
  <c r="K24"/>
  <c r="J24"/>
  <c r="D24"/>
  <c r="L24" s="1"/>
  <c r="D23"/>
  <c r="I23" s="1"/>
  <c r="I22"/>
  <c r="D22"/>
  <c r="J22" s="1"/>
  <c r="J21"/>
  <c r="I21"/>
  <c r="D21"/>
  <c r="K21" s="1"/>
  <c r="H16"/>
  <c r="H17" s="1"/>
  <c r="H18" s="1"/>
  <c r="H19" s="1"/>
  <c r="G16"/>
  <c r="G17" s="1"/>
  <c r="G18" s="1"/>
  <c r="G19" s="1"/>
  <c r="F16"/>
  <c r="F17" s="1"/>
  <c r="F18" s="1"/>
  <c r="F19" s="1"/>
  <c r="E16"/>
  <c r="E17" s="1"/>
  <c r="E18" s="1"/>
  <c r="E19" s="1"/>
  <c r="F9"/>
  <c r="E9"/>
  <c r="B9"/>
  <c r="F8"/>
  <c r="E8"/>
  <c r="C8"/>
  <c r="C9" s="1"/>
  <c r="E7"/>
  <c r="B7"/>
  <c r="F6"/>
  <c r="F7" s="1"/>
  <c r="C6"/>
  <c r="C7" s="1"/>
  <c r="I40" i="165" l="1"/>
  <c r="I40" i="160"/>
  <c r="I53" i="164"/>
  <c r="D17" s="1"/>
  <c r="I53" i="165"/>
  <c r="D17" s="1"/>
  <c r="E70" i="155"/>
  <c r="I68" s="1"/>
  <c r="D18" s="1"/>
  <c r="E70" i="156"/>
  <c r="I68" s="1"/>
  <c r="D18" s="1"/>
  <c r="I54"/>
  <c r="D17" s="1"/>
  <c r="I40" i="159"/>
  <c r="I40" i="163"/>
  <c r="E70" i="154"/>
  <c r="I68" s="1"/>
  <c r="D18" s="1"/>
  <c r="I40" i="155"/>
  <c r="I40" i="156"/>
  <c r="I53" i="163"/>
  <c r="D17" s="1"/>
  <c r="E71" i="159"/>
  <c r="I69" s="1"/>
  <c r="D18" s="1"/>
  <c r="L18" s="1"/>
  <c r="I55" i="162"/>
  <c r="D17" s="1"/>
  <c r="I40" i="164"/>
  <c r="I40" i="166"/>
  <c r="J18" i="159"/>
  <c r="K17" i="165"/>
  <c r="L17"/>
  <c r="I17"/>
  <c r="J17"/>
  <c r="D16" i="166"/>
  <c r="K17" i="154"/>
  <c r="L17"/>
  <c r="I17"/>
  <c r="J17"/>
  <c r="J18"/>
  <c r="K18"/>
  <c r="I18"/>
  <c r="L18"/>
  <c r="I18" i="155"/>
  <c r="J18"/>
  <c r="K18"/>
  <c r="L18"/>
  <c r="I96" i="156"/>
  <c r="I74"/>
  <c r="D19" s="1"/>
  <c r="I77"/>
  <c r="D20" s="1"/>
  <c r="I93"/>
  <c r="D16"/>
  <c r="J18"/>
  <c r="K18"/>
  <c r="I18"/>
  <c r="L18"/>
  <c r="D16" i="155"/>
  <c r="D16" i="159"/>
  <c r="L17" i="162"/>
  <c r="I17"/>
  <c r="J17"/>
  <c r="K17"/>
  <c r="D16" i="163"/>
  <c r="I40" i="154"/>
  <c r="K17" i="163"/>
  <c r="L17"/>
  <c r="I17"/>
  <c r="J17"/>
  <c r="D16" i="164"/>
  <c r="I22" i="160"/>
  <c r="J22"/>
  <c r="K22"/>
  <c r="D16"/>
  <c r="K17" i="164"/>
  <c r="L17"/>
  <c r="I17"/>
  <c r="I55" i="166"/>
  <c r="D17" s="1"/>
  <c r="E73"/>
  <c r="I71" s="1"/>
  <c r="D18" s="1"/>
  <c r="K17" i="156"/>
  <c r="L17"/>
  <c r="I24" i="158"/>
  <c r="J24"/>
  <c r="K24"/>
  <c r="E71"/>
  <c r="I69" s="1"/>
  <c r="D18" s="1"/>
  <c r="I54"/>
  <c r="D17" s="1"/>
  <c r="I23" i="164"/>
  <c r="J23"/>
  <c r="K23"/>
  <c r="I23" i="166"/>
  <c r="J23"/>
  <c r="K23"/>
  <c r="L22" i="154"/>
  <c r="K23"/>
  <c r="L21" i="155"/>
  <c r="K22"/>
  <c r="I40" i="158"/>
  <c r="I54" i="159"/>
  <c r="D17" s="1"/>
  <c r="E71" i="163"/>
  <c r="I69" s="1"/>
  <c r="D18" s="1"/>
  <c r="I40" i="167"/>
  <c r="I53"/>
  <c r="D17" s="1"/>
  <c r="E71" i="157"/>
  <c r="I69" s="1"/>
  <c r="D18" s="1"/>
  <c r="I54"/>
  <c r="D17" s="1"/>
  <c r="J22" i="156"/>
  <c r="K22"/>
  <c r="I21" i="157"/>
  <c r="J21"/>
  <c r="K21"/>
  <c r="E73" i="160"/>
  <c r="I71" s="1"/>
  <c r="D18" s="1"/>
  <c r="I55"/>
  <c r="D17" s="1"/>
  <c r="I23" i="165"/>
  <c r="J23"/>
  <c r="K23"/>
  <c r="L21" i="154"/>
  <c r="K22"/>
  <c r="J23"/>
  <c r="I24"/>
  <c r="K21" i="155"/>
  <c r="J22"/>
  <c r="I23"/>
  <c r="L24"/>
  <c r="J17" i="156"/>
  <c r="I40" i="161"/>
  <c r="J17" i="164"/>
  <c r="E71"/>
  <c r="I69" s="1"/>
  <c r="D18" s="1"/>
  <c r="D16" i="157"/>
  <c r="I23" i="159"/>
  <c r="J23"/>
  <c r="K23"/>
  <c r="I23" i="163"/>
  <c r="J23"/>
  <c r="K23"/>
  <c r="D16" i="165"/>
  <c r="I23" i="156"/>
  <c r="J23"/>
  <c r="I21" i="161"/>
  <c r="J21"/>
  <c r="K21"/>
  <c r="E73"/>
  <c r="I71" s="1"/>
  <c r="D18" s="1"/>
  <c r="I55"/>
  <c r="D17" s="1"/>
  <c r="I24" i="162"/>
  <c r="J24"/>
  <c r="K24"/>
  <c r="L23" i="154"/>
  <c r="L22" i="155"/>
  <c r="I54"/>
  <c r="D17" s="1"/>
  <c r="I17" i="156"/>
  <c r="L23" i="159"/>
  <c r="L22" i="160"/>
  <c r="I40" i="162"/>
  <c r="E73"/>
  <c r="I71" s="1"/>
  <c r="D18" s="1"/>
  <c r="L23" i="163"/>
  <c r="E71" i="165"/>
  <c r="I69" s="1"/>
  <c r="D18" s="1"/>
  <c r="L22" i="167"/>
  <c r="E71"/>
  <c r="I69" s="1"/>
  <c r="D18" s="1"/>
  <c r="L21" i="156"/>
  <c r="I24"/>
  <c r="J22" i="157"/>
  <c r="I23"/>
  <c r="L24"/>
  <c r="J21" i="158"/>
  <c r="I22"/>
  <c r="L23"/>
  <c r="I21" i="159"/>
  <c r="L22"/>
  <c r="J24"/>
  <c r="L21" i="160"/>
  <c r="J23"/>
  <c r="J22" i="161"/>
  <c r="I23"/>
  <c r="L24"/>
  <c r="J21" i="162"/>
  <c r="I22"/>
  <c r="L23"/>
  <c r="I21" i="163"/>
  <c r="L22"/>
  <c r="J24"/>
  <c r="I21" i="164"/>
  <c r="L22"/>
  <c r="J24"/>
  <c r="I21" i="165"/>
  <c r="L22"/>
  <c r="J24"/>
  <c r="I21" i="166"/>
  <c r="L22"/>
  <c r="L21" i="167"/>
  <c r="K22"/>
  <c r="J23"/>
  <c r="I24"/>
  <c r="I22" i="157"/>
  <c r="I21" i="158"/>
  <c r="I24" i="159"/>
  <c r="I23" i="160"/>
  <c r="I22" i="161"/>
  <c r="I21" i="162"/>
  <c r="I24" i="163"/>
  <c r="I24" i="164"/>
  <c r="I24" i="165"/>
  <c r="L21" i="166"/>
  <c r="K22"/>
  <c r="J22" i="167"/>
  <c r="I23"/>
  <c r="I18" i="159" l="1"/>
  <c r="K18"/>
  <c r="I96" i="161"/>
  <c r="I77"/>
  <c r="D19" s="1"/>
  <c r="D16"/>
  <c r="I80"/>
  <c r="D20" s="1"/>
  <c r="I17" i="157"/>
  <c r="J17"/>
  <c r="K17"/>
  <c r="L17"/>
  <c r="J18" i="163"/>
  <c r="K18"/>
  <c r="L18"/>
  <c r="I18"/>
  <c r="J18" i="166"/>
  <c r="K18"/>
  <c r="L18"/>
  <c r="I18"/>
  <c r="L16" i="164"/>
  <c r="I16"/>
  <c r="J16"/>
  <c r="K16"/>
  <c r="L20" i="156"/>
  <c r="I20"/>
  <c r="J20"/>
  <c r="K20"/>
  <c r="I75" i="165"/>
  <c r="I75" i="159"/>
  <c r="D19" s="1"/>
  <c r="I77" i="166"/>
  <c r="D19" s="1"/>
  <c r="J18" i="165"/>
  <c r="K18"/>
  <c r="L18"/>
  <c r="I18"/>
  <c r="I75" i="167"/>
  <c r="D19" s="1"/>
  <c r="I78"/>
  <c r="D20" s="1"/>
  <c r="D16"/>
  <c r="L16" i="159"/>
  <c r="I16"/>
  <c r="J16"/>
  <c r="K16"/>
  <c r="L16" i="166"/>
  <c r="I16"/>
  <c r="J16"/>
  <c r="K16"/>
  <c r="I78" i="165"/>
  <c r="D20" s="1"/>
  <c r="I75" i="157"/>
  <c r="I77" i="160"/>
  <c r="D19" s="1"/>
  <c r="I75" i="163"/>
  <c r="D19" s="1"/>
  <c r="I78"/>
  <c r="D20" s="1"/>
  <c r="I74" i="155"/>
  <c r="D19" s="1"/>
  <c r="I78" i="157"/>
  <c r="D20" s="1"/>
  <c r="I80" i="162"/>
  <c r="D20" s="1"/>
  <c r="I77"/>
  <c r="D19" s="1"/>
  <c r="D16"/>
  <c r="J17" i="155"/>
  <c r="I17"/>
  <c r="K17"/>
  <c r="L17"/>
  <c r="L18" i="161"/>
  <c r="I18"/>
  <c r="J18"/>
  <c r="K18"/>
  <c r="L16" i="165"/>
  <c r="I16"/>
  <c r="J16"/>
  <c r="K16"/>
  <c r="J16" i="157"/>
  <c r="K16"/>
  <c r="L16"/>
  <c r="I16"/>
  <c r="J18" i="164"/>
  <c r="K18"/>
  <c r="L18"/>
  <c r="I18"/>
  <c r="I18" i="160"/>
  <c r="J18"/>
  <c r="K18"/>
  <c r="L18"/>
  <c r="J17" i="167"/>
  <c r="K17"/>
  <c r="L17"/>
  <c r="I17"/>
  <c r="I78" i="158"/>
  <c r="D20" s="1"/>
  <c r="I75"/>
  <c r="D19" s="1"/>
  <c r="D16"/>
  <c r="K18"/>
  <c r="L18"/>
  <c r="I18"/>
  <c r="J18"/>
  <c r="K16" i="160"/>
  <c r="L16"/>
  <c r="I16"/>
  <c r="J16"/>
  <c r="I74" i="154"/>
  <c r="D19" s="1"/>
  <c r="D16"/>
  <c r="I77"/>
  <c r="D20" s="1"/>
  <c r="L16" i="163"/>
  <c r="D25"/>
  <c r="I16"/>
  <c r="J16"/>
  <c r="K16"/>
  <c r="K16" i="155"/>
  <c r="L16"/>
  <c r="I16"/>
  <c r="J16"/>
  <c r="L16" i="156"/>
  <c r="D25"/>
  <c r="J16"/>
  <c r="K16"/>
  <c r="I16"/>
  <c r="I78" i="159"/>
  <c r="D20" s="1"/>
  <c r="I80" i="166"/>
  <c r="D20" s="1"/>
  <c r="I18" i="167"/>
  <c r="J18"/>
  <c r="K18"/>
  <c r="L18"/>
  <c r="K18" i="162"/>
  <c r="L18"/>
  <c r="I18"/>
  <c r="J18"/>
  <c r="I17" i="161"/>
  <c r="J17"/>
  <c r="K17"/>
  <c r="L17"/>
  <c r="J17" i="160"/>
  <c r="K17"/>
  <c r="L17"/>
  <c r="I17"/>
  <c r="L18" i="157"/>
  <c r="I18"/>
  <c r="J18"/>
  <c r="K18"/>
  <c r="K17" i="159"/>
  <c r="L17"/>
  <c r="I17"/>
  <c r="J17"/>
  <c r="L17" i="158"/>
  <c r="I17"/>
  <c r="J17"/>
  <c r="K17"/>
  <c r="K17" i="166"/>
  <c r="L17"/>
  <c r="I17"/>
  <c r="J17"/>
  <c r="I19" i="156"/>
  <c r="J19"/>
  <c r="L19"/>
  <c r="K19"/>
  <c r="I94" i="165"/>
  <c r="I80" i="160"/>
  <c r="D20" s="1"/>
  <c r="D25" s="1"/>
  <c r="I75" i="164"/>
  <c r="D19" s="1"/>
  <c r="I78"/>
  <c r="D20" s="1"/>
  <c r="I94" i="163"/>
  <c r="I94" i="159"/>
  <c r="I77" i="155"/>
  <c r="D20" s="1"/>
  <c r="I96" i="166"/>
  <c r="I97" i="167" l="1"/>
  <c r="I99" i="162"/>
  <c r="I93" i="154"/>
  <c r="I99" i="166"/>
  <c r="I97" i="163"/>
  <c r="J25" i="156"/>
  <c r="G7" s="1"/>
  <c r="K20" i="155"/>
  <c r="L20"/>
  <c r="I20"/>
  <c r="J20"/>
  <c r="L20" i="159"/>
  <c r="I20"/>
  <c r="J20"/>
  <c r="K20"/>
  <c r="J19" i="158"/>
  <c r="K19"/>
  <c r="L19"/>
  <c r="I19"/>
  <c r="L19" i="160"/>
  <c r="I19"/>
  <c r="J19"/>
  <c r="K19"/>
  <c r="L20" i="164"/>
  <c r="I20"/>
  <c r="J20"/>
  <c r="K20"/>
  <c r="L20" i="166"/>
  <c r="I20"/>
  <c r="J20"/>
  <c r="K20"/>
  <c r="D25" i="158"/>
  <c r="I16"/>
  <c r="J16"/>
  <c r="K16"/>
  <c r="L16"/>
  <c r="I20"/>
  <c r="J20"/>
  <c r="K20"/>
  <c r="L20"/>
  <c r="J19" i="162"/>
  <c r="K19"/>
  <c r="L19"/>
  <c r="I19"/>
  <c r="J20" i="157"/>
  <c r="K20"/>
  <c r="L20"/>
  <c r="I20"/>
  <c r="I19" i="166"/>
  <c r="I25" s="1"/>
  <c r="G6" s="1"/>
  <c r="J19"/>
  <c r="K19"/>
  <c r="L19"/>
  <c r="L25" s="1"/>
  <c r="G9" s="1"/>
  <c r="I96" i="155"/>
  <c r="K25" i="156"/>
  <c r="G8" s="1"/>
  <c r="I96" i="154"/>
  <c r="I94" i="164"/>
  <c r="I96" i="160"/>
  <c r="D25" i="166"/>
  <c r="I94" i="167"/>
  <c r="I97" i="159"/>
  <c r="I99" i="161"/>
  <c r="I19" i="164"/>
  <c r="J19"/>
  <c r="K19"/>
  <c r="K25" s="1"/>
  <c r="G8" s="1"/>
  <c r="L19"/>
  <c r="L25" s="1"/>
  <c r="G9" s="1"/>
  <c r="L19" i="155"/>
  <c r="I19"/>
  <c r="I25" s="1"/>
  <c r="G6" s="1"/>
  <c r="K19"/>
  <c r="K25" s="1"/>
  <c r="G8" s="1"/>
  <c r="J19"/>
  <c r="J25" s="1"/>
  <c r="G7" s="1"/>
  <c r="L20" i="154"/>
  <c r="I20"/>
  <c r="J20"/>
  <c r="K20"/>
  <c r="D25" i="162"/>
  <c r="I16"/>
  <c r="J16"/>
  <c r="K16"/>
  <c r="L16"/>
  <c r="I20"/>
  <c r="J20"/>
  <c r="K20"/>
  <c r="L20"/>
  <c r="I19" i="163"/>
  <c r="J19"/>
  <c r="K19"/>
  <c r="L19"/>
  <c r="L20" i="165"/>
  <c r="I20"/>
  <c r="J20"/>
  <c r="K20"/>
  <c r="L19" i="167"/>
  <c r="I19"/>
  <c r="J19"/>
  <c r="K19"/>
  <c r="I19" i="159"/>
  <c r="I25" s="1"/>
  <c r="G6" s="1"/>
  <c r="J19"/>
  <c r="J25" s="1"/>
  <c r="G7" s="1"/>
  <c r="K19"/>
  <c r="L19"/>
  <c r="L25" s="1"/>
  <c r="G9" s="1"/>
  <c r="K19" i="161"/>
  <c r="L19"/>
  <c r="I19"/>
  <c r="J19"/>
  <c r="I25" i="156"/>
  <c r="G6" s="1"/>
  <c r="L25"/>
  <c r="G9" s="1"/>
  <c r="L25" i="155"/>
  <c r="G9" s="1"/>
  <c r="I94" i="158"/>
  <c r="I99" i="160"/>
  <c r="D25" i="164"/>
  <c r="L16" i="154"/>
  <c r="K16"/>
  <c r="D25"/>
  <c r="I16"/>
  <c r="J16"/>
  <c r="K16" i="167"/>
  <c r="L16"/>
  <c r="D25"/>
  <c r="I16"/>
  <c r="J16"/>
  <c r="J20" i="161"/>
  <c r="K20"/>
  <c r="L20"/>
  <c r="I20"/>
  <c r="K20" i="160"/>
  <c r="K25" s="1"/>
  <c r="G8" s="1"/>
  <c r="L20"/>
  <c r="I20"/>
  <c r="I25" s="1"/>
  <c r="G6" s="1"/>
  <c r="J20"/>
  <c r="J25" s="1"/>
  <c r="G7" s="1"/>
  <c r="I19" i="154"/>
  <c r="J19"/>
  <c r="L19"/>
  <c r="K19"/>
  <c r="L20" i="163"/>
  <c r="I20"/>
  <c r="I25" s="1"/>
  <c r="G6" s="1"/>
  <c r="J20"/>
  <c r="K20"/>
  <c r="D19" i="157"/>
  <c r="I94"/>
  <c r="I97"/>
  <c r="K20" i="167"/>
  <c r="L20"/>
  <c r="I20"/>
  <c r="J20"/>
  <c r="D19" i="165"/>
  <c r="I97"/>
  <c r="J16" i="161"/>
  <c r="K16"/>
  <c r="L16"/>
  <c r="I16"/>
  <c r="D25"/>
  <c r="K25" i="166"/>
  <c r="G8" s="1"/>
  <c r="D25" i="159"/>
  <c r="J25" i="164"/>
  <c r="G7" s="1"/>
  <c r="I97"/>
  <c r="D25" i="155"/>
  <c r="I97" i="158"/>
  <c r="I96" i="162"/>
  <c r="J25" i="166"/>
  <c r="G7" s="1"/>
  <c r="K25" i="159"/>
  <c r="G8" s="1"/>
  <c r="I93" i="155"/>
  <c r="I25" i="164"/>
  <c r="G6" s="1"/>
  <c r="J25" i="163" l="1"/>
  <c r="G7" s="1"/>
  <c r="L25" i="160"/>
  <c r="G9" s="1"/>
  <c r="K25" i="163"/>
  <c r="G8" s="1"/>
  <c r="L25"/>
  <c r="G9" s="1"/>
  <c r="K25" i="161"/>
  <c r="G8" s="1"/>
  <c r="I25" i="167"/>
  <c r="G6" s="1"/>
  <c r="I25" i="161"/>
  <c r="G6" s="1"/>
  <c r="J25" i="154"/>
  <c r="G7" s="1"/>
  <c r="L25"/>
  <c r="G9" s="1"/>
  <c r="I25" i="162"/>
  <c r="G6" s="1"/>
  <c r="L25" i="158"/>
  <c r="G9" s="1"/>
  <c r="I19" i="165"/>
  <c r="I25" s="1"/>
  <c r="G6" s="1"/>
  <c r="J19"/>
  <c r="J25" s="1"/>
  <c r="G7" s="1"/>
  <c r="K19"/>
  <c r="K25" s="1"/>
  <c r="G8" s="1"/>
  <c r="L19"/>
  <c r="L25" s="1"/>
  <c r="G9" s="1"/>
  <c r="D25"/>
  <c r="L25" i="161"/>
  <c r="G9" s="1"/>
  <c r="J25" i="167"/>
  <c r="G7" s="1"/>
  <c r="K25"/>
  <c r="G8" s="1"/>
  <c r="K25" i="154"/>
  <c r="G8" s="1"/>
  <c r="J25" i="162"/>
  <c r="G7" s="1"/>
  <c r="I25" i="158"/>
  <c r="G6" s="1"/>
  <c r="K19" i="157"/>
  <c r="K25" s="1"/>
  <c r="G8" s="1"/>
  <c r="L19"/>
  <c r="L25" s="1"/>
  <c r="G9" s="1"/>
  <c r="I19"/>
  <c r="I25" s="1"/>
  <c r="G6" s="1"/>
  <c r="J19"/>
  <c r="J25" s="1"/>
  <c r="G7" s="1"/>
  <c r="D25"/>
  <c r="L25" i="167"/>
  <c r="G9" s="1"/>
  <c r="K25" i="162"/>
  <c r="G8" s="1"/>
  <c r="J25" i="158"/>
  <c r="G7" s="1"/>
  <c r="J25" i="161"/>
  <c r="G7" s="1"/>
  <c r="I25" i="154"/>
  <c r="G6" s="1"/>
  <c r="L25" i="162"/>
  <c r="G9" s="1"/>
  <c r="K25" i="158"/>
  <c r="G8" s="1"/>
  <c r="F58" i="153" l="1"/>
  <c r="E58"/>
  <c r="G58" s="1"/>
  <c r="I56" s="1"/>
  <c r="D21" s="1"/>
  <c r="D58"/>
  <c r="E48"/>
  <c r="G48" s="1"/>
  <c r="D48"/>
  <c r="B48"/>
  <c r="E47"/>
  <c r="G47" s="1"/>
  <c r="I45" s="1"/>
  <c r="D47"/>
  <c r="B47"/>
  <c r="D36"/>
  <c r="D24"/>
  <c r="K24" s="1"/>
  <c r="D23"/>
  <c r="D22"/>
  <c r="D20"/>
  <c r="I20" s="1"/>
  <c r="D19"/>
  <c r="J19" s="1"/>
  <c r="D17"/>
  <c r="H16"/>
  <c r="H21" s="1"/>
  <c r="G16"/>
  <c r="G18" s="1"/>
  <c r="G23" s="1"/>
  <c r="F16"/>
  <c r="F21" s="1"/>
  <c r="E16"/>
  <c r="E21" s="1"/>
  <c r="D16"/>
  <c r="F9"/>
  <c r="E9"/>
  <c r="B9"/>
  <c r="E8"/>
  <c r="C8"/>
  <c r="C9" s="1"/>
  <c r="F7"/>
  <c r="E7"/>
  <c r="B7"/>
  <c r="C6"/>
  <c r="C7" s="1"/>
  <c r="F58" i="152"/>
  <c r="G58" s="1"/>
  <c r="I56" s="1"/>
  <c r="D21" s="1"/>
  <c r="E58"/>
  <c r="D58"/>
  <c r="G48"/>
  <c r="E48"/>
  <c r="D48"/>
  <c r="B48"/>
  <c r="G47"/>
  <c r="E47"/>
  <c r="D47"/>
  <c r="B47"/>
  <c r="I45"/>
  <c r="D18" s="1"/>
  <c r="D36"/>
  <c r="K24"/>
  <c r="D24"/>
  <c r="L24" s="1"/>
  <c r="I23"/>
  <c r="D23"/>
  <c r="J23" s="1"/>
  <c r="D22"/>
  <c r="J20"/>
  <c r="I20"/>
  <c r="D20"/>
  <c r="K20" s="1"/>
  <c r="K19"/>
  <c r="J19"/>
  <c r="D19"/>
  <c r="L19" s="1"/>
  <c r="D17"/>
  <c r="H16"/>
  <c r="H18" s="1"/>
  <c r="H23" s="1"/>
  <c r="L23" s="1"/>
  <c r="G16"/>
  <c r="G21" s="1"/>
  <c r="F16"/>
  <c r="J16" s="1"/>
  <c r="E16"/>
  <c r="I16" s="1"/>
  <c r="D16"/>
  <c r="D25" s="1"/>
  <c r="F9"/>
  <c r="E9"/>
  <c r="B9"/>
  <c r="E8"/>
  <c r="C8"/>
  <c r="C9" s="1"/>
  <c r="F7"/>
  <c r="E7"/>
  <c r="B7"/>
  <c r="C6"/>
  <c r="C7" s="1"/>
  <c r="F58" i="151"/>
  <c r="G58" s="1"/>
  <c r="I56" s="1"/>
  <c r="D21" s="1"/>
  <c r="E58"/>
  <c r="D58"/>
  <c r="G48"/>
  <c r="E48"/>
  <c r="D48"/>
  <c r="B48"/>
  <c r="G47"/>
  <c r="E47"/>
  <c r="D47"/>
  <c r="B47"/>
  <c r="I45"/>
  <c r="D18" s="1"/>
  <c r="D36"/>
  <c r="K24"/>
  <c r="D24"/>
  <c r="L24" s="1"/>
  <c r="I23"/>
  <c r="D23"/>
  <c r="J23" s="1"/>
  <c r="D22"/>
  <c r="J20"/>
  <c r="I20"/>
  <c r="D20"/>
  <c r="K20" s="1"/>
  <c r="K19"/>
  <c r="J19"/>
  <c r="D19"/>
  <c r="L19" s="1"/>
  <c r="D17"/>
  <c r="H16"/>
  <c r="H21" s="1"/>
  <c r="G16"/>
  <c r="G21" s="1"/>
  <c r="F16"/>
  <c r="J16" s="1"/>
  <c r="E16"/>
  <c r="I16" s="1"/>
  <c r="D16"/>
  <c r="D25" s="1"/>
  <c r="F9"/>
  <c r="E9"/>
  <c r="B9"/>
  <c r="E8"/>
  <c r="C8"/>
  <c r="C9" s="1"/>
  <c r="F7"/>
  <c r="E7"/>
  <c r="B7"/>
  <c r="C6"/>
  <c r="C7" s="1"/>
  <c r="I16" i="153" l="1"/>
  <c r="H17" i="151"/>
  <c r="H22" s="1"/>
  <c r="L22" s="1"/>
  <c r="H17" i="152"/>
  <c r="H22" s="1"/>
  <c r="L22" s="1"/>
  <c r="H21"/>
  <c r="L21" s="1"/>
  <c r="E18" i="153"/>
  <c r="H18" i="151"/>
  <c r="H23" s="1"/>
  <c r="L23" s="1"/>
  <c r="E17" i="153"/>
  <c r="I17" s="1"/>
  <c r="G18" i="151"/>
  <c r="G23" s="1"/>
  <c r="K23" s="1"/>
  <c r="G18" i="152"/>
  <c r="G23" s="1"/>
  <c r="K23" s="1"/>
  <c r="K21"/>
  <c r="L21" i="153"/>
  <c r="I21"/>
  <c r="J21"/>
  <c r="L21" i="151"/>
  <c r="K21"/>
  <c r="D18" i="153"/>
  <c r="I70"/>
  <c r="I73"/>
  <c r="L18" i="152"/>
  <c r="L16" i="151"/>
  <c r="G17"/>
  <c r="G22" s="1"/>
  <c r="K22" s="1"/>
  <c r="F18"/>
  <c r="J18" s="1"/>
  <c r="I19"/>
  <c r="L20"/>
  <c r="F22"/>
  <c r="J22" s="1"/>
  <c r="J24"/>
  <c r="I73"/>
  <c r="L16" i="152"/>
  <c r="G17"/>
  <c r="G22" s="1"/>
  <c r="K22" s="1"/>
  <c r="F18"/>
  <c r="J18" s="1"/>
  <c r="I19"/>
  <c r="L20"/>
  <c r="F22"/>
  <c r="J22" s="1"/>
  <c r="J24"/>
  <c r="I73"/>
  <c r="L16" i="153"/>
  <c r="G17"/>
  <c r="F18"/>
  <c r="I19"/>
  <c r="L20"/>
  <c r="G21"/>
  <c r="K21" s="1"/>
  <c r="F22"/>
  <c r="J22" s="1"/>
  <c r="K23"/>
  <c r="J24"/>
  <c r="K16" i="151"/>
  <c r="F17"/>
  <c r="J17" s="1"/>
  <c r="E18"/>
  <c r="I18" s="1"/>
  <c r="F21"/>
  <c r="J21" s="1"/>
  <c r="E22"/>
  <c r="I22" s="1"/>
  <c r="I24"/>
  <c r="I70"/>
  <c r="K16" i="152"/>
  <c r="F17"/>
  <c r="J17" s="1"/>
  <c r="E18"/>
  <c r="I18" s="1"/>
  <c r="F21"/>
  <c r="J21" s="1"/>
  <c r="E22"/>
  <c r="I22" s="1"/>
  <c r="I24"/>
  <c r="I70"/>
  <c r="K16" i="153"/>
  <c r="F17"/>
  <c r="J17" s="1"/>
  <c r="L19"/>
  <c r="K20"/>
  <c r="E22"/>
  <c r="I22" s="1"/>
  <c r="J23"/>
  <c r="I24"/>
  <c r="D25"/>
  <c r="E17" i="151"/>
  <c r="I17" s="1"/>
  <c r="E21"/>
  <c r="I21" s="1"/>
  <c r="E17" i="152"/>
  <c r="I17" s="1"/>
  <c r="E21"/>
  <c r="I21" s="1"/>
  <c r="J16" i="153"/>
  <c r="H18"/>
  <c r="H23" s="1"/>
  <c r="L23" s="1"/>
  <c r="K19"/>
  <c r="J20"/>
  <c r="I23"/>
  <c r="L24"/>
  <c r="H17"/>
  <c r="H22" s="1"/>
  <c r="L22" s="1"/>
  <c r="K18" i="151" l="1"/>
  <c r="L18"/>
  <c r="L17" i="152"/>
  <c r="L25" s="1"/>
  <c r="G9" s="1"/>
  <c r="K18"/>
  <c r="L17" i="151"/>
  <c r="J25" i="152"/>
  <c r="G7" s="1"/>
  <c r="I25" i="151"/>
  <c r="G6" s="1"/>
  <c r="J25"/>
  <c r="G7" s="1"/>
  <c r="I25" i="152"/>
  <c r="G6" s="1"/>
  <c r="K17"/>
  <c r="K17" i="151"/>
  <c r="K25" s="1"/>
  <c r="G8" s="1"/>
  <c r="L17" i="153"/>
  <c r="G22"/>
  <c r="K22" s="1"/>
  <c r="K17"/>
  <c r="K18"/>
  <c r="L18"/>
  <c r="I18"/>
  <c r="I25" s="1"/>
  <c r="G6" s="1"/>
  <c r="J18"/>
  <c r="J25" s="1"/>
  <c r="G7" s="1"/>
  <c r="L25" i="151" l="1"/>
  <c r="G9" s="1"/>
  <c r="K25" i="152"/>
  <c r="G8" s="1"/>
  <c r="L25" i="153"/>
  <c r="G9" s="1"/>
  <c r="K25"/>
  <c r="G8" s="1"/>
  <c r="E53" i="150" l="1"/>
  <c r="G53" s="1"/>
  <c r="D53"/>
  <c r="E52"/>
  <c r="G52" s="1"/>
  <c r="D52"/>
  <c r="G51"/>
  <c r="E51"/>
  <c r="D51"/>
  <c r="E50"/>
  <c r="G50" s="1"/>
  <c r="I47" s="1"/>
  <c r="D18" s="1"/>
  <c r="D50"/>
  <c r="G49"/>
  <c r="D49"/>
  <c r="I41"/>
  <c r="I78" s="1"/>
  <c r="D38"/>
  <c r="D24"/>
  <c r="I24" s="1"/>
  <c r="I23"/>
  <c r="D23"/>
  <c r="J23" s="1"/>
  <c r="D22"/>
  <c r="G21"/>
  <c r="K21" s="1"/>
  <c r="E21"/>
  <c r="I21" s="1"/>
  <c r="D21"/>
  <c r="D20"/>
  <c r="K20" s="1"/>
  <c r="L19"/>
  <c r="K19"/>
  <c r="D19"/>
  <c r="G17"/>
  <c r="G18" s="1"/>
  <c r="G23" s="1"/>
  <c r="K23" s="1"/>
  <c r="E17"/>
  <c r="I17" s="1"/>
  <c r="D17"/>
  <c r="H16"/>
  <c r="H17" s="1"/>
  <c r="G16"/>
  <c r="F16"/>
  <c r="F21" s="1"/>
  <c r="J21" s="1"/>
  <c r="E16"/>
  <c r="E22" s="1"/>
  <c r="D16"/>
  <c r="D25" s="1"/>
  <c r="E9"/>
  <c r="E8"/>
  <c r="C8"/>
  <c r="C9" s="1"/>
  <c r="F7"/>
  <c r="F8" s="1"/>
  <c r="F9" s="1"/>
  <c r="E7"/>
  <c r="D7"/>
  <c r="D8" s="1"/>
  <c r="D9" s="1"/>
  <c r="B7"/>
  <c r="B8" s="1"/>
  <c r="B9" s="1"/>
  <c r="C6"/>
  <c r="C7" s="1"/>
  <c r="G53" i="149"/>
  <c r="E53"/>
  <c r="D53"/>
  <c r="E52"/>
  <c r="G52" s="1"/>
  <c r="D52"/>
  <c r="E51"/>
  <c r="G51" s="1"/>
  <c r="D51"/>
  <c r="G50"/>
  <c r="E50"/>
  <c r="D50"/>
  <c r="G49"/>
  <c r="E49"/>
  <c r="D49"/>
  <c r="I41"/>
  <c r="D38"/>
  <c r="K24"/>
  <c r="D24"/>
  <c r="L24" s="1"/>
  <c r="I23"/>
  <c r="D23"/>
  <c r="J23" s="1"/>
  <c r="D22"/>
  <c r="D21"/>
  <c r="J20"/>
  <c r="I20"/>
  <c r="D20"/>
  <c r="K20" s="1"/>
  <c r="D19"/>
  <c r="F17"/>
  <c r="J17" s="1"/>
  <c r="D17"/>
  <c r="H16"/>
  <c r="H21" s="1"/>
  <c r="G16"/>
  <c r="K16" s="1"/>
  <c r="F16"/>
  <c r="F21" s="1"/>
  <c r="E16"/>
  <c r="E21" s="1"/>
  <c r="D16"/>
  <c r="L16" s="1"/>
  <c r="E9"/>
  <c r="E8"/>
  <c r="C8"/>
  <c r="C9" s="1"/>
  <c r="B8"/>
  <c r="B9" s="1"/>
  <c r="F7"/>
  <c r="F8" s="1"/>
  <c r="F9" s="1"/>
  <c r="E7"/>
  <c r="D7"/>
  <c r="D8" s="1"/>
  <c r="D9" s="1"/>
  <c r="C7"/>
  <c r="B7"/>
  <c r="C6"/>
  <c r="G53" i="148"/>
  <c r="E53"/>
  <c r="D53"/>
  <c r="E52"/>
  <c r="G52" s="1"/>
  <c r="D52"/>
  <c r="G51"/>
  <c r="E51"/>
  <c r="D51"/>
  <c r="E50"/>
  <c r="G50" s="1"/>
  <c r="D50"/>
  <c r="G49"/>
  <c r="E49"/>
  <c r="D49"/>
  <c r="I41"/>
  <c r="D38"/>
  <c r="K24"/>
  <c r="I24"/>
  <c r="D24"/>
  <c r="J24" s="1"/>
  <c r="D23"/>
  <c r="J23" s="1"/>
  <c r="D22"/>
  <c r="D21"/>
  <c r="K20"/>
  <c r="I20"/>
  <c r="D20"/>
  <c r="L20" s="1"/>
  <c r="D19"/>
  <c r="L19" s="1"/>
  <c r="F17"/>
  <c r="F18" s="1"/>
  <c r="F19" s="1"/>
  <c r="D17"/>
  <c r="L17" s="1"/>
  <c r="H16"/>
  <c r="H17" s="1"/>
  <c r="G16"/>
  <c r="G21" s="1"/>
  <c r="F16"/>
  <c r="F21" s="1"/>
  <c r="E16"/>
  <c r="E22" s="1"/>
  <c r="I22" s="1"/>
  <c r="D16"/>
  <c r="E9"/>
  <c r="E8"/>
  <c r="C8"/>
  <c r="C9" s="1"/>
  <c r="F7"/>
  <c r="F8" s="1"/>
  <c r="F9" s="1"/>
  <c r="E7"/>
  <c r="D7"/>
  <c r="D8" s="1"/>
  <c r="D9" s="1"/>
  <c r="B7"/>
  <c r="B8" s="1"/>
  <c r="B9" s="1"/>
  <c r="C6"/>
  <c r="C7" s="1"/>
  <c r="I47" l="1"/>
  <c r="D18" s="1"/>
  <c r="L21" i="149"/>
  <c r="I22" i="150"/>
  <c r="H18" i="148"/>
  <c r="H23" s="1"/>
  <c r="H22"/>
  <c r="J21"/>
  <c r="I47" i="149"/>
  <c r="D18" s="1"/>
  <c r="L17" i="150"/>
  <c r="H18"/>
  <c r="H23" s="1"/>
  <c r="H22"/>
  <c r="K18"/>
  <c r="L18"/>
  <c r="I81" i="148"/>
  <c r="L16"/>
  <c r="G17"/>
  <c r="K19"/>
  <c r="J20"/>
  <c r="E21"/>
  <c r="I21" s="1"/>
  <c r="L22"/>
  <c r="I23"/>
  <c r="L24"/>
  <c r="I78"/>
  <c r="J16" i="149"/>
  <c r="E17"/>
  <c r="E18" s="1"/>
  <c r="E19" s="1"/>
  <c r="I19" s="1"/>
  <c r="L20"/>
  <c r="G21"/>
  <c r="K21" s="1"/>
  <c r="F22"/>
  <c r="J22"/>
  <c r="J24"/>
  <c r="L16" i="150"/>
  <c r="K17"/>
  <c r="J20"/>
  <c r="L22"/>
  <c r="L24"/>
  <c r="I81"/>
  <c r="K16" i="148"/>
  <c r="J17"/>
  <c r="J19"/>
  <c r="H21"/>
  <c r="L21"/>
  <c r="L23"/>
  <c r="I16" i="149"/>
  <c r="H17"/>
  <c r="L19"/>
  <c r="J21"/>
  <c r="E22"/>
  <c r="I22" s="1"/>
  <c r="I24"/>
  <c r="D25"/>
  <c r="I81"/>
  <c r="K16" i="150"/>
  <c r="F17"/>
  <c r="F18" s="1"/>
  <c r="F19" s="1"/>
  <c r="J19" s="1"/>
  <c r="E18"/>
  <c r="E19" s="1"/>
  <c r="I19" s="1"/>
  <c r="I20"/>
  <c r="H21"/>
  <c r="L21" s="1"/>
  <c r="G22"/>
  <c r="K22"/>
  <c r="L23"/>
  <c r="K24"/>
  <c r="J16" i="148"/>
  <c r="E17"/>
  <c r="E18" s="1"/>
  <c r="E19" s="1"/>
  <c r="I19" s="1"/>
  <c r="K21"/>
  <c r="F22"/>
  <c r="J22" s="1"/>
  <c r="G17" i="149"/>
  <c r="F18"/>
  <c r="F19" s="1"/>
  <c r="J19" s="1"/>
  <c r="K19"/>
  <c r="I21"/>
  <c r="J16" i="150"/>
  <c r="L20"/>
  <c r="F22"/>
  <c r="J22" s="1"/>
  <c r="J24"/>
  <c r="I16" i="148"/>
  <c r="I16" i="150"/>
  <c r="G22" i="149" l="1"/>
  <c r="K22" s="1"/>
  <c r="K17"/>
  <c r="G18"/>
  <c r="G23" s="1"/>
  <c r="K23" s="1"/>
  <c r="I18"/>
  <c r="J18"/>
  <c r="K18"/>
  <c r="L18" i="148"/>
  <c r="I18"/>
  <c r="J18"/>
  <c r="J25" i="149"/>
  <c r="G7" s="1"/>
  <c r="I25" i="148"/>
  <c r="G6" s="1"/>
  <c r="J25"/>
  <c r="G7" s="1"/>
  <c r="J17" i="150"/>
  <c r="L25" i="148"/>
  <c r="G9" s="1"/>
  <c r="I78" i="149"/>
  <c r="G18" i="148"/>
  <c r="G23" s="1"/>
  <c r="K23" s="1"/>
  <c r="G22"/>
  <c r="K22" s="1"/>
  <c r="I25" i="149"/>
  <c r="G6" s="1"/>
  <c r="L25" i="150"/>
  <c r="G9" s="1"/>
  <c r="I17" i="149"/>
  <c r="I18" i="150"/>
  <c r="I25" s="1"/>
  <c r="G6" s="1"/>
  <c r="H22" i="149"/>
  <c r="L22" s="1"/>
  <c r="H18"/>
  <c r="H23" s="1"/>
  <c r="L23" s="1"/>
  <c r="I17" i="148"/>
  <c r="K25" i="150"/>
  <c r="G8" s="1"/>
  <c r="K17" i="148"/>
  <c r="J18" i="150"/>
  <c r="J25" s="1"/>
  <c r="G7" s="1"/>
  <c r="L17" i="149"/>
  <c r="D25" i="148"/>
  <c r="L25" i="149" l="1"/>
  <c r="G9" s="1"/>
  <c r="K25"/>
  <c r="G8" s="1"/>
  <c r="L18"/>
  <c r="K18" i="148"/>
  <c r="K25" s="1"/>
  <c r="G8" s="1"/>
  <c r="G63" i="147" l="1"/>
  <c r="E63"/>
  <c r="E62"/>
  <c r="G62" s="1"/>
  <c r="G61"/>
  <c r="E61"/>
  <c r="E60"/>
  <c r="G60" s="1"/>
  <c r="G59"/>
  <c r="E59"/>
  <c r="E58"/>
  <c r="G58" s="1"/>
  <c r="D58"/>
  <c r="B58"/>
  <c r="E57"/>
  <c r="G57" s="1"/>
  <c r="D57"/>
  <c r="B57"/>
  <c r="E56"/>
  <c r="G56" s="1"/>
  <c r="D56"/>
  <c r="B56"/>
  <c r="E55"/>
  <c r="G55" s="1"/>
  <c r="D55"/>
  <c r="B55"/>
  <c r="E54"/>
  <c r="G54" s="1"/>
  <c r="B54"/>
  <c r="E49"/>
  <c r="G49" s="1"/>
  <c r="G48"/>
  <c r="E48"/>
  <c r="E47"/>
  <c r="G47" s="1"/>
  <c r="B47"/>
  <c r="G46"/>
  <c r="E46"/>
  <c r="E45"/>
  <c r="G45" s="1"/>
  <c r="G44"/>
  <c r="E44"/>
  <c r="E43"/>
  <c r="G43" s="1"/>
  <c r="G42"/>
  <c r="I40" s="1"/>
  <c r="D37"/>
  <c r="J24"/>
  <c r="I24"/>
  <c r="D24"/>
  <c r="L24" s="1"/>
  <c r="K23"/>
  <c r="J23"/>
  <c r="I23"/>
  <c r="D23"/>
  <c r="L23" s="1"/>
  <c r="K22"/>
  <c r="D22"/>
  <c r="J22" s="1"/>
  <c r="D21"/>
  <c r="K21" s="1"/>
  <c r="H16"/>
  <c r="H17" s="1"/>
  <c r="H18" s="1"/>
  <c r="H19" s="1"/>
  <c r="G16"/>
  <c r="G17" s="1"/>
  <c r="G18" s="1"/>
  <c r="G19" s="1"/>
  <c r="F16"/>
  <c r="F17" s="1"/>
  <c r="F18" s="1"/>
  <c r="F19" s="1"/>
  <c r="E16"/>
  <c r="E17" s="1"/>
  <c r="E18" s="1"/>
  <c r="E19" s="1"/>
  <c r="E9"/>
  <c r="B9"/>
  <c r="F8"/>
  <c r="F9" s="1"/>
  <c r="C8"/>
  <c r="C9" s="1"/>
  <c r="E7"/>
  <c r="B7"/>
  <c r="F6"/>
  <c r="F7" s="1"/>
  <c r="C6"/>
  <c r="C7" s="1"/>
  <c r="G63" i="146"/>
  <c r="E63"/>
  <c r="E62"/>
  <c r="G62" s="1"/>
  <c r="G61"/>
  <c r="E61"/>
  <c r="E60"/>
  <c r="G60" s="1"/>
  <c r="G59"/>
  <c r="E59"/>
  <c r="E58"/>
  <c r="G58" s="1"/>
  <c r="D58"/>
  <c r="B58"/>
  <c r="E57"/>
  <c r="G57" s="1"/>
  <c r="D57"/>
  <c r="B57"/>
  <c r="E56"/>
  <c r="G56" s="1"/>
  <c r="D56"/>
  <c r="B56"/>
  <c r="E55"/>
  <c r="G55" s="1"/>
  <c r="D55"/>
  <c r="B55"/>
  <c r="E54"/>
  <c r="G54" s="1"/>
  <c r="B54"/>
  <c r="E49"/>
  <c r="G49" s="1"/>
  <c r="G48"/>
  <c r="E48"/>
  <c r="E47"/>
  <c r="G47" s="1"/>
  <c r="B47"/>
  <c r="G46"/>
  <c r="E46"/>
  <c r="E45"/>
  <c r="G45" s="1"/>
  <c r="G44"/>
  <c r="E44"/>
  <c r="E43"/>
  <c r="G43" s="1"/>
  <c r="G42"/>
  <c r="D37"/>
  <c r="J24"/>
  <c r="I24"/>
  <c r="D24"/>
  <c r="L24" s="1"/>
  <c r="K23"/>
  <c r="J23"/>
  <c r="I23"/>
  <c r="D23"/>
  <c r="L23" s="1"/>
  <c r="K22"/>
  <c r="D22"/>
  <c r="J22" s="1"/>
  <c r="D21"/>
  <c r="K21" s="1"/>
  <c r="H16"/>
  <c r="H17" s="1"/>
  <c r="H18" s="1"/>
  <c r="H19" s="1"/>
  <c r="G16"/>
  <c r="G17" s="1"/>
  <c r="G18" s="1"/>
  <c r="G19" s="1"/>
  <c r="F16"/>
  <c r="F17" s="1"/>
  <c r="F18" s="1"/>
  <c r="F19" s="1"/>
  <c r="E16"/>
  <c r="E17" s="1"/>
  <c r="E18" s="1"/>
  <c r="E19" s="1"/>
  <c r="E9"/>
  <c r="B9"/>
  <c r="F8"/>
  <c r="F9" s="1"/>
  <c r="C8"/>
  <c r="C9" s="1"/>
  <c r="E7"/>
  <c r="B7"/>
  <c r="F6"/>
  <c r="F7" s="1"/>
  <c r="C6"/>
  <c r="C7" s="1"/>
  <c r="G63" i="145"/>
  <c r="E63"/>
  <c r="E62"/>
  <c r="G62" s="1"/>
  <c r="G61"/>
  <c r="E61"/>
  <c r="E60"/>
  <c r="G60" s="1"/>
  <c r="G59"/>
  <c r="E59"/>
  <c r="E58"/>
  <c r="G58" s="1"/>
  <c r="D58"/>
  <c r="B58"/>
  <c r="E57"/>
  <c r="G57" s="1"/>
  <c r="D57"/>
  <c r="B57"/>
  <c r="E56"/>
  <c r="G56" s="1"/>
  <c r="D56"/>
  <c r="B56"/>
  <c r="E55"/>
  <c r="G55" s="1"/>
  <c r="D55"/>
  <c r="B55"/>
  <c r="E54"/>
  <c r="G54" s="1"/>
  <c r="B54"/>
  <c r="E49"/>
  <c r="G49" s="1"/>
  <c r="G48"/>
  <c r="E48"/>
  <c r="E47"/>
  <c r="G47" s="1"/>
  <c r="B47"/>
  <c r="G46"/>
  <c r="E46"/>
  <c r="E45"/>
  <c r="G45" s="1"/>
  <c r="G44"/>
  <c r="E44"/>
  <c r="E43"/>
  <c r="G43" s="1"/>
  <c r="G42"/>
  <c r="D37"/>
  <c r="J24"/>
  <c r="I24"/>
  <c r="D24"/>
  <c r="L24" s="1"/>
  <c r="K23"/>
  <c r="J23"/>
  <c r="I23"/>
  <c r="D23"/>
  <c r="L23" s="1"/>
  <c r="K22"/>
  <c r="D22"/>
  <c r="J22" s="1"/>
  <c r="D21"/>
  <c r="K21" s="1"/>
  <c r="H16"/>
  <c r="H17" s="1"/>
  <c r="H18" s="1"/>
  <c r="H19" s="1"/>
  <c r="G16"/>
  <c r="G17" s="1"/>
  <c r="G18" s="1"/>
  <c r="G19" s="1"/>
  <c r="F16"/>
  <c r="F17" s="1"/>
  <c r="F18" s="1"/>
  <c r="F19" s="1"/>
  <c r="E16"/>
  <c r="E17" s="1"/>
  <c r="E18" s="1"/>
  <c r="E19" s="1"/>
  <c r="E9"/>
  <c r="B9"/>
  <c r="F8"/>
  <c r="F9" s="1"/>
  <c r="C8"/>
  <c r="C9" s="1"/>
  <c r="E7"/>
  <c r="B7"/>
  <c r="F6"/>
  <c r="F7" s="1"/>
  <c r="C6"/>
  <c r="C7" s="1"/>
  <c r="G63" i="144"/>
  <c r="E63"/>
  <c r="E62"/>
  <c r="G62" s="1"/>
  <c r="G61"/>
  <c r="E61"/>
  <c r="E60"/>
  <c r="G60" s="1"/>
  <c r="G59"/>
  <c r="E59"/>
  <c r="E58"/>
  <c r="G58" s="1"/>
  <c r="D58"/>
  <c r="B58"/>
  <c r="E57"/>
  <c r="G57" s="1"/>
  <c r="D57"/>
  <c r="B57"/>
  <c r="E56"/>
  <c r="G56" s="1"/>
  <c r="D56"/>
  <c r="B56"/>
  <c r="E55"/>
  <c r="G55" s="1"/>
  <c r="D55"/>
  <c r="B55"/>
  <c r="E54"/>
  <c r="G54" s="1"/>
  <c r="B54"/>
  <c r="E49"/>
  <c r="G49" s="1"/>
  <c r="G48"/>
  <c r="E48"/>
  <c r="E47"/>
  <c r="G47" s="1"/>
  <c r="B47"/>
  <c r="G46"/>
  <c r="E46"/>
  <c r="E45"/>
  <c r="G45" s="1"/>
  <c r="G44"/>
  <c r="E44"/>
  <c r="E43"/>
  <c r="G43" s="1"/>
  <c r="G42"/>
  <c r="D37"/>
  <c r="I24"/>
  <c r="D24"/>
  <c r="L24" s="1"/>
  <c r="K23"/>
  <c r="J23"/>
  <c r="I23"/>
  <c r="D23"/>
  <c r="L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3" i="143"/>
  <c r="E63"/>
  <c r="E62"/>
  <c r="G62" s="1"/>
  <c r="G61"/>
  <c r="E61"/>
  <c r="E60"/>
  <c r="G60" s="1"/>
  <c r="G59"/>
  <c r="E59"/>
  <c r="E58"/>
  <c r="G58" s="1"/>
  <c r="D58"/>
  <c r="B58"/>
  <c r="E57"/>
  <c r="G57" s="1"/>
  <c r="D57"/>
  <c r="B57"/>
  <c r="E56"/>
  <c r="G56" s="1"/>
  <c r="D56"/>
  <c r="B56"/>
  <c r="E55"/>
  <c r="G55" s="1"/>
  <c r="D55"/>
  <c r="B55"/>
  <c r="E54"/>
  <c r="G54" s="1"/>
  <c r="B54"/>
  <c r="E49"/>
  <c r="G49" s="1"/>
  <c r="G48"/>
  <c r="E48"/>
  <c r="E47"/>
  <c r="G47" s="1"/>
  <c r="B47"/>
  <c r="G46"/>
  <c r="E46"/>
  <c r="E45"/>
  <c r="G45" s="1"/>
  <c r="G44"/>
  <c r="E44"/>
  <c r="E43"/>
  <c r="G43" s="1"/>
  <c r="G42"/>
  <c r="D37"/>
  <c r="I24"/>
  <c r="D24"/>
  <c r="L24" s="1"/>
  <c r="K23"/>
  <c r="J23"/>
  <c r="I23"/>
  <c r="D23"/>
  <c r="L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3" i="142"/>
  <c r="E63"/>
  <c r="E62"/>
  <c r="G62" s="1"/>
  <c r="G61"/>
  <c r="E61"/>
  <c r="E60"/>
  <c r="G60" s="1"/>
  <c r="G59"/>
  <c r="E59"/>
  <c r="E58"/>
  <c r="G58" s="1"/>
  <c r="D58"/>
  <c r="B58"/>
  <c r="E57"/>
  <c r="G57" s="1"/>
  <c r="D57"/>
  <c r="B57"/>
  <c r="E56"/>
  <c r="G56" s="1"/>
  <c r="D56"/>
  <c r="B56"/>
  <c r="E55"/>
  <c r="G55" s="1"/>
  <c r="D55"/>
  <c r="B55"/>
  <c r="E54"/>
  <c r="G54" s="1"/>
  <c r="B54"/>
  <c r="E49"/>
  <c r="G49" s="1"/>
  <c r="G48"/>
  <c r="E48"/>
  <c r="E47"/>
  <c r="G47" s="1"/>
  <c r="B47"/>
  <c r="G46"/>
  <c r="E46"/>
  <c r="E45"/>
  <c r="G45" s="1"/>
  <c r="G44"/>
  <c r="E44"/>
  <c r="E43"/>
  <c r="G43" s="1"/>
  <c r="G42"/>
  <c r="D37"/>
  <c r="I24"/>
  <c r="D24"/>
  <c r="L24" s="1"/>
  <c r="J23"/>
  <c r="I23"/>
  <c r="D23"/>
  <c r="K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G63" i="141"/>
  <c r="E63"/>
  <c r="G62"/>
  <c r="E62"/>
  <c r="G61"/>
  <c r="E61"/>
  <c r="G60"/>
  <c r="E60"/>
  <c r="G59"/>
  <c r="I52" s="1"/>
  <c r="D17" s="1"/>
  <c r="E59"/>
  <c r="G58"/>
  <c r="E58"/>
  <c r="D58"/>
  <c r="B58"/>
  <c r="G57"/>
  <c r="E57"/>
  <c r="D57"/>
  <c r="B57"/>
  <c r="G56"/>
  <c r="E56"/>
  <c r="D56"/>
  <c r="B56"/>
  <c r="G55"/>
  <c r="E55"/>
  <c r="D55"/>
  <c r="B55"/>
  <c r="G54"/>
  <c r="E72" s="1"/>
  <c r="I70" s="1"/>
  <c r="D18" s="1"/>
  <c r="E54"/>
  <c r="B54"/>
  <c r="G49"/>
  <c r="E49"/>
  <c r="G48"/>
  <c r="E48"/>
  <c r="G47"/>
  <c r="E47"/>
  <c r="B47"/>
  <c r="G46"/>
  <c r="E46"/>
  <c r="E45"/>
  <c r="G45" s="1"/>
  <c r="G44"/>
  <c r="E44"/>
  <c r="E43"/>
  <c r="G43" s="1"/>
  <c r="G42"/>
  <c r="I40" s="1"/>
  <c r="D37"/>
  <c r="I24"/>
  <c r="D24"/>
  <c r="L24" s="1"/>
  <c r="J23"/>
  <c r="I23"/>
  <c r="D23"/>
  <c r="K23" s="1"/>
  <c r="K22"/>
  <c r="J22"/>
  <c r="I22"/>
  <c r="D22"/>
  <c r="L22" s="1"/>
  <c r="D21"/>
  <c r="K21" s="1"/>
  <c r="H16"/>
  <c r="H17" s="1"/>
  <c r="H18" s="1"/>
  <c r="H19" s="1"/>
  <c r="G16"/>
  <c r="G17" s="1"/>
  <c r="G18" s="1"/>
  <c r="G19" s="1"/>
  <c r="F16"/>
  <c r="F17" s="1"/>
  <c r="F18" s="1"/>
  <c r="F19" s="1"/>
  <c r="E16"/>
  <c r="E17" s="1"/>
  <c r="E18" s="1"/>
  <c r="E19" s="1"/>
  <c r="E9"/>
  <c r="B9"/>
  <c r="F8"/>
  <c r="F9" s="1"/>
  <c r="C8"/>
  <c r="C9" s="1"/>
  <c r="E7"/>
  <c r="B7"/>
  <c r="F6"/>
  <c r="F7" s="1"/>
  <c r="C6"/>
  <c r="C7" s="1"/>
  <c r="G63" i="140"/>
  <c r="E63"/>
  <c r="E62"/>
  <c r="G62" s="1"/>
  <c r="G61"/>
  <c r="E61"/>
  <c r="E60"/>
  <c r="G60" s="1"/>
  <c r="G59"/>
  <c r="E59"/>
  <c r="E58"/>
  <c r="G58" s="1"/>
  <c r="D58"/>
  <c r="B58"/>
  <c r="E57"/>
  <c r="G57" s="1"/>
  <c r="D57"/>
  <c r="B57"/>
  <c r="E56"/>
  <c r="G56" s="1"/>
  <c r="D56"/>
  <c r="B56"/>
  <c r="E55"/>
  <c r="G55" s="1"/>
  <c r="D55"/>
  <c r="B55"/>
  <c r="E54"/>
  <c r="G54" s="1"/>
  <c r="B54"/>
  <c r="E49"/>
  <c r="G49" s="1"/>
  <c r="G48"/>
  <c r="E48"/>
  <c r="E47"/>
  <c r="G47" s="1"/>
  <c r="B47"/>
  <c r="G46"/>
  <c r="E46"/>
  <c r="E45"/>
  <c r="G45" s="1"/>
  <c r="G44"/>
  <c r="E44"/>
  <c r="E43"/>
  <c r="G43" s="1"/>
  <c r="G42"/>
  <c r="D37"/>
  <c r="I24"/>
  <c r="D24"/>
  <c r="L24" s="1"/>
  <c r="J23"/>
  <c r="I23"/>
  <c r="D23"/>
  <c r="K23" s="1"/>
  <c r="K22"/>
  <c r="J22"/>
  <c r="D22"/>
  <c r="L22" s="1"/>
  <c r="D21"/>
  <c r="K21" s="1"/>
  <c r="H16"/>
  <c r="H17" s="1"/>
  <c r="H18" s="1"/>
  <c r="H19" s="1"/>
  <c r="G16"/>
  <c r="G17" s="1"/>
  <c r="G18" s="1"/>
  <c r="G19" s="1"/>
  <c r="F16"/>
  <c r="F17" s="1"/>
  <c r="F18" s="1"/>
  <c r="F19" s="1"/>
  <c r="E16"/>
  <c r="E17" s="1"/>
  <c r="E18" s="1"/>
  <c r="E19" s="1"/>
  <c r="E9"/>
  <c r="B9"/>
  <c r="F8"/>
  <c r="F9" s="1"/>
  <c r="C8"/>
  <c r="C9" s="1"/>
  <c r="E7"/>
  <c r="B7"/>
  <c r="F6"/>
  <c r="F7" s="1"/>
  <c r="C6"/>
  <c r="C7" s="1"/>
  <c r="I52" i="145" l="1"/>
  <c r="D17" s="1"/>
  <c r="E72"/>
  <c r="I70" s="1"/>
  <c r="D18" s="1"/>
  <c r="I52" i="146"/>
  <c r="D17" s="1"/>
  <c r="E72"/>
  <c r="I70" s="1"/>
  <c r="D18" s="1"/>
  <c r="I52" i="147"/>
  <c r="D17" s="1"/>
  <c r="E72"/>
  <c r="I70" s="1"/>
  <c r="D18" s="1"/>
  <c r="I76" i="141"/>
  <c r="D19" s="1"/>
  <c r="D16"/>
  <c r="I79"/>
  <c r="D20" s="1"/>
  <c r="I95"/>
  <c r="I98"/>
  <c r="J18"/>
  <c r="K18"/>
  <c r="L18"/>
  <c r="I18"/>
  <c r="I76" i="147"/>
  <c r="D19" s="1"/>
  <c r="D16"/>
  <c r="I79"/>
  <c r="D20" s="1"/>
  <c r="I95"/>
  <c r="I98"/>
  <c r="I40" i="145"/>
  <c r="I40" i="146"/>
  <c r="I52" i="140"/>
  <c r="D17" s="1"/>
  <c r="E72"/>
  <c r="I70" s="1"/>
  <c r="D18" s="1"/>
  <c r="I52" i="142"/>
  <c r="D17" s="1"/>
  <c r="E72"/>
  <c r="I70" s="1"/>
  <c r="D18" s="1"/>
  <c r="I52" i="143"/>
  <c r="D17" s="1"/>
  <c r="E72"/>
  <c r="I70" s="1"/>
  <c r="D18" s="1"/>
  <c r="I52" i="144"/>
  <c r="D17" s="1"/>
  <c r="E72"/>
  <c r="I70" s="1"/>
  <c r="D18" s="1"/>
  <c r="K17" i="141"/>
  <c r="L17"/>
  <c r="I17"/>
  <c r="J17"/>
  <c r="I40" i="140"/>
  <c r="I40" i="142"/>
  <c r="I40" i="143"/>
  <c r="I40" i="144"/>
  <c r="J21" i="140"/>
  <c r="I22"/>
  <c r="L23"/>
  <c r="K24"/>
  <c r="J21" i="141"/>
  <c r="L23"/>
  <c r="K24"/>
  <c r="J21" i="142"/>
  <c r="I22"/>
  <c r="L23"/>
  <c r="K24"/>
  <c r="J21" i="143"/>
  <c r="I22"/>
  <c r="K24"/>
  <c r="J21" i="144"/>
  <c r="I22"/>
  <c r="K24"/>
  <c r="J21" i="145"/>
  <c r="I22"/>
  <c r="K24"/>
  <c r="J21" i="146"/>
  <c r="I22"/>
  <c r="K24"/>
  <c r="J21" i="147"/>
  <c r="I22"/>
  <c r="K24"/>
  <c r="I21" i="140"/>
  <c r="J24"/>
  <c r="I21" i="141"/>
  <c r="J24"/>
  <c r="I21" i="142"/>
  <c r="J24"/>
  <c r="I21" i="143"/>
  <c r="J24"/>
  <c r="I21" i="144"/>
  <c r="J24"/>
  <c r="I21" i="145"/>
  <c r="L22"/>
  <c r="I21" i="146"/>
  <c r="L22"/>
  <c r="I21" i="147"/>
  <c r="L22"/>
  <c r="L21" i="140"/>
  <c r="L21" i="141"/>
  <c r="L21" i="142"/>
  <c r="L21" i="143"/>
  <c r="L21" i="144"/>
  <c r="L21" i="145"/>
  <c r="L21" i="146"/>
  <c r="L21" i="147"/>
  <c r="I76" i="143" l="1"/>
  <c r="D19" s="1"/>
  <c r="D16"/>
  <c r="I79"/>
  <c r="D20" s="1"/>
  <c r="I95"/>
  <c r="K17" i="144"/>
  <c r="L17"/>
  <c r="I17"/>
  <c r="J17"/>
  <c r="K17" i="142"/>
  <c r="L17"/>
  <c r="I17"/>
  <c r="J17"/>
  <c r="I76" i="145"/>
  <c r="D19" s="1"/>
  <c r="D16"/>
  <c r="I79"/>
  <c r="D20" s="1"/>
  <c r="I95"/>
  <c r="I98"/>
  <c r="L16" i="147"/>
  <c r="D25"/>
  <c r="I16"/>
  <c r="J16"/>
  <c r="K16"/>
  <c r="L20" i="141"/>
  <c r="I20"/>
  <c r="J20"/>
  <c r="K20"/>
  <c r="K17" i="147"/>
  <c r="L17"/>
  <c r="I17"/>
  <c r="J17"/>
  <c r="K17" i="145"/>
  <c r="L17"/>
  <c r="I17"/>
  <c r="J17"/>
  <c r="I76" i="144"/>
  <c r="D19" s="1"/>
  <c r="D16"/>
  <c r="I79"/>
  <c r="D20" s="1"/>
  <c r="I95"/>
  <c r="I98"/>
  <c r="J18"/>
  <c r="K18"/>
  <c r="L18"/>
  <c r="I18"/>
  <c r="J18" i="142"/>
  <c r="K18"/>
  <c r="L18"/>
  <c r="I18"/>
  <c r="I76" i="146"/>
  <c r="D19" s="1"/>
  <c r="D16"/>
  <c r="I79"/>
  <c r="D20" s="1"/>
  <c r="I95"/>
  <c r="L20" i="147"/>
  <c r="I20"/>
  <c r="J20"/>
  <c r="K20"/>
  <c r="J18"/>
  <c r="K18"/>
  <c r="L18"/>
  <c r="I18"/>
  <c r="J18" i="145"/>
  <c r="K18"/>
  <c r="L18"/>
  <c r="I18"/>
  <c r="I76" i="140"/>
  <c r="D19" s="1"/>
  <c r="D16"/>
  <c r="I79"/>
  <c r="D20" s="1"/>
  <c r="K17" i="143"/>
  <c r="L17"/>
  <c r="I17"/>
  <c r="J17"/>
  <c r="K17" i="140"/>
  <c r="L17"/>
  <c r="I17"/>
  <c r="J17"/>
  <c r="I19" i="141"/>
  <c r="J19"/>
  <c r="K19"/>
  <c r="L19"/>
  <c r="K17" i="146"/>
  <c r="L17"/>
  <c r="I17"/>
  <c r="J17"/>
  <c r="I76" i="142"/>
  <c r="D19" s="1"/>
  <c r="D16"/>
  <c r="I79"/>
  <c r="D20" s="1"/>
  <c r="I98"/>
  <c r="J18" i="143"/>
  <c r="K18"/>
  <c r="L18"/>
  <c r="I18"/>
  <c r="J18" i="140"/>
  <c r="K18"/>
  <c r="L18"/>
  <c r="I18"/>
  <c r="I19" i="147"/>
  <c r="J19"/>
  <c r="K19"/>
  <c r="L19"/>
  <c r="L16" i="141"/>
  <c r="D25"/>
  <c r="I16"/>
  <c r="I25" s="1"/>
  <c r="G6" s="1"/>
  <c r="J16"/>
  <c r="J25" s="1"/>
  <c r="G7" s="1"/>
  <c r="K16"/>
  <c r="J18" i="146"/>
  <c r="K18"/>
  <c r="L18"/>
  <c r="I18"/>
  <c r="K25" i="141" l="1"/>
  <c r="G8" s="1"/>
  <c r="L25"/>
  <c r="G9" s="1"/>
  <c r="L20" i="142"/>
  <c r="I20"/>
  <c r="J20"/>
  <c r="K20"/>
  <c r="I19" i="146"/>
  <c r="J19"/>
  <c r="K19"/>
  <c r="L19"/>
  <c r="L16" i="144"/>
  <c r="D25"/>
  <c r="I16"/>
  <c r="J16"/>
  <c r="K16"/>
  <c r="I19" i="143"/>
  <c r="J19"/>
  <c r="K19"/>
  <c r="L19"/>
  <c r="I95" i="140"/>
  <c r="I98" i="146"/>
  <c r="I25" i="147"/>
  <c r="G6" s="1"/>
  <c r="I98" i="143"/>
  <c r="I19" i="140"/>
  <c r="J19"/>
  <c r="K19"/>
  <c r="L19"/>
  <c r="L16" i="146"/>
  <c r="D25"/>
  <c r="I16"/>
  <c r="J16"/>
  <c r="K16"/>
  <c r="L20" i="144"/>
  <c r="I20"/>
  <c r="J20"/>
  <c r="K20"/>
  <c r="I19" i="145"/>
  <c r="J19"/>
  <c r="K19"/>
  <c r="L19"/>
  <c r="L16" i="143"/>
  <c r="D25"/>
  <c r="I16"/>
  <c r="J16"/>
  <c r="K16"/>
  <c r="I95" i="142"/>
  <c r="I98" i="140"/>
  <c r="J25" i="147"/>
  <c r="G7" s="1"/>
  <c r="I19" i="142"/>
  <c r="J19"/>
  <c r="K19"/>
  <c r="L19"/>
  <c r="L16" i="140"/>
  <c r="D25"/>
  <c r="I16"/>
  <c r="J16"/>
  <c r="K16"/>
  <c r="L20" i="146"/>
  <c r="I20"/>
  <c r="J20"/>
  <c r="K20"/>
  <c r="L16" i="145"/>
  <c r="D25"/>
  <c r="I16"/>
  <c r="J16"/>
  <c r="K16"/>
  <c r="L20" i="143"/>
  <c r="I20"/>
  <c r="J20"/>
  <c r="K20"/>
  <c r="K25" i="147"/>
  <c r="G8" s="1"/>
  <c r="L25"/>
  <c r="G9" s="1"/>
  <c r="L16" i="142"/>
  <c r="L25" s="1"/>
  <c r="G9" s="1"/>
  <c r="D25"/>
  <c r="I16"/>
  <c r="J16"/>
  <c r="J25" s="1"/>
  <c r="G7" s="1"/>
  <c r="K16"/>
  <c r="K25" s="1"/>
  <c r="G8" s="1"/>
  <c r="L20" i="140"/>
  <c r="I20"/>
  <c r="J20"/>
  <c r="K20"/>
  <c r="I19" i="144"/>
  <c r="J19"/>
  <c r="K19"/>
  <c r="L19"/>
  <c r="L20" i="145"/>
  <c r="I20"/>
  <c r="J20"/>
  <c r="K20"/>
  <c r="I25" i="142" l="1"/>
  <c r="G6" s="1"/>
  <c r="I25" i="140"/>
  <c r="G6" s="1"/>
  <c r="I25" i="143"/>
  <c r="G6" s="1"/>
  <c r="J25" i="146"/>
  <c r="G7" s="1"/>
  <c r="K25" i="144"/>
  <c r="G8" s="1"/>
  <c r="L25"/>
  <c r="G9" s="1"/>
  <c r="I25" i="145"/>
  <c r="G6" s="1"/>
  <c r="J25" i="140"/>
  <c r="G7" s="1"/>
  <c r="J25" i="143"/>
  <c r="G7" s="1"/>
  <c r="K25" i="146"/>
  <c r="G8" s="1"/>
  <c r="L25"/>
  <c r="G9" s="1"/>
  <c r="J25" i="145"/>
  <c r="G7" s="1"/>
  <c r="K25" i="140"/>
  <c r="G8" s="1"/>
  <c r="L25"/>
  <c r="G9" s="1"/>
  <c r="K25" i="143"/>
  <c r="G8" s="1"/>
  <c r="L25"/>
  <c r="G9" s="1"/>
  <c r="I25" i="144"/>
  <c r="G6" s="1"/>
  <c r="K25" i="145"/>
  <c r="G8" s="1"/>
  <c r="L25"/>
  <c r="G9" s="1"/>
  <c r="I25" i="146"/>
  <c r="G6" s="1"/>
  <c r="J25" i="144"/>
  <c r="G7" s="1"/>
  <c r="E45" i="139" l="1"/>
  <c r="G45" s="1"/>
  <c r="B45"/>
  <c r="E44"/>
  <c r="G44" s="1"/>
  <c r="B44"/>
  <c r="I39"/>
  <c r="D24"/>
  <c r="K24" s="1"/>
  <c r="I23"/>
  <c r="D23"/>
  <c r="L23" s="1"/>
  <c r="J22"/>
  <c r="I22"/>
  <c r="D22"/>
  <c r="K22" s="1"/>
  <c r="K21"/>
  <c r="J21"/>
  <c r="D21"/>
  <c r="L21" s="1"/>
  <c r="D20"/>
  <c r="K20" s="1"/>
  <c r="H16"/>
  <c r="H17" s="1"/>
  <c r="H18" s="1"/>
  <c r="H19" s="1"/>
  <c r="G16"/>
  <c r="G17" s="1"/>
  <c r="G18" s="1"/>
  <c r="G19" s="1"/>
  <c r="F16"/>
  <c r="F17" s="1"/>
  <c r="F18" s="1"/>
  <c r="F19" s="1"/>
  <c r="E16"/>
  <c r="E17" s="1"/>
  <c r="E18" s="1"/>
  <c r="E19" s="1"/>
  <c r="D16"/>
  <c r="K16" s="1"/>
  <c r="E9"/>
  <c r="B9"/>
  <c r="C8"/>
  <c r="C9" s="1"/>
  <c r="E7"/>
  <c r="B7"/>
  <c r="C6"/>
  <c r="C7" s="1"/>
  <c r="G45" i="138"/>
  <c r="E45"/>
  <c r="B45"/>
  <c r="E44"/>
  <c r="G44" s="1"/>
  <c r="B44"/>
  <c r="I39"/>
  <c r="K24"/>
  <c r="I24"/>
  <c r="D24"/>
  <c r="J24" s="1"/>
  <c r="D23"/>
  <c r="K23" s="1"/>
  <c r="K22"/>
  <c r="J22"/>
  <c r="I22"/>
  <c r="D22"/>
  <c r="L22" s="1"/>
  <c r="D21"/>
  <c r="I21" s="1"/>
  <c r="K20"/>
  <c r="I20"/>
  <c r="D20"/>
  <c r="J20" s="1"/>
  <c r="H16"/>
  <c r="H17" s="1"/>
  <c r="H18" s="1"/>
  <c r="H19" s="1"/>
  <c r="G16"/>
  <c r="K16" s="1"/>
  <c r="F16"/>
  <c r="F17" s="1"/>
  <c r="F18" s="1"/>
  <c r="F19" s="1"/>
  <c r="E16"/>
  <c r="E17" s="1"/>
  <c r="E18" s="1"/>
  <c r="E19" s="1"/>
  <c r="D16"/>
  <c r="E9"/>
  <c r="C8"/>
  <c r="C9" s="1"/>
  <c r="E7"/>
  <c r="B7"/>
  <c r="B8" s="1"/>
  <c r="B9" s="1"/>
  <c r="C6"/>
  <c r="C7" s="1"/>
  <c r="G45" i="137"/>
  <c r="E45"/>
  <c r="B45"/>
  <c r="G44"/>
  <c r="E52" s="1"/>
  <c r="I50" s="1"/>
  <c r="D18" s="1"/>
  <c r="E44"/>
  <c r="B44"/>
  <c r="I42"/>
  <c r="I39"/>
  <c r="K24"/>
  <c r="J24"/>
  <c r="I24"/>
  <c r="D24"/>
  <c r="L24" s="1"/>
  <c r="D23"/>
  <c r="K23" s="1"/>
  <c r="I22"/>
  <c r="D22"/>
  <c r="L22" s="1"/>
  <c r="J21"/>
  <c r="I21"/>
  <c r="D21"/>
  <c r="K21" s="1"/>
  <c r="K20"/>
  <c r="J20"/>
  <c r="D20"/>
  <c r="L20" s="1"/>
  <c r="D17"/>
  <c r="H16"/>
  <c r="H17" s="1"/>
  <c r="H18" s="1"/>
  <c r="H19" s="1"/>
  <c r="G16"/>
  <c r="K16" s="1"/>
  <c r="F16"/>
  <c r="J16" s="1"/>
  <c r="E16"/>
  <c r="E17" s="1"/>
  <c r="I17" s="1"/>
  <c r="D16"/>
  <c r="L16" s="1"/>
  <c r="E9"/>
  <c r="C8"/>
  <c r="C9" s="1"/>
  <c r="E7"/>
  <c r="C6"/>
  <c r="C7" s="1"/>
  <c r="J16" i="138" l="1"/>
  <c r="E52"/>
  <c r="I50" s="1"/>
  <c r="D18" s="1"/>
  <c r="I42"/>
  <c r="I75" s="1"/>
  <c r="E52" i="139"/>
  <c r="I50" s="1"/>
  <c r="D18" s="1"/>
  <c r="I42"/>
  <c r="D17" s="1"/>
  <c r="L18" i="137"/>
  <c r="I75"/>
  <c r="I16"/>
  <c r="L17"/>
  <c r="I20"/>
  <c r="L21"/>
  <c r="K22"/>
  <c r="J23"/>
  <c r="I72"/>
  <c r="I16" i="138"/>
  <c r="L21"/>
  <c r="J23"/>
  <c r="J16" i="139"/>
  <c r="J20"/>
  <c r="I21"/>
  <c r="L22"/>
  <c r="K23"/>
  <c r="J24"/>
  <c r="G17" i="137"/>
  <c r="G18" s="1"/>
  <c r="G19" s="1"/>
  <c r="J22"/>
  <c r="I23"/>
  <c r="I54"/>
  <c r="D19" s="1"/>
  <c r="L16" i="138"/>
  <c r="G17"/>
  <c r="G18" s="1"/>
  <c r="G19" s="1"/>
  <c r="L20"/>
  <c r="K21"/>
  <c r="I23"/>
  <c r="L24"/>
  <c r="I54"/>
  <c r="D19" s="1"/>
  <c r="I16" i="139"/>
  <c r="I20"/>
  <c r="J23"/>
  <c r="I24"/>
  <c r="F17" i="137"/>
  <c r="E18"/>
  <c r="E19" s="1"/>
  <c r="L23"/>
  <c r="J21" i="138"/>
  <c r="L23"/>
  <c r="L16" i="139"/>
  <c r="L20"/>
  <c r="L24"/>
  <c r="K19" i="137" l="1"/>
  <c r="L19"/>
  <c r="L25" s="1"/>
  <c r="G9" s="1"/>
  <c r="I19"/>
  <c r="D25"/>
  <c r="K18"/>
  <c r="I18" i="139"/>
  <c r="J18"/>
  <c r="K18"/>
  <c r="L18"/>
  <c r="I54"/>
  <c r="J17" i="137"/>
  <c r="F18"/>
  <c r="J17" i="139"/>
  <c r="K17"/>
  <c r="L17"/>
  <c r="I17"/>
  <c r="L18" i="138"/>
  <c r="I18"/>
  <c r="J18"/>
  <c r="K18"/>
  <c r="I18" i="137"/>
  <c r="I25" s="1"/>
  <c r="G6" s="1"/>
  <c r="K19" i="138"/>
  <c r="L19"/>
  <c r="I19"/>
  <c r="J19"/>
  <c r="I72"/>
  <c r="D17"/>
  <c r="K17" i="137"/>
  <c r="K25" l="1"/>
  <c r="G8" s="1"/>
  <c r="F19"/>
  <c r="J19" s="1"/>
  <c r="J18"/>
  <c r="I17" i="138"/>
  <c r="I25" s="1"/>
  <c r="G6" s="1"/>
  <c r="J17"/>
  <c r="J25" s="1"/>
  <c r="G7" s="1"/>
  <c r="K17"/>
  <c r="K25" s="1"/>
  <c r="G8" s="1"/>
  <c r="L17"/>
  <c r="L25" s="1"/>
  <c r="G9" s="1"/>
  <c r="D25"/>
  <c r="D19" i="139"/>
  <c r="I72"/>
  <c r="I75"/>
  <c r="J25" i="137" l="1"/>
  <c r="G7" s="1"/>
  <c r="L19" i="139"/>
  <c r="L25" s="1"/>
  <c r="G9" s="1"/>
  <c r="I19"/>
  <c r="I25" s="1"/>
  <c r="G6" s="1"/>
  <c r="J19"/>
  <c r="J25" s="1"/>
  <c r="G7" s="1"/>
  <c r="K19"/>
  <c r="K25" s="1"/>
  <c r="G8" s="1"/>
  <c r="D25"/>
  <c r="E68" i="136" l="1"/>
  <c r="G68" s="1"/>
  <c r="E67"/>
  <c r="G67" s="1"/>
  <c r="E66"/>
  <c r="G66" s="1"/>
  <c r="E65"/>
  <c r="G65" s="1"/>
  <c r="G64"/>
  <c r="E64"/>
  <c r="E63"/>
  <c r="G63" s="1"/>
  <c r="D63"/>
  <c r="B63"/>
  <c r="E62"/>
  <c r="G62" s="1"/>
  <c r="D62"/>
  <c r="B62"/>
  <c r="E61"/>
  <c r="G61" s="1"/>
  <c r="D61"/>
  <c r="B61"/>
  <c r="E60"/>
  <c r="G60" s="1"/>
  <c r="D60"/>
  <c r="B60"/>
  <c r="E59"/>
  <c r="G59" s="1"/>
  <c r="D59"/>
  <c r="B59"/>
  <c r="E58"/>
  <c r="G58" s="1"/>
  <c r="D58"/>
  <c r="B58"/>
  <c r="E57"/>
  <c r="G57" s="1"/>
  <c r="D57"/>
  <c r="B57"/>
  <c r="E56"/>
  <c r="G56" s="1"/>
  <c r="B56"/>
  <c r="E49"/>
  <c r="G49" s="1"/>
  <c r="E48"/>
  <c r="G48" s="1"/>
  <c r="E47"/>
  <c r="G47" s="1"/>
  <c r="B47"/>
  <c r="E46"/>
  <c r="G46" s="1"/>
  <c r="E45"/>
  <c r="G45" s="1"/>
  <c r="G44"/>
  <c r="E44"/>
  <c r="E43"/>
  <c r="G43" s="1"/>
  <c r="G42"/>
  <c r="D37"/>
  <c r="J24"/>
  <c r="I24"/>
  <c r="D24"/>
  <c r="L24" s="1"/>
  <c r="K23"/>
  <c r="J23"/>
  <c r="I23"/>
  <c r="D23"/>
  <c r="L23" s="1"/>
  <c r="K22"/>
  <c r="D22"/>
  <c r="J22" s="1"/>
  <c r="D21"/>
  <c r="K21" s="1"/>
  <c r="H16"/>
  <c r="H17" s="1"/>
  <c r="H18" s="1"/>
  <c r="H19" s="1"/>
  <c r="G16"/>
  <c r="G17" s="1"/>
  <c r="G18" s="1"/>
  <c r="G19" s="1"/>
  <c r="F16"/>
  <c r="F17" s="1"/>
  <c r="F18" s="1"/>
  <c r="F19" s="1"/>
  <c r="E16"/>
  <c r="E17" s="1"/>
  <c r="E18" s="1"/>
  <c r="E19" s="1"/>
  <c r="E9"/>
  <c r="B9"/>
  <c r="F8"/>
  <c r="F9" s="1"/>
  <c r="C8"/>
  <c r="C9" s="1"/>
  <c r="E7"/>
  <c r="B7"/>
  <c r="F6"/>
  <c r="F7" s="1"/>
  <c r="C6"/>
  <c r="C7" s="1"/>
  <c r="G68" i="135"/>
  <c r="E68"/>
  <c r="E67"/>
  <c r="G67" s="1"/>
  <c r="E66"/>
  <c r="G66" s="1"/>
  <c r="E65"/>
  <c r="G65" s="1"/>
  <c r="E64"/>
  <c r="G64" s="1"/>
  <c r="E63"/>
  <c r="G63" s="1"/>
  <c r="D63"/>
  <c r="B63"/>
  <c r="E62"/>
  <c r="G62" s="1"/>
  <c r="D62"/>
  <c r="B62"/>
  <c r="E61"/>
  <c r="G61" s="1"/>
  <c r="D61"/>
  <c r="B61"/>
  <c r="E60"/>
  <c r="G60" s="1"/>
  <c r="D60"/>
  <c r="B60"/>
  <c r="E59"/>
  <c r="G59" s="1"/>
  <c r="D59"/>
  <c r="B59"/>
  <c r="E58"/>
  <c r="G58" s="1"/>
  <c r="D58"/>
  <c r="B58"/>
  <c r="E57"/>
  <c r="G57" s="1"/>
  <c r="D57"/>
  <c r="B57"/>
  <c r="E56"/>
  <c r="G56" s="1"/>
  <c r="B56"/>
  <c r="E49"/>
  <c r="G49" s="1"/>
  <c r="G48"/>
  <c r="E48"/>
  <c r="E47"/>
  <c r="G47" s="1"/>
  <c r="B47"/>
  <c r="G46"/>
  <c r="E46"/>
  <c r="E45"/>
  <c r="G45" s="1"/>
  <c r="E44"/>
  <c r="G44" s="1"/>
  <c r="E43"/>
  <c r="G43" s="1"/>
  <c r="G42"/>
  <c r="D37"/>
  <c r="J24"/>
  <c r="I24"/>
  <c r="D24"/>
  <c r="L24" s="1"/>
  <c r="K23"/>
  <c r="J23"/>
  <c r="I23"/>
  <c r="D23"/>
  <c r="L23" s="1"/>
  <c r="K22"/>
  <c r="D22"/>
  <c r="J22" s="1"/>
  <c r="D21"/>
  <c r="K21" s="1"/>
  <c r="H16"/>
  <c r="H17" s="1"/>
  <c r="H18" s="1"/>
  <c r="H19" s="1"/>
  <c r="G16"/>
  <c r="G17" s="1"/>
  <c r="G18" s="1"/>
  <c r="G19" s="1"/>
  <c r="F16"/>
  <c r="F17" s="1"/>
  <c r="F18" s="1"/>
  <c r="F19" s="1"/>
  <c r="E16"/>
  <c r="E17" s="1"/>
  <c r="E18" s="1"/>
  <c r="E19" s="1"/>
  <c r="E9"/>
  <c r="B9"/>
  <c r="F8"/>
  <c r="F9" s="1"/>
  <c r="C8"/>
  <c r="C9" s="1"/>
  <c r="E7"/>
  <c r="B7"/>
  <c r="F6"/>
  <c r="F7" s="1"/>
  <c r="C6"/>
  <c r="C7" s="1"/>
  <c r="E69" i="134"/>
  <c r="G69" s="1"/>
  <c r="E68"/>
  <c r="G68" s="1"/>
  <c r="E67"/>
  <c r="G67" s="1"/>
  <c r="E66"/>
  <c r="G66" s="1"/>
  <c r="G65"/>
  <c r="E65"/>
  <c r="E64"/>
  <c r="G64" s="1"/>
  <c r="D64"/>
  <c r="B64"/>
  <c r="E63"/>
  <c r="G63" s="1"/>
  <c r="D63"/>
  <c r="B63"/>
  <c r="E62"/>
  <c r="G62" s="1"/>
  <c r="D62"/>
  <c r="B62"/>
  <c r="E61"/>
  <c r="G61" s="1"/>
  <c r="D61"/>
  <c r="B61"/>
  <c r="E60"/>
  <c r="G60" s="1"/>
  <c r="D60"/>
  <c r="B60"/>
  <c r="E59"/>
  <c r="G59" s="1"/>
  <c r="D59"/>
  <c r="B59"/>
  <c r="E58"/>
  <c r="G58" s="1"/>
  <c r="D58"/>
  <c r="B58"/>
  <c r="E57"/>
  <c r="G57" s="1"/>
  <c r="B57"/>
  <c r="E50"/>
  <c r="G50" s="1"/>
  <c r="E49"/>
  <c r="G49" s="1"/>
  <c r="E48"/>
  <c r="G48" s="1"/>
  <c r="B48"/>
  <c r="E47"/>
  <c r="G47" s="1"/>
  <c r="E46"/>
  <c r="G46" s="1"/>
  <c r="E45"/>
  <c r="G45" s="1"/>
  <c r="E44"/>
  <c r="G44" s="1"/>
  <c r="G43"/>
  <c r="D38"/>
  <c r="J24"/>
  <c r="I24"/>
  <c r="D24"/>
  <c r="L24" s="1"/>
  <c r="K23"/>
  <c r="J23"/>
  <c r="I23"/>
  <c r="D23"/>
  <c r="L23" s="1"/>
  <c r="K22"/>
  <c r="D22"/>
  <c r="J22" s="1"/>
  <c r="D21"/>
  <c r="K21" s="1"/>
  <c r="H16"/>
  <c r="H17" s="1"/>
  <c r="H18" s="1"/>
  <c r="H19" s="1"/>
  <c r="G16"/>
  <c r="G17" s="1"/>
  <c r="G18" s="1"/>
  <c r="G19" s="1"/>
  <c r="F16"/>
  <c r="F17" s="1"/>
  <c r="F18" s="1"/>
  <c r="F19" s="1"/>
  <c r="E16"/>
  <c r="E17" s="1"/>
  <c r="E18" s="1"/>
  <c r="E19" s="1"/>
  <c r="E9"/>
  <c r="B9"/>
  <c r="F8"/>
  <c r="F9" s="1"/>
  <c r="C8"/>
  <c r="C9" s="1"/>
  <c r="E7"/>
  <c r="B7"/>
  <c r="F6"/>
  <c r="F7" s="1"/>
  <c r="C6"/>
  <c r="C7" s="1"/>
  <c r="I41" l="1"/>
  <c r="D16" s="1"/>
  <c r="I40" i="135"/>
  <c r="I40" i="136"/>
  <c r="I55" i="134"/>
  <c r="D17" s="1"/>
  <c r="E78"/>
  <c r="I76" s="1"/>
  <c r="D18" s="1"/>
  <c r="I54" i="136"/>
  <c r="D17" s="1"/>
  <c r="E77"/>
  <c r="I75" s="1"/>
  <c r="D18" s="1"/>
  <c r="I54" i="135"/>
  <c r="D17" s="1"/>
  <c r="E77"/>
  <c r="I75" s="1"/>
  <c r="D18" s="1"/>
  <c r="I81" i="136"/>
  <c r="D19" s="1"/>
  <c r="D16"/>
  <c r="I84"/>
  <c r="D20" s="1"/>
  <c r="I100"/>
  <c r="I103"/>
  <c r="D16" i="135"/>
  <c r="I84"/>
  <c r="D20" s="1"/>
  <c r="J21" i="134"/>
  <c r="I22"/>
  <c r="K24"/>
  <c r="J21" i="135"/>
  <c r="I22"/>
  <c r="K24"/>
  <c r="J21" i="136"/>
  <c r="I22"/>
  <c r="K24"/>
  <c r="L21" i="134"/>
  <c r="I21"/>
  <c r="L22"/>
  <c r="I21" i="135"/>
  <c r="L22"/>
  <c r="I21" i="136"/>
  <c r="L22"/>
  <c r="L21"/>
  <c r="L21" i="135"/>
  <c r="L16" i="136" l="1"/>
  <c r="D25"/>
  <c r="I16"/>
  <c r="J16"/>
  <c r="K16"/>
  <c r="J18"/>
  <c r="K18"/>
  <c r="L18"/>
  <c r="I18"/>
  <c r="I81" i="135"/>
  <c r="I103" s="1"/>
  <c r="I82" i="134"/>
  <c r="D19" s="1"/>
  <c r="L16" i="135"/>
  <c r="I16"/>
  <c r="J16"/>
  <c r="K16"/>
  <c r="L20" i="136"/>
  <c r="I20"/>
  <c r="J20"/>
  <c r="K20"/>
  <c r="K17" i="135"/>
  <c r="L17"/>
  <c r="I17"/>
  <c r="J17"/>
  <c r="K17" i="134"/>
  <c r="I17"/>
  <c r="L17"/>
  <c r="J17"/>
  <c r="L16"/>
  <c r="J16"/>
  <c r="K16"/>
  <c r="I16"/>
  <c r="L20" i="135"/>
  <c r="I20"/>
  <c r="J20"/>
  <c r="K20"/>
  <c r="J18"/>
  <c r="L18"/>
  <c r="I18"/>
  <c r="K18"/>
  <c r="J18" i="134"/>
  <c r="K18"/>
  <c r="L18"/>
  <c r="I18"/>
  <c r="I85"/>
  <c r="D20" s="1"/>
  <c r="I19" i="136"/>
  <c r="J19"/>
  <c r="K19"/>
  <c r="L19"/>
  <c r="K17"/>
  <c r="L17"/>
  <c r="I17"/>
  <c r="J17"/>
  <c r="I101" i="134"/>
  <c r="I19" l="1"/>
  <c r="K19"/>
  <c r="K25" s="1"/>
  <c r="G8" s="1"/>
  <c r="J19"/>
  <c r="L19"/>
  <c r="K25" i="136"/>
  <c r="G8" s="1"/>
  <c r="L25"/>
  <c r="G9" s="1"/>
  <c r="D19" i="135"/>
  <c r="I100"/>
  <c r="I25" i="136"/>
  <c r="G6" s="1"/>
  <c r="L20" i="134"/>
  <c r="I20"/>
  <c r="I25" s="1"/>
  <c r="G6" s="1"/>
  <c r="J20"/>
  <c r="K20"/>
  <c r="D25"/>
  <c r="I104"/>
  <c r="J25" i="136"/>
  <c r="G7" s="1"/>
  <c r="J25" i="134" l="1"/>
  <c r="G7" s="1"/>
  <c r="L25"/>
  <c r="G9" s="1"/>
  <c r="I19" i="135"/>
  <c r="I25" s="1"/>
  <c r="G6" s="1"/>
  <c r="K19"/>
  <c r="K25" s="1"/>
  <c r="G8" s="1"/>
  <c r="L19"/>
  <c r="L25" s="1"/>
  <c r="G9" s="1"/>
  <c r="J19"/>
  <c r="J25" s="1"/>
  <c r="G7" s="1"/>
  <c r="D25"/>
  <c r="I73" i="133" l="1"/>
  <c r="K24"/>
  <c r="D24"/>
  <c r="L24" s="1"/>
  <c r="D23"/>
  <c r="I23" s="1"/>
  <c r="I22"/>
  <c r="D22"/>
  <c r="J22" s="1"/>
  <c r="J21"/>
  <c r="D21"/>
  <c r="K21" s="1"/>
  <c r="K20"/>
  <c r="D20"/>
  <c r="L20" s="1"/>
  <c r="D19"/>
  <c r="I19" s="1"/>
  <c r="I18"/>
  <c r="D18"/>
  <c r="J18" s="1"/>
  <c r="J17"/>
  <c r="D17"/>
  <c r="K17" s="1"/>
  <c r="K16"/>
  <c r="D16"/>
  <c r="L16" s="1"/>
  <c r="L13"/>
  <c r="K13"/>
  <c r="J13"/>
  <c r="I13"/>
  <c r="E9"/>
  <c r="C9"/>
  <c r="E8"/>
  <c r="C8"/>
  <c r="E7"/>
  <c r="C7"/>
  <c r="E6"/>
  <c r="C6"/>
  <c r="J16" l="1"/>
  <c r="I17"/>
  <c r="L18"/>
  <c r="K19"/>
  <c r="J20"/>
  <c r="I21"/>
  <c r="L22"/>
  <c r="K23"/>
  <c r="J24"/>
  <c r="L19"/>
  <c r="I16"/>
  <c r="L17"/>
  <c r="L25" s="1"/>
  <c r="G9" s="1"/>
  <c r="K18"/>
  <c r="K25" s="1"/>
  <c r="G8" s="1"/>
  <c r="J19"/>
  <c r="I20"/>
  <c r="L21"/>
  <c r="K22"/>
  <c r="J23"/>
  <c r="I24"/>
  <c r="D25"/>
  <c r="L23"/>
  <c r="I25" l="1"/>
  <c r="G6" s="1"/>
  <c r="J25"/>
  <c r="G7" s="1"/>
  <c r="G44" i="132" l="1"/>
  <c r="E51" s="1"/>
  <c r="I49" s="1"/>
  <c r="D18" s="1"/>
  <c r="D44"/>
  <c r="B44"/>
  <c r="I39"/>
  <c r="D36"/>
  <c r="J24"/>
  <c r="I24"/>
  <c r="D24"/>
  <c r="K24" s="1"/>
  <c r="K23"/>
  <c r="J23"/>
  <c r="D23"/>
  <c r="L23" s="1"/>
  <c r="D22"/>
  <c r="K22" s="1"/>
  <c r="I21"/>
  <c r="D21"/>
  <c r="L21" s="1"/>
  <c r="J20"/>
  <c r="I20"/>
  <c r="D20"/>
  <c r="K20" s="1"/>
  <c r="H16"/>
  <c r="H17" s="1"/>
  <c r="H18" s="1"/>
  <c r="H19" s="1"/>
  <c r="G16"/>
  <c r="G17" s="1"/>
  <c r="G18" s="1"/>
  <c r="G19" s="1"/>
  <c r="F16"/>
  <c r="F17" s="1"/>
  <c r="F18" s="1"/>
  <c r="F19" s="1"/>
  <c r="E16"/>
  <c r="E17" s="1"/>
  <c r="E18" s="1"/>
  <c r="E19" s="1"/>
  <c r="D16"/>
  <c r="E9"/>
  <c r="B9"/>
  <c r="C8"/>
  <c r="C9" s="1"/>
  <c r="E7"/>
  <c r="C7"/>
  <c r="B7"/>
  <c r="C6"/>
  <c r="K18" l="1"/>
  <c r="L18"/>
  <c r="I18"/>
  <c r="J18"/>
  <c r="L16"/>
  <c r="L20"/>
  <c r="K21"/>
  <c r="J22"/>
  <c r="I23"/>
  <c r="L24"/>
  <c r="I42"/>
  <c r="D17" s="1"/>
  <c r="K16"/>
  <c r="J21"/>
  <c r="I22"/>
  <c r="J16"/>
  <c r="L22"/>
  <c r="I16"/>
  <c r="I53" l="1"/>
  <c r="D19" s="1"/>
  <c r="L17"/>
  <c r="I17"/>
  <c r="J17"/>
  <c r="K17"/>
  <c r="D25"/>
  <c r="I71" l="1"/>
  <c r="I74"/>
  <c r="J19"/>
  <c r="J25" s="1"/>
  <c r="G7" s="1"/>
  <c r="K19"/>
  <c r="K25" s="1"/>
  <c r="G8" s="1"/>
  <c r="L19"/>
  <c r="L25" s="1"/>
  <c r="I19"/>
  <c r="I25" s="1"/>
  <c r="G6" s="1"/>
  <c r="H49" i="131" l="1"/>
  <c r="H48"/>
  <c r="H47"/>
  <c r="H46"/>
  <c r="B24" s="1"/>
  <c r="C24" s="1"/>
  <c r="H45"/>
  <c r="H44"/>
  <c r="H43"/>
  <c r="H42"/>
  <c r="H41"/>
  <c r="H39"/>
  <c r="H38"/>
  <c r="H37"/>
  <c r="H36"/>
  <c r="H35"/>
  <c r="B19" s="1"/>
  <c r="C19" s="1"/>
  <c r="H34"/>
  <c r="H33"/>
  <c r="H32"/>
  <c r="H31"/>
  <c r="G40" s="1"/>
  <c r="H40" s="1"/>
  <c r="B21" s="1"/>
  <c r="C21" s="1"/>
  <c r="G31"/>
  <c r="C26"/>
  <c r="B26"/>
  <c r="B25"/>
  <c r="C25" s="1"/>
  <c r="B23"/>
  <c r="C23" s="1"/>
  <c r="I22"/>
  <c r="I23" s="1"/>
  <c r="B22"/>
  <c r="C22" s="1"/>
  <c r="I21"/>
  <c r="B20"/>
  <c r="C20" s="1"/>
  <c r="B18"/>
  <c r="H49" i="130"/>
  <c r="H48"/>
  <c r="H47"/>
  <c r="H46"/>
  <c r="H45"/>
  <c r="H44"/>
  <c r="H43"/>
  <c r="H42"/>
  <c r="B23" s="1"/>
  <c r="C23" s="1"/>
  <c r="H41"/>
  <c r="H39"/>
  <c r="H38"/>
  <c r="H37"/>
  <c r="H36"/>
  <c r="H35"/>
  <c r="B19" s="1"/>
  <c r="C19" s="1"/>
  <c r="H34"/>
  <c r="H33"/>
  <c r="H32"/>
  <c r="H31"/>
  <c r="G40" s="1"/>
  <c r="H40" s="1"/>
  <c r="B21" s="1"/>
  <c r="C21" s="1"/>
  <c r="G31"/>
  <c r="M26"/>
  <c r="B26"/>
  <c r="C26" s="1"/>
  <c r="M25"/>
  <c r="C25"/>
  <c r="B25"/>
  <c r="M24"/>
  <c r="B24"/>
  <c r="C24" s="1"/>
  <c r="B22"/>
  <c r="C22" s="1"/>
  <c r="B20"/>
  <c r="C20" s="1"/>
  <c r="B18"/>
  <c r="H49" i="129"/>
  <c r="H48"/>
  <c r="H47"/>
  <c r="H46"/>
  <c r="B24" s="1"/>
  <c r="C24" s="1"/>
  <c r="H45"/>
  <c r="H44"/>
  <c r="H43"/>
  <c r="H42"/>
  <c r="B23" s="1"/>
  <c r="C23" s="1"/>
  <c r="H41"/>
  <c r="H39"/>
  <c r="B20" s="1"/>
  <c r="C20" s="1"/>
  <c r="H38"/>
  <c r="H37"/>
  <c r="H36"/>
  <c r="H35"/>
  <c r="B19" s="1"/>
  <c r="C19" s="1"/>
  <c r="H34"/>
  <c r="H33"/>
  <c r="H32"/>
  <c r="B18" s="1"/>
  <c r="M31"/>
  <c r="M32" s="1"/>
  <c r="H31"/>
  <c r="G40" s="1"/>
  <c r="H40" s="1"/>
  <c r="B21" s="1"/>
  <c r="C21" s="1"/>
  <c r="M30"/>
  <c r="C26"/>
  <c r="B26"/>
  <c r="C25"/>
  <c r="B25"/>
  <c r="C22"/>
  <c r="B22"/>
  <c r="H49" i="128"/>
  <c r="H48"/>
  <c r="H47"/>
  <c r="H46"/>
  <c r="H45"/>
  <c r="B24" s="1"/>
  <c r="C24" s="1"/>
  <c r="H44"/>
  <c r="H43"/>
  <c r="H42"/>
  <c r="H41"/>
  <c r="B22" s="1"/>
  <c r="C22" s="1"/>
  <c r="H39"/>
  <c r="H38"/>
  <c r="B20" s="1"/>
  <c r="C20" s="1"/>
  <c r="H37"/>
  <c r="H36"/>
  <c r="H35"/>
  <c r="H34"/>
  <c r="H33"/>
  <c r="H32"/>
  <c r="H31"/>
  <c r="G40" s="1"/>
  <c r="H40" s="1"/>
  <c r="B21" s="1"/>
  <c r="C21" s="1"/>
  <c r="N29"/>
  <c r="P29" s="1"/>
  <c r="M29"/>
  <c r="K27" s="1"/>
  <c r="K29"/>
  <c r="K33" s="1"/>
  <c r="M33" s="1"/>
  <c r="B26"/>
  <c r="C26" s="1"/>
  <c r="B25"/>
  <c r="C25" s="1"/>
  <c r="B23"/>
  <c r="C23" s="1"/>
  <c r="B19"/>
  <c r="C19" s="1"/>
  <c r="H49" i="127"/>
  <c r="H48"/>
  <c r="B26" s="1"/>
  <c r="C26" s="1"/>
  <c r="H47"/>
  <c r="H46"/>
  <c r="H45"/>
  <c r="H44"/>
  <c r="B23" s="1"/>
  <c r="C23" s="1"/>
  <c r="H43"/>
  <c r="H42"/>
  <c r="H41"/>
  <c r="H39"/>
  <c r="H38"/>
  <c r="H37"/>
  <c r="B20" s="1"/>
  <c r="C20" s="1"/>
  <c r="H36"/>
  <c r="H35"/>
  <c r="N33"/>
  <c r="H32"/>
  <c r="B18" s="1"/>
  <c r="P31"/>
  <c r="O31"/>
  <c r="H31"/>
  <c r="G40" s="1"/>
  <c r="H40" s="1"/>
  <c r="B21" s="1"/>
  <c r="C21" s="1"/>
  <c r="B25"/>
  <c r="B24"/>
  <c r="B22"/>
  <c r="B19"/>
  <c r="C14"/>
  <c r="C25" s="1"/>
  <c r="B27" i="130" l="1"/>
  <c r="C27" s="1"/>
  <c r="C18" i="129"/>
  <c r="B27"/>
  <c r="C27" s="1"/>
  <c r="C18" i="127"/>
  <c r="B27"/>
  <c r="C27" s="1"/>
  <c r="M34" i="128"/>
  <c r="B27" i="131"/>
  <c r="C27" s="1"/>
  <c r="C22" i="127"/>
  <c r="C24"/>
  <c r="B18" i="128"/>
  <c r="O29"/>
  <c r="C19" i="127"/>
  <c r="K31" i="128"/>
  <c r="M31" s="1"/>
  <c r="C18" i="130"/>
  <c r="C18" i="131"/>
  <c r="C18" i="128" l="1"/>
  <c r="B27"/>
  <c r="C27" s="1"/>
  <c r="I80" i="126"/>
  <c r="E62"/>
  <c r="G62" s="1"/>
  <c r="E61"/>
  <c r="G61" s="1"/>
  <c r="E60"/>
  <c r="G60" s="1"/>
  <c r="E59"/>
  <c r="G59" s="1"/>
  <c r="E58"/>
  <c r="G58" s="1"/>
  <c r="I55" s="1"/>
  <c r="D17" s="1"/>
  <c r="B58"/>
  <c r="G57"/>
  <c r="E69" s="1"/>
  <c r="I67" s="1"/>
  <c r="D18" s="1"/>
  <c r="E57"/>
  <c r="E47"/>
  <c r="G47" s="1"/>
  <c r="B47"/>
  <c r="E46"/>
  <c r="G46" s="1"/>
  <c r="B46"/>
  <c r="E45"/>
  <c r="G45" s="1"/>
  <c r="E44"/>
  <c r="G44" s="1"/>
  <c r="E43"/>
  <c r="G43" s="1"/>
  <c r="E42"/>
  <c r="G42" s="1"/>
  <c r="G41"/>
  <c r="I39" s="1"/>
  <c r="D24"/>
  <c r="J24" s="1"/>
  <c r="J23"/>
  <c r="I23"/>
  <c r="D23"/>
  <c r="K23" s="1"/>
  <c r="K22"/>
  <c r="J22"/>
  <c r="D22"/>
  <c r="L22" s="1"/>
  <c r="K21"/>
  <c r="D21"/>
  <c r="I21" s="1"/>
  <c r="D20"/>
  <c r="J20" s="1"/>
  <c r="H16"/>
  <c r="H17" s="1"/>
  <c r="H18" s="1"/>
  <c r="H19" s="1"/>
  <c r="G16"/>
  <c r="G17" s="1"/>
  <c r="G18" s="1"/>
  <c r="G19" s="1"/>
  <c r="F16"/>
  <c r="F17" s="1"/>
  <c r="F18" s="1"/>
  <c r="F19" s="1"/>
  <c r="E16"/>
  <c r="E17" s="1"/>
  <c r="E18" s="1"/>
  <c r="E19" s="1"/>
  <c r="E9"/>
  <c r="B9"/>
  <c r="C8"/>
  <c r="C9" s="1"/>
  <c r="E7"/>
  <c r="B7"/>
  <c r="C6"/>
  <c r="C7" s="1"/>
  <c r="G45" i="125"/>
  <c r="E45"/>
  <c r="B45"/>
  <c r="E44"/>
  <c r="G44" s="1"/>
  <c r="B44"/>
  <c r="I39"/>
  <c r="K24"/>
  <c r="I24"/>
  <c r="D24"/>
  <c r="J24" s="1"/>
  <c r="J23"/>
  <c r="D23"/>
  <c r="K23" s="1"/>
  <c r="K22"/>
  <c r="J22"/>
  <c r="I22"/>
  <c r="D22"/>
  <c r="L22" s="1"/>
  <c r="D21"/>
  <c r="L21" s="1"/>
  <c r="K20"/>
  <c r="I20"/>
  <c r="D20"/>
  <c r="J20" s="1"/>
  <c r="H16"/>
  <c r="H17" s="1"/>
  <c r="H18" s="1"/>
  <c r="H19" s="1"/>
  <c r="G16"/>
  <c r="K16" s="1"/>
  <c r="F16"/>
  <c r="F17" s="1"/>
  <c r="F18" s="1"/>
  <c r="F19" s="1"/>
  <c r="E16"/>
  <c r="I16" s="1"/>
  <c r="D16"/>
  <c r="E9"/>
  <c r="C9"/>
  <c r="B9"/>
  <c r="C8"/>
  <c r="E7"/>
  <c r="B7"/>
  <c r="C6"/>
  <c r="C7" s="1"/>
  <c r="E45" i="124"/>
  <c r="G45" s="1"/>
  <c r="B45"/>
  <c r="E44"/>
  <c r="G44" s="1"/>
  <c r="B44"/>
  <c r="I39"/>
  <c r="D24"/>
  <c r="L24" s="1"/>
  <c r="I23"/>
  <c r="D23"/>
  <c r="J23" s="1"/>
  <c r="J22"/>
  <c r="I22"/>
  <c r="D22"/>
  <c r="K22" s="1"/>
  <c r="K21"/>
  <c r="D21"/>
  <c r="L21" s="1"/>
  <c r="D20"/>
  <c r="L20" s="1"/>
  <c r="H16"/>
  <c r="H17" s="1"/>
  <c r="H18" s="1"/>
  <c r="H19" s="1"/>
  <c r="G16"/>
  <c r="G17" s="1"/>
  <c r="G18" s="1"/>
  <c r="G19" s="1"/>
  <c r="F16"/>
  <c r="F17" s="1"/>
  <c r="F18" s="1"/>
  <c r="F19" s="1"/>
  <c r="E16"/>
  <c r="E17" s="1"/>
  <c r="E18" s="1"/>
  <c r="E19" s="1"/>
  <c r="D16"/>
  <c r="L16" s="1"/>
  <c r="E9"/>
  <c r="B9"/>
  <c r="C8"/>
  <c r="C9" s="1"/>
  <c r="E7"/>
  <c r="B7"/>
  <c r="C6"/>
  <c r="C7" s="1"/>
  <c r="G44" i="123"/>
  <c r="E51" s="1"/>
  <c r="I49" s="1"/>
  <c r="D18" s="1"/>
  <c r="E44"/>
  <c r="D44"/>
  <c r="B44"/>
  <c r="I42"/>
  <c r="I39"/>
  <c r="I53" s="1"/>
  <c r="D19" s="1"/>
  <c r="I24"/>
  <c r="D24"/>
  <c r="J24" s="1"/>
  <c r="J23"/>
  <c r="D23"/>
  <c r="K23" s="1"/>
  <c r="K22"/>
  <c r="D22"/>
  <c r="L22" s="1"/>
  <c r="D21"/>
  <c r="L21" s="1"/>
  <c r="J20"/>
  <c r="I20"/>
  <c r="D20"/>
  <c r="K20" s="1"/>
  <c r="D17"/>
  <c r="H16"/>
  <c r="H17" s="1"/>
  <c r="H18" s="1"/>
  <c r="H19" s="1"/>
  <c r="G16"/>
  <c r="G17" s="1"/>
  <c r="G18" s="1"/>
  <c r="G19" s="1"/>
  <c r="F16"/>
  <c r="F17" s="1"/>
  <c r="F18" s="1"/>
  <c r="F19" s="1"/>
  <c r="E16"/>
  <c r="I16" s="1"/>
  <c r="D16"/>
  <c r="D25" s="1"/>
  <c r="E9"/>
  <c r="B9"/>
  <c r="C8"/>
  <c r="C9" s="1"/>
  <c r="E7"/>
  <c r="B7"/>
  <c r="C6"/>
  <c r="C7" s="1"/>
  <c r="K18" l="1"/>
  <c r="L18"/>
  <c r="J18"/>
  <c r="L17"/>
  <c r="J19"/>
  <c r="K19"/>
  <c r="L19"/>
  <c r="E52" i="124"/>
  <c r="I50" s="1"/>
  <c r="D18" s="1"/>
  <c r="I42"/>
  <c r="I54" s="1"/>
  <c r="D19" s="1"/>
  <c r="E52" i="125"/>
  <c r="I50" s="1"/>
  <c r="D18" s="1"/>
  <c r="I42"/>
  <c r="I71" i="126"/>
  <c r="D19" s="1"/>
  <c r="I89"/>
  <c r="D16"/>
  <c r="I92"/>
  <c r="I17"/>
  <c r="J17"/>
  <c r="K17"/>
  <c r="L17"/>
  <c r="L18"/>
  <c r="I18"/>
  <c r="J18"/>
  <c r="K18"/>
  <c r="I54" i="125"/>
  <c r="D19" s="1"/>
  <c r="L16" i="123"/>
  <c r="K17"/>
  <c r="L20"/>
  <c r="K21"/>
  <c r="J22"/>
  <c r="I23"/>
  <c r="L24"/>
  <c r="I74"/>
  <c r="K16" i="124"/>
  <c r="K20"/>
  <c r="J21"/>
  <c r="L23"/>
  <c r="K24"/>
  <c r="L16" i="125"/>
  <c r="G17"/>
  <c r="G18" s="1"/>
  <c r="G19" s="1"/>
  <c r="L20"/>
  <c r="K21"/>
  <c r="I23"/>
  <c r="L24"/>
  <c r="I20" i="126"/>
  <c r="L21"/>
  <c r="I24"/>
  <c r="K16" i="123"/>
  <c r="J17"/>
  <c r="J21"/>
  <c r="I22"/>
  <c r="L23"/>
  <c r="K24"/>
  <c r="I71"/>
  <c r="J16" i="124"/>
  <c r="J20"/>
  <c r="I21"/>
  <c r="L22"/>
  <c r="K23"/>
  <c r="J24"/>
  <c r="J21" i="125"/>
  <c r="L23"/>
  <c r="L20" i="126"/>
  <c r="L24"/>
  <c r="J16" i="123"/>
  <c r="E17"/>
  <c r="E18" s="1"/>
  <c r="E19" s="1"/>
  <c r="I19" s="1"/>
  <c r="I21"/>
  <c r="I16" i="124"/>
  <c r="I20"/>
  <c r="I24"/>
  <c r="J16" i="125"/>
  <c r="E17"/>
  <c r="E18" s="1"/>
  <c r="E19" s="1"/>
  <c r="I21"/>
  <c r="K20" i="126"/>
  <c r="J21"/>
  <c r="I22"/>
  <c r="L23"/>
  <c r="K24"/>
  <c r="L25" i="123" l="1"/>
  <c r="I19" i="124"/>
  <c r="J19"/>
  <c r="K19"/>
  <c r="L19"/>
  <c r="J16" i="126"/>
  <c r="K16"/>
  <c r="L16"/>
  <c r="D25"/>
  <c r="I16"/>
  <c r="K18" i="125"/>
  <c r="L18"/>
  <c r="I18"/>
  <c r="J18"/>
  <c r="I17" i="123"/>
  <c r="D17" i="124"/>
  <c r="I75"/>
  <c r="I72" i="125"/>
  <c r="D17"/>
  <c r="I75"/>
  <c r="K25" i="123"/>
  <c r="G8" s="1"/>
  <c r="I18"/>
  <c r="J19" i="125"/>
  <c r="K19"/>
  <c r="L19"/>
  <c r="I19"/>
  <c r="K19" i="126"/>
  <c r="L19"/>
  <c r="I19"/>
  <c r="J19"/>
  <c r="J18" i="124"/>
  <c r="K18"/>
  <c r="L18"/>
  <c r="I18"/>
  <c r="I72"/>
  <c r="J25" i="123"/>
  <c r="G7" s="1"/>
  <c r="I25" i="126" l="1"/>
  <c r="G6" s="1"/>
  <c r="J25"/>
  <c r="G7" s="1"/>
  <c r="I25" i="123"/>
  <c r="G6" s="1"/>
  <c r="L17" i="125"/>
  <c r="L25" s="1"/>
  <c r="G9" s="1"/>
  <c r="I17"/>
  <c r="I25" s="1"/>
  <c r="G6" s="1"/>
  <c r="J17"/>
  <c r="J25" s="1"/>
  <c r="G7" s="1"/>
  <c r="K17"/>
  <c r="K25" s="1"/>
  <c r="G8" s="1"/>
  <c r="D25"/>
  <c r="K17" i="124"/>
  <c r="K25" s="1"/>
  <c r="G8" s="1"/>
  <c r="L17"/>
  <c r="L25" s="1"/>
  <c r="G9" s="1"/>
  <c r="I17"/>
  <c r="I25" s="1"/>
  <c r="G6" s="1"/>
  <c r="J17"/>
  <c r="J25" s="1"/>
  <c r="G7" s="1"/>
  <c r="D25"/>
  <c r="K25" i="126"/>
  <c r="G8" s="1"/>
  <c r="L25"/>
  <c r="G9" s="1"/>
  <c r="H92" i="122" l="1"/>
  <c r="G92"/>
  <c r="H86"/>
  <c r="G86"/>
  <c r="H80"/>
  <c r="G79"/>
  <c r="G80" s="1"/>
  <c r="D21" s="1"/>
  <c r="H74"/>
  <c r="G73"/>
  <c r="G74" s="1"/>
  <c r="D20" s="1"/>
  <c r="H68"/>
  <c r="G67"/>
  <c r="G68" s="1"/>
  <c r="D19" s="1"/>
  <c r="H62"/>
  <c r="G62"/>
  <c r="G61"/>
  <c r="H56"/>
  <c r="G56"/>
  <c r="H49"/>
  <c r="G48"/>
  <c r="G49" s="1"/>
  <c r="D16" s="1"/>
  <c r="H43"/>
  <c r="H96" s="1"/>
  <c r="H97" s="1"/>
  <c r="G43"/>
  <c r="G42"/>
  <c r="D23"/>
  <c r="H23" s="1"/>
  <c r="D22"/>
  <c r="F22" s="1"/>
  <c r="D18"/>
  <c r="F18" s="1"/>
  <c r="D17"/>
  <c r="F17" s="1"/>
  <c r="D15"/>
  <c r="H15" s="1"/>
  <c r="G12"/>
  <c r="E12"/>
  <c r="C12"/>
  <c r="A12"/>
  <c r="G11"/>
  <c r="E11"/>
  <c r="C11"/>
  <c r="A11"/>
  <c r="G10"/>
  <c r="C10"/>
  <c r="A10"/>
  <c r="G9"/>
  <c r="C9"/>
  <c r="A9"/>
  <c r="G8"/>
  <c r="C8"/>
  <c r="A8"/>
  <c r="G7"/>
  <c r="E7"/>
  <c r="E9" s="1"/>
  <c r="C7"/>
  <c r="A7"/>
  <c r="F16" l="1"/>
  <c r="H16"/>
  <c r="H24" s="1"/>
  <c r="H19"/>
  <c r="F19"/>
  <c r="F21"/>
  <c r="H21"/>
  <c r="D96"/>
  <c r="D98" s="1"/>
  <c r="F20"/>
  <c r="H20"/>
  <c r="F15"/>
  <c r="F23"/>
  <c r="H17"/>
  <c r="H18"/>
  <c r="H22"/>
  <c r="D24"/>
  <c r="H12" l="1"/>
  <c r="H8"/>
  <c r="H10"/>
  <c r="F24"/>
  <c r="H11" l="1"/>
  <c r="H7"/>
  <c r="H9"/>
  <c r="H96" i="121" l="1"/>
  <c r="G96"/>
  <c r="H90"/>
  <c r="G90"/>
  <c r="D22" s="1"/>
  <c r="H84"/>
  <c r="G83"/>
  <c r="G84" s="1"/>
  <c r="D21" s="1"/>
  <c r="H78"/>
  <c r="G78"/>
  <c r="H72"/>
  <c r="H66"/>
  <c r="G65"/>
  <c r="G66" s="1"/>
  <c r="D18" s="1"/>
  <c r="H60"/>
  <c r="G60"/>
  <c r="H53"/>
  <c r="G53"/>
  <c r="D16" s="1"/>
  <c r="G52"/>
  <c r="H46"/>
  <c r="H100" s="1"/>
  <c r="H101" s="1"/>
  <c r="G45"/>
  <c r="G44"/>
  <c r="F44"/>
  <c r="F43"/>
  <c r="G43" s="1"/>
  <c r="G42"/>
  <c r="G46" s="1"/>
  <c r="F42"/>
  <c r="D23"/>
  <c r="F23" s="1"/>
  <c r="F20"/>
  <c r="D20"/>
  <c r="H20" s="1"/>
  <c r="H17"/>
  <c r="D17"/>
  <c r="F17" s="1"/>
  <c r="G12"/>
  <c r="E12"/>
  <c r="C12"/>
  <c r="A12"/>
  <c r="G11"/>
  <c r="E11"/>
  <c r="C11"/>
  <c r="A11"/>
  <c r="G10"/>
  <c r="C10"/>
  <c r="A10"/>
  <c r="G9"/>
  <c r="C9"/>
  <c r="A9"/>
  <c r="G8"/>
  <c r="C8"/>
  <c r="A8"/>
  <c r="G7"/>
  <c r="E7"/>
  <c r="E9" s="1"/>
  <c r="C7"/>
  <c r="A7"/>
  <c r="H96" i="120"/>
  <c r="G96"/>
  <c r="H90"/>
  <c r="G90"/>
  <c r="D22" s="1"/>
  <c r="H84"/>
  <c r="G84"/>
  <c r="G83"/>
  <c r="H78"/>
  <c r="G78"/>
  <c r="H72"/>
  <c r="H66"/>
  <c r="G65"/>
  <c r="G66" s="1"/>
  <c r="D18" s="1"/>
  <c r="H60"/>
  <c r="G60"/>
  <c r="H53"/>
  <c r="G53"/>
  <c r="D16" s="1"/>
  <c r="G52"/>
  <c r="H46"/>
  <c r="H100" s="1"/>
  <c r="H101" s="1"/>
  <c r="G45"/>
  <c r="F44"/>
  <c r="G44" s="1"/>
  <c r="F43"/>
  <c r="G43" s="1"/>
  <c r="F42"/>
  <c r="G42" s="1"/>
  <c r="G46" s="1"/>
  <c r="D23"/>
  <c r="F23" s="1"/>
  <c r="H21"/>
  <c r="D21"/>
  <c r="F21" s="1"/>
  <c r="F20"/>
  <c r="D20"/>
  <c r="H20" s="1"/>
  <c r="H17"/>
  <c r="D17"/>
  <c r="F17" s="1"/>
  <c r="G12"/>
  <c r="E12"/>
  <c r="C12"/>
  <c r="A12"/>
  <c r="G11"/>
  <c r="E11"/>
  <c r="C11"/>
  <c r="A11"/>
  <c r="G10"/>
  <c r="C10"/>
  <c r="A10"/>
  <c r="G9"/>
  <c r="C9"/>
  <c r="A9"/>
  <c r="G8"/>
  <c r="C8"/>
  <c r="A8"/>
  <c r="G7"/>
  <c r="E7"/>
  <c r="E9" s="1"/>
  <c r="C7"/>
  <c r="A7"/>
  <c r="H96" i="119"/>
  <c r="G96"/>
  <c r="H90"/>
  <c r="G90"/>
  <c r="D22" s="1"/>
  <c r="H84"/>
  <c r="G84"/>
  <c r="G83"/>
  <c r="H78"/>
  <c r="G78"/>
  <c r="H72"/>
  <c r="H66"/>
  <c r="G65"/>
  <c r="G66" s="1"/>
  <c r="D18" s="1"/>
  <c r="H60"/>
  <c r="G60"/>
  <c r="H53"/>
  <c r="G53"/>
  <c r="D16" s="1"/>
  <c r="G52"/>
  <c r="H46"/>
  <c r="H100" s="1"/>
  <c r="H101" s="1"/>
  <c r="G45"/>
  <c r="F44"/>
  <c r="G44" s="1"/>
  <c r="F43"/>
  <c r="G43" s="1"/>
  <c r="F42"/>
  <c r="G42" s="1"/>
  <c r="G46" s="1"/>
  <c r="D23"/>
  <c r="F23" s="1"/>
  <c r="H21"/>
  <c r="D21"/>
  <c r="F21" s="1"/>
  <c r="F20"/>
  <c r="D20"/>
  <c r="H20" s="1"/>
  <c r="H17"/>
  <c r="D17"/>
  <c r="F17" s="1"/>
  <c r="G12"/>
  <c r="E12"/>
  <c r="C12"/>
  <c r="A12"/>
  <c r="G11"/>
  <c r="E11"/>
  <c r="C11"/>
  <c r="A11"/>
  <c r="G10"/>
  <c r="C10"/>
  <c r="A10"/>
  <c r="G9"/>
  <c r="C9"/>
  <c r="A9"/>
  <c r="G8"/>
  <c r="C8"/>
  <c r="A8"/>
  <c r="G7"/>
  <c r="E7"/>
  <c r="E9" s="1"/>
  <c r="C7"/>
  <c r="A7"/>
  <c r="H96" i="118"/>
  <c r="G96"/>
  <c r="H90"/>
  <c r="G90"/>
  <c r="D22" s="1"/>
  <c r="H84"/>
  <c r="G84"/>
  <c r="G83"/>
  <c r="H78"/>
  <c r="G78"/>
  <c r="H72"/>
  <c r="H66"/>
  <c r="G65"/>
  <c r="G66" s="1"/>
  <c r="D18" s="1"/>
  <c r="H60"/>
  <c r="G60"/>
  <c r="H53"/>
  <c r="G53"/>
  <c r="D16" s="1"/>
  <c r="G52"/>
  <c r="H46"/>
  <c r="H100" s="1"/>
  <c r="H101" s="1"/>
  <c r="G45"/>
  <c r="F44"/>
  <c r="G44" s="1"/>
  <c r="F43"/>
  <c r="G43" s="1"/>
  <c r="F42"/>
  <c r="G42" s="1"/>
  <c r="G46" s="1"/>
  <c r="D23"/>
  <c r="F23" s="1"/>
  <c r="H21"/>
  <c r="D21"/>
  <c r="F21" s="1"/>
  <c r="F20"/>
  <c r="D20"/>
  <c r="H20" s="1"/>
  <c r="H17"/>
  <c r="D17"/>
  <c r="F17" s="1"/>
  <c r="G12"/>
  <c r="E12"/>
  <c r="C12"/>
  <c r="A12"/>
  <c r="G11"/>
  <c r="E11"/>
  <c r="C11"/>
  <c r="A11"/>
  <c r="G10"/>
  <c r="C10"/>
  <c r="A10"/>
  <c r="G9"/>
  <c r="C9"/>
  <c r="A9"/>
  <c r="G8"/>
  <c r="C8"/>
  <c r="A8"/>
  <c r="G7"/>
  <c r="E7"/>
  <c r="E9" s="1"/>
  <c r="C7"/>
  <c r="A7"/>
  <c r="H16" l="1"/>
  <c r="F16"/>
  <c r="F18"/>
  <c r="H18"/>
  <c r="F22"/>
  <c r="H22"/>
  <c r="D100" i="119"/>
  <c r="D102" s="1"/>
  <c r="D15"/>
  <c r="F71"/>
  <c r="G71" s="1"/>
  <c r="G72" s="1"/>
  <c r="D19" s="1"/>
  <c r="F16" i="120"/>
  <c r="H16"/>
  <c r="F18"/>
  <c r="H18"/>
  <c r="F22"/>
  <c r="H22"/>
  <c r="D100" i="121"/>
  <c r="D102" s="1"/>
  <c r="D15"/>
  <c r="F71"/>
  <c r="G71" s="1"/>
  <c r="G72" s="1"/>
  <c r="D19" s="1"/>
  <c r="H21"/>
  <c r="F21"/>
  <c r="D15" i="118"/>
  <c r="F71"/>
  <c r="G71" s="1"/>
  <c r="G72" s="1"/>
  <c r="D19" s="1"/>
  <c r="F16" i="119"/>
  <c r="H16"/>
  <c r="F18"/>
  <c r="H18"/>
  <c r="F22"/>
  <c r="H22"/>
  <c r="D15" i="120"/>
  <c r="F71"/>
  <c r="G71" s="1"/>
  <c r="G72" s="1"/>
  <c r="D19" s="1"/>
  <c r="F16" i="121"/>
  <c r="H16"/>
  <c r="F18"/>
  <c r="H18"/>
  <c r="F22"/>
  <c r="H22"/>
  <c r="H23" i="118"/>
  <c r="H23" i="119"/>
  <c r="H23" i="120"/>
  <c r="H23" i="121"/>
  <c r="F19" i="120" l="1"/>
  <c r="H19"/>
  <c r="F15" i="121"/>
  <c r="H15"/>
  <c r="D24"/>
  <c r="F19" i="119"/>
  <c r="H19"/>
  <c r="D100" i="118"/>
  <c r="D102" s="1"/>
  <c r="F15" i="120"/>
  <c r="F24" s="1"/>
  <c r="H15"/>
  <c r="H24" s="1"/>
  <c r="D24"/>
  <c r="F15" i="118"/>
  <c r="H15"/>
  <c r="H24" s="1"/>
  <c r="D24"/>
  <c r="F19" i="121"/>
  <c r="H19"/>
  <c r="D100" i="120"/>
  <c r="D102" s="1"/>
  <c r="F19" i="118"/>
  <c r="H19"/>
  <c r="F15" i="119"/>
  <c r="F24" s="1"/>
  <c r="H15"/>
  <c r="H24" s="1"/>
  <c r="D24"/>
  <c r="H8" i="118" l="1"/>
  <c r="H10"/>
  <c r="H12"/>
  <c r="H7" i="120"/>
  <c r="H9"/>
  <c r="H11"/>
  <c r="H8"/>
  <c r="H10"/>
  <c r="H12"/>
  <c r="F24" i="121"/>
  <c r="H8" i="119"/>
  <c r="H10"/>
  <c r="H12"/>
  <c r="H9"/>
  <c r="H11"/>
  <c r="H7"/>
  <c r="F24" i="118"/>
  <c r="H24" i="121"/>
  <c r="H9" i="118" l="1"/>
  <c r="H11"/>
  <c r="H7"/>
  <c r="H8" i="121"/>
  <c r="H10"/>
  <c r="H12"/>
  <c r="H7"/>
  <c r="H9"/>
  <c r="H11"/>
  <c r="H50" i="117" l="1"/>
  <c r="H49"/>
  <c r="H48"/>
  <c r="H47"/>
  <c r="H46"/>
  <c r="H45"/>
  <c r="H44"/>
  <c r="H43"/>
  <c r="H42"/>
  <c r="H40"/>
  <c r="H39"/>
  <c r="H38"/>
  <c r="H37"/>
  <c r="H36"/>
  <c r="H35"/>
  <c r="H34"/>
  <c r="H33"/>
  <c r="G32"/>
  <c r="H32" s="1"/>
  <c r="G31"/>
  <c r="H31" s="1"/>
  <c r="B26"/>
  <c r="C26" s="1"/>
  <c r="B25"/>
  <c r="C25" s="1"/>
  <c r="B24"/>
  <c r="C24" s="1"/>
  <c r="B23"/>
  <c r="C23" s="1"/>
  <c r="B22"/>
  <c r="C22" s="1"/>
  <c r="B20"/>
  <c r="C20" s="1"/>
  <c r="B19"/>
  <c r="C19" s="1"/>
  <c r="H51" i="116"/>
  <c r="H50"/>
  <c r="H49"/>
  <c r="H48"/>
  <c r="H47"/>
  <c r="H46"/>
  <c r="H45"/>
  <c r="H44"/>
  <c r="H43"/>
  <c r="H41"/>
  <c r="H40"/>
  <c r="H39"/>
  <c r="H38"/>
  <c r="H37"/>
  <c r="H36"/>
  <c r="H35"/>
  <c r="H34"/>
  <c r="H33"/>
  <c r="H32"/>
  <c r="H31"/>
  <c r="G42" s="1"/>
  <c r="H42" s="1"/>
  <c r="B21" s="1"/>
  <c r="C21" s="1"/>
  <c r="B26"/>
  <c r="C26" s="1"/>
  <c r="B25"/>
  <c r="C25" s="1"/>
  <c r="B24"/>
  <c r="C24" s="1"/>
  <c r="B23"/>
  <c r="C23" s="1"/>
  <c r="B22"/>
  <c r="C22" s="1"/>
  <c r="B20"/>
  <c r="C20" s="1"/>
  <c r="B19"/>
  <c r="C19" s="1"/>
  <c r="B18"/>
  <c r="C18" s="1"/>
  <c r="H49" i="115"/>
  <c r="H48"/>
  <c r="H47"/>
  <c r="H46"/>
  <c r="H45"/>
  <c r="H44"/>
  <c r="H43"/>
  <c r="H42"/>
  <c r="H41"/>
  <c r="H39"/>
  <c r="H38"/>
  <c r="H37"/>
  <c r="H36"/>
  <c r="H35"/>
  <c r="H34"/>
  <c r="H33"/>
  <c r="H32"/>
  <c r="H31"/>
  <c r="G40" s="1"/>
  <c r="H40" s="1"/>
  <c r="B21" s="1"/>
  <c r="C21" s="1"/>
  <c r="B26"/>
  <c r="C26" s="1"/>
  <c r="B25"/>
  <c r="C25" s="1"/>
  <c r="B24"/>
  <c r="C24" s="1"/>
  <c r="B23"/>
  <c r="C23" s="1"/>
  <c r="B22"/>
  <c r="C22" s="1"/>
  <c r="B20"/>
  <c r="C20" s="1"/>
  <c r="B19"/>
  <c r="C19" s="1"/>
  <c r="B18"/>
  <c r="C18" s="1"/>
  <c r="G41" i="117" l="1"/>
  <c r="H41" s="1"/>
  <c r="B21" s="1"/>
  <c r="C21" s="1"/>
  <c r="B18"/>
  <c r="B27" i="115"/>
  <c r="C27" s="1"/>
  <c r="B27" i="116"/>
  <c r="C27" s="1"/>
  <c r="C18" i="117" l="1"/>
  <c r="B27"/>
  <c r="C27" s="1"/>
  <c r="D58" i="114"/>
  <c r="I51" s="1"/>
  <c r="D47"/>
  <c r="D49" s="1"/>
  <c r="I36" s="1"/>
  <c r="D14" s="1"/>
  <c r="Q26"/>
  <c r="Q25"/>
  <c r="K22"/>
  <c r="I22"/>
  <c r="D22"/>
  <c r="J22" s="1"/>
  <c r="D21"/>
  <c r="J21" s="1"/>
  <c r="O20"/>
  <c r="Q20" s="1"/>
  <c r="K20"/>
  <c r="I20"/>
  <c r="D20"/>
  <c r="J20" s="1"/>
  <c r="J19"/>
  <c r="D19"/>
  <c r="L19" s="1"/>
  <c r="O16"/>
  <c r="P16" s="1"/>
  <c r="K16"/>
  <c r="J16"/>
  <c r="I16"/>
  <c r="D16"/>
  <c r="L16" s="1"/>
  <c r="L11"/>
  <c r="K11"/>
  <c r="J11"/>
  <c r="I11"/>
  <c r="J7"/>
  <c r="F7"/>
  <c r="C7"/>
  <c r="J6"/>
  <c r="F6"/>
  <c r="C6"/>
  <c r="E1"/>
  <c r="D15" l="1"/>
  <c r="I64"/>
  <c r="D17" s="1"/>
  <c r="I67"/>
  <c r="K14"/>
  <c r="L14"/>
  <c r="O14"/>
  <c r="I14"/>
  <c r="J14"/>
  <c r="K19"/>
  <c r="L20"/>
  <c r="I21"/>
  <c r="L22"/>
  <c r="L21"/>
  <c r="I19"/>
  <c r="O19"/>
  <c r="P19" s="1"/>
  <c r="K21"/>
  <c r="L15" l="1"/>
  <c r="O15"/>
  <c r="P15" s="1"/>
  <c r="I15"/>
  <c r="J15"/>
  <c r="K15"/>
  <c r="J17"/>
  <c r="K17"/>
  <c r="L17"/>
  <c r="O17"/>
  <c r="P17" s="1"/>
  <c r="I17"/>
  <c r="P14"/>
  <c r="P23" s="1"/>
  <c r="D18"/>
  <c r="I83"/>
  <c r="D23"/>
  <c r="K18" l="1"/>
  <c r="K23" s="1"/>
  <c r="L18"/>
  <c r="L23" s="1"/>
  <c r="O18"/>
  <c r="I18"/>
  <c r="I23" s="1"/>
  <c r="G6" s="1"/>
  <c r="J18"/>
  <c r="J23" s="1"/>
  <c r="G7" s="1"/>
  <c r="Q18" l="1"/>
  <c r="Q23" s="1"/>
  <c r="Q24" s="1"/>
  <c r="Q27" s="1"/>
  <c r="O23"/>
  <c r="H49" i="113"/>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H49" i="112"/>
  <c r="H48"/>
  <c r="H47"/>
  <c r="H46"/>
  <c r="H45"/>
  <c r="H44"/>
  <c r="H43"/>
  <c r="H42"/>
  <c r="H41"/>
  <c r="H40"/>
  <c r="H39"/>
  <c r="H38"/>
  <c r="H37"/>
  <c r="H36"/>
  <c r="H35"/>
  <c r="H34"/>
  <c r="H33"/>
  <c r="H32"/>
  <c r="H31"/>
  <c r="C26"/>
  <c r="B26"/>
  <c r="B25"/>
  <c r="C25" s="1"/>
  <c r="C24"/>
  <c r="B24"/>
  <c r="B23"/>
  <c r="C23" s="1"/>
  <c r="C22"/>
  <c r="B22"/>
  <c r="C21"/>
  <c r="B21"/>
  <c r="C20"/>
  <c r="B20"/>
  <c r="C19"/>
  <c r="B19"/>
  <c r="C18"/>
  <c r="B18"/>
  <c r="B27" s="1"/>
  <c r="C27" s="1"/>
  <c r="H51" i="111"/>
  <c r="H50"/>
  <c r="H49"/>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H49" i="110"/>
  <c r="H48"/>
  <c r="H47"/>
  <c r="H46"/>
  <c r="H45"/>
  <c r="H44"/>
  <c r="H43"/>
  <c r="H42"/>
  <c r="H41"/>
  <c r="H40"/>
  <c r="H39"/>
  <c r="H38"/>
  <c r="H37"/>
  <c r="H36"/>
  <c r="H35"/>
  <c r="H34"/>
  <c r="H33"/>
  <c r="H32"/>
  <c r="H31"/>
  <c r="B26"/>
  <c r="C26" s="1"/>
  <c r="B25"/>
  <c r="C25" s="1"/>
  <c r="B24"/>
  <c r="C24" s="1"/>
  <c r="B23"/>
  <c r="C23" s="1"/>
  <c r="B22"/>
  <c r="C22" s="1"/>
  <c r="B21"/>
  <c r="C21" s="1"/>
  <c r="B20"/>
  <c r="C20" s="1"/>
  <c r="B19"/>
  <c r="C19" s="1"/>
  <c r="B18"/>
  <c r="B27" s="1"/>
  <c r="C27" s="1"/>
  <c r="H49" i="109"/>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H50" i="108"/>
  <c r="H49"/>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H50" i="107"/>
  <c r="H49"/>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H49" i="106"/>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C18" i="110" l="1"/>
  <c r="B27" i="111"/>
  <c r="C27" s="1"/>
  <c r="B27" i="113"/>
  <c r="C27" s="1"/>
  <c r="B27" i="106"/>
  <c r="C27" s="1"/>
  <c r="B27" i="107"/>
  <c r="C27" s="1"/>
  <c r="B27" i="108"/>
  <c r="C27" s="1"/>
  <c r="B27" i="109"/>
  <c r="C27" s="1"/>
  <c r="H49" i="105" l="1"/>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B27" l="1"/>
  <c r="C27" s="1"/>
  <c r="I76" i="104"/>
  <c r="D49"/>
  <c r="I25"/>
  <c r="H25"/>
  <c r="D25"/>
  <c r="D24"/>
  <c r="H24" s="1"/>
  <c r="D23"/>
  <c r="I23" s="1"/>
  <c r="I22"/>
  <c r="D22"/>
  <c r="H22" s="1"/>
  <c r="I21"/>
  <c r="H21"/>
  <c r="D21"/>
  <c r="D20"/>
  <c r="H20" s="1"/>
  <c r="D19"/>
  <c r="I19" s="1"/>
  <c r="I18"/>
  <c r="D18"/>
  <c r="H18" s="1"/>
  <c r="I17"/>
  <c r="H17"/>
  <c r="D17"/>
  <c r="D26" s="1"/>
  <c r="I6"/>
  <c r="C6"/>
  <c r="I26" l="1"/>
  <c r="G7" s="1"/>
  <c r="H19"/>
  <c r="I20"/>
  <c r="H23"/>
  <c r="H26" s="1"/>
  <c r="G6" s="1"/>
  <c r="I24"/>
  <c r="H49" i="103"/>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B27" l="1"/>
  <c r="C27" s="1"/>
  <c r="H51" i="102"/>
  <c r="H50"/>
  <c r="H49"/>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H50" i="101"/>
  <c r="H49"/>
  <c r="H48"/>
  <c r="H47"/>
  <c r="H46"/>
  <c r="H45"/>
  <c r="H44"/>
  <c r="H43"/>
  <c r="H42"/>
  <c r="H40"/>
  <c r="H39"/>
  <c r="H38"/>
  <c r="H37"/>
  <c r="H36"/>
  <c r="H35"/>
  <c r="H34"/>
  <c r="H33"/>
  <c r="H32"/>
  <c r="H31"/>
  <c r="G41" s="1"/>
  <c r="H41" s="1"/>
  <c r="B21" s="1"/>
  <c r="C21" s="1"/>
  <c r="B26"/>
  <c r="C26" s="1"/>
  <c r="B25"/>
  <c r="C25" s="1"/>
  <c r="B24"/>
  <c r="C24" s="1"/>
  <c r="B23"/>
  <c r="C23" s="1"/>
  <c r="B22"/>
  <c r="C22" s="1"/>
  <c r="B20"/>
  <c r="C20" s="1"/>
  <c r="B19"/>
  <c r="C19" s="1"/>
  <c r="B18"/>
  <c r="B27" s="1"/>
  <c r="C27" s="1"/>
  <c r="H49" i="100"/>
  <c r="H48"/>
  <c r="H47"/>
  <c r="H46"/>
  <c r="H45"/>
  <c r="H44"/>
  <c r="H43"/>
  <c r="H42"/>
  <c r="H41"/>
  <c r="H39"/>
  <c r="H38"/>
  <c r="H37"/>
  <c r="H36"/>
  <c r="H35"/>
  <c r="H34"/>
  <c r="H33"/>
  <c r="H32"/>
  <c r="H31"/>
  <c r="G40" s="1"/>
  <c r="H40" s="1"/>
  <c r="B21" s="1"/>
  <c r="C21" s="1"/>
  <c r="B26"/>
  <c r="C26" s="1"/>
  <c r="B25"/>
  <c r="C25" s="1"/>
  <c r="B24"/>
  <c r="C24" s="1"/>
  <c r="B23"/>
  <c r="C23" s="1"/>
  <c r="B22"/>
  <c r="C22" s="1"/>
  <c r="B20"/>
  <c r="C20" s="1"/>
  <c r="B19"/>
  <c r="C19" s="1"/>
  <c r="B18"/>
  <c r="B27" s="1"/>
  <c r="C27" s="1"/>
  <c r="C18" l="1"/>
  <c r="C18" i="101"/>
  <c r="B27" i="102"/>
  <c r="C27" s="1"/>
  <c r="H56" i="99" l="1"/>
  <c r="B26" s="1"/>
  <c r="C26" s="1"/>
  <c r="H55"/>
  <c r="H54"/>
  <c r="H53"/>
  <c r="H52"/>
  <c r="B24" s="1"/>
  <c r="C24" s="1"/>
  <c r="H51"/>
  <c r="H50"/>
  <c r="H49"/>
  <c r="H48"/>
  <c r="B22" s="1"/>
  <c r="C22" s="1"/>
  <c r="H47"/>
  <c r="H46"/>
  <c r="H45"/>
  <c r="H44"/>
  <c r="B20" s="1"/>
  <c r="C20" s="1"/>
  <c r="H43"/>
  <c r="H42"/>
  <c r="H41"/>
  <c r="H40"/>
  <c r="B19" s="1"/>
  <c r="C19" s="1"/>
  <c r="H39"/>
  <c r="H38"/>
  <c r="H37"/>
  <c r="H36"/>
  <c r="H35"/>
  <c r="H34"/>
  <c r="H33"/>
  <c r="H32"/>
  <c r="B18" s="1"/>
  <c r="H31"/>
  <c r="B25"/>
  <c r="C25" s="1"/>
  <c r="B23"/>
  <c r="C23" s="1"/>
  <c r="B21"/>
  <c r="C21" s="1"/>
  <c r="H54" i="98"/>
  <c r="H53"/>
  <c r="H52"/>
  <c r="B24" s="1"/>
  <c r="C24" s="1"/>
  <c r="H51"/>
  <c r="H50"/>
  <c r="H49"/>
  <c r="H48"/>
  <c r="B23" s="1"/>
  <c r="C23" s="1"/>
  <c r="H47"/>
  <c r="H46"/>
  <c r="H45"/>
  <c r="H44"/>
  <c r="B20" s="1"/>
  <c r="C20" s="1"/>
  <c r="H43"/>
  <c r="H42"/>
  <c r="H41"/>
  <c r="H40"/>
  <c r="B19" s="1"/>
  <c r="C19" s="1"/>
  <c r="H39"/>
  <c r="H38"/>
  <c r="H37"/>
  <c r="H36"/>
  <c r="H35"/>
  <c r="H34"/>
  <c r="H33"/>
  <c r="H32"/>
  <c r="B18" s="1"/>
  <c r="H31"/>
  <c r="C26"/>
  <c r="B26"/>
  <c r="B25"/>
  <c r="C25" s="1"/>
  <c r="C22"/>
  <c r="B22"/>
  <c r="B21"/>
  <c r="C21" s="1"/>
  <c r="H53" i="97"/>
  <c r="H52"/>
  <c r="H51"/>
  <c r="H50"/>
  <c r="H49"/>
  <c r="H48"/>
  <c r="H47"/>
  <c r="B23" s="1"/>
  <c r="C23" s="1"/>
  <c r="H46"/>
  <c r="H45"/>
  <c r="H44"/>
  <c r="H43"/>
  <c r="H42"/>
  <c r="H41"/>
  <c r="H40"/>
  <c r="H39"/>
  <c r="B19" s="1"/>
  <c r="C19" s="1"/>
  <c r="H38"/>
  <c r="H37"/>
  <c r="H36"/>
  <c r="H35"/>
  <c r="H34"/>
  <c r="H33"/>
  <c r="H32"/>
  <c r="H31"/>
  <c r="B26"/>
  <c r="C26" s="1"/>
  <c r="B25"/>
  <c r="C25" s="1"/>
  <c r="B24"/>
  <c r="C24" s="1"/>
  <c r="B22"/>
  <c r="C22" s="1"/>
  <c r="B21"/>
  <c r="C21" s="1"/>
  <c r="B20"/>
  <c r="C20" s="1"/>
  <c r="B18"/>
  <c r="C18" s="1"/>
  <c r="H54" i="96"/>
  <c r="H53"/>
  <c r="H52"/>
  <c r="H51"/>
  <c r="H50"/>
  <c r="H49"/>
  <c r="H48"/>
  <c r="H47"/>
  <c r="B23" s="1"/>
  <c r="C23" s="1"/>
  <c r="H46"/>
  <c r="H45"/>
  <c r="H44"/>
  <c r="H43"/>
  <c r="H42"/>
  <c r="H41"/>
  <c r="H40"/>
  <c r="H39"/>
  <c r="B19" s="1"/>
  <c r="C19" s="1"/>
  <c r="H38"/>
  <c r="H37"/>
  <c r="H36"/>
  <c r="H35"/>
  <c r="H34"/>
  <c r="H33"/>
  <c r="H32"/>
  <c r="H31"/>
  <c r="B18" s="1"/>
  <c r="B26"/>
  <c r="C26" s="1"/>
  <c r="B25"/>
  <c r="C25" s="1"/>
  <c r="B24"/>
  <c r="C24" s="1"/>
  <c r="B22"/>
  <c r="C22" s="1"/>
  <c r="C21"/>
  <c r="C20"/>
  <c r="B20"/>
  <c r="B27" i="99" l="1"/>
  <c r="C27" s="1"/>
  <c r="C18"/>
  <c r="B27" i="96"/>
  <c r="C27" s="1"/>
  <c r="C18"/>
  <c r="B27" i="98"/>
  <c r="C27" s="1"/>
  <c r="C18"/>
  <c r="B27" i="97"/>
  <c r="C27" s="1"/>
  <c r="I83" i="95" l="1"/>
  <c r="E61"/>
  <c r="G61" s="1"/>
  <c r="E60"/>
  <c r="G60" s="1"/>
  <c r="E59"/>
  <c r="G59" s="1"/>
  <c r="E58"/>
  <c r="G58" s="1"/>
  <c r="E57"/>
  <c r="G57" s="1"/>
  <c r="I54" s="1"/>
  <c r="D17" s="1"/>
  <c r="B57"/>
  <c r="G56"/>
  <c r="E70" s="1"/>
  <c r="I68" s="1"/>
  <c r="D18" s="1"/>
  <c r="E56"/>
  <c r="G48"/>
  <c r="E48"/>
  <c r="B48"/>
  <c r="E47"/>
  <c r="G47" s="1"/>
  <c r="B47"/>
  <c r="E46"/>
  <c r="G46" s="1"/>
  <c r="E45"/>
  <c r="G45" s="1"/>
  <c r="E44"/>
  <c r="G44" s="1"/>
  <c r="E43"/>
  <c r="G43" s="1"/>
  <c r="G42"/>
  <c r="D24"/>
  <c r="J24" s="1"/>
  <c r="I23"/>
  <c r="D23"/>
  <c r="K23" s="1"/>
  <c r="J22"/>
  <c r="D22"/>
  <c r="L22" s="1"/>
  <c r="K21"/>
  <c r="D21"/>
  <c r="I21" s="1"/>
  <c r="D20"/>
  <c r="J20" s="1"/>
  <c r="H16"/>
  <c r="H17" s="1"/>
  <c r="H18" s="1"/>
  <c r="H19" s="1"/>
  <c r="G16"/>
  <c r="G17" s="1"/>
  <c r="G18" s="1"/>
  <c r="G19" s="1"/>
  <c r="F16"/>
  <c r="F17" s="1"/>
  <c r="F18" s="1"/>
  <c r="F19" s="1"/>
  <c r="E16"/>
  <c r="E17" s="1"/>
  <c r="E18" s="1"/>
  <c r="E19" s="1"/>
  <c r="F9"/>
  <c r="B9"/>
  <c r="C8"/>
  <c r="C9" s="1"/>
  <c r="F7"/>
  <c r="B7"/>
  <c r="C6"/>
  <c r="C7" s="1"/>
  <c r="I84" i="94"/>
  <c r="I78"/>
  <c r="G62"/>
  <c r="E62"/>
  <c r="E61"/>
  <c r="G61" s="1"/>
  <c r="G60"/>
  <c r="E60"/>
  <c r="E59"/>
  <c r="G59" s="1"/>
  <c r="B59"/>
  <c r="E58"/>
  <c r="G58" s="1"/>
  <c r="E57"/>
  <c r="G57" s="1"/>
  <c r="E49"/>
  <c r="G49" s="1"/>
  <c r="B49"/>
  <c r="E48"/>
  <c r="G48" s="1"/>
  <c r="E47"/>
  <c r="G47" s="1"/>
  <c r="E46"/>
  <c r="G46" s="1"/>
  <c r="E45"/>
  <c r="G45" s="1"/>
  <c r="E44"/>
  <c r="G44" s="1"/>
  <c r="E43"/>
  <c r="G43" s="1"/>
  <c r="G42"/>
  <c r="D24"/>
  <c r="L24" s="1"/>
  <c r="I23"/>
  <c r="D23"/>
  <c r="J23" s="1"/>
  <c r="J22"/>
  <c r="D22"/>
  <c r="K22" s="1"/>
  <c r="K21"/>
  <c r="I21"/>
  <c r="D21"/>
  <c r="L21" s="1"/>
  <c r="D20"/>
  <c r="L20" s="1"/>
  <c r="H16"/>
  <c r="H17" s="1"/>
  <c r="H18" s="1"/>
  <c r="H19" s="1"/>
  <c r="G16"/>
  <c r="G17" s="1"/>
  <c r="G18" s="1"/>
  <c r="G19" s="1"/>
  <c r="F16"/>
  <c r="F17" s="1"/>
  <c r="F18" s="1"/>
  <c r="F19" s="1"/>
  <c r="E16"/>
  <c r="E17" s="1"/>
  <c r="E18" s="1"/>
  <c r="E19" s="1"/>
  <c r="F9"/>
  <c r="B9"/>
  <c r="C8"/>
  <c r="C9" s="1"/>
  <c r="F7"/>
  <c r="B7"/>
  <c r="C6"/>
  <c r="C7" s="1"/>
  <c r="I17" i="95" l="1"/>
  <c r="J17"/>
  <c r="K17"/>
  <c r="L17"/>
  <c r="I40"/>
  <c r="E71" i="94"/>
  <c r="I69" s="1"/>
  <c r="D18" s="1"/>
  <c r="I55"/>
  <c r="D17" s="1"/>
  <c r="L18" i="95"/>
  <c r="I18"/>
  <c r="J18"/>
  <c r="K18"/>
  <c r="I40" i="94"/>
  <c r="K20"/>
  <c r="J21"/>
  <c r="I22"/>
  <c r="L23"/>
  <c r="K24"/>
  <c r="I20" i="95"/>
  <c r="L21"/>
  <c r="K22"/>
  <c r="J23"/>
  <c r="I24"/>
  <c r="J20" i="94"/>
  <c r="L22"/>
  <c r="K23"/>
  <c r="J24"/>
  <c r="L20" i="95"/>
  <c r="L24"/>
  <c r="I20" i="94"/>
  <c r="I24"/>
  <c r="K20" i="95"/>
  <c r="J21"/>
  <c r="I22"/>
  <c r="L23"/>
  <c r="K24"/>
  <c r="I74" l="1"/>
  <c r="D19" s="1"/>
  <c r="I93"/>
  <c r="D16"/>
  <c r="I96"/>
  <c r="J18" i="94"/>
  <c r="K18"/>
  <c r="L18"/>
  <c r="I18"/>
  <c r="K17"/>
  <c r="L17"/>
  <c r="I17"/>
  <c r="J17"/>
  <c r="D16"/>
  <c r="I94"/>
  <c r="I97"/>
  <c r="I75"/>
  <c r="D19" s="1"/>
  <c r="J16" i="95" l="1"/>
  <c r="K16"/>
  <c r="L16"/>
  <c r="D25"/>
  <c r="I16"/>
  <c r="L16" i="94"/>
  <c r="D25"/>
  <c r="I16"/>
  <c r="J16"/>
  <c r="K16"/>
  <c r="K19" i="95"/>
  <c r="L19"/>
  <c r="I19"/>
  <c r="J19"/>
  <c r="I19" i="94"/>
  <c r="J19"/>
  <c r="K19"/>
  <c r="L19"/>
  <c r="J25" l="1"/>
  <c r="G7" s="1"/>
  <c r="J25" i="95"/>
  <c r="G7" s="1"/>
  <c r="K25" i="94"/>
  <c r="G8" s="1"/>
  <c r="L25"/>
  <c r="G9" s="1"/>
  <c r="K25" i="95"/>
  <c r="L25"/>
  <c r="I25"/>
  <c r="G6" s="1"/>
  <c r="I25" i="94"/>
  <c r="G6" s="1"/>
  <c r="I65" i="93" l="1"/>
  <c r="D20" s="1"/>
  <c r="D56"/>
  <c r="D58" s="1"/>
  <c r="D59" s="1"/>
  <c r="F48"/>
  <c r="F49" s="1"/>
  <c r="I25"/>
  <c r="D25"/>
  <c r="H25" s="1"/>
  <c r="I24"/>
  <c r="H24"/>
  <c r="D24"/>
  <c r="D23"/>
  <c r="H23" s="1"/>
  <c r="D22"/>
  <c r="I22" s="1"/>
  <c r="I21"/>
  <c r="D21"/>
  <c r="H21" s="1"/>
  <c r="H19"/>
  <c r="D19"/>
  <c r="I19" s="1"/>
  <c r="D18"/>
  <c r="I18" s="1"/>
  <c r="I17"/>
  <c r="D17"/>
  <c r="H17" s="1"/>
  <c r="I14"/>
  <c r="H14"/>
  <c r="H7"/>
  <c r="F7"/>
  <c r="C7"/>
  <c r="H6"/>
  <c r="F6"/>
  <c r="C6"/>
  <c r="H20" l="1"/>
  <c r="I20"/>
  <c r="I26" s="1"/>
  <c r="G7" s="1"/>
  <c r="H18"/>
  <c r="H22"/>
  <c r="H26" s="1"/>
  <c r="G6" s="1"/>
  <c r="I23"/>
  <c r="I84"/>
  <c r="D26"/>
  <c r="E61" i="92" l="1"/>
  <c r="G61" s="1"/>
  <c r="E60"/>
  <c r="G60" s="1"/>
  <c r="E59"/>
  <c r="G59" s="1"/>
  <c r="E58"/>
  <c r="G58" s="1"/>
  <c r="E57"/>
  <c r="G57" s="1"/>
  <c r="B57"/>
  <c r="G56"/>
  <c r="E70" s="1"/>
  <c r="I68" s="1"/>
  <c r="D18" s="1"/>
  <c r="E56"/>
  <c r="G48"/>
  <c r="E48"/>
  <c r="B48"/>
  <c r="E47"/>
  <c r="G47" s="1"/>
  <c r="B47"/>
  <c r="E46"/>
  <c r="G46" s="1"/>
  <c r="E45"/>
  <c r="G45" s="1"/>
  <c r="E44"/>
  <c r="G44" s="1"/>
  <c r="E43"/>
  <c r="G43" s="1"/>
  <c r="G42"/>
  <c r="D37"/>
  <c r="J24"/>
  <c r="D24"/>
  <c r="K24" s="1"/>
  <c r="K23"/>
  <c r="J23"/>
  <c r="I23"/>
  <c r="D23"/>
  <c r="L23" s="1"/>
  <c r="D22"/>
  <c r="L22" s="1"/>
  <c r="I21"/>
  <c r="D21"/>
  <c r="J21" s="1"/>
  <c r="J20"/>
  <c r="D20"/>
  <c r="K20" s="1"/>
  <c r="H16"/>
  <c r="H17" s="1"/>
  <c r="H18" s="1"/>
  <c r="H19" s="1"/>
  <c r="G16"/>
  <c r="G17" s="1"/>
  <c r="G18" s="1"/>
  <c r="G19" s="1"/>
  <c r="F16"/>
  <c r="F17" s="1"/>
  <c r="F18" s="1"/>
  <c r="F19" s="1"/>
  <c r="E16"/>
  <c r="E17" s="1"/>
  <c r="E18" s="1"/>
  <c r="E19" s="1"/>
  <c r="F9"/>
  <c r="E9"/>
  <c r="B9"/>
  <c r="C8"/>
  <c r="C9" s="1"/>
  <c r="F7"/>
  <c r="E7"/>
  <c r="C7"/>
  <c r="B7"/>
  <c r="C6"/>
  <c r="I77" i="91"/>
  <c r="E61"/>
  <c r="G61" s="1"/>
  <c r="G60"/>
  <c r="E60"/>
  <c r="E59"/>
  <c r="G59" s="1"/>
  <c r="G58"/>
  <c r="E58"/>
  <c r="B58"/>
  <c r="E57"/>
  <c r="G57" s="1"/>
  <c r="E56"/>
  <c r="G56" s="1"/>
  <c r="G48"/>
  <c r="E48"/>
  <c r="B48"/>
  <c r="E47"/>
  <c r="G47" s="1"/>
  <c r="B47"/>
  <c r="E46"/>
  <c r="G46" s="1"/>
  <c r="G45"/>
  <c r="E45"/>
  <c r="E44"/>
  <c r="G44" s="1"/>
  <c r="G43"/>
  <c r="I40" s="1"/>
  <c r="E43"/>
  <c r="G42"/>
  <c r="K24"/>
  <c r="J24"/>
  <c r="I24"/>
  <c r="D24"/>
  <c r="L24" s="1"/>
  <c r="K23"/>
  <c r="J23"/>
  <c r="D23"/>
  <c r="L23" s="1"/>
  <c r="K22"/>
  <c r="D22"/>
  <c r="L22" s="1"/>
  <c r="D21"/>
  <c r="I21" s="1"/>
  <c r="K20"/>
  <c r="J20"/>
  <c r="I20"/>
  <c r="D20"/>
  <c r="L20" s="1"/>
  <c r="H16"/>
  <c r="H17" s="1"/>
  <c r="H18" s="1"/>
  <c r="H19" s="1"/>
  <c r="G16"/>
  <c r="G17" s="1"/>
  <c r="G18" s="1"/>
  <c r="G19" s="1"/>
  <c r="F16"/>
  <c r="F17" s="1"/>
  <c r="F18" s="1"/>
  <c r="F19" s="1"/>
  <c r="E16"/>
  <c r="E17" s="1"/>
  <c r="E18" s="1"/>
  <c r="E19" s="1"/>
  <c r="F9"/>
  <c r="E9"/>
  <c r="B9"/>
  <c r="C8"/>
  <c r="C9" s="1"/>
  <c r="F7"/>
  <c r="E7"/>
  <c r="C7"/>
  <c r="B7"/>
  <c r="C6"/>
  <c r="I79" i="90"/>
  <c r="E63"/>
  <c r="G63" s="1"/>
  <c r="G62"/>
  <c r="E62"/>
  <c r="E61"/>
  <c r="G61" s="1"/>
  <c r="G60"/>
  <c r="E60"/>
  <c r="B60"/>
  <c r="E59"/>
  <c r="G59" s="1"/>
  <c r="E58"/>
  <c r="G58" s="1"/>
  <c r="G50"/>
  <c r="E50"/>
  <c r="B50"/>
  <c r="E49"/>
  <c r="G49" s="1"/>
  <c r="B49"/>
  <c r="E48"/>
  <c r="G48" s="1"/>
  <c r="B48"/>
  <c r="E47"/>
  <c r="G47" s="1"/>
  <c r="B47"/>
  <c r="G46"/>
  <c r="E46"/>
  <c r="E45"/>
  <c r="G45" s="1"/>
  <c r="G44"/>
  <c r="E44"/>
  <c r="E43"/>
  <c r="G43" s="1"/>
  <c r="G42"/>
  <c r="I40" s="1"/>
  <c r="K24"/>
  <c r="D24"/>
  <c r="L24" s="1"/>
  <c r="D23"/>
  <c r="I23" s="1"/>
  <c r="K22"/>
  <c r="J22"/>
  <c r="I22"/>
  <c r="D22"/>
  <c r="L22" s="1"/>
  <c r="J21"/>
  <c r="D21"/>
  <c r="K21" s="1"/>
  <c r="K20"/>
  <c r="D20"/>
  <c r="L20" s="1"/>
  <c r="H16"/>
  <c r="H17" s="1"/>
  <c r="H18" s="1"/>
  <c r="H19" s="1"/>
  <c r="G16"/>
  <c r="G17" s="1"/>
  <c r="G18" s="1"/>
  <c r="G19" s="1"/>
  <c r="F16"/>
  <c r="F17" s="1"/>
  <c r="F18" s="1"/>
  <c r="F19" s="1"/>
  <c r="E16"/>
  <c r="E17" s="1"/>
  <c r="E18" s="1"/>
  <c r="E19" s="1"/>
  <c r="F9"/>
  <c r="E9"/>
  <c r="B9"/>
  <c r="C8"/>
  <c r="C9" s="1"/>
  <c r="F7"/>
  <c r="E7"/>
  <c r="B7"/>
  <c r="C6"/>
  <c r="C7" s="1"/>
  <c r="I78" i="89"/>
  <c r="G62"/>
  <c r="E62"/>
  <c r="G61"/>
  <c r="E61"/>
  <c r="G60"/>
  <c r="E60"/>
  <c r="G59"/>
  <c r="E59"/>
  <c r="B59"/>
  <c r="E58"/>
  <c r="G58" s="1"/>
  <c r="E57"/>
  <c r="G57" s="1"/>
  <c r="G49"/>
  <c r="E49"/>
  <c r="B49"/>
  <c r="E48"/>
  <c r="G48" s="1"/>
  <c r="E47"/>
  <c r="G47" s="1"/>
  <c r="E46"/>
  <c r="G46" s="1"/>
  <c r="E45"/>
  <c r="G45" s="1"/>
  <c r="E44"/>
  <c r="G44" s="1"/>
  <c r="E43"/>
  <c r="G43" s="1"/>
  <c r="G42"/>
  <c r="D24"/>
  <c r="I24" s="1"/>
  <c r="K23"/>
  <c r="I23"/>
  <c r="D23"/>
  <c r="J23" s="1"/>
  <c r="J22"/>
  <c r="D22"/>
  <c r="K22" s="1"/>
  <c r="K21"/>
  <c r="J21"/>
  <c r="I21"/>
  <c r="D21"/>
  <c r="L21" s="1"/>
  <c r="D20"/>
  <c r="I20" s="1"/>
  <c r="H16"/>
  <c r="H17" s="1"/>
  <c r="H18" s="1"/>
  <c r="H19" s="1"/>
  <c r="G16"/>
  <c r="G17" s="1"/>
  <c r="G18" s="1"/>
  <c r="G19" s="1"/>
  <c r="F16"/>
  <c r="F17" s="1"/>
  <c r="F18" s="1"/>
  <c r="F19" s="1"/>
  <c r="E16"/>
  <c r="E17" s="1"/>
  <c r="E18" s="1"/>
  <c r="E19" s="1"/>
  <c r="F9"/>
  <c r="E9"/>
  <c r="B9"/>
  <c r="C8"/>
  <c r="C9" s="1"/>
  <c r="F7"/>
  <c r="E7"/>
  <c r="B7"/>
  <c r="C6"/>
  <c r="C7" s="1"/>
  <c r="I79" i="88"/>
  <c r="E63"/>
  <c r="G63" s="1"/>
  <c r="G62"/>
  <c r="E62"/>
  <c r="E61"/>
  <c r="G61" s="1"/>
  <c r="G60"/>
  <c r="E60"/>
  <c r="B60"/>
  <c r="E59"/>
  <c r="G59" s="1"/>
  <c r="E58"/>
  <c r="G58" s="1"/>
  <c r="E57"/>
  <c r="G57" s="1"/>
  <c r="B57"/>
  <c r="E49"/>
  <c r="G49" s="1"/>
  <c r="E48"/>
  <c r="G48" s="1"/>
  <c r="E47"/>
  <c r="G47" s="1"/>
  <c r="E46"/>
  <c r="G46" s="1"/>
  <c r="E45"/>
  <c r="G45" s="1"/>
  <c r="G44"/>
  <c r="E44"/>
  <c r="E43"/>
  <c r="G43" s="1"/>
  <c r="G42"/>
  <c r="I40" s="1"/>
  <c r="D24"/>
  <c r="L24" s="1"/>
  <c r="D23"/>
  <c r="I23" s="1"/>
  <c r="D22"/>
  <c r="J22" s="1"/>
  <c r="D21"/>
  <c r="K21" s="1"/>
  <c r="D20"/>
  <c r="L20" s="1"/>
  <c r="H16"/>
  <c r="H17" s="1"/>
  <c r="H18" s="1"/>
  <c r="H19" s="1"/>
  <c r="G16"/>
  <c r="G17" s="1"/>
  <c r="G18" s="1"/>
  <c r="G19" s="1"/>
  <c r="F16"/>
  <c r="F17" s="1"/>
  <c r="F18" s="1"/>
  <c r="F19" s="1"/>
  <c r="E16"/>
  <c r="E17" s="1"/>
  <c r="E18" s="1"/>
  <c r="E19" s="1"/>
  <c r="F9"/>
  <c r="E9"/>
  <c r="B9"/>
  <c r="C8"/>
  <c r="C9" s="1"/>
  <c r="F7"/>
  <c r="E7"/>
  <c r="B7"/>
  <c r="C6"/>
  <c r="C7" s="1"/>
  <c r="E72" l="1"/>
  <c r="I70" s="1"/>
  <c r="D18" s="1"/>
  <c r="I55"/>
  <c r="D17" s="1"/>
  <c r="I54" i="91"/>
  <c r="D17" s="1"/>
  <c r="E70"/>
  <c r="I68" s="1"/>
  <c r="D18" s="1"/>
  <c r="I40" i="92"/>
  <c r="I54"/>
  <c r="D17" s="1"/>
  <c r="I98" i="88"/>
  <c r="D16"/>
  <c r="I76"/>
  <c r="D19" s="1"/>
  <c r="I95"/>
  <c r="E71" i="89"/>
  <c r="I69" s="1"/>
  <c r="D18" s="1"/>
  <c r="I55"/>
  <c r="D17" s="1"/>
  <c r="D16" i="90"/>
  <c r="I56"/>
  <c r="D17" s="1"/>
  <c r="E72"/>
  <c r="I70" s="1"/>
  <c r="D18" s="1"/>
  <c r="I74" i="91"/>
  <c r="D19" s="1"/>
  <c r="D16"/>
  <c r="L18" i="92"/>
  <c r="I18"/>
  <c r="J18"/>
  <c r="K18"/>
  <c r="I40" i="89"/>
  <c r="K20" i="88"/>
  <c r="J21"/>
  <c r="I22"/>
  <c r="L23"/>
  <c r="K24"/>
  <c r="L20" i="89"/>
  <c r="L24"/>
  <c r="L23" i="90"/>
  <c r="L21" i="91"/>
  <c r="I20" i="92"/>
  <c r="L21"/>
  <c r="K22"/>
  <c r="I24"/>
  <c r="J20" i="88"/>
  <c r="I21"/>
  <c r="L22"/>
  <c r="K23"/>
  <c r="J24"/>
  <c r="K20" i="89"/>
  <c r="I22"/>
  <c r="L23"/>
  <c r="K24"/>
  <c r="J20" i="90"/>
  <c r="I21"/>
  <c r="K23"/>
  <c r="J24"/>
  <c r="K21" i="91"/>
  <c r="J22"/>
  <c r="I23"/>
  <c r="L20" i="92"/>
  <c r="K21"/>
  <c r="J22"/>
  <c r="L24"/>
  <c r="I20" i="88"/>
  <c r="L21"/>
  <c r="K22"/>
  <c r="J23"/>
  <c r="I24"/>
  <c r="J20" i="89"/>
  <c r="L22"/>
  <c r="J24"/>
  <c r="I20" i="90"/>
  <c r="L21"/>
  <c r="J23"/>
  <c r="I24"/>
  <c r="J21" i="91"/>
  <c r="I22"/>
  <c r="I22" i="92"/>
  <c r="J16" i="91" l="1"/>
  <c r="K16"/>
  <c r="L16"/>
  <c r="D25"/>
  <c r="I16"/>
  <c r="K17" i="90"/>
  <c r="L17"/>
  <c r="I17"/>
  <c r="J17"/>
  <c r="I19" i="88"/>
  <c r="J19"/>
  <c r="K19"/>
  <c r="L19"/>
  <c r="I74" i="92"/>
  <c r="D19" s="1"/>
  <c r="D16"/>
  <c r="J18" i="88"/>
  <c r="K18"/>
  <c r="L18"/>
  <c r="I18"/>
  <c r="I76" i="90"/>
  <c r="J18"/>
  <c r="K18"/>
  <c r="L18"/>
  <c r="I18"/>
  <c r="L16"/>
  <c r="I16"/>
  <c r="J16"/>
  <c r="K16"/>
  <c r="I17" i="92"/>
  <c r="J17"/>
  <c r="K17"/>
  <c r="L17"/>
  <c r="K17" i="88"/>
  <c r="L17"/>
  <c r="I17"/>
  <c r="J17"/>
  <c r="I96" i="91"/>
  <c r="I97" i="89"/>
  <c r="I75"/>
  <c r="D19" s="1"/>
  <c r="D16"/>
  <c r="K19" i="91"/>
  <c r="L19"/>
  <c r="I19"/>
  <c r="J19"/>
  <c r="K18" i="89"/>
  <c r="L18"/>
  <c r="I18"/>
  <c r="J18"/>
  <c r="I17" i="91"/>
  <c r="J17"/>
  <c r="K17"/>
  <c r="L17"/>
  <c r="L17" i="89"/>
  <c r="I17"/>
  <c r="J17"/>
  <c r="K17"/>
  <c r="L16" i="88"/>
  <c r="D25"/>
  <c r="I16"/>
  <c r="J16"/>
  <c r="K16"/>
  <c r="L18" i="91"/>
  <c r="I18"/>
  <c r="J18"/>
  <c r="K18"/>
  <c r="I93"/>
  <c r="J25" i="88" l="1"/>
  <c r="G7" s="1"/>
  <c r="K25"/>
  <c r="G8" s="1"/>
  <c r="L25"/>
  <c r="G9" s="1"/>
  <c r="I25"/>
  <c r="G6" s="1"/>
  <c r="I94" i="89"/>
  <c r="I96" i="92"/>
  <c r="I25" i="91"/>
  <c r="G6" s="1"/>
  <c r="J25"/>
  <c r="G7" s="1"/>
  <c r="D19" i="90"/>
  <c r="I98"/>
  <c r="I95"/>
  <c r="K19" i="92"/>
  <c r="L19"/>
  <c r="I19"/>
  <c r="J19"/>
  <c r="K25" i="91"/>
  <c r="G8" s="1"/>
  <c r="J19" i="89"/>
  <c r="K19"/>
  <c r="L19"/>
  <c r="I19"/>
  <c r="I93" i="92"/>
  <c r="L25" i="91"/>
  <c r="G9" s="1"/>
  <c r="D25" i="89"/>
  <c r="I16"/>
  <c r="I25" s="1"/>
  <c r="G6" s="1"/>
  <c r="J16"/>
  <c r="K16"/>
  <c r="K25" s="1"/>
  <c r="G8" s="1"/>
  <c r="L16"/>
  <c r="L25" s="1"/>
  <c r="G9" s="1"/>
  <c r="J16" i="92"/>
  <c r="K16"/>
  <c r="L16"/>
  <c r="D25"/>
  <c r="I16"/>
  <c r="I25" l="1"/>
  <c r="G6" s="1"/>
  <c r="K25"/>
  <c r="G8" s="1"/>
  <c r="J25"/>
  <c r="G7" s="1"/>
  <c r="L25"/>
  <c r="G9" s="1"/>
  <c r="J25" i="89"/>
  <c r="G7" s="1"/>
  <c r="I19" i="90"/>
  <c r="I25" s="1"/>
  <c r="G6" s="1"/>
  <c r="J19"/>
  <c r="J25" s="1"/>
  <c r="G7" s="1"/>
  <c r="K19"/>
  <c r="K25" s="1"/>
  <c r="G8" s="1"/>
  <c r="L19"/>
  <c r="L25" s="1"/>
  <c r="G9" s="1"/>
  <c r="D25"/>
  <c r="H60" i="87" l="1"/>
  <c r="H59"/>
  <c r="B26" s="1"/>
  <c r="C26" s="1"/>
  <c r="H58"/>
  <c r="H57"/>
  <c r="H56"/>
  <c r="H55"/>
  <c r="H54"/>
  <c r="H53"/>
  <c r="H52"/>
  <c r="H50"/>
  <c r="H49"/>
  <c r="H48"/>
  <c r="B20" s="1"/>
  <c r="C20" s="1"/>
  <c r="H47"/>
  <c r="H46"/>
  <c r="H45"/>
  <c r="H44"/>
  <c r="H43"/>
  <c r="H42"/>
  <c r="H41"/>
  <c r="H40"/>
  <c r="H39"/>
  <c r="H38"/>
  <c r="H37"/>
  <c r="H36"/>
  <c r="H35"/>
  <c r="H34"/>
  <c r="H33"/>
  <c r="H32"/>
  <c r="H31"/>
  <c r="B18" s="1"/>
  <c r="B25"/>
  <c r="C25" s="1"/>
  <c r="C24"/>
  <c r="B24"/>
  <c r="B23"/>
  <c r="C23" s="1"/>
  <c r="C22"/>
  <c r="B22"/>
  <c r="B19"/>
  <c r="C19" s="1"/>
  <c r="H52" i="86"/>
  <c r="H51"/>
  <c r="B26" s="1"/>
  <c r="C26" s="1"/>
  <c r="H50"/>
  <c r="B24" s="1"/>
  <c r="C24" s="1"/>
  <c r="H49"/>
  <c r="H48"/>
  <c r="H47"/>
  <c r="H46"/>
  <c r="H45"/>
  <c r="H44"/>
  <c r="H42"/>
  <c r="H41"/>
  <c r="H40"/>
  <c r="B20" s="1"/>
  <c r="C20" s="1"/>
  <c r="H39"/>
  <c r="H38"/>
  <c r="H37"/>
  <c r="H36"/>
  <c r="H35"/>
  <c r="H34"/>
  <c r="H33"/>
  <c r="H32"/>
  <c r="H31"/>
  <c r="B18" s="1"/>
  <c r="B25"/>
  <c r="C25" s="1"/>
  <c r="B23"/>
  <c r="C23" s="1"/>
  <c r="C22"/>
  <c r="B22"/>
  <c r="B19"/>
  <c r="C19" s="1"/>
  <c r="C18" l="1"/>
  <c r="C18" i="87"/>
  <c r="G43" i="86"/>
  <c r="H43" s="1"/>
  <c r="B21" s="1"/>
  <c r="C21" s="1"/>
  <c r="G51" i="87"/>
  <c r="H51" s="1"/>
  <c r="B21" s="1"/>
  <c r="C21" s="1"/>
  <c r="B27" i="86" l="1"/>
  <c r="C27" s="1"/>
  <c r="D27" s="1"/>
  <c r="B27" i="87"/>
  <c r="C27" s="1"/>
  <c r="D27" s="1"/>
  <c r="I81" i="85"/>
  <c r="G74"/>
  <c r="I71" s="1"/>
  <c r="D18" s="1"/>
  <c r="G64"/>
  <c r="E64"/>
  <c r="E63"/>
  <c r="G63" s="1"/>
  <c r="G62"/>
  <c r="E62"/>
  <c r="E61"/>
  <c r="G61" s="1"/>
  <c r="B61"/>
  <c r="E60"/>
  <c r="G60" s="1"/>
  <c r="E59"/>
  <c r="G59" s="1"/>
  <c r="E58"/>
  <c r="G58" s="1"/>
  <c r="I56" s="1"/>
  <c r="D17" s="1"/>
  <c r="G51"/>
  <c r="E50"/>
  <c r="G50" s="1"/>
  <c r="B50"/>
  <c r="G49"/>
  <c r="E49"/>
  <c r="B49"/>
  <c r="E48"/>
  <c r="G48" s="1"/>
  <c r="B48"/>
  <c r="E47"/>
  <c r="G47" s="1"/>
  <c r="B47"/>
  <c r="E46"/>
  <c r="G46" s="1"/>
  <c r="D46"/>
  <c r="B46"/>
  <c r="E45"/>
  <c r="G45" s="1"/>
  <c r="E44"/>
  <c r="G44" s="1"/>
  <c r="E43"/>
  <c r="G43" s="1"/>
  <c r="E42"/>
  <c r="G42" s="1"/>
  <c r="D37"/>
  <c r="D24"/>
  <c r="K24" s="1"/>
  <c r="K23"/>
  <c r="I23"/>
  <c r="D23"/>
  <c r="L23" s="1"/>
  <c r="J22"/>
  <c r="D22"/>
  <c r="I22" s="1"/>
  <c r="K21"/>
  <c r="I21"/>
  <c r="D21"/>
  <c r="J21" s="1"/>
  <c r="D20"/>
  <c r="K20" s="1"/>
  <c r="H18"/>
  <c r="H19" s="1"/>
  <c r="H17"/>
  <c r="G17"/>
  <c r="G18" s="1"/>
  <c r="G19" s="1"/>
  <c r="F16"/>
  <c r="F17" s="1"/>
  <c r="F18" s="1"/>
  <c r="E16"/>
  <c r="E17" s="1"/>
  <c r="E18" s="1"/>
  <c r="F9"/>
  <c r="E9"/>
  <c r="C9"/>
  <c r="C8"/>
  <c r="F7"/>
  <c r="E7"/>
  <c r="C6"/>
  <c r="C7" s="1"/>
  <c r="I80" i="84"/>
  <c r="D20" s="1"/>
  <c r="G74"/>
  <c r="I71" s="1"/>
  <c r="D18" s="1"/>
  <c r="G64"/>
  <c r="E64"/>
  <c r="G63"/>
  <c r="E63"/>
  <c r="G62"/>
  <c r="E62"/>
  <c r="G61"/>
  <c r="E61"/>
  <c r="B61"/>
  <c r="G60"/>
  <c r="E60"/>
  <c r="G59"/>
  <c r="G58"/>
  <c r="I56" s="1"/>
  <c r="D17" s="1"/>
  <c r="E58"/>
  <c r="G51"/>
  <c r="G50"/>
  <c r="E50"/>
  <c r="B50"/>
  <c r="E49"/>
  <c r="G49" s="1"/>
  <c r="I40" s="1"/>
  <c r="B49"/>
  <c r="G48"/>
  <c r="E48"/>
  <c r="B48"/>
  <c r="G47"/>
  <c r="E47"/>
  <c r="B47"/>
  <c r="G46"/>
  <c r="E46"/>
  <c r="D46"/>
  <c r="B46"/>
  <c r="G45"/>
  <c r="E45"/>
  <c r="G44"/>
  <c r="E44"/>
  <c r="G43"/>
  <c r="E43"/>
  <c r="G42"/>
  <c r="E42"/>
  <c r="D37"/>
  <c r="K24"/>
  <c r="J24"/>
  <c r="D24"/>
  <c r="I24" s="1"/>
  <c r="D23"/>
  <c r="J23" s="1"/>
  <c r="L22"/>
  <c r="K22"/>
  <c r="J22"/>
  <c r="I22"/>
  <c r="I21"/>
  <c r="D21"/>
  <c r="K21" s="1"/>
  <c r="H19"/>
  <c r="G19"/>
  <c r="F16"/>
  <c r="F17" s="1"/>
  <c r="F18" s="1"/>
  <c r="E16"/>
  <c r="E17" s="1"/>
  <c r="E18" s="1"/>
  <c r="F9"/>
  <c r="E9"/>
  <c r="C8"/>
  <c r="C9" s="1"/>
  <c r="F7"/>
  <c r="E7"/>
  <c r="C7"/>
  <c r="C6"/>
  <c r="E46" i="83"/>
  <c r="G46" s="1"/>
  <c r="D46"/>
  <c r="B46"/>
  <c r="I40"/>
  <c r="D37"/>
  <c r="K24"/>
  <c r="J24"/>
  <c r="I24"/>
  <c r="D24"/>
  <c r="L24" s="1"/>
  <c r="K23"/>
  <c r="J23"/>
  <c r="D23"/>
  <c r="L23" s="1"/>
  <c r="D22"/>
  <c r="L22" s="1"/>
  <c r="I21"/>
  <c r="D21"/>
  <c r="J21" s="1"/>
  <c r="D19"/>
  <c r="H16"/>
  <c r="H17" s="1"/>
  <c r="H18" s="1"/>
  <c r="H19" s="1"/>
  <c r="G16"/>
  <c r="G17" s="1"/>
  <c r="G18" s="1"/>
  <c r="G19" s="1"/>
  <c r="K19" s="1"/>
  <c r="F16"/>
  <c r="J16" s="1"/>
  <c r="E16"/>
  <c r="E17" s="1"/>
  <c r="E18" s="1"/>
  <c r="E19" s="1"/>
  <c r="D16"/>
  <c r="E9"/>
  <c r="B9"/>
  <c r="F8"/>
  <c r="F9" s="1"/>
  <c r="C8"/>
  <c r="C9" s="1"/>
  <c r="E7"/>
  <c r="B7"/>
  <c r="F6"/>
  <c r="F7" s="1"/>
  <c r="C6"/>
  <c r="C7" s="1"/>
  <c r="E46" i="82"/>
  <c r="G46" s="1"/>
  <c r="D46"/>
  <c r="B46"/>
  <c r="I40"/>
  <c r="D37"/>
  <c r="K24"/>
  <c r="I24"/>
  <c r="D24"/>
  <c r="L24" s="1"/>
  <c r="D23"/>
  <c r="I23" s="1"/>
  <c r="K22"/>
  <c r="I22"/>
  <c r="D22"/>
  <c r="J22" s="1"/>
  <c r="J21"/>
  <c r="D21"/>
  <c r="K21" s="1"/>
  <c r="D19"/>
  <c r="H16"/>
  <c r="H17" s="1"/>
  <c r="H18" s="1"/>
  <c r="H19" s="1"/>
  <c r="G16"/>
  <c r="G17" s="1"/>
  <c r="G18" s="1"/>
  <c r="G19" s="1"/>
  <c r="F16"/>
  <c r="F17" s="1"/>
  <c r="F18" s="1"/>
  <c r="F19" s="1"/>
  <c r="E16"/>
  <c r="E17" s="1"/>
  <c r="E18" s="1"/>
  <c r="E19" s="1"/>
  <c r="E9"/>
  <c r="B9"/>
  <c r="F8"/>
  <c r="F9" s="1"/>
  <c r="C8"/>
  <c r="C9" s="1"/>
  <c r="E7"/>
  <c r="B7"/>
  <c r="F6"/>
  <c r="F7" s="1"/>
  <c r="C6"/>
  <c r="C7" s="1"/>
  <c r="E46" i="81"/>
  <c r="G46" s="1"/>
  <c r="D46"/>
  <c r="B46"/>
  <c r="I40"/>
  <c r="D37"/>
  <c r="K24"/>
  <c r="I24"/>
  <c r="D24"/>
  <c r="J24" s="1"/>
  <c r="J23"/>
  <c r="D23"/>
  <c r="K23" s="1"/>
  <c r="K22"/>
  <c r="I22"/>
  <c r="D22"/>
  <c r="L22" s="1"/>
  <c r="D21"/>
  <c r="I21" s="1"/>
  <c r="D19"/>
  <c r="H16"/>
  <c r="H17" s="1"/>
  <c r="H18" s="1"/>
  <c r="H19" s="1"/>
  <c r="G16"/>
  <c r="K16" s="1"/>
  <c r="F16"/>
  <c r="F17" s="1"/>
  <c r="F18" s="1"/>
  <c r="F19" s="1"/>
  <c r="J19" s="1"/>
  <c r="E16"/>
  <c r="E17" s="1"/>
  <c r="E18" s="1"/>
  <c r="E19" s="1"/>
  <c r="D16"/>
  <c r="E9"/>
  <c r="B9"/>
  <c r="F8"/>
  <c r="F9" s="1"/>
  <c r="C8"/>
  <c r="C9" s="1"/>
  <c r="E7"/>
  <c r="B7"/>
  <c r="F6"/>
  <c r="F7" s="1"/>
  <c r="C6"/>
  <c r="C7" s="1"/>
  <c r="J16" l="1"/>
  <c r="K16" i="83"/>
  <c r="L19"/>
  <c r="I99" i="84"/>
  <c r="D16"/>
  <c r="I77"/>
  <c r="D19" s="1"/>
  <c r="L20"/>
  <c r="I20"/>
  <c r="J20"/>
  <c r="K20"/>
  <c r="I40" i="85"/>
  <c r="L18" i="84"/>
  <c r="I18"/>
  <c r="J18"/>
  <c r="K18"/>
  <c r="K18" i="85"/>
  <c r="L18"/>
  <c r="I18"/>
  <c r="J18"/>
  <c r="K17" i="84"/>
  <c r="L17"/>
  <c r="I17"/>
  <c r="J17"/>
  <c r="L17" i="85"/>
  <c r="I17"/>
  <c r="J17"/>
  <c r="K17"/>
  <c r="J21" i="84"/>
  <c r="I23"/>
  <c r="L24"/>
  <c r="J20" i="85"/>
  <c r="L22"/>
  <c r="J24"/>
  <c r="I20"/>
  <c r="L21"/>
  <c r="K22"/>
  <c r="J23"/>
  <c r="I24"/>
  <c r="L21" i="84"/>
  <c r="K23"/>
  <c r="L20" i="85"/>
  <c r="L24"/>
  <c r="L23" i="84"/>
  <c r="E56" i="83"/>
  <c r="I54" s="1"/>
  <c r="D18" s="1"/>
  <c r="I44"/>
  <c r="D17" s="1"/>
  <c r="I19" i="82"/>
  <c r="E56" i="81"/>
  <c r="I54" s="1"/>
  <c r="D18" s="1"/>
  <c r="I44"/>
  <c r="I44" i="82"/>
  <c r="D17" s="1"/>
  <c r="E56"/>
  <c r="I54" s="1"/>
  <c r="D18" s="1"/>
  <c r="I16" i="81"/>
  <c r="L21"/>
  <c r="L19" i="82"/>
  <c r="L23"/>
  <c r="I16" i="83"/>
  <c r="L21"/>
  <c r="K22"/>
  <c r="L16" i="81"/>
  <c r="G17"/>
  <c r="G18" s="1"/>
  <c r="G19" s="1"/>
  <c r="K19" s="1"/>
  <c r="I19"/>
  <c r="K21"/>
  <c r="J22"/>
  <c r="I23"/>
  <c r="L24"/>
  <c r="I79"/>
  <c r="K19" i="82"/>
  <c r="I21"/>
  <c r="L22"/>
  <c r="K23"/>
  <c r="J24"/>
  <c r="L16" i="83"/>
  <c r="I19"/>
  <c r="K21"/>
  <c r="J22"/>
  <c r="I23"/>
  <c r="L19" i="81"/>
  <c r="J21"/>
  <c r="L23"/>
  <c r="J19" i="82"/>
  <c r="L21"/>
  <c r="J23"/>
  <c r="F17" i="83"/>
  <c r="F18" s="1"/>
  <c r="F19" s="1"/>
  <c r="J19" s="1"/>
  <c r="I22"/>
  <c r="D16" i="82"/>
  <c r="D25" i="84" l="1"/>
  <c r="J16"/>
  <c r="J25" s="1"/>
  <c r="G7" s="1"/>
  <c r="K16"/>
  <c r="K25" s="1"/>
  <c r="G8" s="1"/>
  <c r="L16"/>
  <c r="I16"/>
  <c r="I19"/>
  <c r="J19"/>
  <c r="K19"/>
  <c r="L19"/>
  <c r="I78" i="85"/>
  <c r="D19" s="1"/>
  <c r="D16"/>
  <c r="I96" i="84"/>
  <c r="K17" i="82"/>
  <c r="L17"/>
  <c r="I17"/>
  <c r="J17"/>
  <c r="I82" i="81"/>
  <c r="D17"/>
  <c r="L18" i="83"/>
  <c r="I18"/>
  <c r="J18"/>
  <c r="K18"/>
  <c r="I63" i="81"/>
  <c r="D20" s="1"/>
  <c r="L16" i="82"/>
  <c r="I16"/>
  <c r="J16"/>
  <c r="K16"/>
  <c r="I17" i="83"/>
  <c r="J17"/>
  <c r="K17"/>
  <c r="L17"/>
  <c r="J18" i="82"/>
  <c r="K18"/>
  <c r="L18"/>
  <c r="I18"/>
  <c r="L18" i="81"/>
  <c r="I18"/>
  <c r="J18"/>
  <c r="K18"/>
  <c r="I79" i="82"/>
  <c r="I79" i="83"/>
  <c r="I63" i="82"/>
  <c r="D20" s="1"/>
  <c r="I63" i="83"/>
  <c r="D20" s="1"/>
  <c r="L19" i="85" l="1"/>
  <c r="I19"/>
  <c r="J19"/>
  <c r="K19"/>
  <c r="I100"/>
  <c r="I25" i="84"/>
  <c r="G6" s="1"/>
  <c r="I16" i="85"/>
  <c r="I25" s="1"/>
  <c r="G6" s="1"/>
  <c r="J16"/>
  <c r="D25"/>
  <c r="K16"/>
  <c r="K25" s="1"/>
  <c r="G8" s="1"/>
  <c r="L16"/>
  <c r="L25" s="1"/>
  <c r="G9" s="1"/>
  <c r="I97"/>
  <c r="L25" i="84"/>
  <c r="G9" s="1"/>
  <c r="J20" i="81"/>
  <c r="K20"/>
  <c r="L20"/>
  <c r="I20"/>
  <c r="I17"/>
  <c r="J17"/>
  <c r="J25" s="1"/>
  <c r="G7" s="1"/>
  <c r="K17"/>
  <c r="K25" s="1"/>
  <c r="G8" s="1"/>
  <c r="D25"/>
  <c r="L17"/>
  <c r="L25" s="1"/>
  <c r="G9" s="1"/>
  <c r="L25" i="82"/>
  <c r="G9" s="1"/>
  <c r="L20"/>
  <c r="I20"/>
  <c r="J20"/>
  <c r="J25" s="1"/>
  <c r="G7" s="1"/>
  <c r="K20"/>
  <c r="K25" s="1"/>
  <c r="G8" s="1"/>
  <c r="J20" i="83"/>
  <c r="K20"/>
  <c r="K25" s="1"/>
  <c r="G8" s="1"/>
  <c r="L20"/>
  <c r="L25" s="1"/>
  <c r="G9" s="1"/>
  <c r="I20"/>
  <c r="I25" s="1"/>
  <c r="G6" s="1"/>
  <c r="I82" i="82"/>
  <c r="D25"/>
  <c r="I82" i="83"/>
  <c r="D25"/>
  <c r="J25"/>
  <c r="G7" s="1"/>
  <c r="I25" i="82"/>
  <c r="G6" s="1"/>
  <c r="J25" i="85" l="1"/>
  <c r="G7" s="1"/>
  <c r="I25" i="81"/>
  <c r="G6" s="1"/>
  <c r="D44" i="80" l="1"/>
  <c r="D43"/>
  <c r="D42"/>
  <c r="D41"/>
  <c r="D45" s="1"/>
  <c r="I37" s="1"/>
  <c r="I23"/>
  <c r="H23"/>
  <c r="D23"/>
  <c r="J23" s="1"/>
  <c r="I22"/>
  <c r="H22"/>
  <c r="D22"/>
  <c r="J22" s="1"/>
  <c r="I21"/>
  <c r="H21"/>
  <c r="D21"/>
  <c r="J21" s="1"/>
  <c r="I20"/>
  <c r="H20"/>
  <c r="D20"/>
  <c r="J20" s="1"/>
  <c r="I19"/>
  <c r="H19"/>
  <c r="D19"/>
  <c r="J19" s="1"/>
  <c r="I18"/>
  <c r="H18"/>
  <c r="D18"/>
  <c r="J18" s="1"/>
  <c r="J17"/>
  <c r="I17"/>
  <c r="H17"/>
  <c r="D17"/>
  <c r="J16"/>
  <c r="I16"/>
  <c r="H16"/>
  <c r="D16"/>
  <c r="J12"/>
  <c r="I12"/>
  <c r="H12"/>
  <c r="F8"/>
  <c r="C8"/>
  <c r="F7"/>
  <c r="C7"/>
  <c r="F6"/>
  <c r="C6"/>
  <c r="E1"/>
  <c r="D1"/>
  <c r="C1"/>
  <c r="D50" i="79"/>
  <c r="I45" s="1"/>
  <c r="D41"/>
  <c r="I36" s="1"/>
  <c r="D14" s="1"/>
  <c r="J22"/>
  <c r="H22"/>
  <c r="D22"/>
  <c r="I22" s="1"/>
  <c r="J21"/>
  <c r="I21"/>
  <c r="H21"/>
  <c r="D21"/>
  <c r="J20"/>
  <c r="I20"/>
  <c r="H20"/>
  <c r="D20"/>
  <c r="J19"/>
  <c r="I19"/>
  <c r="H19"/>
  <c r="D19"/>
  <c r="J18"/>
  <c r="I18"/>
  <c r="H18"/>
  <c r="D18"/>
  <c r="J17"/>
  <c r="I17"/>
  <c r="H17"/>
  <c r="D17"/>
  <c r="J16"/>
  <c r="I16"/>
  <c r="H16"/>
  <c r="D16"/>
  <c r="J11"/>
  <c r="I11"/>
  <c r="H11"/>
  <c r="C7"/>
  <c r="C6"/>
  <c r="E1"/>
  <c r="D1"/>
  <c r="C1"/>
  <c r="D49" i="78"/>
  <c r="D48"/>
  <c r="D50" s="1"/>
  <c r="H45" s="1"/>
  <c r="D41"/>
  <c r="D40"/>
  <c r="D42" s="1"/>
  <c r="H34" s="1"/>
  <c r="D14" s="1"/>
  <c r="D22"/>
  <c r="G22" s="1"/>
  <c r="G21"/>
  <c r="D21"/>
  <c r="H21" s="1"/>
  <c r="D20"/>
  <c r="H20" s="1"/>
  <c r="G19"/>
  <c r="D19"/>
  <c r="H19" s="1"/>
  <c r="D18"/>
  <c r="G18" s="1"/>
  <c r="G17"/>
  <c r="D17"/>
  <c r="H17" s="1"/>
  <c r="D16"/>
  <c r="H16" s="1"/>
  <c r="F7"/>
  <c r="E7"/>
  <c r="D7"/>
  <c r="C7"/>
  <c r="I6"/>
  <c r="F6"/>
  <c r="C6"/>
  <c r="E1"/>
  <c r="D1"/>
  <c r="C1"/>
  <c r="K64" i="77"/>
  <c r="J23"/>
  <c r="H23"/>
  <c r="D23"/>
  <c r="I23" s="1"/>
  <c r="J22"/>
  <c r="H22"/>
  <c r="D22"/>
  <c r="I22" s="1"/>
  <c r="J21"/>
  <c r="H21"/>
  <c r="D21"/>
  <c r="I21" s="1"/>
  <c r="J20"/>
  <c r="H20"/>
  <c r="D20"/>
  <c r="I20" s="1"/>
  <c r="J19"/>
  <c r="H19"/>
  <c r="D19"/>
  <c r="I19" s="1"/>
  <c r="J18"/>
  <c r="H18"/>
  <c r="D18"/>
  <c r="I18" s="1"/>
  <c r="J17"/>
  <c r="H17"/>
  <c r="D17"/>
  <c r="I17" s="1"/>
  <c r="J16"/>
  <c r="I16"/>
  <c r="H16"/>
  <c r="D16"/>
  <c r="J15"/>
  <c r="J24" s="1"/>
  <c r="G8" s="1"/>
  <c r="I15"/>
  <c r="H15"/>
  <c r="H24" s="1"/>
  <c r="G6" s="1"/>
  <c r="D15"/>
  <c r="D24" s="1"/>
  <c r="J12"/>
  <c r="I12"/>
  <c r="H12"/>
  <c r="F8"/>
  <c r="E8"/>
  <c r="D8"/>
  <c r="C8"/>
  <c r="F7"/>
  <c r="E7"/>
  <c r="D7"/>
  <c r="C7"/>
  <c r="B7"/>
  <c r="B8" s="1"/>
  <c r="F6"/>
  <c r="C6"/>
  <c r="E1"/>
  <c r="D1"/>
  <c r="C1"/>
  <c r="D46" i="76"/>
  <c r="D45"/>
  <c r="D44"/>
  <c r="D43"/>
  <c r="D42"/>
  <c r="D41"/>
  <c r="D40"/>
  <c r="D47" s="1"/>
  <c r="H34" s="1"/>
  <c r="D22"/>
  <c r="H22" s="1"/>
  <c r="D21"/>
  <c r="G21" s="1"/>
  <c r="H20"/>
  <c r="G20"/>
  <c r="D20"/>
  <c r="H19"/>
  <c r="G19"/>
  <c r="D19"/>
  <c r="D18"/>
  <c r="H18" s="1"/>
  <c r="D17"/>
  <c r="G17" s="1"/>
  <c r="H16"/>
  <c r="G16"/>
  <c r="D16"/>
  <c r="H15"/>
  <c r="G15"/>
  <c r="D15"/>
  <c r="F7"/>
  <c r="E7"/>
  <c r="D7"/>
  <c r="C7"/>
  <c r="I6"/>
  <c r="F6"/>
  <c r="C6"/>
  <c r="E1"/>
  <c r="D1"/>
  <c r="C1"/>
  <c r="E40" i="75"/>
  <c r="H36"/>
  <c r="H66" s="1"/>
  <c r="D22"/>
  <c r="G22" s="1"/>
  <c r="D21"/>
  <c r="H21" s="1"/>
  <c r="H20"/>
  <c r="D20"/>
  <c r="G20" s="1"/>
  <c r="G19"/>
  <c r="D19"/>
  <c r="H19" s="1"/>
  <c r="H18"/>
  <c r="G18"/>
  <c r="D17"/>
  <c r="G17" s="1"/>
  <c r="H16"/>
  <c r="G16"/>
  <c r="H15"/>
  <c r="G15"/>
  <c r="D14"/>
  <c r="D23" s="1"/>
  <c r="C7"/>
  <c r="I6"/>
  <c r="F6"/>
  <c r="F7" s="1"/>
  <c r="C6"/>
  <c r="E1"/>
  <c r="D1"/>
  <c r="C1"/>
  <c r="H68" i="74"/>
  <c r="H65"/>
  <c r="H62"/>
  <c r="H59"/>
  <c r="H53"/>
  <c r="E47"/>
  <c r="F47" s="1"/>
  <c r="H43" s="1"/>
  <c r="D15" s="1"/>
  <c r="E40"/>
  <c r="F40" s="1"/>
  <c r="H36" s="1"/>
  <c r="D22"/>
  <c r="G22" s="1"/>
  <c r="H21"/>
  <c r="D21"/>
  <c r="G21" s="1"/>
  <c r="G20"/>
  <c r="D20"/>
  <c r="H20" s="1"/>
  <c r="D19"/>
  <c r="H19" s="1"/>
  <c r="H17"/>
  <c r="D17"/>
  <c r="G17" s="1"/>
  <c r="G16"/>
  <c r="D16"/>
  <c r="H16" s="1"/>
  <c r="J7"/>
  <c r="C7"/>
  <c r="J6"/>
  <c r="C6"/>
  <c r="E1"/>
  <c r="D1"/>
  <c r="C1"/>
  <c r="H56" l="1"/>
  <c r="D18" s="1"/>
  <c r="H70"/>
  <c r="D14"/>
  <c r="H74" i="76"/>
  <c r="D14"/>
  <c r="H73" i="78"/>
  <c r="D15"/>
  <c r="G14"/>
  <c r="H14"/>
  <c r="D23"/>
  <c r="I73" i="79"/>
  <c r="D15"/>
  <c r="I24" i="77"/>
  <c r="G7" s="1"/>
  <c r="H15" i="74"/>
  <c r="G15"/>
  <c r="J14" i="79"/>
  <c r="D23"/>
  <c r="H14"/>
  <c r="I14"/>
  <c r="D15" i="80"/>
  <c r="I71"/>
  <c r="G19" i="74"/>
  <c r="G21" i="75"/>
  <c r="H22"/>
  <c r="G18" i="76"/>
  <c r="G22"/>
  <c r="G16" i="78"/>
  <c r="G20"/>
  <c r="H14" i="75"/>
  <c r="H18" i="78"/>
  <c r="H22"/>
  <c r="H22" i="74"/>
  <c r="G14" i="75"/>
  <c r="G23" s="1"/>
  <c r="G6" s="1"/>
  <c r="H17"/>
  <c r="H17" i="76"/>
  <c r="H21"/>
  <c r="D23"/>
  <c r="J15" i="80" l="1"/>
  <c r="J24" s="1"/>
  <c r="G8" s="1"/>
  <c r="D24"/>
  <c r="H15"/>
  <c r="H24" s="1"/>
  <c r="G6" s="1"/>
  <c r="I15"/>
  <c r="I24" s="1"/>
  <c r="G7" s="1"/>
  <c r="J15" i="79"/>
  <c r="H15"/>
  <c r="I15"/>
  <c r="H14" i="76"/>
  <c r="H23" s="1"/>
  <c r="G7" s="1"/>
  <c r="G14"/>
  <c r="G18" i="74"/>
  <c r="H18"/>
  <c r="H23" i="78"/>
  <c r="G7" s="1"/>
  <c r="J23" i="79"/>
  <c r="G7" s="1"/>
  <c r="G15" i="78"/>
  <c r="G23" s="1"/>
  <c r="G6" s="1"/>
  <c r="H15"/>
  <c r="G14" i="74"/>
  <c r="G23" s="1"/>
  <c r="G6" s="1"/>
  <c r="H14"/>
  <c r="H23" s="1"/>
  <c r="G7" s="1"/>
  <c r="D23"/>
  <c r="H23" i="75"/>
  <c r="G7" s="1"/>
  <c r="H23" i="79"/>
  <c r="G6" s="1"/>
  <c r="G23" i="76"/>
  <c r="G6" s="1"/>
  <c r="I23" i="79"/>
  <c r="F46" i="73" l="1"/>
  <c r="K45" s="1"/>
  <c r="K41"/>
  <c r="I22"/>
  <c r="D22"/>
  <c r="H21"/>
  <c r="D21"/>
  <c r="I21" s="1"/>
  <c r="D20"/>
  <c r="H20" s="1"/>
  <c r="D19"/>
  <c r="H19" s="1"/>
  <c r="I18"/>
  <c r="D18"/>
  <c r="H18" s="1"/>
  <c r="I17"/>
  <c r="H17"/>
  <c r="D17"/>
  <c r="D16"/>
  <c r="H16" s="1"/>
  <c r="I14"/>
  <c r="D14"/>
  <c r="H14" s="1"/>
  <c r="D15" l="1"/>
  <c r="K70"/>
  <c r="D23"/>
  <c r="I19"/>
  <c r="H22"/>
  <c r="I16"/>
  <c r="I20"/>
  <c r="H15" l="1"/>
  <c r="I15"/>
  <c r="I23" s="1"/>
  <c r="H7" s="1"/>
  <c r="H23"/>
  <c r="H6" s="1"/>
  <c r="K45" i="72"/>
  <c r="K70" s="1"/>
  <c r="K41"/>
  <c r="I22"/>
  <c r="D22"/>
  <c r="H22" s="1"/>
  <c r="I21"/>
  <c r="H21"/>
  <c r="D21"/>
  <c r="D20"/>
  <c r="H20" s="1"/>
  <c r="D19"/>
  <c r="I19" s="1"/>
  <c r="I18"/>
  <c r="D18"/>
  <c r="H18" s="1"/>
  <c r="I17"/>
  <c r="H17"/>
  <c r="D17"/>
  <c r="D16"/>
  <c r="H16" s="1"/>
  <c r="D15"/>
  <c r="I15" s="1"/>
  <c r="I14"/>
  <c r="D14"/>
  <c r="H14" s="1"/>
  <c r="H15" l="1"/>
  <c r="H23" s="1"/>
  <c r="H6" s="1"/>
  <c r="I16"/>
  <c r="H19"/>
  <c r="I20"/>
  <c r="I23" s="1"/>
  <c r="H7" s="1"/>
  <c r="D23"/>
  <c r="I73" i="71"/>
  <c r="D22" s="1"/>
  <c r="I58"/>
  <c r="I48"/>
  <c r="I39"/>
  <c r="I64" s="1"/>
  <c r="D19" s="1"/>
  <c r="D36"/>
  <c r="D24"/>
  <c r="J24" s="1"/>
  <c r="D23"/>
  <c r="K23" s="1"/>
  <c r="K21"/>
  <c r="J21"/>
  <c r="I21"/>
  <c r="D21"/>
  <c r="L21" s="1"/>
  <c r="D20"/>
  <c r="J20" s="1"/>
  <c r="L18"/>
  <c r="K18"/>
  <c r="F18"/>
  <c r="E18"/>
  <c r="D18"/>
  <c r="J18" s="1"/>
  <c r="E17"/>
  <c r="E19" s="1"/>
  <c r="D17"/>
  <c r="I17" s="1"/>
  <c r="F16"/>
  <c r="F17" s="1"/>
  <c r="F19" s="1"/>
  <c r="F9"/>
  <c r="E9"/>
  <c r="B9"/>
  <c r="C8"/>
  <c r="C9" s="1"/>
  <c r="F7"/>
  <c r="E7"/>
  <c r="B7"/>
  <c r="C6"/>
  <c r="C7" s="1"/>
  <c r="L22" l="1"/>
  <c r="I22"/>
  <c r="J22"/>
  <c r="K22"/>
  <c r="K19"/>
  <c r="L19"/>
  <c r="I19"/>
  <c r="J19"/>
  <c r="D16"/>
  <c r="L17"/>
  <c r="I18"/>
  <c r="I20"/>
  <c r="J23"/>
  <c r="I24"/>
  <c r="I90"/>
  <c r="K17"/>
  <c r="L20"/>
  <c r="I23"/>
  <c r="L24"/>
  <c r="I87"/>
  <c r="J17"/>
  <c r="K20"/>
  <c r="L23"/>
  <c r="K24"/>
  <c r="L16" l="1"/>
  <c r="L25" s="1"/>
  <c r="G9" s="1"/>
  <c r="I16"/>
  <c r="I25" s="1"/>
  <c r="G6" s="1"/>
  <c r="J16"/>
  <c r="J25" s="1"/>
  <c r="G7" s="1"/>
  <c r="D25"/>
  <c r="K16"/>
  <c r="K25" s="1"/>
  <c r="G8" s="1"/>
  <c r="H52" i="70" l="1"/>
  <c r="H51"/>
  <c r="H50"/>
  <c r="H49"/>
  <c r="H48"/>
  <c r="H47"/>
  <c r="H46"/>
  <c r="H45"/>
  <c r="H44"/>
  <c r="H43"/>
  <c r="H42"/>
  <c r="H41"/>
  <c r="H40"/>
  <c r="H39"/>
  <c r="H38"/>
  <c r="H37"/>
  <c r="H36"/>
  <c r="H35"/>
  <c r="H34"/>
  <c r="H33"/>
  <c r="H32"/>
  <c r="H31"/>
  <c r="B27"/>
  <c r="C27" s="1"/>
  <c r="B26"/>
  <c r="C26" s="1"/>
  <c r="B25"/>
  <c r="C25" s="1"/>
  <c r="B24"/>
  <c r="C24" s="1"/>
  <c r="B23"/>
  <c r="C23" s="1"/>
  <c r="B22"/>
  <c r="C22" s="1"/>
  <c r="B21"/>
  <c r="C21" s="1"/>
  <c r="B20"/>
  <c r="C20" s="1"/>
  <c r="B19"/>
  <c r="C19" s="1"/>
  <c r="B18"/>
  <c r="C18" s="1"/>
  <c r="H49" i="69"/>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H47" i="68"/>
  <c r="H46"/>
  <c r="H45"/>
  <c r="H44"/>
  <c r="H43"/>
  <c r="H42"/>
  <c r="H41"/>
  <c r="H40"/>
  <c r="H39"/>
  <c r="H38"/>
  <c r="H37"/>
  <c r="H36"/>
  <c r="H35"/>
  <c r="H34"/>
  <c r="H33"/>
  <c r="H32"/>
  <c r="H31"/>
  <c r="B26"/>
  <c r="C26" s="1"/>
  <c r="B25"/>
  <c r="C25" s="1"/>
  <c r="B24"/>
  <c r="C24" s="1"/>
  <c r="B23"/>
  <c r="C23" s="1"/>
  <c r="B22"/>
  <c r="C22" s="1"/>
  <c r="B21"/>
  <c r="C21" s="1"/>
  <c r="B20"/>
  <c r="C20" s="1"/>
  <c r="B19"/>
  <c r="C19" s="1"/>
  <c r="B18"/>
  <c r="B27" s="1"/>
  <c r="C27" s="1"/>
  <c r="H51" i="67"/>
  <c r="H50"/>
  <c r="H49"/>
  <c r="H48"/>
  <c r="H47"/>
  <c r="H46"/>
  <c r="H45"/>
  <c r="H44"/>
  <c r="H43"/>
  <c r="H42"/>
  <c r="H41"/>
  <c r="H40"/>
  <c r="H39"/>
  <c r="H38"/>
  <c r="H37"/>
  <c r="H36"/>
  <c r="H35"/>
  <c r="H34"/>
  <c r="H33"/>
  <c r="H32"/>
  <c r="H31"/>
  <c r="B27" s="1"/>
  <c r="C27" s="1"/>
  <c r="B26"/>
  <c r="C26" s="1"/>
  <c r="B25"/>
  <c r="C25" s="1"/>
  <c r="B24"/>
  <c r="C24" s="1"/>
  <c r="B23"/>
  <c r="C23" s="1"/>
  <c r="B22"/>
  <c r="C22" s="1"/>
  <c r="B21"/>
  <c r="C21" s="1"/>
  <c r="B20"/>
  <c r="C20" s="1"/>
  <c r="B19"/>
  <c r="C19" s="1"/>
  <c r="B18"/>
  <c r="C18" s="1"/>
  <c r="H48" i="66"/>
  <c r="H47"/>
  <c r="H46"/>
  <c r="H45"/>
  <c r="H44"/>
  <c r="H43"/>
  <c r="H42"/>
  <c r="H41"/>
  <c r="H40"/>
  <c r="H39"/>
  <c r="H38"/>
  <c r="H37"/>
  <c r="H36"/>
  <c r="H35"/>
  <c r="H34"/>
  <c r="H33"/>
  <c r="H32"/>
  <c r="H31"/>
  <c r="B26"/>
  <c r="C26" s="1"/>
  <c r="B25"/>
  <c r="C25" s="1"/>
  <c r="B24"/>
  <c r="C24" s="1"/>
  <c r="B23"/>
  <c r="C23" s="1"/>
  <c r="B22"/>
  <c r="C22" s="1"/>
  <c r="B21"/>
  <c r="C21" s="1"/>
  <c r="B20"/>
  <c r="C20" s="1"/>
  <c r="B19"/>
  <c r="C19" s="1"/>
  <c r="B18"/>
  <c r="C18" s="1"/>
  <c r="H46" i="65"/>
  <c r="H45"/>
  <c r="H44"/>
  <c r="H43"/>
  <c r="H42"/>
  <c r="H41"/>
  <c r="H40"/>
  <c r="H39"/>
  <c r="H38"/>
  <c r="H37"/>
  <c r="H36"/>
  <c r="H35"/>
  <c r="H34"/>
  <c r="H33"/>
  <c r="H32"/>
  <c r="H31"/>
  <c r="B26"/>
  <c r="C26" s="1"/>
  <c r="B25"/>
  <c r="C25" s="1"/>
  <c r="B24"/>
  <c r="C24" s="1"/>
  <c r="B23"/>
  <c r="C23" s="1"/>
  <c r="B22"/>
  <c r="C22" s="1"/>
  <c r="B21"/>
  <c r="C21" s="1"/>
  <c r="B20"/>
  <c r="C20" s="1"/>
  <c r="B19"/>
  <c r="C19" s="1"/>
  <c r="B18"/>
  <c r="C18" s="1"/>
  <c r="C18" i="68" l="1"/>
  <c r="B27" i="65"/>
  <c r="C27" s="1"/>
  <c r="B27" i="66"/>
  <c r="C27" s="1"/>
  <c r="B27" i="69"/>
  <c r="C27" s="1"/>
  <c r="H90" i="64"/>
  <c r="G90"/>
  <c r="H84"/>
  <c r="G84"/>
  <c r="H76"/>
  <c r="G75"/>
  <c r="G76" s="1"/>
  <c r="D17" s="1"/>
  <c r="H70"/>
  <c r="G69"/>
  <c r="G70" s="1"/>
  <c r="D16" s="1"/>
  <c r="H64"/>
  <c r="H58"/>
  <c r="G57"/>
  <c r="G58" s="1"/>
  <c r="D14" s="1"/>
  <c r="H51"/>
  <c r="G50"/>
  <c r="G51" s="1"/>
  <c r="H45"/>
  <c r="G45"/>
  <c r="H39"/>
  <c r="H94" s="1"/>
  <c r="H95" s="1"/>
  <c r="G38"/>
  <c r="G39" s="1"/>
  <c r="D19"/>
  <c r="F19" s="1"/>
  <c r="D18"/>
  <c r="H18" s="1"/>
  <c r="D12"/>
  <c r="F12" s="1"/>
  <c r="G8"/>
  <c r="C8"/>
  <c r="A8"/>
  <c r="G7"/>
  <c r="E7"/>
  <c r="C7"/>
  <c r="A7"/>
  <c r="D11" l="1"/>
  <c r="F63"/>
  <c r="G63" s="1"/>
  <c r="G64" s="1"/>
  <c r="D15" s="1"/>
  <c r="D13"/>
  <c r="F17"/>
  <c r="H17"/>
  <c r="H14"/>
  <c r="F14"/>
  <c r="F16"/>
  <c r="H16"/>
  <c r="F18"/>
  <c r="H19"/>
  <c r="H12"/>
  <c r="F13" l="1"/>
  <c r="H13"/>
  <c r="D94"/>
  <c r="D96" s="1"/>
  <c r="F15"/>
  <c r="H15"/>
  <c r="D20"/>
  <c r="F11"/>
  <c r="F20" s="1"/>
  <c r="H7" s="1"/>
  <c r="H11"/>
  <c r="H20" s="1"/>
  <c r="H8" s="1"/>
  <c r="I83" i="63"/>
  <c r="E61"/>
  <c r="G61" s="1"/>
  <c r="E60"/>
  <c r="G60" s="1"/>
  <c r="E59"/>
  <c r="G59" s="1"/>
  <c r="E58"/>
  <c r="G58" s="1"/>
  <c r="E57"/>
  <c r="G57" s="1"/>
  <c r="I54" s="1"/>
  <c r="D17" s="1"/>
  <c r="B57"/>
  <c r="G56"/>
  <c r="E70" s="1"/>
  <c r="I68" s="1"/>
  <c r="D18" s="1"/>
  <c r="E56"/>
  <c r="G48"/>
  <c r="E48"/>
  <c r="B48"/>
  <c r="E47"/>
  <c r="G47" s="1"/>
  <c r="B47"/>
  <c r="E46"/>
  <c r="G46" s="1"/>
  <c r="E45"/>
  <c r="G45" s="1"/>
  <c r="E44"/>
  <c r="G44" s="1"/>
  <c r="E43"/>
  <c r="G43" s="1"/>
  <c r="I40" s="1"/>
  <c r="G42"/>
  <c r="D24"/>
  <c r="J24" s="1"/>
  <c r="D23"/>
  <c r="K23" s="1"/>
  <c r="D22"/>
  <c r="L22" s="1"/>
  <c r="D21"/>
  <c r="I21" s="1"/>
  <c r="D20"/>
  <c r="J20" s="1"/>
  <c r="H16"/>
  <c r="H17" s="1"/>
  <c r="H18" s="1"/>
  <c r="H19" s="1"/>
  <c r="G16"/>
  <c r="G17" s="1"/>
  <c r="G18" s="1"/>
  <c r="G19" s="1"/>
  <c r="F16"/>
  <c r="F17" s="1"/>
  <c r="F18" s="1"/>
  <c r="F19" s="1"/>
  <c r="E16"/>
  <c r="E17" s="1"/>
  <c r="E18" s="1"/>
  <c r="E19" s="1"/>
  <c r="F9"/>
  <c r="E9"/>
  <c r="B9"/>
  <c r="C8"/>
  <c r="C9" s="1"/>
  <c r="F7"/>
  <c r="E7"/>
  <c r="C7"/>
  <c r="B7"/>
  <c r="C6"/>
  <c r="I83" i="62"/>
  <c r="I77"/>
  <c r="E61"/>
  <c r="G61" s="1"/>
  <c r="E60"/>
  <c r="G60" s="1"/>
  <c r="E59"/>
  <c r="G59" s="1"/>
  <c r="E58"/>
  <c r="G58" s="1"/>
  <c r="B58"/>
  <c r="G57"/>
  <c r="E57"/>
  <c r="E56"/>
  <c r="G56" s="1"/>
  <c r="E48"/>
  <c r="G48" s="1"/>
  <c r="B48"/>
  <c r="G47"/>
  <c r="E47"/>
  <c r="B47"/>
  <c r="G46"/>
  <c r="E46"/>
  <c r="E45"/>
  <c r="G45" s="1"/>
  <c r="G44"/>
  <c r="E44"/>
  <c r="E43"/>
  <c r="G43" s="1"/>
  <c r="G42"/>
  <c r="K24"/>
  <c r="J24"/>
  <c r="D24"/>
  <c r="L24" s="1"/>
  <c r="D23"/>
  <c r="L23" s="1"/>
  <c r="D22"/>
  <c r="I22" s="1"/>
  <c r="J21"/>
  <c r="I21"/>
  <c r="D21"/>
  <c r="K21" s="1"/>
  <c r="K20"/>
  <c r="J20"/>
  <c r="D20"/>
  <c r="L20" s="1"/>
  <c r="H16"/>
  <c r="H17" s="1"/>
  <c r="H18" s="1"/>
  <c r="H19" s="1"/>
  <c r="G16"/>
  <c r="G17" s="1"/>
  <c r="G18" s="1"/>
  <c r="G19" s="1"/>
  <c r="F16"/>
  <c r="F17" s="1"/>
  <c r="F18" s="1"/>
  <c r="F19" s="1"/>
  <c r="E16"/>
  <c r="E17" s="1"/>
  <c r="E18" s="1"/>
  <c r="E19" s="1"/>
  <c r="F9"/>
  <c r="E9"/>
  <c r="B9"/>
  <c r="C8"/>
  <c r="C9" s="1"/>
  <c r="F7"/>
  <c r="E7"/>
  <c r="B7"/>
  <c r="C6"/>
  <c r="C7" s="1"/>
  <c r="I85" i="61"/>
  <c r="I79"/>
  <c r="G63"/>
  <c r="E63"/>
  <c r="E62"/>
  <c r="G62" s="1"/>
  <c r="G61"/>
  <c r="E61"/>
  <c r="E60"/>
  <c r="G60" s="1"/>
  <c r="B60"/>
  <c r="G59"/>
  <c r="E59"/>
  <c r="E58"/>
  <c r="G58" s="1"/>
  <c r="E50"/>
  <c r="G50" s="1"/>
  <c r="B50"/>
  <c r="G49"/>
  <c r="E49"/>
  <c r="B49"/>
  <c r="G48"/>
  <c r="E48"/>
  <c r="B48"/>
  <c r="E47"/>
  <c r="G47" s="1"/>
  <c r="B47"/>
  <c r="E46"/>
  <c r="G46" s="1"/>
  <c r="G45"/>
  <c r="E45"/>
  <c r="E44"/>
  <c r="G44" s="1"/>
  <c r="G43"/>
  <c r="E43"/>
  <c r="G42"/>
  <c r="J24"/>
  <c r="I24"/>
  <c r="D24"/>
  <c r="K24" s="1"/>
  <c r="K23"/>
  <c r="J23"/>
  <c r="D23"/>
  <c r="L23" s="1"/>
  <c r="K22"/>
  <c r="D22"/>
  <c r="L22" s="1"/>
  <c r="D21"/>
  <c r="I21" s="1"/>
  <c r="J20"/>
  <c r="I20"/>
  <c r="D20"/>
  <c r="K20" s="1"/>
  <c r="H16"/>
  <c r="H17" s="1"/>
  <c r="H18" s="1"/>
  <c r="H19" s="1"/>
  <c r="G16"/>
  <c r="G17" s="1"/>
  <c r="G18" s="1"/>
  <c r="G19" s="1"/>
  <c r="F16"/>
  <c r="F17" s="1"/>
  <c r="F18" s="1"/>
  <c r="F19" s="1"/>
  <c r="E16"/>
  <c r="E17" s="1"/>
  <c r="E18" s="1"/>
  <c r="E19" s="1"/>
  <c r="F9"/>
  <c r="E9"/>
  <c r="B9"/>
  <c r="C8"/>
  <c r="C9" s="1"/>
  <c r="F7"/>
  <c r="E7"/>
  <c r="B7"/>
  <c r="C6"/>
  <c r="C7" s="1"/>
  <c r="I84" i="60"/>
  <c r="I78"/>
  <c r="E62"/>
  <c r="G62" s="1"/>
  <c r="E61"/>
  <c r="G61" s="1"/>
  <c r="E60"/>
  <c r="G60" s="1"/>
  <c r="E59"/>
  <c r="G59" s="1"/>
  <c r="B59"/>
  <c r="G58"/>
  <c r="E58"/>
  <c r="E57"/>
  <c r="G57" s="1"/>
  <c r="E49"/>
  <c r="G49" s="1"/>
  <c r="B49"/>
  <c r="G48"/>
  <c r="E48"/>
  <c r="E47"/>
  <c r="G47" s="1"/>
  <c r="G46"/>
  <c r="E46"/>
  <c r="E45"/>
  <c r="G45" s="1"/>
  <c r="G44"/>
  <c r="E44"/>
  <c r="E43"/>
  <c r="G43" s="1"/>
  <c r="G42"/>
  <c r="I40" s="1"/>
  <c r="D24"/>
  <c r="L24" s="1"/>
  <c r="I23"/>
  <c r="D23"/>
  <c r="J23" s="1"/>
  <c r="J22"/>
  <c r="I22"/>
  <c r="D22"/>
  <c r="K22" s="1"/>
  <c r="K21"/>
  <c r="J21"/>
  <c r="D21"/>
  <c r="L21" s="1"/>
  <c r="D20"/>
  <c r="L20" s="1"/>
  <c r="H16"/>
  <c r="H17" s="1"/>
  <c r="H18" s="1"/>
  <c r="H19" s="1"/>
  <c r="G16"/>
  <c r="G17" s="1"/>
  <c r="G18" s="1"/>
  <c r="G19" s="1"/>
  <c r="F16"/>
  <c r="F17" s="1"/>
  <c r="F18" s="1"/>
  <c r="F19" s="1"/>
  <c r="E16"/>
  <c r="E17" s="1"/>
  <c r="E18" s="1"/>
  <c r="E19" s="1"/>
  <c r="F9"/>
  <c r="E9"/>
  <c r="C9"/>
  <c r="B9"/>
  <c r="C8"/>
  <c r="F7"/>
  <c r="E7"/>
  <c r="C7"/>
  <c r="B7"/>
  <c r="C6"/>
  <c r="I85" i="59"/>
  <c r="I79"/>
  <c r="E63"/>
  <c r="G63" s="1"/>
  <c r="E62"/>
  <c r="G62" s="1"/>
  <c r="E61"/>
  <c r="G61" s="1"/>
  <c r="E60"/>
  <c r="G60" s="1"/>
  <c r="B60"/>
  <c r="E59"/>
  <c r="G59" s="1"/>
  <c r="G58"/>
  <c r="E58"/>
  <c r="E57"/>
  <c r="G57" s="1"/>
  <c r="B57"/>
  <c r="E49"/>
  <c r="G49" s="1"/>
  <c r="G48"/>
  <c r="E48"/>
  <c r="E47"/>
  <c r="G47" s="1"/>
  <c r="G46"/>
  <c r="E46"/>
  <c r="E45"/>
  <c r="G45" s="1"/>
  <c r="G44"/>
  <c r="E44"/>
  <c r="E43"/>
  <c r="G43" s="1"/>
  <c r="G42"/>
  <c r="I40" s="1"/>
  <c r="D24"/>
  <c r="L24" s="1"/>
  <c r="D23"/>
  <c r="I23" s="1"/>
  <c r="J22"/>
  <c r="I22"/>
  <c r="D22"/>
  <c r="K22" s="1"/>
  <c r="K21"/>
  <c r="J21"/>
  <c r="D21"/>
  <c r="L21" s="1"/>
  <c r="D20"/>
  <c r="L20" s="1"/>
  <c r="H16"/>
  <c r="H17" s="1"/>
  <c r="H18" s="1"/>
  <c r="H19" s="1"/>
  <c r="G16"/>
  <c r="G17" s="1"/>
  <c r="G18" s="1"/>
  <c r="G19" s="1"/>
  <c r="F16"/>
  <c r="F17" s="1"/>
  <c r="F18" s="1"/>
  <c r="F19" s="1"/>
  <c r="E16"/>
  <c r="E17" s="1"/>
  <c r="E18" s="1"/>
  <c r="E19" s="1"/>
  <c r="F9"/>
  <c r="E9"/>
  <c r="B9"/>
  <c r="C8"/>
  <c r="C9" s="1"/>
  <c r="F7"/>
  <c r="E7"/>
  <c r="C7"/>
  <c r="B7"/>
  <c r="C6"/>
  <c r="I83" i="58"/>
  <c r="I77"/>
  <c r="E61"/>
  <c r="G61" s="1"/>
  <c r="E60"/>
  <c r="G60" s="1"/>
  <c r="E59"/>
  <c r="G59" s="1"/>
  <c r="E58"/>
  <c r="G58" s="1"/>
  <c r="B58"/>
  <c r="E57"/>
  <c r="G57" s="1"/>
  <c r="E56"/>
  <c r="G56" s="1"/>
  <c r="E48"/>
  <c r="G48" s="1"/>
  <c r="B48"/>
  <c r="E47"/>
  <c r="G47" s="1"/>
  <c r="B47"/>
  <c r="G46"/>
  <c r="E46"/>
  <c r="E45"/>
  <c r="G45" s="1"/>
  <c r="G44"/>
  <c r="E44"/>
  <c r="E43"/>
  <c r="G43" s="1"/>
  <c r="G42"/>
  <c r="D24"/>
  <c r="I24" s="1"/>
  <c r="D23"/>
  <c r="J23" s="1"/>
  <c r="I22"/>
  <c r="D22"/>
  <c r="K22" s="1"/>
  <c r="J21"/>
  <c r="D21"/>
  <c r="L21" s="1"/>
  <c r="K20"/>
  <c r="D20"/>
  <c r="I20" s="1"/>
  <c r="H16"/>
  <c r="H17" s="1"/>
  <c r="H18" s="1"/>
  <c r="H19" s="1"/>
  <c r="G16"/>
  <c r="G17" s="1"/>
  <c r="G18" s="1"/>
  <c r="G19" s="1"/>
  <c r="F16"/>
  <c r="F17" s="1"/>
  <c r="F18" s="1"/>
  <c r="F19" s="1"/>
  <c r="E16"/>
  <c r="E17" s="1"/>
  <c r="E18" s="1"/>
  <c r="E19" s="1"/>
  <c r="F9"/>
  <c r="E9"/>
  <c r="B9"/>
  <c r="C8"/>
  <c r="C9" s="1"/>
  <c r="F7"/>
  <c r="E7"/>
  <c r="C7"/>
  <c r="B7"/>
  <c r="C6"/>
  <c r="I74" i="63" l="1"/>
  <c r="D19" s="1"/>
  <c r="D16"/>
  <c r="I96"/>
  <c r="I17"/>
  <c r="J17"/>
  <c r="K17"/>
  <c r="L17"/>
  <c r="I40" i="58"/>
  <c r="I40" i="61"/>
  <c r="E70" i="58"/>
  <c r="I68" s="1"/>
  <c r="D18" s="1"/>
  <c r="I54"/>
  <c r="D17" s="1"/>
  <c r="D16" i="59"/>
  <c r="E72"/>
  <c r="I70" s="1"/>
  <c r="D18" s="1"/>
  <c r="I55"/>
  <c r="D17" s="1"/>
  <c r="D16" i="60"/>
  <c r="E71"/>
  <c r="I69" s="1"/>
  <c r="D18" s="1"/>
  <c r="I55"/>
  <c r="D17" s="1"/>
  <c r="E72" i="61"/>
  <c r="I70" s="1"/>
  <c r="D18" s="1"/>
  <c r="I56"/>
  <c r="D17" s="1"/>
  <c r="E70" i="62"/>
  <c r="I68" s="1"/>
  <c r="D18" s="1"/>
  <c r="I54"/>
  <c r="D17" s="1"/>
  <c r="I40"/>
  <c r="L18" i="63"/>
  <c r="I18"/>
  <c r="J18"/>
  <c r="K18"/>
  <c r="L20" i="58"/>
  <c r="K21"/>
  <c r="J22"/>
  <c r="I23"/>
  <c r="L24"/>
  <c r="K20" i="59"/>
  <c r="L23"/>
  <c r="K24"/>
  <c r="K20" i="60"/>
  <c r="L23"/>
  <c r="K24"/>
  <c r="L21" i="61"/>
  <c r="L22" i="62"/>
  <c r="K23"/>
  <c r="I20" i="63"/>
  <c r="L21"/>
  <c r="K22"/>
  <c r="J23"/>
  <c r="I24"/>
  <c r="L23" i="58"/>
  <c r="K24"/>
  <c r="J20" i="59"/>
  <c r="I21"/>
  <c r="L22"/>
  <c r="K23"/>
  <c r="J24"/>
  <c r="J20" i="60"/>
  <c r="I21"/>
  <c r="L22"/>
  <c r="K23"/>
  <c r="J24"/>
  <c r="L20" i="61"/>
  <c r="K21"/>
  <c r="J22"/>
  <c r="I23"/>
  <c r="L24"/>
  <c r="I20" i="62"/>
  <c r="L21"/>
  <c r="K22"/>
  <c r="J23"/>
  <c r="I24"/>
  <c r="L20" i="63"/>
  <c r="K21"/>
  <c r="J22"/>
  <c r="I23"/>
  <c r="L24"/>
  <c r="J20" i="58"/>
  <c r="I21"/>
  <c r="L22"/>
  <c r="K23"/>
  <c r="J24"/>
  <c r="I20" i="59"/>
  <c r="J23"/>
  <c r="I24"/>
  <c r="I20" i="60"/>
  <c r="I24"/>
  <c r="J21" i="61"/>
  <c r="I22"/>
  <c r="J22" i="62"/>
  <c r="I23"/>
  <c r="K20" i="63"/>
  <c r="J21"/>
  <c r="I22"/>
  <c r="L23"/>
  <c r="K24"/>
  <c r="D16" i="62" l="1"/>
  <c r="I96"/>
  <c r="I74"/>
  <c r="D19" s="1"/>
  <c r="L18" i="61"/>
  <c r="I18"/>
  <c r="J18"/>
  <c r="K18"/>
  <c r="J18" i="59"/>
  <c r="K18"/>
  <c r="L18"/>
  <c r="I18"/>
  <c r="I74" i="58"/>
  <c r="D19" s="1"/>
  <c r="D16"/>
  <c r="K19" i="63"/>
  <c r="L19"/>
  <c r="I19"/>
  <c r="J19"/>
  <c r="I17" i="61"/>
  <c r="J17"/>
  <c r="K17"/>
  <c r="L17"/>
  <c r="K17" i="59"/>
  <c r="L17"/>
  <c r="I17"/>
  <c r="J17"/>
  <c r="L16"/>
  <c r="I16"/>
  <c r="J16"/>
  <c r="K16"/>
  <c r="I95" i="61"/>
  <c r="I76"/>
  <c r="D19" s="1"/>
  <c r="D16"/>
  <c r="I75" i="60"/>
  <c r="D19" s="1"/>
  <c r="I93" i="63"/>
  <c r="I18" i="62"/>
  <c r="J18"/>
  <c r="K18"/>
  <c r="L18"/>
  <c r="J18" i="60"/>
  <c r="K18"/>
  <c r="L18"/>
  <c r="I18"/>
  <c r="L16"/>
  <c r="D25"/>
  <c r="I16"/>
  <c r="J16"/>
  <c r="K16"/>
  <c r="K18" i="58"/>
  <c r="L18"/>
  <c r="I18"/>
  <c r="J18"/>
  <c r="J16" i="63"/>
  <c r="K16"/>
  <c r="L16"/>
  <c r="D25"/>
  <c r="I16"/>
  <c r="I25" s="1"/>
  <c r="G6" s="1"/>
  <c r="I98" i="59"/>
  <c r="J17" i="62"/>
  <c r="K17"/>
  <c r="L17"/>
  <c r="I17"/>
  <c r="K17" i="60"/>
  <c r="L17"/>
  <c r="I17"/>
  <c r="J17"/>
  <c r="L17" i="58"/>
  <c r="I17"/>
  <c r="J17"/>
  <c r="K17"/>
  <c r="I94" i="60"/>
  <c r="I76" i="59"/>
  <c r="D19" s="1"/>
  <c r="K25" i="63" l="1"/>
  <c r="G8" s="1"/>
  <c r="L25"/>
  <c r="G9" s="1"/>
  <c r="J25"/>
  <c r="G7" s="1"/>
  <c r="K16" i="62"/>
  <c r="L16"/>
  <c r="D25"/>
  <c r="I16"/>
  <c r="J16"/>
  <c r="I98" i="61"/>
  <c r="I97" i="60"/>
  <c r="I93" i="58"/>
  <c r="I19" i="59"/>
  <c r="I25" s="1"/>
  <c r="G6" s="1"/>
  <c r="J19"/>
  <c r="J25" s="1"/>
  <c r="G7" s="1"/>
  <c r="K19"/>
  <c r="K25" s="1"/>
  <c r="G8" s="1"/>
  <c r="L19"/>
  <c r="L25" s="1"/>
  <c r="G9" s="1"/>
  <c r="K19" i="61"/>
  <c r="L19"/>
  <c r="I19"/>
  <c r="J19"/>
  <c r="I95" i="59"/>
  <c r="I96" i="58"/>
  <c r="I93" i="62"/>
  <c r="J16" i="61"/>
  <c r="J25" s="1"/>
  <c r="G7" s="1"/>
  <c r="K16"/>
  <c r="L16"/>
  <c r="L25" s="1"/>
  <c r="G9" s="1"/>
  <c r="D25"/>
  <c r="I16"/>
  <c r="J19" i="58"/>
  <c r="K19"/>
  <c r="L19"/>
  <c r="I19"/>
  <c r="I19" i="60"/>
  <c r="I25" s="1"/>
  <c r="G6" s="1"/>
  <c r="J19"/>
  <c r="J25" s="1"/>
  <c r="G7" s="1"/>
  <c r="K19"/>
  <c r="K25" s="1"/>
  <c r="G8" s="1"/>
  <c r="L19"/>
  <c r="L25" s="1"/>
  <c r="G9" s="1"/>
  <c r="D25" i="58"/>
  <c r="I16"/>
  <c r="J16"/>
  <c r="K16"/>
  <c r="L16"/>
  <c r="L19" i="62"/>
  <c r="I19"/>
  <c r="J19"/>
  <c r="K19"/>
  <c r="D25" i="59"/>
  <c r="L25" i="58" l="1"/>
  <c r="G9" s="1"/>
  <c r="I25"/>
  <c r="G6" s="1"/>
  <c r="K25"/>
  <c r="G8" s="1"/>
  <c r="J25"/>
  <c r="G7" s="1"/>
  <c r="I25" i="61"/>
  <c r="G6" s="1"/>
  <c r="J25" i="62"/>
  <c r="G7" s="1"/>
  <c r="K25"/>
  <c r="G8" s="1"/>
  <c r="K25" i="61"/>
  <c r="G8" s="1"/>
  <c r="L25" i="62"/>
  <c r="G9" s="1"/>
  <c r="I25"/>
  <c r="G6" s="1"/>
  <c r="H49" i="57" l="1"/>
  <c r="H48"/>
  <c r="H47"/>
  <c r="H46"/>
  <c r="H45"/>
  <c r="H44"/>
  <c r="H43"/>
  <c r="H42"/>
  <c r="H41"/>
  <c r="H40"/>
  <c r="H39"/>
  <c r="H38"/>
  <c r="H37"/>
  <c r="H36"/>
  <c r="H35"/>
  <c r="H34"/>
  <c r="H33"/>
  <c r="H32"/>
  <c r="H31"/>
  <c r="B26"/>
  <c r="C26" s="1"/>
  <c r="C25"/>
  <c r="B25"/>
  <c r="B24"/>
  <c r="C24" s="1"/>
  <c r="C23"/>
  <c r="B23"/>
  <c r="B22"/>
  <c r="C22" s="1"/>
  <c r="C21"/>
  <c r="B21"/>
  <c r="B20"/>
  <c r="C20" s="1"/>
  <c r="C19"/>
  <c r="B19"/>
  <c r="B18"/>
  <c r="C18" s="1"/>
  <c r="H49" i="56"/>
  <c r="H48"/>
  <c r="H47"/>
  <c r="H46"/>
  <c r="H45"/>
  <c r="H44"/>
  <c r="H43"/>
  <c r="H42"/>
  <c r="H41"/>
  <c r="H40"/>
  <c r="H39"/>
  <c r="H38"/>
  <c r="H37"/>
  <c r="H36"/>
  <c r="H35"/>
  <c r="H34"/>
  <c r="H33"/>
  <c r="H32"/>
  <c r="H31"/>
  <c r="B26"/>
  <c r="C26" s="1"/>
  <c r="B25"/>
  <c r="C25" s="1"/>
  <c r="B24"/>
  <c r="C24" s="1"/>
  <c r="B23"/>
  <c r="C23" s="1"/>
  <c r="B22"/>
  <c r="C22" s="1"/>
  <c r="B21"/>
  <c r="C21" s="1"/>
  <c r="B20"/>
  <c r="C20" s="1"/>
  <c r="B19"/>
  <c r="C19" s="1"/>
  <c r="B18"/>
  <c r="B27" s="1"/>
  <c r="C27" s="1"/>
  <c r="H49" i="55"/>
  <c r="H48"/>
  <c r="H47"/>
  <c r="H46"/>
  <c r="H45"/>
  <c r="H44"/>
  <c r="H43"/>
  <c r="H42"/>
  <c r="H41"/>
  <c r="H40"/>
  <c r="H39"/>
  <c r="H38"/>
  <c r="H37"/>
  <c r="H36"/>
  <c r="H35"/>
  <c r="H34"/>
  <c r="H33"/>
  <c r="H32"/>
  <c r="H31"/>
  <c r="B26"/>
  <c r="C26" s="1"/>
  <c r="B25"/>
  <c r="C25" s="1"/>
  <c r="B24"/>
  <c r="C24" s="1"/>
  <c r="B23"/>
  <c r="C23" s="1"/>
  <c r="B22"/>
  <c r="C22" s="1"/>
  <c r="B21"/>
  <c r="C21" s="1"/>
  <c r="B20"/>
  <c r="C20" s="1"/>
  <c r="B19"/>
  <c r="C19" s="1"/>
  <c r="B18"/>
  <c r="C18" s="1"/>
  <c r="C18" i="56" l="1"/>
  <c r="B27" i="57"/>
  <c r="C27" s="1"/>
  <c r="B27" i="55"/>
  <c r="C27" s="1"/>
  <c r="H49" i="54" l="1"/>
  <c r="I46"/>
  <c r="I66" s="1"/>
  <c r="H22"/>
  <c r="G22"/>
  <c r="H21"/>
  <c r="G21"/>
  <c r="H20"/>
  <c r="G20"/>
  <c r="D19"/>
  <c r="G19" s="1"/>
  <c r="H18"/>
  <c r="G18"/>
  <c r="G17"/>
  <c r="D17"/>
  <c r="H17" s="1"/>
  <c r="D16"/>
  <c r="D23" s="1"/>
  <c r="H15"/>
  <c r="G15"/>
  <c r="H14"/>
  <c r="G14"/>
  <c r="H11"/>
  <c r="G11"/>
  <c r="C6"/>
  <c r="H49" i="53"/>
  <c r="I46" s="1"/>
  <c r="D16" s="1"/>
  <c r="H22"/>
  <c r="G22"/>
  <c r="H21"/>
  <c r="G21"/>
  <c r="H20"/>
  <c r="G20"/>
  <c r="D19"/>
  <c r="G19" s="1"/>
  <c r="H18"/>
  <c r="G18"/>
  <c r="H17"/>
  <c r="G17"/>
  <c r="H15"/>
  <c r="G15"/>
  <c r="H14"/>
  <c r="G14"/>
  <c r="H11"/>
  <c r="G11"/>
  <c r="C6"/>
  <c r="F56" i="52"/>
  <c r="I47"/>
  <c r="I97" s="1"/>
  <c r="H22"/>
  <c r="G22"/>
  <c r="H21"/>
  <c r="G21"/>
  <c r="H20"/>
  <c r="G20"/>
  <c r="D19"/>
  <c r="G19" s="1"/>
  <c r="H18"/>
  <c r="G18"/>
  <c r="H17"/>
  <c r="G17"/>
  <c r="D16"/>
  <c r="H16" s="1"/>
  <c r="H15"/>
  <c r="G15"/>
  <c r="H14"/>
  <c r="G14"/>
  <c r="H11"/>
  <c r="G11"/>
  <c r="C6"/>
  <c r="F74" i="51"/>
  <c r="H74" s="1"/>
  <c r="H73"/>
  <c r="G71"/>
  <c r="G74" s="1"/>
  <c r="G69"/>
  <c r="F64"/>
  <c r="H64" s="1"/>
  <c r="F63"/>
  <c r="H63" s="1"/>
  <c r="F62"/>
  <c r="H62" s="1"/>
  <c r="F60"/>
  <c r="H60" s="1"/>
  <c r="F59"/>
  <c r="H59" s="1"/>
  <c r="F56"/>
  <c r="F61" s="1"/>
  <c r="H61" s="1"/>
  <c r="H22"/>
  <c r="G22"/>
  <c r="H21"/>
  <c r="G21"/>
  <c r="H20"/>
  <c r="G20"/>
  <c r="D19"/>
  <c r="H19" s="1"/>
  <c r="H18"/>
  <c r="G18"/>
  <c r="H17"/>
  <c r="G17"/>
  <c r="H15"/>
  <c r="G15"/>
  <c r="H14"/>
  <c r="G14"/>
  <c r="H11"/>
  <c r="G11"/>
  <c r="C6"/>
  <c r="G19" l="1"/>
  <c r="I47"/>
  <c r="I97" s="1"/>
  <c r="G23" i="53"/>
  <c r="G6" s="1"/>
  <c r="D23"/>
  <c r="G16"/>
  <c r="H16"/>
  <c r="H19"/>
  <c r="I66"/>
  <c r="H16" i="54"/>
  <c r="H19"/>
  <c r="H23" s="1"/>
  <c r="G7" s="1"/>
  <c r="G16"/>
  <c r="G23" s="1"/>
  <c r="G6" s="1"/>
  <c r="D16" i="51"/>
  <c r="G16" i="52"/>
  <c r="G23" s="1"/>
  <c r="G6" s="1"/>
  <c r="H19"/>
  <c r="H23" s="1"/>
  <c r="G7" s="1"/>
  <c r="D23"/>
  <c r="H23" i="53" l="1"/>
  <c r="G7" s="1"/>
  <c r="D23" i="51"/>
  <c r="G16"/>
  <c r="G23" s="1"/>
  <c r="G6" s="1"/>
  <c r="H16"/>
  <c r="H23" s="1"/>
  <c r="G7" s="1"/>
  <c r="G56" i="50" l="1"/>
  <c r="H55"/>
  <c r="H54"/>
  <c r="H53"/>
  <c r="H52"/>
  <c r="H22"/>
  <c r="G22"/>
  <c r="H21"/>
  <c r="G21"/>
  <c r="H20"/>
  <c r="G20"/>
  <c r="D19"/>
  <c r="G19" s="1"/>
  <c r="H18"/>
  <c r="G18"/>
  <c r="H17"/>
  <c r="G17"/>
  <c r="H15"/>
  <c r="G15"/>
  <c r="H14"/>
  <c r="G14"/>
  <c r="H11"/>
  <c r="G11"/>
  <c r="C6"/>
  <c r="G56" i="49"/>
  <c r="H55"/>
  <c r="H54"/>
  <c r="H53"/>
  <c r="H52"/>
  <c r="H22"/>
  <c r="G22"/>
  <c r="H21"/>
  <c r="G21"/>
  <c r="H20"/>
  <c r="G20"/>
  <c r="D19"/>
  <c r="G19" s="1"/>
  <c r="H18"/>
  <c r="G18"/>
  <c r="H17"/>
  <c r="G17"/>
  <c r="H15"/>
  <c r="G15"/>
  <c r="H14"/>
  <c r="G14"/>
  <c r="H11"/>
  <c r="G11"/>
  <c r="C6"/>
  <c r="G56" i="48"/>
  <c r="H55"/>
  <c r="H54"/>
  <c r="H53"/>
  <c r="H52"/>
  <c r="H56" s="1"/>
  <c r="I49" s="1"/>
  <c r="H22"/>
  <c r="G22"/>
  <c r="H21"/>
  <c r="G21"/>
  <c r="H20"/>
  <c r="G20"/>
  <c r="D19"/>
  <c r="G19" s="1"/>
  <c r="H18"/>
  <c r="G18"/>
  <c r="H17"/>
  <c r="G17"/>
  <c r="H15"/>
  <c r="G15"/>
  <c r="H14"/>
  <c r="G14"/>
  <c r="H11"/>
  <c r="G11"/>
  <c r="C6"/>
  <c r="G56" i="47"/>
  <c r="H55"/>
  <c r="H54"/>
  <c r="H53"/>
  <c r="H52"/>
  <c r="H22"/>
  <c r="G22"/>
  <c r="H21"/>
  <c r="G21"/>
  <c r="H20"/>
  <c r="G20"/>
  <c r="D19"/>
  <c r="G19" s="1"/>
  <c r="H18"/>
  <c r="G18"/>
  <c r="H17"/>
  <c r="G17"/>
  <c r="H15"/>
  <c r="G15"/>
  <c r="H14"/>
  <c r="G14"/>
  <c r="H11"/>
  <c r="G11"/>
  <c r="C6"/>
  <c r="G56" i="46"/>
  <c r="H55"/>
  <c r="H54"/>
  <c r="H53"/>
  <c r="H52"/>
  <c r="H22"/>
  <c r="G22"/>
  <c r="H21"/>
  <c r="G21"/>
  <c r="H20"/>
  <c r="G20"/>
  <c r="D19"/>
  <c r="G19" s="1"/>
  <c r="H18"/>
  <c r="G18"/>
  <c r="H17"/>
  <c r="G17"/>
  <c r="H15"/>
  <c r="G15"/>
  <c r="H14"/>
  <c r="G14"/>
  <c r="H11"/>
  <c r="G11"/>
  <c r="C6"/>
  <c r="G56" i="45"/>
  <c r="H55"/>
  <c r="H54"/>
  <c r="H53"/>
  <c r="H52"/>
  <c r="H22"/>
  <c r="G22"/>
  <c r="H21"/>
  <c r="G21"/>
  <c r="H20"/>
  <c r="G20"/>
  <c r="G19"/>
  <c r="D19"/>
  <c r="H19" s="1"/>
  <c r="H18"/>
  <c r="G18"/>
  <c r="H17"/>
  <c r="G17"/>
  <c r="H15"/>
  <c r="G15"/>
  <c r="H14"/>
  <c r="G14"/>
  <c r="H11"/>
  <c r="G11"/>
  <c r="C6"/>
  <c r="G56" i="44"/>
  <c r="H55"/>
  <c r="H54"/>
  <c r="H53"/>
  <c r="H52"/>
  <c r="H22"/>
  <c r="G22"/>
  <c r="H21"/>
  <c r="G21"/>
  <c r="H20"/>
  <c r="G20"/>
  <c r="D19"/>
  <c r="G19" s="1"/>
  <c r="H18"/>
  <c r="G18"/>
  <c r="H17"/>
  <c r="G17"/>
  <c r="H15"/>
  <c r="G15"/>
  <c r="H14"/>
  <c r="G14"/>
  <c r="H11"/>
  <c r="G11"/>
  <c r="C6"/>
  <c r="G56" i="43"/>
  <c r="H55"/>
  <c r="H54"/>
  <c r="H53"/>
  <c r="H52"/>
  <c r="H56" s="1"/>
  <c r="I49" s="1"/>
  <c r="H22"/>
  <c r="G22"/>
  <c r="H21"/>
  <c r="G21"/>
  <c r="H20"/>
  <c r="G20"/>
  <c r="D19"/>
  <c r="G19" s="1"/>
  <c r="H18"/>
  <c r="G18"/>
  <c r="H17"/>
  <c r="G17"/>
  <c r="H15"/>
  <c r="G15"/>
  <c r="H14"/>
  <c r="G14"/>
  <c r="H11"/>
  <c r="G11"/>
  <c r="C6"/>
  <c r="H56" i="46" l="1"/>
  <c r="I49" s="1"/>
  <c r="H56" i="50"/>
  <c r="I49" s="1"/>
  <c r="D16" s="1"/>
  <c r="H56" i="47"/>
  <c r="I49" s="1"/>
  <c r="H56" i="44"/>
  <c r="I49" s="1"/>
  <c r="D16" s="1"/>
  <c r="H56" i="45"/>
  <c r="I49" s="1"/>
  <c r="H56" i="49"/>
  <c r="I49" s="1"/>
  <c r="D16" s="1"/>
  <c r="D16" i="46"/>
  <c r="I76"/>
  <c r="I76" i="50"/>
  <c r="D16" i="47"/>
  <c r="I76"/>
  <c r="D16" i="43"/>
  <c r="I76"/>
  <c r="D16" i="48"/>
  <c r="I76"/>
  <c r="I76" i="44"/>
  <c r="D16" i="45"/>
  <c r="I76"/>
  <c r="I76" i="49"/>
  <c r="H19" i="43"/>
  <c r="H19" i="44"/>
  <c r="H19" i="46"/>
  <c r="H19" i="47"/>
  <c r="H19" i="48"/>
  <c r="H19" i="49"/>
  <c r="H19" i="50"/>
  <c r="D23" i="44" l="1"/>
  <c r="G16"/>
  <c r="G23" s="1"/>
  <c r="G6" s="1"/>
  <c r="H16"/>
  <c r="H23" s="1"/>
  <c r="G7" s="1"/>
  <c r="D23" i="48"/>
  <c r="G16"/>
  <c r="G23" s="1"/>
  <c r="G6" s="1"/>
  <c r="H16"/>
  <c r="H23" s="1"/>
  <c r="G7" s="1"/>
  <c r="D23" i="45"/>
  <c r="G16"/>
  <c r="G23" s="1"/>
  <c r="G6" s="1"/>
  <c r="H16"/>
  <c r="H23" s="1"/>
  <c r="G7" s="1"/>
  <c r="D23" i="46"/>
  <c r="G16"/>
  <c r="G23" s="1"/>
  <c r="G6" s="1"/>
  <c r="H16"/>
  <c r="H23" s="1"/>
  <c r="G7" s="1"/>
  <c r="D23" i="43"/>
  <c r="G16"/>
  <c r="G23" s="1"/>
  <c r="G6" s="1"/>
  <c r="H16"/>
  <c r="H23" s="1"/>
  <c r="G7" s="1"/>
  <c r="D23" i="49"/>
  <c r="G16"/>
  <c r="G23" s="1"/>
  <c r="G6" s="1"/>
  <c r="H16"/>
  <c r="H23" s="1"/>
  <c r="G7" s="1"/>
  <c r="D23" i="50"/>
  <c r="G16"/>
  <c r="G23" s="1"/>
  <c r="G6" s="1"/>
  <c r="H16"/>
  <c r="H23" s="1"/>
  <c r="G7" s="1"/>
  <c r="D23" i="47"/>
  <c r="G16"/>
  <c r="G23" s="1"/>
  <c r="G6" s="1"/>
  <c r="H16"/>
  <c r="H23" s="1"/>
  <c r="G7" s="1"/>
  <c r="G56" i="42" l="1"/>
  <c r="H55"/>
  <c r="H54"/>
  <c r="H53"/>
  <c r="H52"/>
  <c r="H22"/>
  <c r="G22"/>
  <c r="H21"/>
  <c r="G21"/>
  <c r="H20"/>
  <c r="G20"/>
  <c r="H19"/>
  <c r="D19"/>
  <c r="G19" s="1"/>
  <c r="H18"/>
  <c r="G18"/>
  <c r="H17"/>
  <c r="G17"/>
  <c r="H15"/>
  <c r="G15"/>
  <c r="H14"/>
  <c r="G14"/>
  <c r="H11"/>
  <c r="G11"/>
  <c r="C6"/>
  <c r="G56" i="41"/>
  <c r="H55"/>
  <c r="H54"/>
  <c r="H53"/>
  <c r="H52"/>
  <c r="H22"/>
  <c r="G22"/>
  <c r="H21"/>
  <c r="G21"/>
  <c r="H20"/>
  <c r="G20"/>
  <c r="D19"/>
  <c r="G19" s="1"/>
  <c r="H18"/>
  <c r="G18"/>
  <c r="H17"/>
  <c r="G17"/>
  <c r="H15"/>
  <c r="G15"/>
  <c r="H14"/>
  <c r="G14"/>
  <c r="H11"/>
  <c r="G11"/>
  <c r="C6"/>
  <c r="G56" i="40"/>
  <c r="H55"/>
  <c r="H54"/>
  <c r="H53"/>
  <c r="H52"/>
  <c r="H56" s="1"/>
  <c r="I49" s="1"/>
  <c r="H22"/>
  <c r="G22"/>
  <c r="H21"/>
  <c r="G21"/>
  <c r="H20"/>
  <c r="G20"/>
  <c r="D19"/>
  <c r="G19" s="1"/>
  <c r="H18"/>
  <c r="G18"/>
  <c r="H17"/>
  <c r="G17"/>
  <c r="H15"/>
  <c r="G15"/>
  <c r="H14"/>
  <c r="G14"/>
  <c r="H11"/>
  <c r="G11"/>
  <c r="C6"/>
  <c r="G56" i="39"/>
  <c r="H55"/>
  <c r="H54"/>
  <c r="H53"/>
  <c r="H52"/>
  <c r="H56" s="1"/>
  <c r="I49" s="1"/>
  <c r="H22"/>
  <c r="G22"/>
  <c r="H21"/>
  <c r="G21"/>
  <c r="H20"/>
  <c r="G20"/>
  <c r="D19"/>
  <c r="G19" s="1"/>
  <c r="H18"/>
  <c r="G18"/>
  <c r="H17"/>
  <c r="G17"/>
  <c r="H15"/>
  <c r="G15"/>
  <c r="H14"/>
  <c r="G14"/>
  <c r="H11"/>
  <c r="G11"/>
  <c r="C6"/>
  <c r="G56" i="38"/>
  <c r="H55"/>
  <c r="H54"/>
  <c r="H53"/>
  <c r="H52"/>
  <c r="H22"/>
  <c r="G22"/>
  <c r="H21"/>
  <c r="G21"/>
  <c r="H20"/>
  <c r="G20"/>
  <c r="D19"/>
  <c r="G19" s="1"/>
  <c r="H18"/>
  <c r="G18"/>
  <c r="H17"/>
  <c r="G17"/>
  <c r="H15"/>
  <c r="G15"/>
  <c r="H14"/>
  <c r="G14"/>
  <c r="H11"/>
  <c r="G11"/>
  <c r="C6"/>
  <c r="G56" i="37"/>
  <c r="H55"/>
  <c r="H54"/>
  <c r="H53"/>
  <c r="H52"/>
  <c r="H22"/>
  <c r="G22"/>
  <c r="H21"/>
  <c r="G21"/>
  <c r="H20"/>
  <c r="G20"/>
  <c r="D19"/>
  <c r="G19" s="1"/>
  <c r="H18"/>
  <c r="G18"/>
  <c r="H17"/>
  <c r="G17"/>
  <c r="H15"/>
  <c r="G15"/>
  <c r="H14"/>
  <c r="G14"/>
  <c r="H11"/>
  <c r="G11"/>
  <c r="C6"/>
  <c r="G56" i="36"/>
  <c r="H55"/>
  <c r="H54"/>
  <c r="H53"/>
  <c r="H52"/>
  <c r="H56" s="1"/>
  <c r="I49" s="1"/>
  <c r="H22"/>
  <c r="G22"/>
  <c r="H21"/>
  <c r="G21"/>
  <c r="H20"/>
  <c r="G20"/>
  <c r="D19"/>
  <c r="H19" s="1"/>
  <c r="H18"/>
  <c r="G18"/>
  <c r="H17"/>
  <c r="G17"/>
  <c r="H15"/>
  <c r="G15"/>
  <c r="H14"/>
  <c r="G14"/>
  <c r="H11"/>
  <c r="G11"/>
  <c r="C6"/>
  <c r="G56" i="35"/>
  <c r="H55"/>
  <c r="H54"/>
  <c r="H53"/>
  <c r="H52"/>
  <c r="H56" s="1"/>
  <c r="I49" s="1"/>
  <c r="H22"/>
  <c r="G22"/>
  <c r="H21"/>
  <c r="G21"/>
  <c r="H20"/>
  <c r="G20"/>
  <c r="H19"/>
  <c r="G19"/>
  <c r="D19"/>
  <c r="H18"/>
  <c r="G18"/>
  <c r="H17"/>
  <c r="G17"/>
  <c r="H15"/>
  <c r="G15"/>
  <c r="H14"/>
  <c r="G14"/>
  <c r="H11"/>
  <c r="G11"/>
  <c r="C6"/>
  <c r="H56" i="37" l="1"/>
  <c r="I49" s="1"/>
  <c r="H56" i="41"/>
  <c r="I49" s="1"/>
  <c r="D16" s="1"/>
  <c r="H56" i="42"/>
  <c r="I49" s="1"/>
  <c r="H56" i="38"/>
  <c r="I49" s="1"/>
  <c r="G19" i="36"/>
  <c r="D16" i="37"/>
  <c r="I77"/>
  <c r="D16" i="42"/>
  <c r="I76"/>
  <c r="D16" i="38"/>
  <c r="I76"/>
  <c r="D16" i="39"/>
  <c r="I76"/>
  <c r="D16" i="35"/>
  <c r="I76"/>
  <c r="D16" i="36"/>
  <c r="I76"/>
  <c r="D16" i="40"/>
  <c r="I76"/>
  <c r="H19" i="37"/>
  <c r="H19" i="38"/>
  <c r="H19" i="39"/>
  <c r="H19" i="40"/>
  <c r="H19" i="41"/>
  <c r="I76" l="1"/>
  <c r="D23" i="40"/>
  <c r="G16"/>
  <c r="G23" s="1"/>
  <c r="G6" s="1"/>
  <c r="H16"/>
  <c r="H23" s="1"/>
  <c r="G7" s="1"/>
  <c r="D23" i="35"/>
  <c r="G16"/>
  <c r="G23" s="1"/>
  <c r="G6" s="1"/>
  <c r="H16"/>
  <c r="H23" s="1"/>
  <c r="G7" s="1"/>
  <c r="D23" i="42"/>
  <c r="G16"/>
  <c r="G23" s="1"/>
  <c r="G6" s="1"/>
  <c r="H16"/>
  <c r="H23" s="1"/>
  <c r="G7" s="1"/>
  <c r="D23" i="37"/>
  <c r="G16"/>
  <c r="G23" s="1"/>
  <c r="G6" s="1"/>
  <c r="H16"/>
  <c r="H23" s="1"/>
  <c r="G7" s="1"/>
  <c r="D23" i="36"/>
  <c r="G16"/>
  <c r="G23" s="1"/>
  <c r="G6" s="1"/>
  <c r="H16"/>
  <c r="H23" s="1"/>
  <c r="G7" s="1"/>
  <c r="D23" i="41"/>
  <c r="G16"/>
  <c r="G23" s="1"/>
  <c r="G6" s="1"/>
  <c r="H16"/>
  <c r="H23" s="1"/>
  <c r="G7" s="1"/>
  <c r="D23" i="39"/>
  <c r="G16"/>
  <c r="G23" s="1"/>
  <c r="G6" s="1"/>
  <c r="H16"/>
  <c r="H23" s="1"/>
  <c r="G7" s="1"/>
  <c r="D23" i="38"/>
  <c r="G16"/>
  <c r="G23" s="1"/>
  <c r="G6" s="1"/>
  <c r="H16"/>
  <c r="H23" s="1"/>
  <c r="G7" s="1"/>
  <c r="I71" i="34" l="1"/>
  <c r="H22"/>
  <c r="G22"/>
  <c r="H21"/>
  <c r="G21"/>
  <c r="H20"/>
  <c r="G20"/>
  <c r="D19"/>
  <c r="G19" s="1"/>
  <c r="H18"/>
  <c r="G18"/>
  <c r="H17"/>
  <c r="G17"/>
  <c r="D16"/>
  <c r="H15"/>
  <c r="G15"/>
  <c r="H14"/>
  <c r="G14"/>
  <c r="H11"/>
  <c r="G11"/>
  <c r="C6"/>
  <c r="H52" i="33"/>
  <c r="I49" s="1"/>
  <c r="H22"/>
  <c r="G22"/>
  <c r="H21"/>
  <c r="G21"/>
  <c r="H20"/>
  <c r="G20"/>
  <c r="H19"/>
  <c r="D19"/>
  <c r="G19" s="1"/>
  <c r="H18"/>
  <c r="G18"/>
  <c r="H17"/>
  <c r="G17"/>
  <c r="H15"/>
  <c r="G15"/>
  <c r="H14"/>
  <c r="G14"/>
  <c r="H11"/>
  <c r="G11"/>
  <c r="C6"/>
  <c r="H51" i="32"/>
  <c r="I48" s="1"/>
  <c r="H22"/>
  <c r="G22"/>
  <c r="H21"/>
  <c r="G21"/>
  <c r="H20"/>
  <c r="G20"/>
  <c r="D19"/>
  <c r="G19" s="1"/>
  <c r="H18"/>
  <c r="G18"/>
  <c r="H17"/>
  <c r="G17"/>
  <c r="H15"/>
  <c r="G15"/>
  <c r="H14"/>
  <c r="G14"/>
  <c r="H11"/>
  <c r="G11"/>
  <c r="C6"/>
  <c r="H51" i="31"/>
  <c r="I48" s="1"/>
  <c r="H22"/>
  <c r="G22"/>
  <c r="H21"/>
  <c r="G21"/>
  <c r="H20"/>
  <c r="G20"/>
  <c r="H19"/>
  <c r="D19"/>
  <c r="G19" s="1"/>
  <c r="H18"/>
  <c r="G18"/>
  <c r="H17"/>
  <c r="G17"/>
  <c r="H15"/>
  <c r="G15"/>
  <c r="H14"/>
  <c r="G14"/>
  <c r="H11"/>
  <c r="G11"/>
  <c r="C6"/>
  <c r="H51" i="30"/>
  <c r="I48" s="1"/>
  <c r="H22"/>
  <c r="G22"/>
  <c r="H21"/>
  <c r="G21"/>
  <c r="H20"/>
  <c r="G20"/>
  <c r="D19"/>
  <c r="G19" s="1"/>
  <c r="H18"/>
  <c r="G18"/>
  <c r="H17"/>
  <c r="G17"/>
  <c r="H15"/>
  <c r="G15"/>
  <c r="H14"/>
  <c r="G14"/>
  <c r="H11"/>
  <c r="G11"/>
  <c r="C6"/>
  <c r="H51" i="29"/>
  <c r="I48" s="1"/>
  <c r="H22"/>
  <c r="G22"/>
  <c r="H21"/>
  <c r="G21"/>
  <c r="H20"/>
  <c r="G20"/>
  <c r="D19"/>
  <c r="G19" s="1"/>
  <c r="H18"/>
  <c r="G18"/>
  <c r="H17"/>
  <c r="G17"/>
  <c r="H15"/>
  <c r="G15"/>
  <c r="H14"/>
  <c r="G14"/>
  <c r="H11"/>
  <c r="G11"/>
  <c r="C6"/>
  <c r="D23" i="34" l="1"/>
  <c r="H16"/>
  <c r="H23" s="1"/>
  <c r="G7" s="1"/>
  <c r="G16"/>
  <c r="G23" s="1"/>
  <c r="G6" s="1"/>
  <c r="H19"/>
  <c r="D16" i="33"/>
  <c r="I74"/>
  <c r="H19" i="29"/>
  <c r="H19" i="30"/>
  <c r="D16" i="29"/>
  <c r="I73"/>
  <c r="D16" i="30"/>
  <c r="I73"/>
  <c r="D16" i="32"/>
  <c r="I73"/>
  <c r="I73" i="31"/>
  <c r="D16"/>
  <c r="H19" i="32"/>
  <c r="H16" i="33" l="1"/>
  <c r="H23" s="1"/>
  <c r="G7" s="1"/>
  <c r="D23"/>
  <c r="G16"/>
  <c r="G23" s="1"/>
  <c r="G6" s="1"/>
  <c r="H16" i="32"/>
  <c r="H23" s="1"/>
  <c r="G7" s="1"/>
  <c r="D23"/>
  <c r="G16"/>
  <c r="G23" s="1"/>
  <c r="G6" s="1"/>
  <c r="D23" i="29"/>
  <c r="G16"/>
  <c r="G23" s="1"/>
  <c r="G6" s="1"/>
  <c r="H16"/>
  <c r="H23" s="1"/>
  <c r="G7" s="1"/>
  <c r="D23" i="30"/>
  <c r="G16"/>
  <c r="G23" s="1"/>
  <c r="G6" s="1"/>
  <c r="H16"/>
  <c r="H23" s="1"/>
  <c r="G7" s="1"/>
  <c r="G16" i="31"/>
  <c r="G23" s="1"/>
  <c r="G6" s="1"/>
  <c r="H16"/>
  <c r="H23" s="1"/>
  <c r="G7" s="1"/>
  <c r="D23"/>
  <c r="I71" i="28"/>
  <c r="H22"/>
  <c r="G22"/>
  <c r="H21"/>
  <c r="G21"/>
  <c r="H20"/>
  <c r="G20"/>
  <c r="D19"/>
  <c r="G19" s="1"/>
  <c r="H18"/>
  <c r="G18"/>
  <c r="H17"/>
  <c r="G17"/>
  <c r="D16"/>
  <c r="H15"/>
  <c r="G15"/>
  <c r="H14"/>
  <c r="G14"/>
  <c r="H11"/>
  <c r="G11"/>
  <c r="C6"/>
  <c r="I71" i="27"/>
  <c r="H22"/>
  <c r="G22"/>
  <c r="H21"/>
  <c r="G21"/>
  <c r="H20"/>
  <c r="G20"/>
  <c r="D19"/>
  <c r="H19" s="1"/>
  <c r="H18"/>
  <c r="G18"/>
  <c r="H17"/>
  <c r="G17"/>
  <c r="D16"/>
  <c r="G16" s="1"/>
  <c r="H15"/>
  <c r="G15"/>
  <c r="H14"/>
  <c r="G14"/>
  <c r="H11"/>
  <c r="G11"/>
  <c r="C6"/>
  <c r="I71" i="26"/>
  <c r="H22"/>
  <c r="G22"/>
  <c r="H21"/>
  <c r="G21"/>
  <c r="H20"/>
  <c r="G20"/>
  <c r="D19"/>
  <c r="H19" s="1"/>
  <c r="H18"/>
  <c r="G18"/>
  <c r="H17"/>
  <c r="G17"/>
  <c r="D16"/>
  <c r="H16" s="1"/>
  <c r="H15"/>
  <c r="G15"/>
  <c r="H14"/>
  <c r="G14"/>
  <c r="H11"/>
  <c r="G11"/>
  <c r="C6"/>
  <c r="I71" i="25"/>
  <c r="H22"/>
  <c r="G22"/>
  <c r="H21"/>
  <c r="G21"/>
  <c r="H20"/>
  <c r="G20"/>
  <c r="D19"/>
  <c r="G19" s="1"/>
  <c r="H18"/>
  <c r="G18"/>
  <c r="H17"/>
  <c r="G17"/>
  <c r="D16"/>
  <c r="H15"/>
  <c r="G15"/>
  <c r="H14"/>
  <c r="G14"/>
  <c r="H11"/>
  <c r="G11"/>
  <c r="C6"/>
  <c r="I71" i="24"/>
  <c r="H22"/>
  <c r="G22"/>
  <c r="H21"/>
  <c r="G21"/>
  <c r="H20"/>
  <c r="G20"/>
  <c r="D19"/>
  <c r="G19" s="1"/>
  <c r="H18"/>
  <c r="G18"/>
  <c r="H17"/>
  <c r="G17"/>
  <c r="D16"/>
  <c r="D23" s="1"/>
  <c r="H15"/>
  <c r="G15"/>
  <c r="H14"/>
  <c r="G14"/>
  <c r="H11"/>
  <c r="G11"/>
  <c r="C6"/>
  <c r="I70" i="23"/>
  <c r="H22"/>
  <c r="G22"/>
  <c r="H21"/>
  <c r="G21"/>
  <c r="H20"/>
  <c r="G20"/>
  <c r="D19"/>
  <c r="H19" s="1"/>
  <c r="H18"/>
  <c r="G18"/>
  <c r="H17"/>
  <c r="G17"/>
  <c r="D16"/>
  <c r="G16" s="1"/>
  <c r="H15"/>
  <c r="G15"/>
  <c r="H14"/>
  <c r="G14"/>
  <c r="H11"/>
  <c r="G11"/>
  <c r="C6"/>
  <c r="D23" i="25" l="1"/>
  <c r="G19" i="26"/>
  <c r="H23"/>
  <c r="G7" s="1"/>
  <c r="D23" i="28"/>
  <c r="G16" i="25"/>
  <c r="G23" s="1"/>
  <c r="G6" s="1"/>
  <c r="G19" i="23"/>
  <c r="G23" s="1"/>
  <c r="G6" s="1"/>
  <c r="D23"/>
  <c r="H16" i="25"/>
  <c r="G16" i="26"/>
  <c r="G23" s="1"/>
  <c r="G6" s="1"/>
  <c r="G19" i="27"/>
  <c r="G23" s="1"/>
  <c r="G6" s="1"/>
  <c r="D23"/>
  <c r="H16" i="24"/>
  <c r="H19" i="25"/>
  <c r="D23" i="26"/>
  <c r="H16" i="28"/>
  <c r="H23" s="1"/>
  <c r="G7" s="1"/>
  <c r="H16" i="23"/>
  <c r="H23" s="1"/>
  <c r="G7" s="1"/>
  <c r="G16" i="24"/>
  <c r="G23" s="1"/>
  <c r="G6" s="1"/>
  <c r="H19"/>
  <c r="H16" i="27"/>
  <c r="H23" s="1"/>
  <c r="G7" s="1"/>
  <c r="G16" i="28"/>
  <c r="G23" s="1"/>
  <c r="G6" s="1"/>
  <c r="H19"/>
  <c r="H23" i="24" l="1"/>
  <c r="G7" s="1"/>
  <c r="H23" i="25"/>
  <c r="G7" s="1"/>
  <c r="I59" i="22"/>
  <c r="I56"/>
  <c r="I53"/>
  <c r="I50"/>
  <c r="I47"/>
  <c r="I40"/>
  <c r="I37"/>
  <c r="C32"/>
  <c r="G20"/>
  <c r="C20"/>
  <c r="F20" s="1"/>
  <c r="C19"/>
  <c r="G19" s="1"/>
  <c r="C18"/>
  <c r="F18" s="1"/>
  <c r="F17"/>
  <c r="C17"/>
  <c r="G17" s="1"/>
  <c r="C16"/>
  <c r="F16" s="1"/>
  <c r="F15"/>
  <c r="C15"/>
  <c r="G15" s="1"/>
  <c r="C14"/>
  <c r="F14" s="1"/>
  <c r="F13"/>
  <c r="C13"/>
  <c r="G13" s="1"/>
  <c r="C12"/>
  <c r="G5"/>
  <c r="G4"/>
  <c r="I53" i="21"/>
  <c r="I51"/>
  <c r="C19" s="1"/>
  <c r="I49"/>
  <c r="I47"/>
  <c r="C17" s="1"/>
  <c r="I45"/>
  <c r="F42"/>
  <c r="I40" s="1"/>
  <c r="C14" s="1"/>
  <c r="I38"/>
  <c r="C13" s="1"/>
  <c r="G13" s="1"/>
  <c r="F37"/>
  <c r="F36"/>
  <c r="C20"/>
  <c r="F20" s="1"/>
  <c r="C18"/>
  <c r="G18" s="1"/>
  <c r="C16"/>
  <c r="F16" s="1"/>
  <c r="C15"/>
  <c r="G15" s="1"/>
  <c r="G5"/>
  <c r="G4"/>
  <c r="I53" i="20"/>
  <c r="C20" s="1"/>
  <c r="F20" s="1"/>
  <c r="I51"/>
  <c r="C19" s="1"/>
  <c r="I49"/>
  <c r="C18" s="1"/>
  <c r="F18" s="1"/>
  <c r="I47"/>
  <c r="I45"/>
  <c r="F42"/>
  <c r="I40" s="1"/>
  <c r="C14" s="1"/>
  <c r="I38"/>
  <c r="C13" s="1"/>
  <c r="F37"/>
  <c r="F36"/>
  <c r="C17"/>
  <c r="G17" s="1"/>
  <c r="C16"/>
  <c r="F16" s="1"/>
  <c r="C15"/>
  <c r="G15" s="1"/>
  <c r="G5"/>
  <c r="G4"/>
  <c r="I53" i="19"/>
  <c r="I51"/>
  <c r="C19" s="1"/>
  <c r="I49"/>
  <c r="C18" s="1"/>
  <c r="F18" s="1"/>
  <c r="I47"/>
  <c r="I45"/>
  <c r="F42"/>
  <c r="I40" s="1"/>
  <c r="C14" s="1"/>
  <c r="I38"/>
  <c r="C13" s="1"/>
  <c r="F13" s="1"/>
  <c r="F37"/>
  <c r="F36"/>
  <c r="C20"/>
  <c r="F20" s="1"/>
  <c r="C17"/>
  <c r="F17" s="1"/>
  <c r="C16"/>
  <c r="G16" s="1"/>
  <c r="C15"/>
  <c r="F15" s="1"/>
  <c r="G5"/>
  <c r="G4"/>
  <c r="I53" i="18"/>
  <c r="I51"/>
  <c r="I49"/>
  <c r="C18" s="1"/>
  <c r="F18" s="1"/>
  <c r="I47"/>
  <c r="I45"/>
  <c r="F42"/>
  <c r="I40" s="1"/>
  <c r="C14" s="1"/>
  <c r="I38"/>
  <c r="C13" s="1"/>
  <c r="F13" s="1"/>
  <c r="F37"/>
  <c r="F36"/>
  <c r="C20"/>
  <c r="F20" s="1"/>
  <c r="F19"/>
  <c r="C19"/>
  <c r="G19" s="1"/>
  <c r="C17"/>
  <c r="F17" s="1"/>
  <c r="C16"/>
  <c r="F16" s="1"/>
  <c r="C15"/>
  <c r="G15" s="1"/>
  <c r="G5"/>
  <c r="G4"/>
  <c r="I53" i="17"/>
  <c r="I51"/>
  <c r="C19" s="1"/>
  <c r="I49"/>
  <c r="I47"/>
  <c r="I45"/>
  <c r="C16" s="1"/>
  <c r="F42"/>
  <c r="I40" s="1"/>
  <c r="C14" s="1"/>
  <c r="G14" s="1"/>
  <c r="I38"/>
  <c r="F37"/>
  <c r="F36"/>
  <c r="I34" s="1"/>
  <c r="G20"/>
  <c r="C20"/>
  <c r="F20" s="1"/>
  <c r="C18"/>
  <c r="G18" s="1"/>
  <c r="C17"/>
  <c r="F17" s="1"/>
  <c r="F15"/>
  <c r="C15"/>
  <c r="G15" s="1"/>
  <c r="C13"/>
  <c r="F13" s="1"/>
  <c r="G5"/>
  <c r="G4"/>
  <c r="I53" i="16"/>
  <c r="C20" s="1"/>
  <c r="I51"/>
  <c r="I49"/>
  <c r="I47"/>
  <c r="I45"/>
  <c r="F42"/>
  <c r="I40" s="1"/>
  <c r="C14" s="1"/>
  <c r="F14" s="1"/>
  <c r="I38"/>
  <c r="F37"/>
  <c r="F36"/>
  <c r="I34" s="1"/>
  <c r="C19"/>
  <c r="G19" s="1"/>
  <c r="C18"/>
  <c r="F18" s="1"/>
  <c r="C17"/>
  <c r="G17" s="1"/>
  <c r="C16"/>
  <c r="G16" s="1"/>
  <c r="C15"/>
  <c r="G15" s="1"/>
  <c r="C13"/>
  <c r="G13" s="1"/>
  <c r="G5"/>
  <c r="G4"/>
  <c r="H52" i="15"/>
  <c r="I49" s="1"/>
  <c r="H22"/>
  <c r="G22"/>
  <c r="H21"/>
  <c r="G21"/>
  <c r="H20"/>
  <c r="G20"/>
  <c r="D19"/>
  <c r="G19" s="1"/>
  <c r="H18"/>
  <c r="G18"/>
  <c r="H17"/>
  <c r="G17"/>
  <c r="H15"/>
  <c r="G15"/>
  <c r="H14"/>
  <c r="G14"/>
  <c r="H11"/>
  <c r="G11"/>
  <c r="C6"/>
  <c r="H52" i="14"/>
  <c r="I49" s="1"/>
  <c r="H22"/>
  <c r="G22"/>
  <c r="H21"/>
  <c r="G21"/>
  <c r="H20"/>
  <c r="G20"/>
  <c r="D19"/>
  <c r="H19" s="1"/>
  <c r="H18"/>
  <c r="G18"/>
  <c r="H17"/>
  <c r="G17"/>
  <c r="H15"/>
  <c r="G15"/>
  <c r="H14"/>
  <c r="G14"/>
  <c r="H11"/>
  <c r="G11"/>
  <c r="C6"/>
  <c r="G17" i="21" l="1"/>
  <c r="F17"/>
  <c r="G16" i="22"/>
  <c r="G19" i="14"/>
  <c r="F16" i="16"/>
  <c r="G16" i="18"/>
  <c r="F17" i="20"/>
  <c r="G20" i="21"/>
  <c r="C21" i="22"/>
  <c r="F16" i="17"/>
  <c r="G16"/>
  <c r="G13" i="20"/>
  <c r="F13"/>
  <c r="G19" i="17"/>
  <c r="F19"/>
  <c r="E44"/>
  <c r="F44" s="1"/>
  <c r="C12"/>
  <c r="C32"/>
  <c r="E44" i="16"/>
  <c r="F44" s="1"/>
  <c r="C12"/>
  <c r="C32"/>
  <c r="F20"/>
  <c r="G20"/>
  <c r="G19" i="19"/>
  <c r="F19"/>
  <c r="G19" i="20"/>
  <c r="F19"/>
  <c r="G19" i="21"/>
  <c r="F19"/>
  <c r="H19" i="15"/>
  <c r="F15" i="16"/>
  <c r="I34" i="18"/>
  <c r="C12" s="1"/>
  <c r="I34" i="19"/>
  <c r="C12" s="1"/>
  <c r="G16" i="20"/>
  <c r="I34"/>
  <c r="F13" i="21"/>
  <c r="G16"/>
  <c r="I34"/>
  <c r="G12" i="22"/>
  <c r="F19"/>
  <c r="F19" i="16"/>
  <c r="F15" i="18"/>
  <c r="G20"/>
  <c r="G20" i="19"/>
  <c r="G20" i="20"/>
  <c r="I55" i="16"/>
  <c r="I55" i="17"/>
  <c r="F15" i="20"/>
  <c r="F15" i="21"/>
  <c r="I62" i="22"/>
  <c r="E44" i="18"/>
  <c r="F44" s="1"/>
  <c r="C32"/>
  <c r="E44" i="19"/>
  <c r="F44" s="1"/>
  <c r="E44" i="20"/>
  <c r="F44" s="1"/>
  <c r="C32"/>
  <c r="C12"/>
  <c r="C12" i="21"/>
  <c r="E44"/>
  <c r="F44" s="1"/>
  <c r="C32"/>
  <c r="I55" i="18"/>
  <c r="I55" i="19"/>
  <c r="F14" i="18"/>
  <c r="G14"/>
  <c r="F14" i="19"/>
  <c r="G14"/>
  <c r="F14" i="20"/>
  <c r="G14"/>
  <c r="G14" i="21"/>
  <c r="F14"/>
  <c r="I55" i="20"/>
  <c r="I55" i="21"/>
  <c r="F13" i="16"/>
  <c r="G14"/>
  <c r="F17"/>
  <c r="G18"/>
  <c r="F14" i="17"/>
  <c r="F18"/>
  <c r="C21"/>
  <c r="G13" i="19"/>
  <c r="F16"/>
  <c r="G17"/>
  <c r="G18" i="20"/>
  <c r="F18" i="21"/>
  <c r="G13" i="18"/>
  <c r="G17"/>
  <c r="G18" i="19"/>
  <c r="F12" i="22"/>
  <c r="F21" s="1"/>
  <c r="F4" s="1"/>
  <c r="G13" i="17"/>
  <c r="G17"/>
  <c r="G18" i="18"/>
  <c r="G15" i="19"/>
  <c r="G14" i="22"/>
  <c r="G21" s="1"/>
  <c r="F5" s="1"/>
  <c r="G18"/>
  <c r="I74" i="15"/>
  <c r="D16"/>
  <c r="D16" i="14"/>
  <c r="I74"/>
  <c r="C32" i="19" l="1"/>
  <c r="C21" i="16"/>
  <c r="F12"/>
  <c r="F21" s="1"/>
  <c r="F4" s="1"/>
  <c r="G12"/>
  <c r="G21" s="1"/>
  <c r="F5" s="1"/>
  <c r="F12" i="17"/>
  <c r="F21" s="1"/>
  <c r="F4" s="1"/>
  <c r="G12"/>
  <c r="G21" s="1"/>
  <c r="F5" s="1"/>
  <c r="F12" i="21"/>
  <c r="F21" s="1"/>
  <c r="F4" s="1"/>
  <c r="G12"/>
  <c r="G21" s="1"/>
  <c r="F5" s="1"/>
  <c r="C21"/>
  <c r="F12" i="20"/>
  <c r="F21" s="1"/>
  <c r="F4" s="1"/>
  <c r="G12"/>
  <c r="G21" s="1"/>
  <c r="F5" s="1"/>
  <c r="C21"/>
  <c r="G12" i="19"/>
  <c r="G21" s="1"/>
  <c r="F5" s="1"/>
  <c r="C21"/>
  <c r="F12"/>
  <c r="F21" s="1"/>
  <c r="F4" s="1"/>
  <c r="C21" i="18"/>
  <c r="F12"/>
  <c r="F21" s="1"/>
  <c r="F4" s="1"/>
  <c r="G12"/>
  <c r="G21" s="1"/>
  <c r="F5" s="1"/>
  <c r="H16" i="15"/>
  <c r="H23" s="1"/>
  <c r="G7" s="1"/>
  <c r="G16"/>
  <c r="G23" s="1"/>
  <c r="G6" s="1"/>
  <c r="D23"/>
  <c r="D23" i="14"/>
  <c r="G16"/>
  <c r="G23" s="1"/>
  <c r="G6" s="1"/>
  <c r="H16"/>
  <c r="H23" s="1"/>
  <c r="G7" s="1"/>
  <c r="H52" i="10" l="1"/>
  <c r="I49" s="1"/>
  <c r="I74" l="1"/>
  <c r="D19" l="1"/>
  <c r="D16"/>
  <c r="H11"/>
  <c r="G11"/>
  <c r="C6"/>
  <c r="G20" l="1"/>
  <c r="H20"/>
  <c r="G22"/>
  <c r="H22"/>
  <c r="G17"/>
  <c r="H17"/>
  <c r="G19"/>
  <c r="H19"/>
  <c r="G21"/>
  <c r="H21"/>
  <c r="G18"/>
  <c r="H18"/>
  <c r="H16"/>
  <c r="G16"/>
  <c r="H15"/>
  <c r="G15"/>
  <c r="D23" l="1"/>
  <c r="G14"/>
  <c r="G23" s="1"/>
  <c r="G6" s="1"/>
  <c r="H14"/>
  <c r="H23" s="1"/>
  <c r="G7" s="1"/>
</calcChain>
</file>

<file path=xl/comments1.xml><?xml version="1.0" encoding="utf-8"?>
<comments xmlns="http://schemas.openxmlformats.org/spreadsheetml/2006/main">
  <authors>
    <author>jerry.adams</author>
  </authors>
  <commentList>
    <comment ref="C195" authorId="0">
      <text>
        <r>
          <rPr>
            <b/>
            <sz val="8"/>
            <color indexed="81"/>
            <rFont val="Tahoma"/>
            <family val="2"/>
          </rPr>
          <t>jerry.adams:</t>
        </r>
        <r>
          <rPr>
            <sz val="8"/>
            <color indexed="81"/>
            <rFont val="Tahoma"/>
            <family val="2"/>
          </rPr>
          <t xml:space="preserve">
based on $500 per event; 66% of backhoe time expended to excavate trench 50'X2'X5'deep.</t>
        </r>
      </text>
    </comment>
    <comment ref="BE195" authorId="0">
      <text>
        <r>
          <rPr>
            <b/>
            <sz val="8"/>
            <color indexed="81"/>
            <rFont val="Tahoma"/>
            <family val="2"/>
          </rPr>
          <t>jerry.adams:</t>
        </r>
        <r>
          <rPr>
            <sz val="8"/>
            <color indexed="81"/>
            <rFont val="Tahoma"/>
            <family val="2"/>
          </rPr>
          <t xml:space="preserve">
based on $500 per event; 66% of backhoe time expended to excavate trench 50'X2'X5'deep.</t>
        </r>
      </text>
    </comment>
    <comment ref="BE302" authorId="0">
      <text>
        <r>
          <rPr>
            <b/>
            <sz val="8"/>
            <color indexed="81"/>
            <rFont val="Tahoma"/>
            <family val="2"/>
          </rPr>
          <t>jerry.adams:</t>
        </r>
        <r>
          <rPr>
            <sz val="8"/>
            <color indexed="81"/>
            <rFont val="Tahoma"/>
            <family val="2"/>
          </rPr>
          <t xml:space="preserve">
Only one source Ernst at $16.80 /lb.</t>
        </r>
      </text>
    </comment>
    <comment ref="BE305" authorId="0">
      <text>
        <r>
          <rPr>
            <b/>
            <sz val="8"/>
            <color indexed="81"/>
            <rFont val="Tahoma"/>
            <family val="2"/>
          </rPr>
          <t>jerry.adams:</t>
        </r>
        <r>
          <rPr>
            <sz val="8"/>
            <color indexed="81"/>
            <rFont val="Tahoma"/>
            <family val="2"/>
          </rPr>
          <t xml:space="preserve">
Big disparity between sources;  low $17.40, high 73.70.</t>
        </r>
      </text>
    </comment>
    <comment ref="A349" authorId="0">
      <text>
        <r>
          <rPr>
            <b/>
            <sz val="8"/>
            <color indexed="81"/>
            <rFont val="Tahoma"/>
            <family val="2"/>
          </rPr>
          <t>jerry.adams:</t>
        </r>
        <r>
          <rPr>
            <sz val="8"/>
            <color indexed="81"/>
            <rFont val="Tahoma"/>
            <family val="2"/>
          </rPr>
          <t xml:space="preserve">
Added for 2010 to accommodate pipeline revisions.</t>
        </r>
      </text>
    </comment>
    <comment ref="A350" authorId="0">
      <text>
        <r>
          <rPr>
            <b/>
            <sz val="8"/>
            <color indexed="81"/>
            <rFont val="Tahoma"/>
            <family val="2"/>
          </rPr>
          <t>jerry.adams:</t>
        </r>
        <r>
          <rPr>
            <sz val="8"/>
            <color indexed="81"/>
            <rFont val="Tahoma"/>
            <family val="2"/>
          </rPr>
          <t xml:space="preserve">
Added for 2010.</t>
        </r>
      </text>
    </comment>
    <comment ref="C350" authorId="0">
      <text>
        <r>
          <rPr>
            <b/>
            <sz val="8"/>
            <color indexed="81"/>
            <rFont val="Tahoma"/>
            <family val="2"/>
          </rPr>
          <t>jerry.adams:</t>
        </r>
        <r>
          <rPr>
            <sz val="8"/>
            <color indexed="81"/>
            <rFont val="Tahoma"/>
            <family val="2"/>
          </rPr>
          <t xml:space="preserve">
Based on Bone Hole Cave Gate installed 2008 Carter Co WHIP contract.</t>
        </r>
      </text>
    </comment>
    <comment ref="BE350" authorId="0">
      <text>
        <r>
          <rPr>
            <b/>
            <sz val="8"/>
            <color indexed="81"/>
            <rFont val="Tahoma"/>
            <family val="2"/>
          </rPr>
          <t>jerry.adams:</t>
        </r>
        <r>
          <rPr>
            <sz val="8"/>
            <color indexed="81"/>
            <rFont val="Tahoma"/>
            <family val="2"/>
          </rPr>
          <t xml:space="preserve">
Based on Bone Hole Cave Gate installed 2008 Carter Co WHIP contract.</t>
        </r>
      </text>
    </comment>
    <comment ref="C362" authorId="0">
      <text>
        <r>
          <rPr>
            <b/>
            <sz val="8"/>
            <color indexed="81"/>
            <rFont val="Tahoma"/>
            <family val="2"/>
          </rPr>
          <t>jerry.adams:</t>
        </r>
        <r>
          <rPr>
            <sz val="8"/>
            <color indexed="81"/>
            <rFont val="Tahoma"/>
            <family val="2"/>
          </rPr>
          <t xml:space="preserve">
Dbl rate of non-organic as directed by SRC.</t>
        </r>
      </text>
    </comment>
    <comment ref="BE362" authorId="0">
      <text>
        <r>
          <rPr>
            <b/>
            <sz val="8"/>
            <color indexed="81"/>
            <rFont val="Tahoma"/>
            <family val="2"/>
          </rPr>
          <t>jerry.adams:</t>
        </r>
        <r>
          <rPr>
            <sz val="8"/>
            <color indexed="81"/>
            <rFont val="Tahoma"/>
            <family val="2"/>
          </rPr>
          <t xml:space="preserve">
Dbl rate of non-organic as directed by SRC.</t>
        </r>
      </text>
    </comment>
    <comment ref="C363" authorId="0">
      <text>
        <r>
          <rPr>
            <b/>
            <sz val="8"/>
            <color indexed="81"/>
            <rFont val="Tahoma"/>
            <family val="2"/>
          </rPr>
          <t>jerry.adams:</t>
        </r>
        <r>
          <rPr>
            <sz val="8"/>
            <color indexed="81"/>
            <rFont val="Tahoma"/>
            <family val="2"/>
          </rPr>
          <t xml:space="preserve">
Dbl rate of non-organic as directed by SRC.</t>
        </r>
      </text>
    </comment>
    <comment ref="BE363" authorId="0">
      <text>
        <r>
          <rPr>
            <b/>
            <sz val="8"/>
            <color indexed="81"/>
            <rFont val="Tahoma"/>
            <family val="2"/>
          </rPr>
          <t>jerry.adams:</t>
        </r>
        <r>
          <rPr>
            <sz val="8"/>
            <color indexed="81"/>
            <rFont val="Tahoma"/>
            <family val="2"/>
          </rPr>
          <t xml:space="preserve">
Dbl rate of non-organic as directed by SRC.</t>
        </r>
      </text>
    </comment>
    <comment ref="C364" authorId="0">
      <text>
        <r>
          <rPr>
            <b/>
            <sz val="8"/>
            <color indexed="81"/>
            <rFont val="Tahoma"/>
            <family val="2"/>
          </rPr>
          <t>jerry.adams:</t>
        </r>
        <r>
          <rPr>
            <sz val="8"/>
            <color indexed="81"/>
            <rFont val="Tahoma"/>
            <family val="2"/>
          </rPr>
          <t xml:space="preserve">
Dbl rate of non-organic as directed by SRC.</t>
        </r>
      </text>
    </comment>
    <comment ref="BE364" authorId="0">
      <text>
        <r>
          <rPr>
            <b/>
            <sz val="8"/>
            <color indexed="81"/>
            <rFont val="Tahoma"/>
            <family val="2"/>
          </rPr>
          <t>jerry.adams:</t>
        </r>
        <r>
          <rPr>
            <sz val="8"/>
            <color indexed="81"/>
            <rFont val="Tahoma"/>
            <family val="2"/>
          </rPr>
          <t xml:space="preserve">
Dbl rate of non-organic as directed by SRC.</t>
        </r>
      </text>
    </comment>
    <comment ref="A371" authorId="0">
      <text>
        <r>
          <rPr>
            <b/>
            <sz val="8"/>
            <color indexed="81"/>
            <rFont val="Tahoma"/>
            <family val="2"/>
          </rPr>
          <t>jerry.adams:</t>
        </r>
        <r>
          <rPr>
            <sz val="8"/>
            <color indexed="81"/>
            <rFont val="Tahoma"/>
            <family val="2"/>
          </rPr>
          <t xml:space="preserve">
Added for 2010</t>
        </r>
      </text>
    </comment>
    <comment ref="A372" authorId="0">
      <text>
        <r>
          <rPr>
            <b/>
            <sz val="8"/>
            <color indexed="81"/>
            <rFont val="Tahoma"/>
            <family val="2"/>
          </rPr>
          <t>jerry.adams:</t>
        </r>
        <r>
          <rPr>
            <sz val="8"/>
            <color indexed="81"/>
            <rFont val="Tahoma"/>
            <family val="2"/>
          </rPr>
          <t xml:space="preserve">
Added for 2010</t>
        </r>
      </text>
    </comment>
  </commentList>
</comments>
</file>

<file path=xl/comments10.xml><?xml version="1.0" encoding="utf-8"?>
<comments xmlns="http://schemas.openxmlformats.org/spreadsheetml/2006/main">
  <authors>
    <author>lauren.cartwright</author>
  </authors>
  <commentList>
    <comment ref="G41" authorId="0">
      <text>
        <r>
          <rPr>
            <b/>
            <sz val="8"/>
            <color indexed="81"/>
            <rFont val="Tahoma"/>
            <family val="2"/>
          </rPr>
          <t>The total estimated cost is converted to the Unit for Cost Estimate if the item unit is different.</t>
        </r>
      </text>
    </comment>
    <comment ref="G47" authorId="0">
      <text>
        <r>
          <rPr>
            <b/>
            <sz val="8"/>
            <color indexed="81"/>
            <rFont val="Tahoma"/>
            <family val="2"/>
          </rPr>
          <t>The total estimated cost is converted to the Unit for Cost Estimate if the item unit is different.</t>
        </r>
      </text>
    </comment>
    <comment ref="G54" authorId="0">
      <text>
        <r>
          <rPr>
            <b/>
            <sz val="8"/>
            <color indexed="81"/>
            <rFont val="Tahoma"/>
            <family val="2"/>
          </rPr>
          <t>The total estimated cost is converted to the Unit for Cost Estimate if the item unit is different.</t>
        </r>
      </text>
    </comment>
    <comment ref="G60" authorId="0">
      <text>
        <r>
          <rPr>
            <b/>
            <sz val="8"/>
            <color indexed="81"/>
            <rFont val="Tahoma"/>
            <family val="2"/>
          </rPr>
          <t>The total estimated cost is converted to the Unit for Cost Estimate if the item unit is different.</t>
        </r>
      </text>
    </comment>
    <comment ref="G66" authorId="0">
      <text>
        <r>
          <rPr>
            <b/>
            <sz val="8"/>
            <color indexed="81"/>
            <rFont val="Tahoma"/>
            <family val="2"/>
          </rPr>
          <t>The total estimated cost is converted to the Unit for Cost Estimate if the item unit is different.</t>
        </r>
      </text>
    </comment>
    <comment ref="G72" authorId="0">
      <text>
        <r>
          <rPr>
            <b/>
            <sz val="8"/>
            <color indexed="81"/>
            <rFont val="Tahoma"/>
            <family val="2"/>
          </rPr>
          <t>The total estimated cost is converted to the Unit for Cost Estimate if the item unit is different.</t>
        </r>
      </text>
    </comment>
    <comment ref="G78" authorId="0">
      <text>
        <r>
          <rPr>
            <b/>
            <sz val="8"/>
            <color indexed="81"/>
            <rFont val="Tahoma"/>
            <family val="2"/>
          </rPr>
          <t>The total estimated cost is converted to the Unit for Cost Estimate if the item unit is different.</t>
        </r>
      </text>
    </comment>
    <comment ref="G84" authorId="0">
      <text>
        <r>
          <rPr>
            <b/>
            <sz val="8"/>
            <color indexed="81"/>
            <rFont val="Tahoma"/>
            <family val="2"/>
          </rPr>
          <t>The total estimated cost is converted to the Unit for Cost Estimate if the item unit is different.</t>
        </r>
      </text>
    </comment>
    <comment ref="G90" authorId="0">
      <text>
        <r>
          <rPr>
            <b/>
            <sz val="8"/>
            <color indexed="81"/>
            <rFont val="Tahoma"/>
            <family val="2"/>
          </rPr>
          <t>The total estimated cost is converted to the Unit for Cost Estimate if the item unit is different.</t>
        </r>
      </text>
    </comment>
  </commentList>
</comments>
</file>

<file path=xl/comments2.xml><?xml version="1.0" encoding="utf-8"?>
<comments xmlns="http://schemas.openxmlformats.org/spreadsheetml/2006/main">
  <authors>
    <author>lauren.cartwright</author>
  </authors>
  <commentList>
    <comment ref="G37" authorId="0">
      <text>
        <r>
          <rPr>
            <b/>
            <sz val="8"/>
            <color indexed="81"/>
            <rFont val="Tahoma"/>
            <family val="2"/>
          </rPr>
          <t>The total estimated cost is converted to the Unit for Cost Estimate if the item unit is different.</t>
        </r>
      </text>
    </comment>
    <comment ref="G43" authorId="0">
      <text>
        <r>
          <rPr>
            <b/>
            <sz val="8"/>
            <color indexed="81"/>
            <rFont val="Tahoma"/>
            <family val="2"/>
          </rPr>
          <t>The total estimated cost is converted to the Unit for Cost Estimate if the item unit is different.</t>
        </r>
      </text>
    </comment>
    <comment ref="G49" authorId="0">
      <text>
        <r>
          <rPr>
            <b/>
            <sz val="8"/>
            <color indexed="81"/>
            <rFont val="Tahoma"/>
            <family val="2"/>
          </rPr>
          <t>The total estimated cost is converted to the Unit for Cost Estimate if the item unit is different.</t>
        </r>
      </text>
    </comment>
    <comment ref="G56" authorId="0">
      <text>
        <r>
          <rPr>
            <b/>
            <sz val="8"/>
            <color indexed="81"/>
            <rFont val="Tahoma"/>
            <family val="2"/>
          </rPr>
          <t>The total estimated cost is converted to the Unit for Cost Estimate if the item unit is different.</t>
        </r>
      </text>
    </comment>
    <comment ref="G62" authorId="0">
      <text>
        <r>
          <rPr>
            <b/>
            <sz val="8"/>
            <color indexed="81"/>
            <rFont val="Tahoma"/>
            <family val="2"/>
          </rPr>
          <t>The total estimated cost is converted to the Unit for Cost Estimate if the item unit is different.</t>
        </r>
      </text>
    </comment>
    <comment ref="G68" authorId="0">
      <text>
        <r>
          <rPr>
            <b/>
            <sz val="8"/>
            <color indexed="81"/>
            <rFont val="Tahoma"/>
            <family val="2"/>
          </rPr>
          <t>The total estimated cost is converted to the Unit for Cost Estimate if the item unit is different.</t>
        </r>
      </text>
    </comment>
    <comment ref="G74" authorId="0">
      <text>
        <r>
          <rPr>
            <b/>
            <sz val="8"/>
            <color indexed="81"/>
            <rFont val="Tahoma"/>
            <family val="2"/>
          </rPr>
          <t>The total estimated cost is converted to the Unit for Cost Estimate if the item unit is different.</t>
        </r>
      </text>
    </comment>
    <comment ref="G82" authorId="0">
      <text>
        <r>
          <rPr>
            <b/>
            <sz val="8"/>
            <color indexed="81"/>
            <rFont val="Tahoma"/>
            <family val="2"/>
          </rPr>
          <t>The total estimated cost is converted to the Unit for Cost Estimate if the item unit is different.</t>
        </r>
      </text>
    </comment>
    <comment ref="G88" authorId="0">
      <text>
        <r>
          <rPr>
            <b/>
            <sz val="8"/>
            <color indexed="81"/>
            <rFont val="Tahoma"/>
            <family val="2"/>
          </rPr>
          <t>The total estimated cost is converted to the Unit for Cost Estimate if the item unit is different.</t>
        </r>
      </text>
    </comment>
  </commentList>
</comments>
</file>

<file path=xl/comments3.xml><?xml version="1.0" encoding="utf-8"?>
<comments xmlns="http://schemas.openxmlformats.org/spreadsheetml/2006/main">
  <authors>
    <author>lauren.cartwright</author>
  </authors>
  <commentList>
    <comment ref="G39" authorId="0">
      <text>
        <r>
          <rPr>
            <b/>
            <sz val="8"/>
            <color indexed="81"/>
            <rFont val="Tahoma"/>
            <family val="2"/>
          </rPr>
          <t>The total estimated cost is converted to the Unit for Cost Estimate if the item unit is different.</t>
        </r>
      </text>
    </comment>
    <comment ref="G55" authorId="0">
      <text>
        <r>
          <rPr>
            <b/>
            <sz val="8"/>
            <color indexed="81"/>
            <rFont val="Tahoma"/>
            <family val="2"/>
          </rPr>
          <t>The total estimated cost is converted to the Unit for Cost Estimate if the item unit is different.</t>
        </r>
      </text>
    </comment>
    <comment ref="G61" authorId="0">
      <text>
        <r>
          <rPr>
            <b/>
            <sz val="8"/>
            <color indexed="81"/>
            <rFont val="Tahoma"/>
            <family val="2"/>
          </rPr>
          <t>The total estimated cost is converted to the Unit for Cost Estimate if the item unit is different.</t>
        </r>
      </text>
    </comment>
    <comment ref="G68" authorId="0">
      <text>
        <r>
          <rPr>
            <b/>
            <sz val="8"/>
            <color indexed="81"/>
            <rFont val="Tahoma"/>
            <family val="2"/>
          </rPr>
          <t>The total estimated cost is converted to the Unit for Cost Estimate if the item unit is different.</t>
        </r>
      </text>
    </comment>
    <comment ref="G74" authorId="0">
      <text>
        <r>
          <rPr>
            <b/>
            <sz val="8"/>
            <color indexed="81"/>
            <rFont val="Tahoma"/>
            <family val="2"/>
          </rPr>
          <t>The total estimated cost is converted to the Unit for Cost Estimate if the item unit is different.</t>
        </r>
      </text>
    </comment>
    <comment ref="G80" authorId="0">
      <text>
        <r>
          <rPr>
            <b/>
            <sz val="8"/>
            <color indexed="81"/>
            <rFont val="Tahoma"/>
            <family val="2"/>
          </rPr>
          <t>The total estimated cost is converted to the Unit for Cost Estimate if the item unit is different.</t>
        </r>
      </text>
    </comment>
    <comment ref="G86" authorId="0">
      <text>
        <r>
          <rPr>
            <b/>
            <sz val="8"/>
            <color indexed="81"/>
            <rFont val="Tahoma"/>
            <family val="2"/>
          </rPr>
          <t>The total estimated cost is converted to the Unit for Cost Estimate if the item unit is different.</t>
        </r>
      </text>
    </comment>
    <comment ref="G92" authorId="0">
      <text>
        <r>
          <rPr>
            <b/>
            <sz val="8"/>
            <color indexed="81"/>
            <rFont val="Tahoma"/>
            <family val="2"/>
          </rPr>
          <t>The total estimated cost is converted to the Unit for Cost Estimate if the item unit is different.</t>
        </r>
      </text>
    </comment>
    <comment ref="G98" authorId="0">
      <text>
        <r>
          <rPr>
            <b/>
            <sz val="8"/>
            <color indexed="81"/>
            <rFont val="Tahoma"/>
            <family val="2"/>
          </rPr>
          <t>The total estimated cost is converted to the Unit for Cost Estimate if the item unit is different.</t>
        </r>
      </text>
    </comment>
  </commentList>
</comments>
</file>

<file path=xl/comments4.xml><?xml version="1.0" encoding="utf-8"?>
<comments xmlns="http://schemas.openxmlformats.org/spreadsheetml/2006/main">
  <authors>
    <author>lauren.cartwright</author>
  </authors>
  <commentList>
    <comment ref="G53" authorId="0">
      <text>
        <r>
          <rPr>
            <b/>
            <sz val="8"/>
            <color indexed="81"/>
            <rFont val="Tahoma"/>
            <family val="2"/>
          </rPr>
          <t>The total estimated cost is converted to the Unit for Cost Estimate if the item unit is different.</t>
        </r>
      </text>
    </comment>
    <comment ref="G59" authorId="0">
      <text>
        <r>
          <rPr>
            <b/>
            <sz val="8"/>
            <color indexed="81"/>
            <rFont val="Tahoma"/>
            <family val="2"/>
          </rPr>
          <t>The total estimated cost is converted to the Unit for Cost Estimate if the item unit is different.</t>
        </r>
      </text>
    </comment>
    <comment ref="G65" authorId="0">
      <text>
        <r>
          <rPr>
            <b/>
            <sz val="8"/>
            <color indexed="81"/>
            <rFont val="Tahoma"/>
            <family val="2"/>
          </rPr>
          <t>The total estimated cost is converted to the Unit for Cost Estimate if the item unit is different.</t>
        </r>
      </text>
    </comment>
    <comment ref="G74" authorId="0">
      <text>
        <r>
          <rPr>
            <b/>
            <sz val="8"/>
            <color indexed="81"/>
            <rFont val="Tahoma"/>
            <family val="2"/>
          </rPr>
          <t>The total estimated cost is converted to the Unit for Cost Estimate if the item unit is different.</t>
        </r>
      </text>
    </comment>
    <comment ref="G80" authorId="0">
      <text>
        <r>
          <rPr>
            <b/>
            <sz val="8"/>
            <color indexed="81"/>
            <rFont val="Tahoma"/>
            <family val="2"/>
          </rPr>
          <t>The total estimated cost is converted to the Unit for Cost Estimate if the item unit is different.</t>
        </r>
      </text>
    </comment>
    <comment ref="G86" authorId="0">
      <text>
        <r>
          <rPr>
            <b/>
            <sz val="8"/>
            <color indexed="81"/>
            <rFont val="Tahoma"/>
            <family val="2"/>
          </rPr>
          <t>The total estimated cost is converted to the Unit for Cost Estimate if the item unit is different.</t>
        </r>
      </text>
    </comment>
    <comment ref="G92" authorId="0">
      <text>
        <r>
          <rPr>
            <b/>
            <sz val="8"/>
            <color indexed="81"/>
            <rFont val="Tahoma"/>
            <family val="2"/>
          </rPr>
          <t>The total estimated cost is converted to the Unit for Cost Estimate if the item unit is different.</t>
        </r>
      </text>
    </comment>
    <comment ref="G98" authorId="0">
      <text>
        <r>
          <rPr>
            <b/>
            <sz val="8"/>
            <color indexed="81"/>
            <rFont val="Tahoma"/>
            <family val="2"/>
          </rPr>
          <t>The total estimated cost is converted to the Unit for Cost Estimate if the item unit is different.</t>
        </r>
      </text>
    </comment>
    <comment ref="G104" authorId="0">
      <text>
        <r>
          <rPr>
            <b/>
            <sz val="8"/>
            <color indexed="81"/>
            <rFont val="Tahoma"/>
            <family val="2"/>
          </rPr>
          <t>The total estimated cost is converted to the Unit for Cost Estimate if the item unit is different.</t>
        </r>
      </text>
    </comment>
  </commentList>
</comments>
</file>

<file path=xl/comments5.xml><?xml version="1.0" encoding="utf-8"?>
<comments xmlns="http://schemas.openxmlformats.org/spreadsheetml/2006/main">
  <authors>
    <author>Rita.Bickel</author>
  </authors>
  <commentList>
    <comment ref="D48" authorId="0">
      <text>
        <r>
          <rPr>
            <b/>
            <sz val="10"/>
            <color indexed="81"/>
            <rFont val="Tahoma"/>
          </rPr>
          <t>Rita.Bickel:</t>
        </r>
        <r>
          <rPr>
            <sz val="10"/>
            <color indexed="81"/>
            <rFont val="Tahoma"/>
          </rPr>
          <t xml:space="preserve">
Costs will vary determined by location within the state.</t>
        </r>
      </text>
    </comment>
  </commentList>
</comments>
</file>

<file path=xl/comments6.xml><?xml version="1.0" encoding="utf-8"?>
<comments xmlns="http://schemas.openxmlformats.org/spreadsheetml/2006/main">
  <authors>
    <author>lauren.cartwright</author>
  </authors>
  <commentList>
    <comment ref="G41" authorId="0">
      <text>
        <r>
          <rPr>
            <b/>
            <sz val="8"/>
            <color indexed="81"/>
            <rFont val="Tahoma"/>
            <family val="2"/>
          </rPr>
          <t>The total estimated cost is converted to the Unit for Cost Estimate if the item unit is different.</t>
        </r>
      </text>
    </comment>
    <comment ref="G51" authorId="0">
      <text>
        <r>
          <rPr>
            <b/>
            <sz val="8"/>
            <color indexed="81"/>
            <rFont val="Tahoma"/>
            <family val="2"/>
          </rPr>
          <t>The total estimated cost is converted to the Unit for Cost Estimate if the item unit is different.</t>
        </r>
      </text>
    </comment>
    <comment ref="G58" authorId="0">
      <text>
        <r>
          <rPr>
            <b/>
            <sz val="8"/>
            <color indexed="81"/>
            <rFont val="Tahoma"/>
            <family val="2"/>
          </rPr>
          <t>The total estimated cost is converted to the Unit for Cost Estimate if the item unit is different.</t>
        </r>
      </text>
    </comment>
    <comment ref="G64" authorId="0">
      <text>
        <r>
          <rPr>
            <b/>
            <sz val="8"/>
            <color indexed="81"/>
            <rFont val="Tahoma"/>
            <family val="2"/>
          </rPr>
          <t>The total estimated cost is converted to the Unit for Cost Estimate if the item unit is different.</t>
        </r>
      </text>
    </comment>
    <comment ref="G70" authorId="0">
      <text>
        <r>
          <rPr>
            <b/>
            <sz val="8"/>
            <color indexed="81"/>
            <rFont val="Tahoma"/>
            <family val="2"/>
          </rPr>
          <t>The total estimated cost is converted to the Unit for Cost Estimate if the item unit is different.</t>
        </r>
      </text>
    </comment>
    <comment ref="G76" authorId="0">
      <text>
        <r>
          <rPr>
            <b/>
            <sz val="8"/>
            <color indexed="81"/>
            <rFont val="Tahoma"/>
            <family val="2"/>
          </rPr>
          <t>The total estimated cost is converted to the Unit for Cost Estimate if the item unit is different.</t>
        </r>
      </text>
    </comment>
    <comment ref="G82" authorId="0">
      <text>
        <r>
          <rPr>
            <b/>
            <sz val="8"/>
            <color indexed="81"/>
            <rFont val="Tahoma"/>
            <family val="2"/>
          </rPr>
          <t>The total estimated cost is converted to the Unit for Cost Estimate if the item unit is different.</t>
        </r>
      </text>
    </comment>
    <comment ref="G88" authorId="0">
      <text>
        <r>
          <rPr>
            <b/>
            <sz val="8"/>
            <color indexed="81"/>
            <rFont val="Tahoma"/>
            <family val="2"/>
          </rPr>
          <t>The total estimated cost is converted to the Unit for Cost Estimate if the item unit is different.</t>
        </r>
      </text>
    </comment>
    <comment ref="G94" authorId="0">
      <text>
        <r>
          <rPr>
            <b/>
            <sz val="8"/>
            <color indexed="81"/>
            <rFont val="Tahoma"/>
            <family val="2"/>
          </rPr>
          <t>The total estimated cost is converted to the Unit for Cost Estimate if the item unit is different.</t>
        </r>
      </text>
    </comment>
  </commentList>
</comments>
</file>

<file path=xl/comments7.xml><?xml version="1.0" encoding="utf-8"?>
<comments xmlns="http://schemas.openxmlformats.org/spreadsheetml/2006/main">
  <authors>
    <author>lauren.cartwright</author>
  </authors>
  <commentList>
    <comment ref="G41" authorId="0">
      <text>
        <r>
          <rPr>
            <b/>
            <sz val="8"/>
            <color indexed="81"/>
            <rFont val="Tahoma"/>
            <family val="2"/>
          </rPr>
          <t>The total estimated cost is converted to the Unit for Cost Estimate if the item unit is different.</t>
        </r>
      </text>
    </comment>
    <comment ref="G51" authorId="0">
      <text>
        <r>
          <rPr>
            <b/>
            <sz val="8"/>
            <color indexed="81"/>
            <rFont val="Tahoma"/>
            <family val="2"/>
          </rPr>
          <t>The total estimated cost is converted to the Unit for Cost Estimate if the item unit is different.</t>
        </r>
      </text>
    </comment>
    <comment ref="G58" authorId="0">
      <text>
        <r>
          <rPr>
            <b/>
            <sz val="8"/>
            <color indexed="81"/>
            <rFont val="Tahoma"/>
            <family val="2"/>
          </rPr>
          <t>The total estimated cost is converted to the Unit for Cost Estimate if the item unit is different.</t>
        </r>
      </text>
    </comment>
    <comment ref="G64" authorId="0">
      <text>
        <r>
          <rPr>
            <b/>
            <sz val="8"/>
            <color indexed="81"/>
            <rFont val="Tahoma"/>
            <family val="2"/>
          </rPr>
          <t>The total estimated cost is converted to the Unit for Cost Estimate if the item unit is different.</t>
        </r>
      </text>
    </comment>
    <comment ref="G70" authorId="0">
      <text>
        <r>
          <rPr>
            <b/>
            <sz val="8"/>
            <color indexed="81"/>
            <rFont val="Tahoma"/>
            <family val="2"/>
          </rPr>
          <t>The total estimated cost is converted to the Unit for Cost Estimate if the item unit is different.</t>
        </r>
      </text>
    </comment>
    <comment ref="G76" authorId="0">
      <text>
        <r>
          <rPr>
            <b/>
            <sz val="8"/>
            <color indexed="81"/>
            <rFont val="Tahoma"/>
            <family val="2"/>
          </rPr>
          <t>The total estimated cost is converted to the Unit for Cost Estimate if the item unit is different.</t>
        </r>
      </text>
    </comment>
    <comment ref="G82" authorId="0">
      <text>
        <r>
          <rPr>
            <b/>
            <sz val="8"/>
            <color indexed="81"/>
            <rFont val="Tahoma"/>
            <family val="2"/>
          </rPr>
          <t>The total estimated cost is converted to the Unit for Cost Estimate if the item unit is different.</t>
        </r>
      </text>
    </comment>
    <comment ref="G88" authorId="0">
      <text>
        <r>
          <rPr>
            <b/>
            <sz val="8"/>
            <color indexed="81"/>
            <rFont val="Tahoma"/>
            <family val="2"/>
          </rPr>
          <t>The total estimated cost is converted to the Unit for Cost Estimate if the item unit is different.</t>
        </r>
      </text>
    </comment>
    <comment ref="G94" authorId="0">
      <text>
        <r>
          <rPr>
            <b/>
            <sz val="8"/>
            <color indexed="81"/>
            <rFont val="Tahoma"/>
            <family val="2"/>
          </rPr>
          <t>The total estimated cost is converted to the Unit for Cost Estimate if the item unit is different.</t>
        </r>
      </text>
    </comment>
  </commentList>
</comments>
</file>

<file path=xl/comments8.xml><?xml version="1.0" encoding="utf-8"?>
<comments xmlns="http://schemas.openxmlformats.org/spreadsheetml/2006/main">
  <authors>
    <author>lauren.cartwright</author>
  </authors>
  <commentList>
    <comment ref="G41" authorId="0">
      <text>
        <r>
          <rPr>
            <b/>
            <sz val="8"/>
            <color indexed="81"/>
            <rFont val="Tahoma"/>
            <family val="2"/>
          </rPr>
          <t>The total estimated cost is converted to the Unit for Cost Estimate if the item unit is different.</t>
        </r>
      </text>
    </comment>
    <comment ref="G51" authorId="0">
      <text>
        <r>
          <rPr>
            <b/>
            <sz val="8"/>
            <color indexed="81"/>
            <rFont val="Tahoma"/>
            <family val="2"/>
          </rPr>
          <t>The total estimated cost is converted to the Unit for Cost Estimate if the item unit is different.</t>
        </r>
      </text>
    </comment>
    <comment ref="G58" authorId="0">
      <text>
        <r>
          <rPr>
            <b/>
            <sz val="8"/>
            <color indexed="81"/>
            <rFont val="Tahoma"/>
            <family val="2"/>
          </rPr>
          <t>The total estimated cost is converted to the Unit for Cost Estimate if the item unit is different.</t>
        </r>
      </text>
    </comment>
    <comment ref="G64" authorId="0">
      <text>
        <r>
          <rPr>
            <b/>
            <sz val="8"/>
            <color indexed="81"/>
            <rFont val="Tahoma"/>
            <family val="2"/>
          </rPr>
          <t>The total estimated cost is converted to the Unit for Cost Estimate if the item unit is different.</t>
        </r>
      </text>
    </comment>
    <comment ref="G70" authorId="0">
      <text>
        <r>
          <rPr>
            <b/>
            <sz val="8"/>
            <color indexed="81"/>
            <rFont val="Tahoma"/>
            <family val="2"/>
          </rPr>
          <t>The total estimated cost is converted to the Unit for Cost Estimate if the item unit is different.</t>
        </r>
      </text>
    </comment>
    <comment ref="G76" authorId="0">
      <text>
        <r>
          <rPr>
            <b/>
            <sz val="8"/>
            <color indexed="81"/>
            <rFont val="Tahoma"/>
            <family val="2"/>
          </rPr>
          <t>The total estimated cost is converted to the Unit for Cost Estimate if the item unit is different.</t>
        </r>
      </text>
    </comment>
    <comment ref="G82" authorId="0">
      <text>
        <r>
          <rPr>
            <b/>
            <sz val="8"/>
            <color indexed="81"/>
            <rFont val="Tahoma"/>
            <family val="2"/>
          </rPr>
          <t>The total estimated cost is converted to the Unit for Cost Estimate if the item unit is different.</t>
        </r>
      </text>
    </comment>
    <comment ref="G88" authorId="0">
      <text>
        <r>
          <rPr>
            <b/>
            <sz val="8"/>
            <color indexed="81"/>
            <rFont val="Tahoma"/>
            <family val="2"/>
          </rPr>
          <t>The total estimated cost is converted to the Unit for Cost Estimate if the item unit is different.</t>
        </r>
      </text>
    </comment>
    <comment ref="G94" authorId="0">
      <text>
        <r>
          <rPr>
            <b/>
            <sz val="8"/>
            <color indexed="81"/>
            <rFont val="Tahoma"/>
            <family val="2"/>
          </rPr>
          <t>The total estimated cost is converted to the Unit for Cost Estimate if the item unit is different.</t>
        </r>
      </text>
    </comment>
  </commentList>
</comments>
</file>

<file path=xl/comments9.xml><?xml version="1.0" encoding="utf-8"?>
<comments xmlns="http://schemas.openxmlformats.org/spreadsheetml/2006/main">
  <authors>
    <author>lauren.cartwright</author>
  </authors>
  <commentList>
    <comment ref="G41" authorId="0">
      <text>
        <r>
          <rPr>
            <b/>
            <sz val="8"/>
            <color indexed="81"/>
            <rFont val="Tahoma"/>
            <family val="2"/>
          </rPr>
          <t>The total estimated cost is converted to the Unit for Cost Estimate if the item unit is different.</t>
        </r>
      </text>
    </comment>
    <comment ref="G51" authorId="0">
      <text>
        <r>
          <rPr>
            <b/>
            <sz val="8"/>
            <color indexed="81"/>
            <rFont val="Tahoma"/>
            <family val="2"/>
          </rPr>
          <t>The total estimated cost is converted to the Unit for Cost Estimate if the item unit is different.</t>
        </r>
      </text>
    </comment>
    <comment ref="G58" authorId="0">
      <text>
        <r>
          <rPr>
            <b/>
            <sz val="8"/>
            <color indexed="81"/>
            <rFont val="Tahoma"/>
            <family val="2"/>
          </rPr>
          <t>The total estimated cost is converted to the Unit for Cost Estimate if the item unit is different.</t>
        </r>
      </text>
    </comment>
    <comment ref="G64" authorId="0">
      <text>
        <r>
          <rPr>
            <b/>
            <sz val="8"/>
            <color indexed="81"/>
            <rFont val="Tahoma"/>
            <family val="2"/>
          </rPr>
          <t>The total estimated cost is converted to the Unit for Cost Estimate if the item unit is different.</t>
        </r>
      </text>
    </comment>
    <comment ref="G70" authorId="0">
      <text>
        <r>
          <rPr>
            <b/>
            <sz val="8"/>
            <color indexed="81"/>
            <rFont val="Tahoma"/>
            <family val="2"/>
          </rPr>
          <t>The total estimated cost is converted to the Unit for Cost Estimate if the item unit is different.</t>
        </r>
      </text>
    </comment>
    <comment ref="G76" authorId="0">
      <text>
        <r>
          <rPr>
            <b/>
            <sz val="8"/>
            <color indexed="81"/>
            <rFont val="Tahoma"/>
            <family val="2"/>
          </rPr>
          <t>The total estimated cost is converted to the Unit for Cost Estimate if the item unit is different.</t>
        </r>
      </text>
    </comment>
    <comment ref="G82" authorId="0">
      <text>
        <r>
          <rPr>
            <b/>
            <sz val="8"/>
            <color indexed="81"/>
            <rFont val="Tahoma"/>
            <family val="2"/>
          </rPr>
          <t>The total estimated cost is converted to the Unit for Cost Estimate if the item unit is different.</t>
        </r>
      </text>
    </comment>
    <comment ref="G88" authorId="0">
      <text>
        <r>
          <rPr>
            <b/>
            <sz val="8"/>
            <color indexed="81"/>
            <rFont val="Tahoma"/>
            <family val="2"/>
          </rPr>
          <t>The total estimated cost is converted to the Unit for Cost Estimate if the item unit is different.</t>
        </r>
      </text>
    </comment>
    <comment ref="G94" authorId="0">
      <text>
        <r>
          <rPr>
            <b/>
            <sz val="8"/>
            <color indexed="81"/>
            <rFont val="Tahoma"/>
            <family val="2"/>
          </rPr>
          <t>The total estimated cost is converted to the Unit for Cost Estimate if the item unit is different.</t>
        </r>
      </text>
    </comment>
  </commentList>
</comments>
</file>

<file path=xl/sharedStrings.xml><?xml version="1.0" encoding="utf-8"?>
<sst xmlns="http://schemas.openxmlformats.org/spreadsheetml/2006/main" count="31966" uniqueCount="2512">
  <si>
    <t>Materials</t>
  </si>
  <si>
    <t>Practice</t>
  </si>
  <si>
    <t>Equipment/Installation</t>
  </si>
  <si>
    <t>Labor</t>
  </si>
  <si>
    <t>Mobilization</t>
  </si>
  <si>
    <t>Risk</t>
  </si>
  <si>
    <t>Cost/Unit</t>
  </si>
  <si>
    <t xml:space="preserve">Acquisition of Technical Knowledge </t>
  </si>
  <si>
    <t>Unit for Cost Estimate:</t>
  </si>
  <si>
    <t>Practice Life (Years):</t>
  </si>
  <si>
    <t>Discount Rate (%/Year):</t>
  </si>
  <si>
    <t>Total Cost Estimate:</t>
  </si>
  <si>
    <t>Payment</t>
  </si>
  <si>
    <t>Code</t>
  </si>
  <si>
    <t>Rate</t>
  </si>
  <si>
    <t>EQIP</t>
  </si>
  <si>
    <t>Cost Category</t>
  </si>
  <si>
    <t>Payment Schedule Results</t>
  </si>
  <si>
    <t>Payment Schedule Development Methodology</t>
  </si>
  <si>
    <t>Total:</t>
  </si>
  <si>
    <t>Administration &amp; Permit Costs</t>
  </si>
  <si>
    <t>Cost Share</t>
  </si>
  <si>
    <t>Program</t>
  </si>
  <si>
    <t>Unit Type</t>
  </si>
  <si>
    <t>Percentage</t>
  </si>
  <si>
    <t>Geographic Area:</t>
  </si>
  <si>
    <t>Operation &amp; Maintenance (Annual)</t>
  </si>
  <si>
    <t>Forgone Income (Annual)</t>
  </si>
  <si>
    <t>Cost Data</t>
  </si>
  <si>
    <t>Practice/Activity Name</t>
  </si>
  <si>
    <t>Practice/Activity Type</t>
  </si>
  <si>
    <t>EQIP-HU</t>
  </si>
  <si>
    <t>Scenario Description:</t>
  </si>
  <si>
    <t xml:space="preserve">   Before Practice Situation:</t>
  </si>
  <si>
    <t xml:space="preserve">   Associated Practices:</t>
  </si>
  <si>
    <t xml:space="preserve">   After Practice Situation:</t>
  </si>
  <si>
    <t>State</t>
  </si>
  <si>
    <t>Practice Code</t>
  </si>
  <si>
    <t>No</t>
  </si>
  <si>
    <t>Not Applicable</t>
  </si>
  <si>
    <t xml:space="preserve">   Resource Setting:</t>
  </si>
  <si>
    <t xml:space="preserve">   Natural Resource Concern:</t>
  </si>
  <si>
    <t>US States and Territories</t>
  </si>
  <si>
    <t>Data Sources:</t>
  </si>
  <si>
    <t>Labor provided by a certified Technical Service Provider for development of the CAP plan.  Specific estimated costs as follows:</t>
  </si>
  <si>
    <t>Name of Item (Data Source Number)</t>
  </si>
  <si>
    <t>Unit</t>
  </si>
  <si>
    <t>Number</t>
  </si>
  <si>
    <t>Item Cost</t>
  </si>
  <si>
    <t>Hour</t>
  </si>
  <si>
    <t>Nutrient Management CAP</t>
  </si>
  <si>
    <t>Various on-farm land uses where natural or artificial amendments are applied.</t>
  </si>
  <si>
    <t>Water Quality, Soil Erosion, Water Quantity, and other associated resource concerns.</t>
  </si>
  <si>
    <t>328, 340, 330, 554, 329, 345, 346, 412, 449, 585, 600, 332, 390, 391, 393, 601, 635, 656, 657, 658, 659, 747, 511, 362, 386, 410, 447, 587, 633, 638 or other applicable practices approved in the NRCS Field Office Technical Guide.</t>
  </si>
  <si>
    <t xml:space="preserve">Agricultural currently producer has no plan or minimal knowledge for applicant and management of . The producer  currently manages nutrient application based upon label instructions, personal knowledge, or other local criteria.  Producer is interested in management of nutrients to maximize yields, profits margin, reduce costs, and for environmental benefit. Producer is willing to collaborate with a certified TSP to develop a plan. </t>
  </si>
  <si>
    <t>Development of a 104 Nutrient Management Conservation Activity Plan CAP.</t>
  </si>
  <si>
    <t xml:space="preserve">After EQIP contract approval, participant has obtained services from a certified TSP for develop of the "Nutrient Management" conservation activity plan.  The CAP criteria requires the plan to meet quality criteria for the primary Water Quality resource concern and other applicable resource concerns and provides for opportunities to manage nutrients for plant production and address offiste movement of nutrients.  The CAP plan may include recommendations for  associated conservation practices which address other related resource concerns.  CAP meets the basic quality criteria for the 104 plan as cited in the NRCS Field Office Technical Guide. </t>
  </si>
  <si>
    <t>1. Current State payment schedules reflect estimated costs of $2,100 to $3,200.</t>
  </si>
  <si>
    <t>2. Average cost for development of a Fish &amp; Wildlife CAP is approximately $2,500.</t>
  </si>
  <si>
    <t>3. The approximate average hourly rate of $56/hour.</t>
  </si>
  <si>
    <t>Using this data and average costs associated with size of plan:</t>
  </si>
  <si>
    <t>1. $2,100 for &lt;100 acres results in 38 hours needed to develop a plan</t>
  </si>
  <si>
    <t>3. $3,000 for &gt;300 acres results in 54 hours needed to develop a plan</t>
  </si>
  <si>
    <t>2. $2,500 for 100-300 acres results in 45 hours needed to develop a plan</t>
  </si>
  <si>
    <t>Nutrient Management CAP &lt;100 AC</t>
  </si>
  <si>
    <t>Nutrient Management CAP &lt;100 AC - HU</t>
  </si>
  <si>
    <t>Development of a 104 Nutrient Management Conservation Activity Plan CAP. &lt; 100 AC</t>
  </si>
  <si>
    <t>Nutrient Management CAP 101-300 AC</t>
  </si>
  <si>
    <t>Nutrient Mangement CAP 101-300 AC</t>
  </si>
  <si>
    <t>Nutrient Mangement CAP 101-300 AC - HU</t>
  </si>
  <si>
    <t>Development of a 104 Nutrient Management Conservation Activity Plan CAP. 101-300 AC</t>
  </si>
  <si>
    <t>Nutrient Management CAP &gt;300 AC</t>
  </si>
  <si>
    <t>Nutrient Management CAP &gt;300 AC - HU</t>
  </si>
  <si>
    <t>https://nrcs.sc.egov.usda.gov/st/cost/CAP/Shared%20Documents/104data-FY11/SummaryComparisonCAP104NutrientManagementPlan.xlsx</t>
  </si>
  <si>
    <t>Average hourly rate is documented at the following NRCS website:</t>
  </si>
  <si>
    <t>Cost Share Program</t>
  </si>
  <si>
    <t>Payment Rate</t>
  </si>
  <si>
    <t>Geographic Area</t>
  </si>
  <si>
    <t>EQIP/WHIP</t>
  </si>
  <si>
    <t>Comprehensive Nutrient Management Plan</t>
  </si>
  <si>
    <t>Small Non-Dairy</t>
  </si>
  <si>
    <t>no</t>
  </si>
  <si>
    <t>Small Non-Dairy - HU</t>
  </si>
  <si>
    <t>EQIP/WHP</t>
  </si>
  <si>
    <t>EQIP HU</t>
  </si>
  <si>
    <t>EQIP/</t>
  </si>
  <si>
    <t>WHIP</t>
  </si>
  <si>
    <t>HU</t>
  </si>
  <si>
    <t>Administration &amp; Permits Costs</t>
  </si>
  <si>
    <t>Typical Implementation Scenario</t>
  </si>
  <si>
    <t>Hiring a Technical Service Provider (TSP) to develop a comprehensive nutrient management on a non-dairy operation.  Typical size is 50AU or less.</t>
  </si>
  <si>
    <t>Statewide</t>
  </si>
  <si>
    <t>Number of Units</t>
  </si>
  <si>
    <t>Average Cost</t>
  </si>
  <si>
    <t>List of typical kinds of materials (inputs) needed.</t>
  </si>
  <si>
    <t xml:space="preserve">     Manure sampling &amp; analysis</t>
  </si>
  <si>
    <t>sample</t>
  </si>
  <si>
    <t xml:space="preserve">     Soil Sampling &amp; Analysis</t>
  </si>
  <si>
    <t>The cost of equipment used to install the practice.</t>
  </si>
  <si>
    <t>Labor costs not included elsewhere required to install the practice.</t>
  </si>
  <si>
    <t>CNMP Development Cost - Small Non-Dairy</t>
  </si>
  <si>
    <t>each</t>
  </si>
  <si>
    <t>2% of Material/Equipment/Labor MIN $200</t>
  </si>
  <si>
    <t>N/A</t>
  </si>
  <si>
    <t>None</t>
  </si>
  <si>
    <t>Medium Non-Dairy</t>
  </si>
  <si>
    <t>Medium Non-Dairy - HU</t>
  </si>
  <si>
    <t>Hiring a Technical Service Provider (TSP) to develop a comprehensive nutrient management plan on a non-dairy operation.  Typical size is 50-100AU.</t>
  </si>
  <si>
    <t>CNMP Development Cost - Medium Non-Dairy</t>
  </si>
  <si>
    <t>Large Non-Dairy</t>
  </si>
  <si>
    <t>Large Non-Dairy - HU</t>
  </si>
  <si>
    <t>Hiring a Technical Service Provider (TSP) to develop a comprehensive nutrient management plan non-dairy operation.  Typical size is 100 or more AU.</t>
  </si>
  <si>
    <t>CNMP Development Cost - Large Non-Dairy</t>
  </si>
  <si>
    <t>Small Dairy</t>
  </si>
  <si>
    <t>Small Dairy - HU</t>
  </si>
  <si>
    <t>Hiring a Technical Service Provider (TSP) to develop a comprehensive nutrient management plan on a dairy operation.  Typical size 100AU or less.</t>
  </si>
  <si>
    <t>CNMP Development Cost - Small Dairy</t>
  </si>
  <si>
    <t>Medium Dairy</t>
  </si>
  <si>
    <t>Medium Dairy - HU</t>
  </si>
  <si>
    <t>Hiring a Technical Service Provider (TSP) to develop a comprehensive nutrient management plan on a dairy operation.  Typical size is 101-200AU.</t>
  </si>
  <si>
    <t>CNMP Development Cost - Medium Dairy</t>
  </si>
  <si>
    <t>Large Dairy</t>
  </si>
  <si>
    <t>Large Dairy - HU</t>
  </si>
  <si>
    <t>Hiring a Technical Service Provider (TSP) to develop a comprehensive nutrient management plan on a dairy operation.  Typical size is more than 200AU.</t>
  </si>
  <si>
    <t>CNMP Development Cost - Large Dairy</t>
  </si>
  <si>
    <t>CNMP Written (No Fields)</t>
  </si>
  <si>
    <t>CNMP Written-HU (No Fields)</t>
  </si>
  <si>
    <t xml:space="preserve">Hiring a Technical Service Provider (TSP) to develop a comprehensive nutrient management where ALL animal waste is exported. </t>
  </si>
  <si>
    <t xml:space="preserve">CNMP Development Cost </t>
  </si>
  <si>
    <t>Appalachian Region</t>
  </si>
  <si>
    <t>Forest Management Plan</t>
  </si>
  <si>
    <t>FMP ≤ 50 acres</t>
  </si>
  <si>
    <r>
      <t xml:space="preserve">FMP </t>
    </r>
    <r>
      <rPr>
        <sz val="10"/>
        <color indexed="12"/>
        <rFont val="Calibri"/>
        <family val="2"/>
      </rPr>
      <t>≤</t>
    </r>
    <r>
      <rPr>
        <sz val="10"/>
        <color indexed="12"/>
        <rFont val="Arial"/>
        <family val="2"/>
      </rPr>
      <t xml:space="preserve"> 50 acres</t>
    </r>
  </si>
  <si>
    <t>FMP ≤ 50 acres - HU</t>
  </si>
  <si>
    <t xml:space="preserve">Development of a FMP Conservation Activity Plan CAP </t>
  </si>
  <si>
    <t xml:space="preserve">Fish and Wildlife; Soil Erosion; Soil Condition; Water Quality; Plant Condition; on Forest Land. </t>
  </si>
  <si>
    <t xml:space="preserve">Non Industrial Private Forest Land typically unmanaged or limited management activities.  Typical site is approximately 10 to 50 acres in size and consists of existing uneven-aged mixed species stands of harvestable trees.  </t>
  </si>
  <si>
    <t xml:space="preserve">Producer has no existing plan or old existing plan is inadequate to address current needs to address resource concerns.  The producer does not manage the forest stand to address one or more serious resource concerns.  A Forest Management Plan or Conservation Activity Plan, as defined by EQIP regulation is needed to allow the producer to apply for financial assistance through EQIP or other programs to help implement needed conservation practices. </t>
  </si>
  <si>
    <t xml:space="preserve">After EQIP contract approval, participant has obtained services from a certified TSP for development of the "Forest Management Plan" Conservation Activity Plan (CAP).  The CAP criteria requires the plan to identify approved Field Office Technical Guide conservation practices where needed to address identified resource concerns.  The Forest Management CAP is not considered a Forest Harvest Plan, but should complement the needs for harvest if desired by the land user.  Additional CAP plan criteria is detailed in the Field Office Technical Guide. </t>
  </si>
  <si>
    <t xml:space="preserve">472, 666, 654, 655,384, 394, 383, 379, 338, 391, 791, 490, 612, 660, 311, 380. </t>
  </si>
  <si>
    <t xml:space="preserve">Labor provide by a certified Technical Service Provider for development of the CAP plan. </t>
  </si>
  <si>
    <t>Included in the consultation fees.</t>
  </si>
  <si>
    <t>Data Sources</t>
  </si>
  <si>
    <t xml:space="preserve">(1) Review of FY 2011 - 2012 State Payment Schedules for the Appalachians, Cornbelt, Delta, Lake States, Northern Plains, Southeast, and Southern Plains regions. </t>
  </si>
  <si>
    <t>(2) Consultation with State Certified and Registered Forester(s)</t>
  </si>
  <si>
    <t>(3) Consultation with Division of Forestry Resources</t>
  </si>
  <si>
    <t>FMP 51-100 acres</t>
  </si>
  <si>
    <t>FMP 51-100 acres - HU</t>
  </si>
  <si>
    <t xml:space="preserve">Non Industrial Private Forest Land typically unmanaged or limited management activities.  Typical site is approximately 51 to 100 acres in size and consists of existing uneven-aged mixed species stands of harvestable trees.  </t>
  </si>
  <si>
    <t xml:space="preserve">Labor provide by a certified Technical Service Provider for development of the CAP plan.  </t>
  </si>
  <si>
    <t>FMP 101-200 acres</t>
  </si>
  <si>
    <t>FMP 101-200 acres - HU</t>
  </si>
  <si>
    <t xml:space="preserve">Non Industrial Private Forest Land typically unmanaged or limited management activities.  Typical site is approximately 101 to 200 acres in size and consists of existing uneven-aged mixed species stands of harvestable trees.  </t>
  </si>
  <si>
    <t xml:space="preserve">Labor provide by a certified Technical Service Provider for development of the CAP plan.  Approximately </t>
  </si>
  <si>
    <t>FMP 201 - 400 acres</t>
  </si>
  <si>
    <t>FMP 201 - 400 acres - HU</t>
  </si>
  <si>
    <t xml:space="preserve">Non Industrial Private Forest Land typically unmanaged or limited management activities.  Typical site is approximately 201 to 400 acres in size and consists of existing uneven-aged mixed species stands of harvestable trees.  </t>
  </si>
  <si>
    <t>FMP 401 - 600 acres</t>
  </si>
  <si>
    <t>FMP 401 - 600 acres - HU</t>
  </si>
  <si>
    <t xml:space="preserve">Non Industrial Private Forest Land typically unmanaged or limited management activities.  Typical site is approximately 401 to 600 acres in size and consists of existing uneven-aged mixed species stands of harvestable trees.  </t>
  </si>
  <si>
    <t>FMP 601 - 1000 acres</t>
  </si>
  <si>
    <t>FMP 601 - 1000 acres - HU</t>
  </si>
  <si>
    <t xml:space="preserve">Non Industrial Private Forest Land typically unmanaged or limited management activities.  Typical site is approximately 601 to 1000 acres in size and consists of existing uneven-aged mixed species stands of harvestable trees.  </t>
  </si>
  <si>
    <t>Grazing Management CAP</t>
  </si>
  <si>
    <t>Grazing Management Plan &lt; 100 Acre</t>
  </si>
  <si>
    <t>Grazing Management Plan &lt; 100 Acre - HU</t>
  </si>
  <si>
    <t>Development of a 110 Grazing Management Conservation Activity Plan CAP.</t>
  </si>
  <si>
    <t>Soil erosion, water quality, fish and wildlife, plant condition, and all other appropriate resource concerns.</t>
  </si>
  <si>
    <t>Small agricultural operation with less than 100 acres grazed land.</t>
  </si>
  <si>
    <t xml:space="preserve">Producer has no plan or limited knowledge of management of livestock or other animals on grazed land resources. The producer currently manages animals without plan to address identified natural resource concerns.  Producer is interested in managment  of animals to maximize profit margin, reduce costs, improveor address wildlife opportunties, and for other environmental benefit. Producer is willing to collaborate with a certified TSP to develop a plan and collect/coordinate data recording to monitor per requirements of plan. </t>
  </si>
  <si>
    <t xml:space="preserve">After EQIP contract approval, participant has obtained services from a certified TSP for develop of the "Grazing Management" conservation activity plan.  The CAP criteria requires the plan to meet quality criteria for applicable resource concerns and provides for opportunities to implement essential conservation practices: Brush Management, Fencing, Firebreak, Forage Harvest Management, Grazing Land Mechancial Treatement, Herbaceous Weed Control, Nutrient Management, Forage and Biomass Planting, Prescribed Grazing, Range Planting, Access Control, and Watering Facilities.   As addressed in the CAP criteria, the plan may include recommendations for  associated conservation practices which address other related resource concerns.  CAP meets the basic quality criteria for the 110 plan as cited in the NRCS Field Office Technical Guide. </t>
  </si>
  <si>
    <t xml:space="preserve">In addition to the essential practices listed previously, addition practices to consider include: Channel Bank Vegetation, Prescribed Burning, Critical Area Planting, Pond, Windbreak/Shelterbelt Establishment, Silvopasture Establishment, Riparian Herbaceous Cover, Stream Habitat Improvement and Management, Pipeline, Heavy Use Area Protection, Spring Development, and Animal Trails and Walkways. </t>
  </si>
  <si>
    <t>Grazing Management Plan &lt;1500 Acre</t>
  </si>
  <si>
    <t>Grazing Management Plan 100 - 1500 Acre</t>
  </si>
  <si>
    <t>Grazing Management Plan 100 - 1500 Acre - HU</t>
  </si>
  <si>
    <t>Agricultural operations with less than 1,500 acres grazed land.</t>
  </si>
  <si>
    <t>Grazing Management Plan 1,500-5,000 Acre</t>
  </si>
  <si>
    <t>Grazing Management Plan 1,500-5,000 Acre - HU</t>
  </si>
  <si>
    <t>Agricultural operation with 1,500 to 5,000 acres grazed land.</t>
  </si>
  <si>
    <t>Grazing Management Plan &gt;5,000 Acre</t>
  </si>
  <si>
    <t>Grazing Management Plan &gt;5,000 Acre - HU</t>
  </si>
  <si>
    <t>Agricultural operations with more than 5,000 acres grazed land.</t>
  </si>
  <si>
    <t>Integrated Pest Management CAP</t>
  </si>
  <si>
    <t>IPM CAP</t>
  </si>
  <si>
    <t>IPM CAP - HU</t>
  </si>
  <si>
    <t>Development of a 114 Integrated Pest Management Conservation Activity Plan CAP.</t>
  </si>
  <si>
    <t>Water quality and all other appropriate resource concerns.</t>
  </si>
  <si>
    <t>Various on-farm land uses where pests are managed, including organic and specialty crop operations.</t>
  </si>
  <si>
    <t xml:space="preserve">Agricultural currently producer has no plan or limited knowledge of development or management of agricultural pests. The producer currently manages pests based upon pesticide label instructions, personal knowledge, or other local criteria.  Producer is interested in managment  of pests to maximize yields, profit margin, reduce costs, and for environmental benefit. Producer is willing to collaborate with a certified TSP to develop a plan and collect/coordinate data recording to monitor per requirements of plan. </t>
  </si>
  <si>
    <t xml:space="preserve">After EQIP contract approval, participant has obtained services from a certified TSP for development of the "Integrated Pest Management" conservation activity plan.  The CAP criteria requires the plan to meet quality criteria for applicable resource concerns and provides for opportunities to utilize the following strategies: Prevention, Avoidance, Monitoring, and Suppression, which will be implemented through use of "Integrated Pest Management and may use one or more of the following conservation practices: Crop rotation, Cover Crop, and Residue Tillage Management.   The CAP plan may include recommendations for  associated conservation practices which address other related resource concerns.  CAP meets the basic quality criteria for the 114 plan as cited in the NRCS Field Office Technical Guide. </t>
  </si>
  <si>
    <t xml:space="preserve">Integrated Pest Management, Crop Rotation, Cover Crop, Field Boarder, Filter Strip, Stripcropping, and Residue and Tillage management practices, or other application conservation practices cited tin the NRCS Field Office Technical Guide. </t>
  </si>
  <si>
    <t>Irrigation Water Management CAP</t>
  </si>
  <si>
    <t>Irrigation Water Management Plan</t>
  </si>
  <si>
    <t>Irrigation Water Management Plan - HU</t>
  </si>
  <si>
    <t>Development of a 118 Irrigation Water Management Conservation Activity Plan CAP.</t>
  </si>
  <si>
    <t>Water quantity and all other appropriate resource concerns.</t>
  </si>
  <si>
    <t>Agricultural operations supported with existing irrigation systems.</t>
  </si>
  <si>
    <t xml:space="preserve">Agricultural currently producer has no plan or limited knowledge for management of water application to meet crop needs and address identified resource concerns. The producer currently manages water application based upon personal knowledge, or other local criteria.  Producer is interested in managment  of irrigation water to maximize yields, profit margin, reduce costs, and for environmental benefit. Producer is willing to collaborate with a certified TSP to develop a plan and collect/coordinate data recording to monitor per requirements of plan. </t>
  </si>
  <si>
    <t xml:space="preserve">After EQIP contract approval, participant has obtained services from a certified TSP for develop of the "Irrigation Water Management" conservation activity plan to control the volume, frequency, and rate of water for efficient irrigation and to address other resource concerns.  The CAP criteria requires the plan to meet quality criteria for applicable resource concerns.  The CAP plan may include recommendations for  associated conservation practices which address other related resource concerns.  CAP meets the basic quality criteria for the 118 plan as cited in the NRCS Field Office Technical Guide. </t>
  </si>
  <si>
    <t xml:space="preserve">Irrigation Water Management (449); Irrigation System (441); Irrigation System, Sprinkler (442); Irrigation System, Surface &amp; Subsurface (443); Irrigation Pipeline (430); Irrigation Ditch Lining (428); Irrigation Field Ditch (388); Irrigation Canal or Lateral (320); Structure for Water Control (587); Irrigation Reservoir (436); Irrigation System, Tailwater Recovery (447); Pumping Plant (533); Irrigation Land Leveling (464); Anionic Polyacrylamide (PM) Application (450); Salinity and Sodic Soil Management (590); Nutrient Management (590); Waste Utilization (633); or other applicable conservation practices in the NRCS Field Office Technical Guide. </t>
  </si>
  <si>
    <t xml:space="preserve">Labor provided by a certified Technical Service Provider for development of the CAP plan based upon average U.S. cost. </t>
  </si>
  <si>
    <t>Agricultural Energy Management - Headquarters CAP</t>
  </si>
  <si>
    <t>AgEMP 122 Livestock - Small &lt; 70 AU</t>
  </si>
  <si>
    <t>Agricultural Energy Management - Headquarters CAP - HU</t>
  </si>
  <si>
    <t>AgEMP 122 Livestock - Small &lt; 70 AU - HU</t>
  </si>
  <si>
    <t xml:space="preserve">Development of a 122 Agricultural Energy Management Conservation Activity Plan (CAP) Livestock - Small &lt; 70 AU </t>
  </si>
  <si>
    <t>Energy Conservation</t>
  </si>
  <si>
    <t xml:space="preserve">Typical livestock operation has &lt; 70 AU.  </t>
  </si>
  <si>
    <t>Agricultural producer currently has minimal knowledge of and no plan for energy conservation.  Producer  currently manages a small livestock operation with &lt; 70 AU.   Producer is willing to collaborate with a certified TSP to develop an AgEMP 122 CAP. The AgEMP is a grouping of conservation measures and management activities which, when implemented as part of a conservation system, will help to ensure that both production and natural resource protection goals are achieved. An AgEMP incorporates recommended measures to maximize energy conservation and efficiency.  An EMP is developed to assist an owner/operator in meeting all applicable local, tribal, State, and Federal water quality goals or regulations.</t>
  </si>
  <si>
    <t xml:space="preserve">After EQIP contract approval, participant has obtained services from a certified TSP for development of the "Agricultural Energy Management - Headquarters" conservation activity plan.  The CAP criteria requires the plan to meet quality criteria for energy conservation and efficiency.  The CAP plan may include recommendations for  associated conservation practices which address energy conservation.  The CAP meets the basic quality criteria for the 122 plan as cited in the NRCS Field Office Technical Guide. </t>
  </si>
  <si>
    <t>124 Agricultural Energy Management Plan - Landscape CAP, 374 Farmstead Energy Improvement, or other applicable practices approved in the NRCS Field Office Technical Guide.</t>
  </si>
  <si>
    <t xml:space="preserve">Labor rates determined with a combination of certified Technical Service Providers (TSP) and GSA Advantage labor rates for the development of the CAP plan.  </t>
  </si>
  <si>
    <t xml:space="preserve">Name of Item </t>
  </si>
  <si>
    <t>Task Manager</t>
  </si>
  <si>
    <t>Auditor</t>
  </si>
  <si>
    <t>Project Manager</t>
  </si>
  <si>
    <t>Engineer</t>
  </si>
  <si>
    <t>AgEMP 122 Livestock - Medium 70 -300 AU</t>
  </si>
  <si>
    <t>AgEMP 122 Livestock - Medium 70-300 AU</t>
  </si>
  <si>
    <t>AgEMP 122 Livestock - Medium 70-300 AU - HU</t>
  </si>
  <si>
    <t xml:space="preserve">Development of a 122 Agricultural Energy Management Conservation Activity Plan (CAP) Livestock - Medium 70-300 AU </t>
  </si>
  <si>
    <t xml:space="preserve">Typical livestock operation has  70 - 300 AU.  </t>
  </si>
  <si>
    <t>Agricultural producer currently has minimal knowledge of and no plan for energy conservation.  Producer  currently manages a small livestock operation with 70-300 AU.   Producer is willing to collaborate with a certified TSP to develop an AgEMP 122 CAP. The AgEMP is a grouping of conservation measures and management activities which, when implemented as part of a conservation system, will help to ensure that both production and natural resource protection goals are achieved. An AgEMP incorporates recommended measures to maximize energy conservation and efficiency.  An EMP is developed to assist an owner/operator in meeting all applicable local, tribal, State, and Federal water quality goals or regulations.</t>
  </si>
  <si>
    <t>AgEMP 122 Livestock - Large 301-2500 AU</t>
  </si>
  <si>
    <t>AgEMP 122 Livestock - Large 301-2500 AU - HU</t>
  </si>
  <si>
    <t xml:space="preserve">Development of a 122 Agricultural Energy Management Conservation Activity Plan (CAP) Livestock - Large 301-2,500 AU </t>
  </si>
  <si>
    <t xml:space="preserve">Typical livestock operation has  301 - 2,500 AU.  </t>
  </si>
  <si>
    <t>Agricultural producer currently has minimal knowledge of and no plan for energy conservation.  Producer  currently manages a small livestock operation with 301-2,500 AU.   Producer is willing to collaborate with a certified TSP to develop an AgEMP 122 CAP. The AgEMP is a grouping of conservation measures and management activities which, when implemented as part of a conservation system, will help to ensure that both production and natural resource protection goals are achieved. An AgEMP incorporates recommended measures to maximize energy conservation and efficiency.  An EMP is developed to assist an owner/operator in meeting all applicable local, tribal, State, and Federal water quality goals or regulations.</t>
  </si>
  <si>
    <t>AgEMP 122 Livestock - XLarge &gt;2500 AU</t>
  </si>
  <si>
    <t>AgEMP 122 Livestock - XLarge &gt;2500 AU - HU</t>
  </si>
  <si>
    <t xml:space="preserve">Development of a 122 Agricultural Energy Management Conservation Activity Plan (CAP) Livestock - Extra Large &gt;2,500 AU </t>
  </si>
  <si>
    <t xml:space="preserve">Typical livestock operation has  &gt; 2,500 AU.  </t>
  </si>
  <si>
    <t>Agricultural producer currently has minimal knowledge of and no plan for energy conservation.  Producer  currently manages a small livestock operation with &gt;2,500 AU.   Producer is willing to collaborate with a certified TSP to develop an AgEMP 122 CAP. The AgEMP is a grouping of conservation measures and management activities which, when implemented as part of a conservation system, will help to ensure that both production and natural resource protection goals are achieved. An AgEMP incorporates recommended measures to maximize energy conservation and efficiency.  An EMP is developed to assist an owner/operator in meeting all applicable local, tribal, State, and Federal water quality goals or regulations.</t>
  </si>
  <si>
    <t>AgEMP 122 Non-Livestock - Single Enterprise</t>
  </si>
  <si>
    <t>AgEMP 122 Non-Livestock - Single Enterprise - HU</t>
  </si>
  <si>
    <t xml:space="preserve">Development of a 122 Agricultural Energy Management Conservation Activity Plan (CAP) Non-Livestock - Single Enterprise </t>
  </si>
  <si>
    <t xml:space="preserve">Typical  single enterprise non-livestock operation - one enterprise as defined in the ASABE S612 on-farm energy audit standard   </t>
  </si>
  <si>
    <t>Agricultural producer currently has minimal knowledge of and no plan for energy conservation.  An Agricultural Energy Mgmt CAP for Non-Livestock operations with one enterprise will be planned according to the ASABE S612 standard. Producer currently manages a single non-livestock operation.   Producer is willing to collaborate with a certified TSP to develop an AgEMP 122 CAP. The AgEMP is a grouping of conservation measures and management activities which, when implemented as part of a conservation system, will help to ensure that both production and natural resource protection goals are achieved. An AgEMP incorporates recommended measures to maximize energy conservation and efficiency.  An EMP is developed to assist an owner/operator in meeting all applicable local, tribal, State, and Federal water quality goals or regulations.</t>
  </si>
  <si>
    <t>AgEMP 122 Non-Livestock - Two Enterprises</t>
  </si>
  <si>
    <t>AgEMP 122 Non-Livestock - Two Enterprises - HU</t>
  </si>
  <si>
    <t xml:space="preserve">Development of a 122 Agricultural Energy Management Conservation Activity Plan (CAP) Non-Livestock - Two Enterprises </t>
  </si>
  <si>
    <t xml:space="preserve">Typical  non-livestock operation with two enterprises as defined in the ASABE S612 on-farm energy audit standard   </t>
  </si>
  <si>
    <t>Agricultural producer currently has minimal knowledge of and no plan for energy conservation .  An Agricultural Energy Mgmt CAP for Non-Livestock operations (two enterprises) will be planned according to the ASABE S612 standard (e.g., greenhouse and maple syrup). Producer currently manages  a non-livestock operation consisting of two enterprises.   Producer is willing to collaborate with a certified TSP to develop an AgEMP 122 CAP. The AgEMP is a grouping of conservation measures and management activities which, when implemented as part of a conservation system, will help to ensure that both production and natural resource protection goals are achieved. An AgEMP incorporates recommended measures to maximize energy conservation and efficiency.  An EMP is developed to assist an owner/operator in meeting all applicable local, tribal, State, and Federal water quality goals or regulations.</t>
  </si>
  <si>
    <t>AgEMP 122 Non-Livestock - Three Enterprises</t>
  </si>
  <si>
    <t>AgEMP 122 Non-Livestock - Three Enterprises - HU</t>
  </si>
  <si>
    <t xml:space="preserve">Development of a 122 Agricultural Energy Management Conservation Activity Plan (CAP) Non-Livestock - Three Enterprises </t>
  </si>
  <si>
    <t xml:space="preserve">Typical  non-livestock operation with three enterprises as defined in the ASABE S612 on-farm energy audit standard   </t>
  </si>
  <si>
    <t>Agricultural producer currently has minimal knowledge of and no plan for energy conservation .  An Agricultural Energy Mgmt CAP for Non-Livestock operations (three enterprises) will be planned according to the ASABE S612 standard (e.g., greenhouse, maple syrup, irrigated grain). Producer currently manages  a non-livestock operation consisting of three enterprises.   Producer is willing to collaborate with a certified TSP to develop an AgEMP 122 CAP. The AgEMP is a grouping of conservation measures and management activities which, when implemented as part of a conservation system, will help to ensure that both production and natural resource protection goals are achieved. An AgEMP incorporates recommended measures to maximize energy conservation and efficiency.  An EMP is developed to assist an owner/operator in meeting all applicable local, tribal, State, and Federal water quality goals or regulations.</t>
  </si>
  <si>
    <t>AgEMP 122 Mixed Enterprises</t>
  </si>
  <si>
    <t>AgEMP 122 Mixed  Enterprises - HU</t>
  </si>
  <si>
    <t xml:space="preserve">Development of a 122 Agricultural Energy Management Conservation Activity Plan (CAP) Mixed Enterprises </t>
  </si>
  <si>
    <t xml:space="preserve">Typical  mixed livestock+non-livestock operation with one non-livestock enterprise as defined in the ASABE S612 on-farm energy audit standard.  This scenario may be used to incorporate up to three non-livestock enterprises with a livestock enterprise.  Labor and acquisition of technical knowledge figures represent one non-livestock enterprise and should be multiplied by the number of non-livestock enterprises (up to three non-livestock enterprises allowed) and ADDED to one of the livestock scenarios.   </t>
  </si>
  <si>
    <t>Agricultural producer currently has minimal knowledge of and no plan for energy conservation .  An Agricultural Energy Mgmt CAP for any type of livestock operation with one additional enterprise (maximum of three) will be planned according to the ASABE S612 standard (e.g., broiler and greenhouse). Producer currently manages  a mixed operation consisting of one livestock enterprise and one non-livestock enterprise.   Producer is willing to collaborate with a certified TSP to develop an AgEMP 122 CAP. The AgEMP is a grouping of conservation measures and management activities which, when implemented as part of a conservation system, will help to ensure that both production and natural resource protection goals are achieved. An AgEMP incorporates recommended measures to maximize energy conservation and efficiency.  An EMP is developed to assist an owner/operator in meeting all applicable local, tribal, State, and Federal water quality goals or regulations.</t>
  </si>
  <si>
    <t xml:space="preserve">Additional TSP time to develop Agricultural Energy CAP for any size livestock operation for each additional enterprise; a maximum of 3 additional non-livestock enterprises may be planned.  Labor rates determined with a combination of certified Technical Service Providers (TSP) and GSA Advantage labor rates for the development of the CAP plan.  </t>
  </si>
  <si>
    <t>Agricultural Energy Management - Landscape CAP</t>
  </si>
  <si>
    <t>AgEMP 124 Non-Irrigated &lt; 50 acres</t>
  </si>
  <si>
    <t>Agricultural Energy Management - Landscape CAP - HU</t>
  </si>
  <si>
    <t>AgEMP 124 Non-Irrigated &lt; 50 acres - HU</t>
  </si>
  <si>
    <t xml:space="preserve">Development of a 124 Agricultural Energy Management Conservation Activity Plan (CAP) Non-Irrigated - Small  &lt; 50 acres </t>
  </si>
  <si>
    <t xml:space="preserve">Typical non-irrigated small cropping system with &lt; 50 acres.  </t>
  </si>
  <si>
    <t xml:space="preserve">Agricultural producer currently has minimal knowledge of and no plan for energy conservation.  Producer  currently manages a small non-irrigated operation with &lt; 50 acres.   Producer is willing to collaborate with a certified TSP to develop an AgEMP 124 CAP (on-farm energy audit).  Participant to obtain an AgEMP  by a certified Technical Service Provider, in accordance with ASABE S612, July 2009, for non-irrigated crops farmed on less than 50 acres.  The purpose of this AgEMP is to provide the producer with specific recommendations for increasing energy efficiency and reducing energy use for each major cropping activity on the farm.  The AgEMP is to provide estimates of energy savings for the landscape operations and does not include the headquarter operations.  Energy useage may include, but is not limited to: irrigation pumping; manure collection and land application; agricultural practices (i.e., on-farm-use of mobile agricultural equipment). An AgEMP is developed to assist an owner/operator in meeting all applicable local, tribal, State, and Federal water quality goals or regulations.  </t>
  </si>
  <si>
    <t xml:space="preserve">After EQIP contract approval, participant has obtained services from a certified TSP for development of the "Agricultural Energy Management - Landscape" conservation activity plan.  The CAP criteria requires the plan to meet quality criteria for energy conservation and efficiency.  The CAP plan may include recommendations for  associated conservation practices which address energy conservation.  The CAP meets the basic quality criteria for the 124 plan as cited in the NRCS Field Office Technical Guide. </t>
  </si>
  <si>
    <t>122 Agricultural Energy Management Plan - Headquarters CAP, 374 Farmstead Energy Improvement, or other applicable practices approved in the NRCS Field Office Technical Guide.</t>
  </si>
  <si>
    <t>AgEMP 124 Non-Irrigated 50-499 acres</t>
  </si>
  <si>
    <t>AgEMP 124 Non-Irrigated 50-499 acres - HU</t>
  </si>
  <si>
    <t xml:space="preserve">Development of a 124 Agricultural Energy Management Conservation Activity Plan (CAP) Non-Irrigated - Medium  50-499 acres </t>
  </si>
  <si>
    <t xml:space="preserve">Typical non-irrigated medium cropping operation with 50-499 acres.  </t>
  </si>
  <si>
    <t xml:space="preserve">Agricultural producer currently has minimal knowledge of and no plan for energy conservation.  Producer  currently manages a medium non-irrigated operation with 50-499 acres.   Producer is willing to collaborate with a certified TSP to develop an AgEMP 124 CAP (on-farm energy audit).  Participant to obtain an AgEMP  by a certified Technical Service Provider, in accordance with ASABE S612, July 2009, for non-irrigated crops farmed on 50-499 acres.  The purpose of this AgEMP is to provide the producer with specific recommendations for increasing energy efficiency and reducing energy use for each major cropping activity on the farm.  The AgEMP is to provide estimates of energy savings for the landscape operations and does not include the headquarter operations.  Energy useage may include, but is not limited to: irrigation pumping; manure collection and land application; agricultural practices (i.e., on-farm-use of mobile agricultural equipment). An AgEMP is developed to assist an owner/operator in meeting all applicable local, tribal, State, and Federal water quality goals or regulations.  </t>
  </si>
  <si>
    <t>AgEMP 124 Non-Irrigated 500-5,000 acres</t>
  </si>
  <si>
    <t>AgEMP 124 Non-Irrigated 500-4,999 acres</t>
  </si>
  <si>
    <t>AgEMP 124 Non-Irrigated 500-5,000 acres - HU</t>
  </si>
  <si>
    <t xml:space="preserve">Development of a 124 Agricultural Energy Management Conservation Activity Plan (CAP) Non-Irrigated - Large  500-5,000 acres </t>
  </si>
  <si>
    <t xml:space="preserve">Typical non-irrigated large cropping operation with 500-5,000 acres.  </t>
  </si>
  <si>
    <t xml:space="preserve">Agricultural producer currently has minimal knowledge of and no plan for energy conservation.  Producer  currently manages a large non-irrigated operation with 500-5,000 acres.   Producer is willing to collaborate with a certified TSP to develop an AgEMP 124 CAP (on-farm energy audit).  Participant to obtain an AgEMP  by a certified Technical Service Provider, in accordance with ASABE S612, July 2009, for non-irrigated crops farmed on 500-5,000 acres.  The purpose of this AgEMP is to provide the producer with specific recommendations for increasing energy efficiency and reducing energy use for each major cropping activity on the farm.  The AgEMP is to provide estimates of energy savings for the landscape operations and does not include the headquarter operations.  Energy useage may include, but is not limited to: irrigation pumping; manure collection and land application; agricultural practices (i.e., on-farm-use of mobile agricultural equipment). An AgEMP is developed to assist an owner/operator in meeting all applicable local, tribal, State, and Federal water quality goals or regulations.  </t>
  </si>
  <si>
    <t>AgEMP 124 Non-Irrigated &gt;5,000 acres</t>
  </si>
  <si>
    <t>AgEMP 124 Non-Irrigated &gt;5,000 acres - HU</t>
  </si>
  <si>
    <t xml:space="preserve">Development of a 124 Agricultural Energy Management Conservation Activity Plan (CAP) Non-Irrigated - Extra Large  &gt;5,000 acres </t>
  </si>
  <si>
    <t xml:space="preserve">Typical non-irrigated extra large cropping operation with &gt;5,000 acres.  </t>
  </si>
  <si>
    <t xml:space="preserve">Agricultural producer currently has minimal knowledge of and no plan for energy conservation.  Producer  currently manages a extra large non-irrigated operation with &gt;5,000 acres.   Producer is willing to collaborate with a certified TSP to develop an AgEMP 124 CAP (on-farm energy audit).  Participant to obtain an AgEMP  by a certified Technical Service Provider, in accordance with ASABE S612, July 2009, for non-irrigated crops farmed on &gt;5,000 acres.  The purpose of this AgEMP is to provide the producer with specific recommendations for increasing energy efficiency and reducing energy use for each major cropping activity on the farm.  The AgEMP is to provide estimates of energy savings for the landscape operations and does not include the headquarter operations.  Energy useage may include, but is not limited to: irrigation pumping; manure collection and land application; agricultural practices (i.e., on-farm-use of mobile agricultural equipment). An AgEMP is developed to assist an owner/operator in meeting all applicable local, tribal, State, and Federal water quality goals or regulations.  </t>
  </si>
  <si>
    <t>AgEMP 124 Irrigated &lt; 50 acres</t>
  </si>
  <si>
    <t>AgEMP 124 Irrigated &lt; 50 acres - HU</t>
  </si>
  <si>
    <t xml:space="preserve">Development of a 124 Agricultural Energy Management Conservation Activity Plan (CAP) Irrigated - Small  &lt; 50 acres </t>
  </si>
  <si>
    <t xml:space="preserve">Typical irrigated small cropping system with &lt; 50 acres.  </t>
  </si>
  <si>
    <t xml:space="preserve">Agricultural producer currently has minimal knowledge of and no plan for energy conservation.  Producer  currently manages a small irrigated operation with &lt; 50 acres.   Producer is willing to collaborate with a certified TSP to develop an AgEMP 124 CAP (on-farm energy audit).  Participant to obtain an AgEMP  by a certified Technical Service Provider, in accordance with ASABE S612, July 2009, for irrigated crops farmed on less than 50 acres.  The purpose of this AgEMP is to provide the producer with specific recommendations for increasing energy efficiency and reducing energy use for each major cropping activity on the farm.  The AgEMP is to provide estimates of energy savings for the landscape operations and does not include the headquarter operations.  Energy useage may include, but is not limited to: irrigation pumping; manure collection and land application; agricultural practices (i.e., on-farm-use of mobile agricultural equipment). An AgEMP is developed to assist an owner/operator in meeting all applicable local, tribal, State, and Federal water quality goals or regulations.  </t>
  </si>
  <si>
    <t>AgEMP 124 Irrigated 50-499 acres</t>
  </si>
  <si>
    <t>AgEMP 124 Irrigated 50-499 acres - HU</t>
  </si>
  <si>
    <t xml:space="preserve">Development of a 124 Agricultural Energy Management Conservation Activity Plan (CAP) Irrigated - Medium  50-499 acres </t>
  </si>
  <si>
    <t xml:space="preserve">Typical irrigated medium cropping operation with 50-499 acres.  </t>
  </si>
  <si>
    <t xml:space="preserve">Agricultural producer currently has minimal knowledge of and no plan for energy conservation.  Producer  currently manages a medium irrigated operation with 50-499 acres.   Producer is willing to collaborate with a certified TSP to develop an AgEMP 124 CAP (on-farm energy audit).  Participant to obtain an AgEMP  by a certified Technical Service Provider, in accordance with ASABE S612, July 2009, for irrigated crops farmed on 50-499 acres.  The purpose of this AgEMP is to provide the producer with specific recommendations for increasing energy efficiency and reducing energy use for each major cropping activity on the farm.  The AgEMP is to provide estimates of energy savings for the landscape operations and does not include the headquarter operations.  Energy useage may include, but is not limited to: irrigation pumping; manure collection and land application; agricultural practices (i.e., on-farm-use of mobile agricultural equipment). An AgEMP is developed to assist an owner/operator in meeting all applicable local, tribal, State, and Federal water quality goals or regulations.  </t>
  </si>
  <si>
    <t>AgEMP 124 Irrigated 500-5,000 acres</t>
  </si>
  <si>
    <t>AgEMP 124 Irrigated 500-5,000 acres - HU</t>
  </si>
  <si>
    <t xml:space="preserve">Development of a 124 Agricultural Energy Management Conservation Activity Plan (CAP) Irrigated - Large  500-5,000 acres </t>
  </si>
  <si>
    <t xml:space="preserve">Typical irrigated large cropping operation with 500-5,000 acres.  </t>
  </si>
  <si>
    <t xml:space="preserve">Agricultural producer currently has minimal knowledge of and no plan for energy conservation.  Producer  currently manages a large irrigated operation with 500-5,000 acres.   Producer is willing to collaborate with a certified TSP to develop an AgEMP 124 CAP (on-farm energy audit).  Participant to obtain an AgEMP  by a certified Technical Service Provider, in accordance with ASABE S612, July 2009, for irrigated crops farmed on 500-5,000 acres.  The purpose of this AgEMP is to provide the producer with specific recommendations for increasing energy efficiency and reducing energy use for each major cropping activity on the farm.  The AgEMP is to provide estimates of energy savings for the landscape operations and does not include the headquarter operations.  Energy useage may include, but is not limited to: irrigation pumping; manure collection and land application; agricultural practices (i.e., on-farm-use of mobile agricultural equipment). An AgEMP is developed to assist an owner/operator in meeting all applicable local, tribal, State, and Federal water quality goals or regulations.  </t>
  </si>
  <si>
    <t>AgEMP 124 Irrigated &gt;5,000 acres</t>
  </si>
  <si>
    <t>AgEMP 124 Irrigated &gt;5,000 acres - HU</t>
  </si>
  <si>
    <t xml:space="preserve">Development of a 124 Agricultural Energy Management Conservation Activity Plan (CAP) Irrigated - Extra Large  &gt;5,000 acres </t>
  </si>
  <si>
    <t xml:space="preserve">Typical irrigated extra large cropping operation with &gt;5,000 acres.  </t>
  </si>
  <si>
    <t xml:space="preserve">Agricultural producer currently has minimal knowledge of and no plan for energy conservation.  Producer  currently manages a extra large irrigated operation with &gt;5,000 acres.   Producer is willing to collaborate with a certified TSP to develop an AgEMP 124 CAP (on-farm energy audit).  Participant to obtain an AgEMP  by a certified Technical Service Provider, in accordance with ASABE S612, July 2009, for irrigated crops farmed on &gt;5,000 acres.  The purpose of this AgEMP is to provide the producer with specific recommendations for increasing energy efficiency and reducing energy use for each major cropping activity on the farm.  The AgEMP is to provide estimates of energy savings for the landscape operations and does not include the headquarter operations.  Energy useage may include, but is not limited to: irrigation pumping; manure collection and land application; agricultural practices (i.e., on-farm-use of mobile agricultural equipment). An AgEMP is developed to assist an owner/operator in meeting all applicable local, tribal, State, and Federal water quality goals or regulations.  </t>
  </si>
  <si>
    <t>All States -
Territories</t>
  </si>
  <si>
    <t>Drainage Water Management Plan</t>
  </si>
  <si>
    <t>DWM CAP with Map</t>
  </si>
  <si>
    <t>DWM CAP with Map - HU</t>
  </si>
  <si>
    <t>Development of a 130 Conservation Activity Plan CAP supported with map.</t>
  </si>
  <si>
    <t>Water Quality on Cropland.</t>
  </si>
  <si>
    <t>Corn, soybeans, wheat, field grain crops.  Typical operation is 150 acres are usually rented cropland.  Cropland fields are less than 1% slope.  The soil is somewhat poorly drained to poorly drained, with a naturally high water table, requiring drainage in order to establish suitable airable root zone to successfully grow a crop.  Cropland fields have existing surface and/or patterned subsurface drainage system outletting to a drainage ditch, and a map of the tile system is readily available from the producer.</t>
  </si>
  <si>
    <t xml:space="preserve">Producer has no plan for or knowledge for controlling drainage water retention.  The producer does not manage the field for the purpose of contolling water retention and therefore crop yields are reduced.  Existing ditches and/or tile drains on the cropland field currently result in continuous flow off field to waterways resulting in potential water quality resource concerns related to excesive nitrogen. </t>
  </si>
  <si>
    <t xml:space="preserve">After EQIP contract approval, participant has obtained services from a certified TSP for development of the "Drainage Water Management" conservation activity plan (CAP).  The CAP criteria requires the plan to identify the number and location of water control structures that are needed to implement drainage water management according to Field Office Technical Guide design standards.  The CAP plan will also provide additional detail to allow design of water control structures, and for proper management of the water control structures to achieve desired resource outcomes.  Plan includes guidance to enable the producer to know when and how much to adjust the water level.  The CAP plan allows for continuous flow of subsurface drainage water to off-site locations, but timing, flow and amounts are managed to minimize potential water quality impacts.  </t>
  </si>
  <si>
    <t>554 Drainage Water Management, 587 Structure for Water Control, 606 Subsurface Drain, 607 Surface Drain Field Ditch, 608 Surface Drain Main or Lateral.</t>
  </si>
  <si>
    <r>
      <t xml:space="preserve">Typical Size   </t>
    </r>
    <r>
      <rPr>
        <sz val="10"/>
        <rFont val="Arial"/>
        <family val="2"/>
      </rPr>
      <t>(1)</t>
    </r>
  </si>
  <si>
    <t>acres</t>
  </si>
  <si>
    <t>No materials are needed to develop a plan.</t>
  </si>
  <si>
    <t>No equipment/installation is needed to develop a plan.</t>
  </si>
  <si>
    <t>Basic Cost Data (Data Source Number)</t>
  </si>
  <si>
    <t>Supervisor (2)</t>
  </si>
  <si>
    <t>hour</t>
  </si>
  <si>
    <t>Skilled Labor (2)</t>
  </si>
  <si>
    <t>Topographic survey crew, total station, 
one man  (3)</t>
  </si>
  <si>
    <t>8 hour day</t>
  </si>
  <si>
    <t>RTK GPS survey equipment differential, cost over total station  (3)</t>
  </si>
  <si>
    <t>day</t>
  </si>
  <si>
    <t>Topographic survey crew, total  (3)</t>
  </si>
  <si>
    <t>Planning Activities</t>
  </si>
  <si>
    <t>Interview client, define objectives, collect tile map</t>
  </si>
  <si>
    <t>Map showing drained area</t>
  </si>
  <si>
    <t>Topographic survey, 
crew &amp; equipment</t>
  </si>
  <si>
    <t>Topographic map</t>
  </si>
  <si>
    <t>Overlay map =&gt; CAP Criteria (item B.8)</t>
  </si>
  <si>
    <t>Management plan / schedule</t>
  </si>
  <si>
    <t>hours</t>
  </si>
  <si>
    <t>Mileage Costs for Site Visits</t>
  </si>
  <si>
    <t xml:space="preserve">            Visits, round trip</t>
  </si>
  <si>
    <t>number</t>
  </si>
  <si>
    <t xml:space="preserve">            Roundtrip Miles per Visit</t>
  </si>
  <si>
    <t>miles</t>
  </si>
  <si>
    <t xml:space="preserve">      Total Travel Miles per plan</t>
  </si>
  <si>
    <t xml:space="preserve">            Travel Hours per Visit</t>
  </si>
  <si>
    <t xml:space="preserve">      Total Travel Hours for the Plan</t>
  </si>
  <si>
    <t xml:space="preserve">            Vehicle Travel Cost  (4)</t>
  </si>
  <si>
    <t>per mile</t>
  </si>
  <si>
    <t>Total Vehicle Travel Cost / Plan</t>
  </si>
  <si>
    <t>Planner Travel Time</t>
  </si>
  <si>
    <t>No moblization is needed to develop a plan.</t>
  </si>
  <si>
    <t>No O&amp;M is needed to develop a plan.</t>
  </si>
  <si>
    <t>Not Applicable. Allowed costs are included in "Labor" cost category.</t>
  </si>
  <si>
    <t>No Foregone Income is associated with plan development.</t>
  </si>
  <si>
    <t>No costs for Risk is associated with plan development.</t>
  </si>
  <si>
    <t>No costs associated with administrative expenses or permits are alllowed with plan development.</t>
  </si>
  <si>
    <t xml:space="preserve">Data Sources:  </t>
  </si>
  <si>
    <t>(1)  Average ProTracts data for 46 DWM plan incentive contracts in Illinois (2007)</t>
  </si>
  <si>
    <t>(2)   NRCS Cost Data, Corn Belt Region, FY2012; includes overhead and profit.</t>
  </si>
  <si>
    <t>(3)   US Army Corps of Engineers, pub EM 1110-1-005, section 13-3f, 1-2007.</t>
  </si>
  <si>
    <t>(4)   IRS announcement IR-2010-119, December 3, 2010, IRS standard business mileage rate for 2011.</t>
  </si>
  <si>
    <t>(5)   Joint development between the Agricultural Water Management Team (AGWAM) and National CAP Development Team.</t>
  </si>
  <si>
    <t>(6)  Bryon Kirwan, Illinois Resource Conservationist (economics) has offered to provide Q&amp;A support for this CAP.  217-353-6638</t>
  </si>
  <si>
    <t>DWM CAP without Map</t>
  </si>
  <si>
    <t>DWM CAP without Map - HU</t>
  </si>
  <si>
    <t>Development of a 130 Conservation Activity Plan CAP without support of a map.</t>
  </si>
  <si>
    <t>Corn, soybeans, wheat, field grain crops.  Typical operation is 150 acres are usually rented cropland.  Cropland fields are less than 1% slope.  The soil is somewhat poorly drained to poorly drained, with a naturally high water table, requiring drainage in order to establish suitable airable root zone to successfully grow a crop.  Cropland fields have existing surface and/or patterned subsurface drainage system outletting to a drainage ditch, and a map of the tile system is NOT available from the producer.</t>
  </si>
  <si>
    <t>Probe &amp; identify tile lines</t>
  </si>
  <si>
    <t>Organic Transition CAP</t>
  </si>
  <si>
    <t>Conservation Plan Supporting Organic Transition</t>
  </si>
  <si>
    <t>Conservation Plan Supporting Organic Transition - HU</t>
  </si>
  <si>
    <t>Development of a 138 Conservation Plan Supporting Organic Transition Conservation Activity Plan CAP.</t>
  </si>
  <si>
    <t>Soil Erosion, Water Quality, Plant Condition, and other identified natural resource concerns.</t>
  </si>
  <si>
    <t>Agricultural operation where producer will transition from conventional to organic to meet USDA National Organic Program (NOP) requirements.</t>
  </si>
  <si>
    <t xml:space="preserve">Agricultural operation currently managed using traditional and conventional methods for farming and/or ranching. The producer currently manages operation based upon personal knowledge, or other local criteria.  Producer is interested in transitioning part or all of the managment unit to meet national USDA requirements for certified operation. Producer is willing to collaborate with a certified TSP to develop a plan and collect/coordinate data recording to monitor per requirements of plan. </t>
  </si>
  <si>
    <t xml:space="preserve">After EQIP contract approval, participant has obtained services from a certified TSP for develop of the "Conservation Plan Supporting Organic Transition" conservation activity plan.  The CAP criteria requires the plan to meet quality criteria for applicable resource concerns and provides for opportunities to implment a system of conservation practices which assist the producer to transition from conventional farming or ranching to an organic production system.  The CAP plan may include recommendations for  associated conservation practices which address  related resource concerns.  CAP meets the basic quality criteria for the 138 plan as cited in the NRCS Field Office Technical Guide as well as assist the grower develop an Organic System Plan (OSP) as defined in the USDA National Organic Program (NOP) standards. </t>
  </si>
  <si>
    <t xml:space="preserve">Refer to the NRCS Plan Criteria for conservation practices associated with operations transitioning to organic certification and typically needed to address identified natural resource concerns. </t>
  </si>
  <si>
    <t>Conservation Plan Supporting Organic Transition Nonlocal</t>
  </si>
  <si>
    <t>Conservation Plan Supporting Organic Transition - HU nonlocal</t>
  </si>
  <si>
    <t>Agricultural operation where producer will transition from conventional to organic to meet USDA National Organic Program (NOP) requirements.  No qualified TSP within 300 miles.</t>
  </si>
  <si>
    <t>Allowance for travel since no local qualified TSP within 300 miles</t>
  </si>
  <si>
    <t>Scenario Worksheet</t>
  </si>
  <si>
    <t>Practice and Scenario Description:</t>
  </si>
  <si>
    <t>Information Category</t>
  </si>
  <si>
    <t>Information Type</t>
  </si>
  <si>
    <t>Data</t>
  </si>
  <si>
    <t>Appalachian</t>
  </si>
  <si>
    <t>Practice Code/Name</t>
  </si>
  <si>
    <t>314-Brush Management</t>
  </si>
  <si>
    <t>Practice Life (Years)</t>
  </si>
  <si>
    <t>Scenario</t>
  </si>
  <si>
    <t>Scenario Name</t>
  </si>
  <si>
    <t>Chemical Spot Treatment of Woody Invasives</t>
  </si>
  <si>
    <t>Scenario Description</t>
  </si>
  <si>
    <t>A licensed pesticide applicator applies a herbicide to kill targeted invasive woody plants, such as autumn olive, multiflora rose, privet and/or bush honeysuckle on the actual infestated acreage, using an ATV mounted tank and sprayer.  Implementation requires knowledge about the target species, chemicals and their safe use including selectivity of chemical compounds, timing of the application, application methods to avoid damage to non-target plants, addition of adjuvants and calibration of equipment. Infested areas may be on cool season grass pastures or forested sites, such as mid to late roataion mixed hardwood forests.  Field/stand size is usually 25-75 acres. Rates are based on 100% infestation. Planner will have to estimate the actual acreage of the field or stand that is  infested to determine teartment acreage.</t>
  </si>
  <si>
    <t>Before Practice Situation</t>
  </si>
  <si>
    <t xml:space="preserve">A farm with land used for timber or cool season grass forage production that has an infestation of invasive woody plant species, such as autumn olive, multiflora rose, privet and/or bush honeysuckle that impairs the growth and regeneration of the native plant community, limits wildlife habitat, and impairs the productivity, health and vigor of desired plant communities. Field/stand size is usually 25-75 acres. </t>
  </si>
  <si>
    <t>After Practice Situation</t>
  </si>
  <si>
    <t>A licensed pesticide applicator applies a herbicide to kill targeted invasive woody plants, such as autumn olive, multiflora rose, privet and/or bush honeysuckle on the actual infestated acreage, using an ATV mounted tank and sprayer.  Targeted invasive woody plants are controlled, allowing the desired plants to thrive. Ninety percent control of the target species is expected.  Continued operation and maintenance activities should eventually result in complete control.</t>
  </si>
  <si>
    <t>Associated Practices</t>
  </si>
  <si>
    <t>394, 338, 666, 511, 512, 528</t>
  </si>
  <si>
    <t>Scenario Unit:</t>
  </si>
  <si>
    <t>Acre</t>
  </si>
  <si>
    <t>Scenario Typical Size:</t>
  </si>
  <si>
    <t>Cost Summary:</t>
  </si>
  <si>
    <t>Cost/Year</t>
  </si>
  <si>
    <t>Cost/Unit/Year</t>
  </si>
  <si>
    <t xml:space="preserve">  </t>
  </si>
  <si>
    <t>Cost Details:</t>
  </si>
  <si>
    <t>Component ID</t>
  </si>
  <si>
    <t>Component Name</t>
  </si>
  <si>
    <t>Component Description</t>
  </si>
  <si>
    <t>Price ($/unit)</t>
  </si>
  <si>
    <t>Quantity</t>
  </si>
  <si>
    <t>Herbicide, Imazapyr</t>
  </si>
  <si>
    <t>Pre and post-emergent, non-selective herbicide for control of undesirable vegetation in non-crop areas.  Product is typically used in these practices 314, 595, 666 and 645.  Product Name:  Arsenal</t>
  </si>
  <si>
    <t>ac</t>
  </si>
  <si>
    <t>All terrain vehicles (ATV)</t>
  </si>
  <si>
    <t>Equipment costs only.  Labor not included.</t>
  </si>
  <si>
    <t>hrs</t>
  </si>
  <si>
    <t>Chemical, ground application</t>
  </si>
  <si>
    <t>Chemical application performed by ground equipment.  Equipment and labor.</t>
  </si>
  <si>
    <t>Skilled Labor</t>
  </si>
  <si>
    <t>Labor requiring a high level skill set: Includes carpenters, welders, electricians, conservation professionals involved with data collection, monitoring, and or record keeping, etc.</t>
  </si>
  <si>
    <t>Total</t>
  </si>
  <si>
    <t>% of Materials, equipment and labor costs</t>
  </si>
  <si>
    <t>%</t>
  </si>
  <si>
    <t>Operation&amp;Maintenance</t>
  </si>
  <si>
    <t>Do not pay. % of Installation Costs</t>
  </si>
  <si>
    <t>Foregone Income</t>
  </si>
  <si>
    <t>Cut &amp; Treat Stump</t>
  </si>
  <si>
    <t>A skilled laborer uses a brush saw to control targeted invasive woody species, such as autumn olive, bush honeysuckle, multiflora rose, oriental bittersweet, tree-of-heaven and/or other woody plants by cutting, then applying  Glyphosate herbicide to the stump.  Implementation requires knowledge about the target plant, chemicals and their safe use including selectivity of chemical compounds, timing of the application, application methods to avoid damage to non-target plants, addition of adjuvants and calibration of equipment. Typical field/stand size is 25-75 acres. Rates are based on 100% infestation. Planner will have to estimate the actual acreage of the field or stand that is  infested to determine teartment acreage.</t>
  </si>
  <si>
    <t>A cool pasture or mixed hardwood forest has an infestation of invasive woody plants, such as autumn olive, bush honeysuckle, multiflora rose and/or privet that impair the productivity, health and vigor of desired plants. Site is inaccessible to machinery that might otherwise be used to control the invasive woody plants.  Cutting alone will not kill the invasive plant species of concern.  Directed spray herbicide application is needed to avoid damage to desireable vegetation.</t>
  </si>
  <si>
    <t>Targeted invasive woody plants are controlled by cutting and treatment of the cut surface with herbicide, allowing the desired plants to thrive and facilitate improved grazing or forest management. Ninety percent control of the target species is expected.  Continued operation and maintenance activities should eventually result in complete control. Ninety percent control of the target species is expected.  Continued operation and maintenance activities should eventually result in complete control.</t>
  </si>
  <si>
    <t>511, 512, 528, 382, 472, 666, 660</t>
  </si>
  <si>
    <t>Herbicide, Glyphosate</t>
  </si>
  <si>
    <t>A broad-spectrum, non-selective systemic herbicide. Product is typically used in these practices 340, 645, 314, 666, and 512.  Product Name:  Roundup, Accord XRT, and Accord SP.</t>
  </si>
  <si>
    <t>Chainsaw</t>
  </si>
  <si>
    <t>Includes equipment cost only.</t>
  </si>
  <si>
    <t>Chemical, spot treatment/single stem application</t>
  </si>
  <si>
    <t>Ground applied chemical to individual plants or group of plants, e.g., backpack sprayer treatment. Equipment and labor.</t>
  </si>
  <si>
    <t>a licensed pesticide applicator that is trained in chainsaw safety</t>
  </si>
  <si>
    <t>Foliar Spray Followup Treatment of Woody Invasives</t>
  </si>
  <si>
    <t>A licensed pesticide applicator applies herbicide to kill targeted invasive woody plants, generally less than 4.5 ft in height, that have resprouted following a cut stump treatment.  Invasive species targeted include: autumn olive, multiflora rose, privet,bush honeysuckle, tree-of-heaven, princesstree, etc,  on the actual infestated acreage, using an a backpack sprayer or similar method.  Implementation requires knowledge about the target species, chemicals and their safe use including selectivity of chemical compounds, timing of the application, application methods to avoid damage to non-target plants, addition of adjuvants and calibration of equipment. Infested areas are forested sites, such as mid to late rotation mixed hardwood forests.  Field/stand size is usually 25-75 acres. Rates are based on 100% infestation. Planner will have to estimate the actual acreage of the field or stand that is  infested to determine treatment acreage.</t>
  </si>
  <si>
    <t xml:space="preserve">A farm with land used for timber production that has an infestation of invasive woody plant species, such as autumn olive, multiflora rose, privet,bush honeysuckle, tree-of-heaven, princesstree, etc,  that impairs the growth and regeneration of the native plant community, limits wildlife habitat, and impairs the productivity, health and vigor of desired plant communities. Field/stand size is usually 25-75 acres. </t>
  </si>
  <si>
    <t>A trained and licensed pesticide applicator applies a herbicide to kill targeted invasive woody plants, such as autumn olive, multiflora rose, privet, bush honeysuckle, tree-of-heaven, princesstree, etc, on the actual infestated acreage, using a backpack sprayer or similar method.  Targeted invasive woody plants are controlled, allowing the desired plants to thrive. Ninety percent control of the target species is expected.  Continued operation and maintenance activities should eventually result in complete control.</t>
  </si>
  <si>
    <r>
      <t>Geographic Area</t>
    </r>
    <r>
      <rPr>
        <sz val="10"/>
        <rFont val="Arial"/>
        <family val="2"/>
      </rPr>
      <t xml:space="preserve"> = KY-Statewide</t>
    </r>
  </si>
  <si>
    <t>Conservation Cover (Ac.)</t>
  </si>
  <si>
    <t xml:space="preserve"> Conservation Cover - Native Grass - Pollinator Mix - No Till</t>
  </si>
  <si>
    <t>WHIP-HU</t>
  </si>
  <si>
    <t>Typical Pollinator Habitat Scenario</t>
  </si>
  <si>
    <t>A strip of permanent vegetation will be established at the edge a typical annual crop field.</t>
  </si>
  <si>
    <t>This practice will be used to provide wildlife food and cover adjacent to large fields where no other available cover is present.</t>
  </si>
  <si>
    <t>The practice will also be used to capture sediment, nutrients and agicultural chemicals at the field edge.</t>
  </si>
  <si>
    <t>Unit type is based on 1 acre of field border established.</t>
  </si>
  <si>
    <t>Units</t>
  </si>
  <si>
    <t>Unit Cost</t>
  </si>
  <si>
    <t>Amount</t>
  </si>
  <si>
    <t>Total Cost</t>
  </si>
  <si>
    <t>Lime</t>
  </si>
  <si>
    <t>ton</t>
  </si>
  <si>
    <t>Nitrogen (chemical)</t>
  </si>
  <si>
    <t>lb</t>
  </si>
  <si>
    <t>Phosphorus</t>
  </si>
  <si>
    <t>Potassium</t>
  </si>
  <si>
    <t>Custom Rate Documentation from: "Core Rates" worksheet at the end of this workbook and all its references. (See notes columns)</t>
  </si>
  <si>
    <t>Various Seed Companies (Bamert, Ernst, Roundstone, Sharp Bros., Hamilton, Turner)</t>
  </si>
  <si>
    <t>Minus 15% for Labor
:</t>
  </si>
  <si>
    <t>Herbicide Application</t>
  </si>
  <si>
    <t>Drill (Seeding)</t>
  </si>
  <si>
    <t xml:space="preserve">Spreading bulk dry fertilizer </t>
  </si>
  <si>
    <t>Speading Lime (lime not included)</t>
  </si>
  <si>
    <t>Lime Delivery</t>
  </si>
  <si>
    <t>Total Labor Cost:</t>
  </si>
  <si>
    <t>Labor Factor = 15% of Equipment/Installation Costs:</t>
  </si>
  <si>
    <t>3% of Materials, equipment and labor costs.</t>
  </si>
  <si>
    <t>Operation &amp; Maintenance</t>
  </si>
  <si>
    <t>Cost of a mowing operation.  Documentation from: "Core Rates" worksheet at the end of this workbook (UK 2007 datum)</t>
  </si>
  <si>
    <t>Calibrate and operate seed drill, manage perennial grass.  No data available.</t>
  </si>
  <si>
    <t>Forgone Income</t>
  </si>
  <si>
    <t>Average net profit from commodity crops $80/ac (ref UK Ag statistics);  Avg net profit from introduced grass hay $35; net avg $60 X 3 yrs; consensus was to provide 3 of 5 year lifespan of FI.</t>
  </si>
  <si>
    <t>Estimated Installation Cost</t>
  </si>
  <si>
    <r>
      <t xml:space="preserve">Estimated Installation Cost </t>
    </r>
    <r>
      <rPr>
        <b/>
        <sz val="12"/>
        <color indexed="12"/>
        <rFont val="Arial"/>
        <family val="2"/>
      </rPr>
      <t>=</t>
    </r>
    <r>
      <rPr>
        <sz val="10"/>
        <color indexed="12"/>
        <rFont val="Arial"/>
        <family val="2"/>
      </rPr>
      <t xml:space="preserve"> Materials </t>
    </r>
    <r>
      <rPr>
        <b/>
        <sz val="12"/>
        <color indexed="12"/>
        <rFont val="Arial"/>
        <family val="2"/>
      </rPr>
      <t>+</t>
    </r>
    <r>
      <rPr>
        <sz val="10"/>
        <color indexed="12"/>
        <rFont val="Arial"/>
        <family val="2"/>
      </rPr>
      <t xml:space="preserve"> Equipment &amp; Installation </t>
    </r>
    <r>
      <rPr>
        <b/>
        <sz val="12"/>
        <color indexed="12"/>
        <rFont val="Arial"/>
        <family val="2"/>
      </rPr>
      <t>+</t>
    </r>
    <r>
      <rPr>
        <sz val="10"/>
        <color indexed="12"/>
        <rFont val="Arial"/>
        <family val="2"/>
      </rPr>
      <t xml:space="preserve"> Labor </t>
    </r>
    <r>
      <rPr>
        <b/>
        <sz val="12"/>
        <color indexed="12"/>
        <rFont val="Arial"/>
        <family val="2"/>
      </rPr>
      <t>+</t>
    </r>
    <r>
      <rPr>
        <sz val="10"/>
        <color indexed="12"/>
        <rFont val="Arial"/>
        <family val="2"/>
      </rPr>
      <t xml:space="preserve"> Mobilization </t>
    </r>
    <r>
      <rPr>
        <b/>
        <sz val="12"/>
        <color indexed="12"/>
        <rFont val="Arial"/>
        <family val="2"/>
      </rPr>
      <t>+</t>
    </r>
    <r>
      <rPr>
        <sz val="10"/>
        <color indexed="12"/>
        <rFont val="Arial"/>
        <family val="2"/>
      </rPr>
      <t xml:space="preserve"> Acquisition of Knowledge </t>
    </r>
    <r>
      <rPr>
        <b/>
        <sz val="12"/>
        <color indexed="12"/>
        <rFont val="Arial"/>
        <family val="2"/>
      </rPr>
      <t>+</t>
    </r>
    <r>
      <rPr>
        <sz val="10"/>
        <color indexed="12"/>
        <rFont val="Arial"/>
        <family val="2"/>
      </rPr>
      <t xml:space="preserve"> Administration &amp; Permit Costs</t>
    </r>
  </si>
  <si>
    <t>Introduced Grasses - Conv. Till</t>
  </si>
  <si>
    <t>Typical Introduced Grass-Conventional Tillage Scenario</t>
  </si>
  <si>
    <t>The practice will be used to capture sediment, nutrients and agicultural chemicals at the field edge.</t>
  </si>
  <si>
    <t>This practice will also be used to provide wildlife food and cover adjacent to large fields where no other available cover is present.</t>
  </si>
  <si>
    <t>Orchardgrass</t>
  </si>
  <si>
    <t>Timothy</t>
  </si>
  <si>
    <t>Clover - Red</t>
  </si>
  <si>
    <t>Harrowing</t>
  </si>
  <si>
    <t>Conservation Cover (Ac)</t>
  </si>
  <si>
    <t>Introduced Grasses - No Till</t>
  </si>
  <si>
    <t>Typical Introduced Grass-No Till Scenario</t>
  </si>
  <si>
    <t>Native Grass - Legumes - No Till</t>
  </si>
  <si>
    <t xml:space="preserve">Typical Native Grass/Legumes-No Till Scenario </t>
  </si>
  <si>
    <t xml:space="preserve">Native Grass - 1# Forbs Mix </t>
  </si>
  <si>
    <t xml:space="preserve"> Native Grass - 1# Forbs Mix </t>
  </si>
  <si>
    <t xml:space="preserve">Typical Native Grass-No Till w/1#Forb Mix </t>
  </si>
  <si>
    <t xml:space="preserve">Native Grass - 2# Forbs Mix </t>
  </si>
  <si>
    <t>Typical Native Grass-No Till w/2# Forb Mix</t>
  </si>
  <si>
    <t>Kentucky Conservation Practice Payment Schedule and Practice Cost Estimation Worksheet</t>
  </si>
  <si>
    <t>FY 2012</t>
  </si>
  <si>
    <t>330 Contour Farming</t>
  </si>
  <si>
    <t xml:space="preserve">Contour Farming </t>
  </si>
  <si>
    <t>Practice Name</t>
  </si>
  <si>
    <t>Unit Type (Payment Unit)</t>
  </si>
  <si>
    <t xml:space="preserve">EQIP </t>
  </si>
  <si>
    <t>Contour Farming - HU</t>
  </si>
  <si>
    <t>EQIP Payment Percentage</t>
  </si>
  <si>
    <t>EQIP Payment Rate</t>
  </si>
  <si>
    <t>EQIP-HU Payment Percentage</t>
  </si>
  <si>
    <t>EQIP-HU Payment Rate</t>
  </si>
  <si>
    <t>Eqipment/Installation</t>
  </si>
  <si>
    <t>Operation, Maintenance and Replacement</t>
  </si>
  <si>
    <t>Acquisition of Technical Knowledge</t>
  </si>
  <si>
    <t>Administration and Permits</t>
  </si>
  <si>
    <t>Total Estimated Cost per Payment Unit</t>
  </si>
  <si>
    <t>Practice Cost Data</t>
  </si>
  <si>
    <t>Practice Code and Name:</t>
  </si>
  <si>
    <t>Contour Farming</t>
  </si>
  <si>
    <t>Practice Scenario Name:</t>
  </si>
  <si>
    <t>Tillage, planting or other farming operations performed on or near the contour of the field slope.  Most effective on slopes between 2 to 10 percent where slopes are uniform.   To reduce sheet and rill erosion and reduce transport of sediment and other water-borne contaminants.  Payment for the installation of stable outlets is provided through associated practices.  See the "Contour Farming" conservation practice standard.</t>
  </si>
  <si>
    <t xml:space="preserve">412 Grassed Waterway; 386 Field Border; 638 Water and Sediment Control Basin; 620 Underground Outlet.  </t>
  </si>
  <si>
    <t>Geographic Area covered by this practice cost estimate:</t>
  </si>
  <si>
    <t>Payment Unit (this unit may differ from the practice unit listed in the practice standard):</t>
  </si>
  <si>
    <t>Typical Amount of Units (number of units used in the Practice Payment Schedule Cost analysis):</t>
  </si>
  <si>
    <t>(typical units may not be applicable in all scenarios)</t>
  </si>
  <si>
    <t>Practice life (years):</t>
  </si>
  <si>
    <t>Discount Rate (%/year):</t>
  </si>
  <si>
    <t xml:space="preserve">Materials:  </t>
  </si>
  <si>
    <t>Quantity of           Units</t>
  </si>
  <si>
    <t>Total Estimated Cost/Payment Unit</t>
  </si>
  <si>
    <t>Client's Cost Estimate</t>
  </si>
  <si>
    <t>none</t>
  </si>
  <si>
    <t>Total Estimated Material Cost:</t>
  </si>
  <si>
    <t>Notes/Data Source(s):</t>
  </si>
  <si>
    <t>Equipment/Installation:</t>
  </si>
  <si>
    <t>Total Estimated Equipment/Installation Cost:</t>
  </si>
  <si>
    <r>
      <t xml:space="preserve">Labor: </t>
    </r>
    <r>
      <rPr>
        <sz val="10"/>
        <rFont val="Arial Narrow"/>
        <family val="2"/>
      </rPr>
      <t>Labor costs not included elsewhere required to install the practice</t>
    </r>
  </si>
  <si>
    <t>Increased time to plant and harvest along the contour (cost list component 696)</t>
  </si>
  <si>
    <t>hr</t>
  </si>
  <si>
    <t>Total Estimated Labor Cost:</t>
  </si>
  <si>
    <t xml:space="preserve">Labor cost from the June 2010 Standardized State Average Cost List available from NRCS eFOTG Section I C. Economic Data.  Assume 1 hour of extra time operate on the contour per 50 ac field.  </t>
  </si>
  <si>
    <r>
      <t xml:space="preserve">Mobilization: </t>
    </r>
    <r>
      <rPr>
        <sz val="10"/>
        <rFont val="Arial Narrow"/>
        <family val="2"/>
      </rPr>
      <t>Includes direct cash expenditures required to move equipment and materials to and from the site.  May include access costs such as costs associated with a temporary road, bridge, or trail.</t>
    </r>
  </si>
  <si>
    <t>Mobilization Percent of Cost</t>
  </si>
  <si>
    <t>Total Materials, Equipment, and Labor Costs</t>
  </si>
  <si>
    <t>Total Estimated Mobilization Cost:</t>
  </si>
  <si>
    <r>
      <t xml:space="preserve">Operation &amp; Maintenance (annual): </t>
    </r>
    <r>
      <rPr>
        <sz val="10"/>
        <rFont val="Arial Narrow"/>
        <family val="2"/>
      </rPr>
      <t>Includes work performed by the participant to keep the conservation practice functioning for the intended purpose during its estimated life span</t>
    </r>
  </si>
  <si>
    <t>Operation &amp; Maintenance Percent of Cost</t>
  </si>
  <si>
    <t>Maintain contour markers on grades, establish sod turn strips as needed for machinery operation, renovate field borders and other stable outlets as needed to maintain at least 65% ground cover, and maintain adequate field border width to allow farm implements room to turn efficiently.</t>
  </si>
  <si>
    <t>Total Estimated Operation and Maintenance Cost:</t>
  </si>
  <si>
    <r>
      <t>Acquisition of Technical Knowledge:</t>
    </r>
    <r>
      <rPr>
        <sz val="10"/>
        <rFont val="Arial Narrow"/>
        <family val="2"/>
      </rPr>
      <t xml:space="preserve"> Includes contracting for direct technical assistance, cost of acquiring technical knowledge, management costs to investigate, plan, oversee and record farm activities</t>
    </r>
  </si>
  <si>
    <t>Learn to farm on the contour</t>
  </si>
  <si>
    <t>Total Estimated Acquisition of Technical Knowledge Cost:</t>
  </si>
  <si>
    <t>Estimated hourly cost from Bureau of Labor Statistics compensation for professional services</t>
  </si>
  <si>
    <r>
      <t xml:space="preserve">Foregone Income:  </t>
    </r>
    <r>
      <rPr>
        <sz val="10"/>
        <rFont val="Arial Narrow"/>
        <family val="2"/>
      </rPr>
      <t>Includes lost income from a change in land use or land taken out of production, or the opportunity cost of accepting less farm income in exchange for improved resource condition</t>
    </r>
  </si>
  <si>
    <t>cropland removed from production on point rows</t>
  </si>
  <si>
    <t>Total Estimated Foregone Income:</t>
  </si>
  <si>
    <t xml:space="preserve"> Foregone income calculated from March 2009 FAPRI US Baseline Briefing Book Missouri Insert available from http://www.fapri.missouri.edu/outreach/publications/2009/FAPRI_MU_Report_02_09.pdf.  Assume Corn Soybean crop rotation.  Assume approximately 10% of the field is incorporated into point rows.</t>
  </si>
  <si>
    <r>
      <t xml:space="preserve">Risk:  </t>
    </r>
    <r>
      <rPr>
        <sz val="10"/>
        <rFont val="Arial Narrow"/>
        <family val="2"/>
      </rPr>
      <t xml:space="preserve">Includes uncertainty or probability of real or financial loss associated with implementing a conservation practice/activity.  For example, the probability that crops or a practice will fail, livestock will perish, or people will be harmed. </t>
    </r>
  </si>
  <si>
    <t>Total Estimated Risk Cost:</t>
  </si>
  <si>
    <t>Administration and Permit Costs</t>
  </si>
  <si>
    <r>
      <t xml:space="preserve">Administration and Permit Costs:  </t>
    </r>
    <r>
      <rPr>
        <sz val="10"/>
        <rFont val="Arial Narrow"/>
        <family val="2"/>
      </rPr>
      <t>Includes the cost of completing paperwork, attending meetings, regulatory documentation and other administrative costs, and the cost of obtaining all necessary permits.</t>
    </r>
  </si>
  <si>
    <t>Total Estimated Administration and Permit Cost:</t>
  </si>
  <si>
    <t>Cost Totals</t>
  </si>
  <si>
    <t>Estimated Practice Installation Cost/Unit:</t>
  </si>
  <si>
    <t>Client's Estimated Cost/Unit:</t>
  </si>
  <si>
    <t>Total Units Planned:</t>
  </si>
  <si>
    <r>
      <t>Client's Total Estimated Practice Installation Cost</t>
    </r>
    <r>
      <rPr>
        <b/>
        <sz val="9"/>
        <rFont val="Arial Narrow"/>
        <family val="2"/>
      </rPr>
      <t xml:space="preserve"> (Estimated Cost/unit * Total Units Planned)</t>
    </r>
    <r>
      <rPr>
        <b/>
        <sz val="11"/>
        <rFont val="Arial Narrow"/>
        <family val="2"/>
      </rPr>
      <t>:</t>
    </r>
  </si>
  <si>
    <t>Total Estimated Practice Installation Cost:</t>
  </si>
  <si>
    <t>Notes</t>
  </si>
  <si>
    <t>340-Cover Crop</t>
  </si>
  <si>
    <t>Single Species</t>
  </si>
  <si>
    <t>A single species cover crop is planted following a summer or winter crop to provide improvements including: reduced soil loss, decreased in soil loss, improved soil quality, added soil loss protection, improved nutrient scavenging, and weed suppresion.  Cover Crop is terminated by conventional herbicide that is a part of their normal operation so termination is not figured in cost scenario.</t>
  </si>
  <si>
    <t>A lack of a cover crop following low residue crops leads to soil that is unprotected.  Sediment and nutrients can move without residue or plant life to hold them in place.  Low soil quality from conventional farming practices.  Also, a lack of diversity in crops grown leads to weed problems which can be reduced by utilizing cover crops. Nutrients such as Nitrogen and Phosphorus are lost with the protection that cover crops provide.</t>
  </si>
  <si>
    <t>Productive croplands soils are protected to a higher level of conservation above and beyond HEL Compliance. Added benefits include: nitrogen scavenging , root systems that improves water infiltration, addition of organic matter to soil, and cover to prevent sediment and nutrients from leaving field. Weeds are suppressed because crops are planted into cover crop residue.</t>
  </si>
  <si>
    <t>329, 328</t>
  </si>
  <si>
    <t>Rye, Cereal (Secale cereale L.)</t>
  </si>
  <si>
    <t>Small Grains, Cover Crops</t>
  </si>
  <si>
    <t>lbs</t>
  </si>
  <si>
    <t>Equipment</t>
  </si>
  <si>
    <t>Equipment: Ag Tractor - 120 HP</t>
  </si>
  <si>
    <t>Includes the cost of power unit only.  Does not include labor.</t>
  </si>
  <si>
    <t>Seeding Operation, Ground</t>
  </si>
  <si>
    <t>Mechanical seeding operation, includes: Grass or no-till drill, conventional planter.  Equipment and labor.</t>
  </si>
  <si>
    <t>General Labor</t>
  </si>
  <si>
    <t>Labor performed using basic tools such as power tool, shovels, and other tools that do not require extensive training.  Ex. pipe layer, herder, concrete placement, materials spreader, flagger, etc.</t>
  </si>
  <si>
    <t>2-5 Species</t>
  </si>
  <si>
    <t>Two to five species of cover crops of winter or summer annual cover crops for improvement of soil quality, soil erosion and increased nitrogen fixation.  Cover Crop is terminated by conventional herbicide that is a part of their normal operation.</t>
  </si>
  <si>
    <t>No cover following low residue conventional tilled and no-tilled crops aloowing soil erosion above the soils's loss tolerance.  Poor infiltration of water, low organic matter content, compaction, crusting, and/or poor plant health and vigor are symptoms.</t>
  </si>
  <si>
    <t>Nitrogen scavenging and fixation occurring when cropland would normally have low residue present. Root systems that improves infiiltration, addition of organic matter to soil and acts as cover to prevent sediment and nutrients from leaving field. Soil erosion reduced by addition vegetative cover. Soil health improved by multi species covercrop.</t>
  </si>
  <si>
    <t>Crimson Clover (Trifolium incarnatum)</t>
  </si>
  <si>
    <t>Legumes, Cover Crops</t>
  </si>
  <si>
    <t>Oilseed Radish (Raphanus sativus var. oleiformis)</t>
  </si>
  <si>
    <t>Brassicas / Non-Legume Broadleaf, Cover Crops</t>
  </si>
  <si>
    <t>6 or More Species</t>
  </si>
  <si>
    <t>Six or more species of cover crops of winter or summer annual cover crops for improvement of soil quality, soil erosion and increased nitrogen fixation/and or scavenging.  Cover Crop is terminated by conventional herbicide that is a part of their normal operation.</t>
  </si>
  <si>
    <t>Soil erosion is occurring above acceptable soil loss tolerance.  No cover following low residue conventional tilled crops.  Soil erosion or crusting due to low organic matter during times of year when crops are not actively growing. Nutrients lost and not held in place by cover crop.</t>
  </si>
  <si>
    <t>Nitrogen scavenging and fixation occurring when cropland would normally have low residue present. Root system that improves infiiltration, addition of organic matter to soil and acts as cover to prevent sediment and nutrients from leaving field. Soil erosion reduced by addition vegetative cover. Soil health improved by multi species covercrop.</t>
  </si>
  <si>
    <t>Austrian Winter Pea (Caley Pea) (Lathyrus hirsutus)</t>
  </si>
  <si>
    <t>Sweet Clover (Melilotus spp.)</t>
  </si>
  <si>
    <t>Introduced Legumes</t>
  </si>
  <si>
    <t>Turnips (Brassica rapa var. rapa)</t>
  </si>
  <si>
    <t>Transitioning conventional or minimum tillage organic farmer to all no till organic system.  Cover crop is terminated by special mechanical means that is not part of their normal operation.</t>
  </si>
  <si>
    <t>Soil erosion occurring above acceptable soil loss tolerance.  No cover following low residue conventional tilled crops</t>
  </si>
  <si>
    <t>Nitrogen scavenging in the winter, root system that improves infiiltration, addition of organic  matter to soil and acts as cover to prevent sediment and nutrients from leaving field.</t>
  </si>
  <si>
    <t>Certified Organic - Rye, Cereal (Secale cereale L.)</t>
  </si>
  <si>
    <t>Equipment: Ag Tractor - 60 HP</t>
  </si>
  <si>
    <t>Mechanical weed control/Vegetation termination</t>
  </si>
  <si>
    <t>Mechanical operations, Includes: Roller/crimper, mower, shredder, etc.  Equipment and labor.</t>
  </si>
  <si>
    <t>Two to five species of cover crops of winter or summer annual cover crops for improvement of soil quality, soil erosion and increased nitrogen fixation. Cover crop is terminated by special mechanical means that is not part of their normal operation.</t>
  </si>
  <si>
    <t>Soil erosion occurring above acceptable soil loss tolerance.  Crop land is left fallow the period following the cash crop. Soil erosion and crusting due to over tillage. Weeds allowed to re-seed and left until the next season.</t>
  </si>
  <si>
    <t>Certified Organic - Crimson Clover (Trifolium incarnatum)</t>
  </si>
  <si>
    <t>Certified Organic - Radish, Forage (Raphanus sativus var. niger)</t>
  </si>
  <si>
    <t xml:space="preserve">Six or more species of cover crops of winter or summer annual cover crops for improvement of soil quality, decreased soil erosion, and increased nitrogen fixation and/or nutrient scavenging.  Cover crop is terminated by special mechanical means that is not part of their normal operation. </t>
  </si>
  <si>
    <t>Soil erosion occurring above acceptable soil loss tolerance.  No cover following low residue conventional tilled crops.  Soil erosion or crusting due to low organic matter during times of year when crops are not actively growing. Low water infiltration due to lackk of pore space in the soil.  Low water and nutrient jholding capability.</t>
  </si>
  <si>
    <t>Certified Organic - Austrian Winter Pea (Lathyrus hirsutus)</t>
  </si>
  <si>
    <t>Certified Organic - Sweet Clover (Melilotus spp.)</t>
  </si>
  <si>
    <t>Certified Organic - Turnips (Brassica rapa var. rapa)</t>
  </si>
  <si>
    <r>
      <t>Geographic Area</t>
    </r>
    <r>
      <rPr>
        <sz val="10"/>
        <rFont val="Arial"/>
      </rPr>
      <t xml:space="preserve"> = KY-Statewide</t>
    </r>
  </si>
  <si>
    <t>Residue Management, Seasonal (Ac)</t>
  </si>
  <si>
    <t xml:space="preserve">Use Seasonal Residue Management to manage the amount, orientation, and distribution of crop and other plant residues during a specific period of the year. </t>
  </si>
  <si>
    <t xml:space="preserve">Use Seasonal Residue Management to manage the amount, orientation, and distribution of crop and other plant residues during a specific period of the year.  </t>
  </si>
  <si>
    <t>This practice will be used to manage the amount, orientation, and distribution of crop and other plant residues on the soil surface during a specified period of the year while planting crops in a conventional, minimum, or no-tillage system.  Payment is annual.  Seasonal residue managment includes managing residues of annual crops from harvest until the residue is no-till planted through, buried by tillage (minimum or conventional tillage) for seedbed preparation, removed by grazing or mechanically removed immediately before planting.  It also includes the management of residues from biennial or perenial seed crops from the time of seed harvest until regrowth begins the next season.  See the "Residue Management, Seasonal" conservation practice standard.</t>
  </si>
  <si>
    <t>Typical Implementation Scenario consist of 40 acres of residue management implemented on corn crop.</t>
  </si>
  <si>
    <t>$25.00/hr X 14 hrs/40acs = $8.75/ac</t>
  </si>
  <si>
    <t>Ac</t>
  </si>
  <si>
    <t xml:space="preserve">Data Source: </t>
  </si>
  <si>
    <t>Geographic</t>
  </si>
  <si>
    <t>Area</t>
  </si>
  <si>
    <t>Kentucky</t>
  </si>
  <si>
    <t>Residue &amp; Tillage Management-Mulch Till (Ac.)</t>
  </si>
  <si>
    <t>Residue &amp; Tillage Management-Mulch Till</t>
  </si>
  <si>
    <t>Residue &amp; Tillage Management-Mulch Till - HU</t>
  </si>
  <si>
    <t xml:space="preserve"> </t>
  </si>
  <si>
    <t>EQIP 75%</t>
  </si>
  <si>
    <t>Seed 500 acres to corn with a modified no-till system (2-year crop cycle)</t>
  </si>
  <si>
    <t>Planted on relatively level to rolling cropland.  Part of a residue management system to reduce soil compaction and/or crusting.</t>
  </si>
  <si>
    <t>Managing the amount, orientation and distribution of crop and other plant residue on the soil surface year round</t>
  </si>
  <si>
    <t>while limiting soil-disturbing activities to only those necessary to place nutrients, condition residue and plant crops.</t>
  </si>
  <si>
    <t>Area Applicable to:</t>
  </si>
  <si>
    <t>Equipment life (yrs) =</t>
  </si>
  <si>
    <t>Vertical tillage implements</t>
  </si>
  <si>
    <t>Tractorhouse.com-43ft rotary harrow, used &lt;2yrs old</t>
  </si>
  <si>
    <t>Management for pests.</t>
  </si>
  <si>
    <t>Associated Practices:</t>
  </si>
  <si>
    <t>327-Conservation Cover, 328-Conservation Crop Rotation, 332-Contour Buffer Strips, 340-Cover Crop, 342-Critical Area Planting, 590-Nutrient Management, 595-Pest Management, 345-Residue Management, Mulch Till</t>
  </si>
  <si>
    <t>Residue &amp; Tillage Management-Ridge Till (Ac.)</t>
  </si>
  <si>
    <t>Managing Crop Residues-Ridge Till</t>
  </si>
  <si>
    <t>The typical scenario involves a 500 ac cropland farm in Kentucky.  The practice being part of a conservation management system to: 1) reduce sheet and rill erosion  2) reduce wind erosion  3) improve soil organic matter content  4) reduce CO2 losses from the soil  5) reduce soil particulate emissions  6) increase plant-available moisture  7) provide food and escape cover for wildlife.  This practice payment is provided to acquire the technical knowledge and skills necessary to effectively implement a ridge till system in KY.  Cost represents typical situations for conventional, organic, and transitioning to organic producers.</t>
  </si>
  <si>
    <t>Ridge Till, Building Ridges - (Includes Equipment and Labor)</t>
  </si>
  <si>
    <t>KENTUCKY</t>
  </si>
  <si>
    <t>Farmstead Energy Improvement</t>
  </si>
  <si>
    <t>Heating, Radiant Systems</t>
  </si>
  <si>
    <t>kBtu/hr</t>
  </si>
  <si>
    <t>Heating, Radiant Systems - HU</t>
  </si>
  <si>
    <r>
      <rPr>
        <sz val="16"/>
        <rFont val="Arial"/>
        <family val="2"/>
      </rPr>
      <t>Resource Concern:</t>
    </r>
    <r>
      <rPr>
        <sz val="16"/>
        <color indexed="12"/>
        <rFont val="Arial"/>
        <family val="2"/>
      </rPr>
      <t xml:space="preserve"> The primary resource concern to be addressed is inefficient energy use in equipment and facilities - "Heating". </t>
    </r>
    <r>
      <rPr>
        <sz val="16"/>
        <rFont val="Arial"/>
        <family val="2"/>
      </rPr>
      <t>Existing Conditions:</t>
    </r>
    <r>
      <rPr>
        <sz val="16"/>
        <color indexed="12"/>
        <rFont val="Arial"/>
        <family val="2"/>
      </rPr>
      <t xml:space="preserve"> Inefficient heat distribution equipment, such as conventional "pancake" brood heaters have been identified by an on-farm energy audit. The Pancake brooder, mounted at a low installation height, primarily wams the air. They provide a one-to-two foot perimeter at desired temperatures around each brooder. A large number of brooders are required to cover a significant percent of floor space. As the warmed air naturally rises it loses effectiveness for poultry on the ground. </t>
    </r>
    <r>
      <rPr>
        <sz val="16"/>
        <rFont val="Arial"/>
        <family val="2"/>
      </rPr>
      <t>Improved Conditions:</t>
    </r>
    <r>
      <rPr>
        <sz val="16"/>
        <color indexed="12"/>
        <rFont val="Arial"/>
        <family val="2"/>
      </rPr>
      <t xml:space="preserve"> Radiant tube heaters primarily warm objects within a direct line of sight (similar to the sun or an open fire). Air temperature is of relatively little importance for a radiant heating systems to be effective. As a result, radiant sytems are typically installed 5' or more above the floor level. This height extends the distribution of the radiant heat over a larger area than is possible with pancake style heaters. A roughly 16' diameter radiant heat zone heats over twice that of a convential pancake brooder. Amount and sources of reduced energy use will be as evidenced in the energy audit. </t>
    </r>
    <r>
      <rPr>
        <sz val="16"/>
        <rFont val="Arial"/>
        <family val="2"/>
      </rPr>
      <t>Typical Scenario:</t>
    </r>
    <r>
      <rPr>
        <sz val="16"/>
        <color rgb="FF0000FF"/>
        <rFont val="Arial"/>
        <family val="2"/>
      </rPr>
      <t xml:space="preserve"> Replace 28 "pancake" brood heaters in a poultry house with 6 Radiant Tube Heaters. Replacement will require the materials and labor to remove existing heating system, re-plumb gas lines, cables and wench system to retrofit new radiant tube heaters, and miscellaneous items to complete the installation. Actual number, placement, and heating capacity of radiant tube heaters will be as evidenced in the energy audit, designed by a qualified engineer or installer, and may need to be verified by the field representative of the integrator. Typical heater capacity is 125,000 Btu/hour. Alternate acceptable radiant heating systems can include radiant brooders and quad radiant systems as evidenced by the energy audit. </t>
    </r>
    <r>
      <rPr>
        <sz val="16"/>
        <rFont val="Arial"/>
        <family val="2"/>
      </rPr>
      <t>Associated practices/activities:</t>
    </r>
    <r>
      <rPr>
        <sz val="16"/>
        <color indexed="12"/>
        <rFont val="Arial"/>
        <family val="2"/>
      </rPr>
      <t xml:space="preserve"> 122-AgEMP - HQ and other activities within 374-Farmstead Energy Improvement.                            </t>
    </r>
  </si>
  <si>
    <t>Development and implementation of improvements to reduce, or improve the energy efficiency of on-farm energy use.</t>
  </si>
  <si>
    <t>Radiant Tube Heaters</t>
  </si>
  <si>
    <t>Matl's Cost</t>
  </si>
  <si>
    <t>Heating Capacity, Improved System</t>
  </si>
  <si>
    <t>$ / Heater</t>
  </si>
  <si>
    <t>(Btu/hr) / Heater</t>
  </si>
  <si>
    <t>(kBtu/hr) / Heater</t>
  </si>
  <si>
    <t>$/(kBtu/hr)</t>
  </si>
  <si>
    <t>Removal of "Pancake" brood heaters and replace with energy efficient "Radiant Tube Heaters" (for Typical House)</t>
  </si>
  <si>
    <t>Labor Rate</t>
  </si>
  <si>
    <t>Labor Cost</t>
  </si>
  <si>
    <t>hr / Heater</t>
  </si>
  <si>
    <t>$ / hr</t>
  </si>
  <si>
    <t>$ / (kBtu/hr)</t>
  </si>
  <si>
    <t>Included in Equipment/Installation</t>
  </si>
  <si>
    <t>Note on energy (heat) units</t>
  </si>
  <si>
    <t>Btu = British thermal unit</t>
  </si>
  <si>
    <t>kBtu = thousand Btu</t>
  </si>
  <si>
    <t>Included in Material Cost</t>
  </si>
  <si>
    <t>kBtu/hr = thousand Btu per hour</t>
  </si>
  <si>
    <t>2% of materials, equipment/Installation and labor costs</t>
  </si>
  <si>
    <t>Energy Audit</t>
  </si>
  <si>
    <t>NA</t>
  </si>
  <si>
    <t>Building Envelope, Insulation Attic</t>
  </si>
  <si>
    <r>
      <rPr>
        <sz val="16"/>
        <rFont val="Arial"/>
        <family val="2"/>
      </rPr>
      <t>Resource Concern:</t>
    </r>
    <r>
      <rPr>
        <sz val="16"/>
        <color indexed="12"/>
        <rFont val="Arial"/>
        <family val="2"/>
      </rPr>
      <t xml:space="preserve"> The primary resource concern to be addressed is inefficient energy use in equipment and facilities - "Building Envelope". </t>
    </r>
    <r>
      <rPr>
        <sz val="16"/>
        <rFont val="Arial"/>
        <family val="2"/>
      </rPr>
      <t xml:space="preserve">Existing Conditions:  </t>
    </r>
    <r>
      <rPr>
        <sz val="16"/>
        <color indexed="12"/>
        <rFont val="Arial"/>
        <family val="2"/>
      </rPr>
      <t>An on-farm energy audit for a poultry house has identified an inefficient building envelope with limited attic insulation.</t>
    </r>
    <r>
      <rPr>
        <sz val="16"/>
        <rFont val="Arial"/>
        <family val="2"/>
      </rPr>
      <t xml:space="preserve"> Improved Conditions: </t>
    </r>
    <r>
      <rPr>
        <sz val="16"/>
        <color rgb="FF0000FF"/>
        <rFont val="Arial"/>
        <family val="2"/>
      </rPr>
      <t xml:space="preserve">A more effective and efficient building envelope can be created through addition of, or increased, attic insulation. </t>
    </r>
    <r>
      <rPr>
        <sz val="16"/>
        <rFont val="Arial"/>
        <family val="2"/>
      </rPr>
      <t xml:space="preserve">Typical Scenario: </t>
    </r>
    <r>
      <rPr>
        <sz val="16"/>
        <color rgb="FF0000FF"/>
        <rFont val="Arial"/>
        <family val="2"/>
      </rPr>
      <t xml:space="preserve">A typical scenario is the installation of a minimum 4-in depth of cellulose insulation in the drop-down ceiling attic for one poultry house. The increased insulation reduces seasonal heat loss and heat gain which reduces the respective need for heating and cooling equipment to operate. Reduced operation reduces energy use as evidenced in the energy audit. Appropriate ventilation is provided (per the energy audit). The unit basis of payment in this scenario is SF (square feet). Alternate types of insulation can be used as evidenced in the energy audit. </t>
    </r>
    <r>
      <rPr>
        <sz val="16"/>
        <rFont val="Arial"/>
        <family val="2"/>
      </rPr>
      <t>Associated practices/activities:</t>
    </r>
    <r>
      <rPr>
        <sz val="16"/>
        <color indexed="12"/>
        <rFont val="Arial"/>
        <family val="2"/>
      </rPr>
      <t xml:space="preserve"> 122-AgEMP - HQ, 124-AgEMP - Landscape, and other activities within 374-Farmstead Energy Improvement.                </t>
    </r>
  </si>
  <si>
    <t>SF</t>
  </si>
  <si>
    <t>Cellouse Insulation, 4" minimum depth</t>
  </si>
  <si>
    <t>Material Cost</t>
  </si>
  <si>
    <t>Insulated Area</t>
  </si>
  <si>
    <t>$/Building</t>
  </si>
  <si>
    <t>SqFt/Building</t>
  </si>
  <si>
    <t>$/SqFt</t>
  </si>
  <si>
    <t>Practice/ Activity Name</t>
  </si>
  <si>
    <t>Practice/ Activity Type</t>
  </si>
  <si>
    <t>374</t>
  </si>
  <si>
    <t>Controllers, Variable Speed Drive</t>
  </si>
  <si>
    <t>Administration Costs</t>
  </si>
  <si>
    <r>
      <rPr>
        <sz val="10"/>
        <rFont val="Arial"/>
        <family val="2"/>
      </rPr>
      <t>Resoure Concern:</t>
    </r>
    <r>
      <rPr>
        <sz val="10"/>
        <color indexed="12"/>
        <rFont val="Arial"/>
        <family val="2"/>
      </rPr>
      <t xml:space="preserve"> The principal resource concern addressed is inefficient energy use in equipment and facilities - "Controllers". </t>
    </r>
    <r>
      <rPr>
        <sz val="10"/>
        <rFont val="Arial"/>
        <family val="2"/>
      </rPr>
      <t>Typical Scenario:</t>
    </r>
    <r>
      <rPr>
        <sz val="10"/>
        <color indexed="12"/>
        <rFont val="Arial"/>
        <family val="2"/>
      </rPr>
      <t xml:space="preserve"> The typical scenario consists of a variable speed drive and appurtances attached to an electric motor used to drive a ventilation fan, irrigation pumps, vacuum pump, or simillar equipment involved with agricultural production.  </t>
    </r>
    <r>
      <rPr>
        <sz val="10"/>
        <rFont val="Arial"/>
        <family val="2"/>
      </rPr>
      <t>Existing Conditions:</t>
    </r>
    <r>
      <rPr>
        <sz val="10"/>
        <color indexed="12"/>
        <rFont val="Arial"/>
        <family val="2"/>
      </rPr>
      <t xml:space="preserve">  The system is inefficient when a motor operates at constant speed to satisfy a load which varies as to flow rate and/or pressure requirements.</t>
    </r>
    <r>
      <rPr>
        <sz val="10"/>
        <rFont val="Arial"/>
        <family val="2"/>
      </rPr>
      <t xml:space="preserve"> Improved Conditions:</t>
    </r>
    <r>
      <rPr>
        <sz val="10"/>
        <color indexed="12"/>
        <rFont val="Arial"/>
        <family val="2"/>
      </rPr>
      <t xml:space="preserve"> An on-farm energy audit has determined that energy use can be reduced through use of a VSD to control electric motors. After the VSD is applied, the motor speed can be adjusted to reduce power requirements and better match varied flow or pressure requirements. Motor sizes range from 5 to 30 HP. </t>
    </r>
    <r>
      <rPr>
        <sz val="10"/>
        <rFont val="Arial"/>
        <family val="2"/>
      </rPr>
      <t xml:space="preserve">Associated practices/activities may include: </t>
    </r>
    <r>
      <rPr>
        <sz val="10"/>
        <color indexed="12"/>
        <rFont val="Arial"/>
        <family val="2"/>
      </rPr>
      <t>122-AgEMP - HQ, 124-AgEMP - Landscape, 533-pumping plant, and 449-irrigation water management.</t>
    </r>
  </si>
  <si>
    <t>HP</t>
  </si>
  <si>
    <t>Variable Speed Drive (installed)</t>
  </si>
  <si>
    <r>
      <t xml:space="preserve"> </t>
    </r>
    <r>
      <rPr>
        <u/>
        <sz val="10"/>
        <color indexed="8"/>
        <rFont val="Arial"/>
        <family val="2"/>
      </rPr>
      <t xml:space="preserve">Cost ($) </t>
    </r>
    <r>
      <rPr>
        <u/>
        <sz val="10"/>
        <rFont val="Arial"/>
        <family val="2"/>
      </rPr>
      <t xml:space="preserve"> </t>
    </r>
  </si>
  <si>
    <r>
      <rPr>
        <u/>
        <sz val="10"/>
        <color indexed="8"/>
        <rFont val="Arial"/>
        <family val="2"/>
      </rPr>
      <t xml:space="preserve">$/HP </t>
    </r>
    <r>
      <rPr>
        <u/>
        <sz val="10"/>
        <rFont val="Arial"/>
        <family val="2"/>
      </rPr>
      <t xml:space="preserve"> </t>
    </r>
  </si>
  <si>
    <t xml:space="preserve"> 5  </t>
  </si>
  <si>
    <t xml:space="preserve"> 7.5  </t>
  </si>
  <si>
    <t xml:space="preserve"> $1858  </t>
  </si>
  <si>
    <t xml:space="preserve"> 10  </t>
  </si>
  <si>
    <t xml:space="preserve"> $2838  </t>
  </si>
  <si>
    <t xml:space="preserve"> 15  </t>
  </si>
  <si>
    <t xml:space="preserve"> $3485  </t>
  </si>
  <si>
    <t xml:space="preserve"> 20  </t>
  </si>
  <si>
    <t xml:space="preserve"> $3442  </t>
  </si>
  <si>
    <t xml:space="preserve"> 25  </t>
  </si>
  <si>
    <t xml:space="preserve"> $3747  </t>
  </si>
  <si>
    <t xml:space="preserve"> 30  </t>
  </si>
  <si>
    <t xml:space="preserve"> $3842  </t>
  </si>
  <si>
    <t>Average Cost ($/HP)</t>
  </si>
  <si>
    <t>Equipment incorporated into materials cost</t>
  </si>
  <si>
    <t>Labor incorporated into materials cost</t>
  </si>
  <si>
    <t>Practice Type</t>
  </si>
  <si>
    <t>Lighting, LED/CFL</t>
  </si>
  <si>
    <t>EQIP-LRF</t>
  </si>
  <si>
    <r>
      <rPr>
        <sz val="16"/>
        <rFont val="Arial"/>
        <family val="2"/>
      </rPr>
      <t>Resource Concern:</t>
    </r>
    <r>
      <rPr>
        <sz val="16"/>
        <color indexed="12"/>
        <rFont val="Arial"/>
        <family val="2"/>
      </rPr>
      <t xml:space="preserve"> The primary resource concern to be addressed is inefficient energy use in equipment and facilities - "Lighting". </t>
    </r>
    <r>
      <rPr>
        <sz val="16"/>
        <rFont val="Arial"/>
        <family val="2"/>
      </rPr>
      <t xml:space="preserve">Existing Conditions:  </t>
    </r>
    <r>
      <rPr>
        <sz val="16"/>
        <color indexed="12"/>
        <rFont val="Arial"/>
        <family val="2"/>
      </rPr>
      <t xml:space="preserve">An inefficient lighting system such as one using incandescent lamps has been identified by an on-farm energy audit. </t>
    </r>
    <r>
      <rPr>
        <sz val="16"/>
        <rFont val="Arial"/>
        <family val="2"/>
      </rPr>
      <t xml:space="preserve">Improved Conditions:  </t>
    </r>
    <r>
      <rPr>
        <sz val="16"/>
        <color rgb="FF0000FF"/>
        <rFont val="Arial"/>
        <family val="2"/>
      </rPr>
      <t xml:space="preserve"> More efficient lighting is provided by dimmable Light-Emitting Diode (LED) lamps in order to reduce energy use as evidenced by the energy audit. LED lights may the added benefit of producing a calming effect on poultry. </t>
    </r>
    <r>
      <rPr>
        <sz val="16"/>
        <rFont val="Arial"/>
        <family val="2"/>
      </rPr>
      <t xml:space="preserve">Typical Scenario: </t>
    </r>
    <r>
      <rPr>
        <sz val="16"/>
        <color rgb="FF0000FF"/>
        <rFont val="Arial"/>
        <family val="2"/>
      </rPr>
      <t>A typical scenario is install LED lamps to replace incandescent lamps on a one-for-one basis. A typical poultry house would have 48 incandescent lamp fixtures. Replacement of the fixtures is not necessary. LED lamp requirements: Minimum 10 Watt, 6,000 Kelvin, Dimmable, Grow-out bulb. Acceptable alternate is to replace incandescent lamps with industrial grade Compact Fluorescent Lamps (CFL) (per the energy audit). CFL requirements: lamps must be industrial grade and housed in a suitable luminaire to minimize glare. In high humidity environments or areas subject to wash down, gasketted or weatherproof housings are required to prevent corrosion and premature failure of the light system. CFL or LED lamps can be used for any type of operation as evidenced by the energy audit.</t>
    </r>
    <r>
      <rPr>
        <sz val="16"/>
        <color indexed="12"/>
        <rFont val="Arial"/>
        <family val="2"/>
      </rPr>
      <t xml:space="preserve"> </t>
    </r>
    <r>
      <rPr>
        <sz val="16"/>
        <rFont val="Arial"/>
        <family val="2"/>
      </rPr>
      <t>Associated practices/activities:</t>
    </r>
    <r>
      <rPr>
        <sz val="16"/>
        <color indexed="12"/>
        <rFont val="Arial"/>
        <family val="2"/>
      </rPr>
      <t xml:space="preserve"> 122-AgEMP - HQ, 124-AgEMP - Landscape, and other activities within 374-Farmstead Energy Improvement.                     
</t>
    </r>
  </si>
  <si>
    <t>Each</t>
  </si>
  <si>
    <t>LED or CFL Bulbs average cost = $34/Each</t>
  </si>
  <si>
    <t>Removal of Incandescent Bulbs and replace with LED or CFL Bulbs</t>
  </si>
  <si>
    <t>Included in Material cost</t>
  </si>
  <si>
    <t>Included in the Material Cost</t>
  </si>
  <si>
    <t xml:space="preserve">Geographic </t>
  </si>
  <si>
    <t>Milking, Vacuum Pump VSD</t>
  </si>
  <si>
    <r>
      <rPr>
        <sz val="10"/>
        <rFont val="Arial"/>
        <family val="2"/>
      </rPr>
      <t>Resoure Concern:</t>
    </r>
    <r>
      <rPr>
        <sz val="10"/>
        <color indexed="12"/>
        <rFont val="Arial"/>
        <family val="2"/>
      </rPr>
      <t xml:space="preserve"> The principal resource concern addressed is inefficient energy use in equipment and facilities - "Milk Harvesting." </t>
    </r>
    <r>
      <rPr>
        <sz val="10"/>
        <rFont val="Arial"/>
        <family val="2"/>
      </rPr>
      <t>Existing Conditions:</t>
    </r>
    <r>
      <rPr>
        <sz val="10"/>
        <color indexed="12"/>
        <rFont val="Arial"/>
        <family val="2"/>
      </rPr>
      <t xml:space="preserve"> The system is inefficient when a motor operates at constant speed to satisfy a load which varies as to flow rate and/or pressure requirements.</t>
    </r>
    <r>
      <rPr>
        <sz val="10"/>
        <rFont val="Arial"/>
        <family val="2"/>
      </rPr>
      <t xml:space="preserve"> Improved Conditions:</t>
    </r>
    <r>
      <rPr>
        <sz val="10"/>
        <color indexed="12"/>
        <rFont val="Arial"/>
        <family val="2"/>
      </rPr>
      <t xml:space="preserve"> An on-farm energy audit has determined that energy use can be reduced through use of a VSD to control electric motors. After the VSD is applied, the motor speed can be adjusted to reduce power requirements and better match varied flow or pressure requirements. </t>
    </r>
    <r>
      <rPr>
        <sz val="10"/>
        <rFont val="Arial"/>
        <family val="2"/>
      </rPr>
      <t>Typical Scenario:</t>
    </r>
    <r>
      <rPr>
        <sz val="10"/>
        <color indexed="12"/>
        <rFont val="Arial"/>
        <family val="2"/>
      </rPr>
      <t xml:space="preserve"> The typical scenario consists of a variable speed drive and appurtances attached to an electric motor used to drive a milking vacuum pump. </t>
    </r>
    <r>
      <rPr>
        <sz val="10"/>
        <rFont val="Arial"/>
        <family val="2"/>
      </rPr>
      <t xml:space="preserve">Associated practices/activities may include: </t>
    </r>
    <r>
      <rPr>
        <sz val="10"/>
        <color indexed="12"/>
        <rFont val="Arial"/>
        <family val="2"/>
      </rPr>
      <t>122-AgEMP - HQ, 124-AgEMP - Landscape, and other activities within 374-Farmstead Energy Improvement.</t>
    </r>
  </si>
  <si>
    <t>Unit Cost Rater ($/HP)</t>
  </si>
  <si>
    <t>average</t>
  </si>
  <si>
    <t>Equipment in addition to materials cost</t>
  </si>
  <si>
    <r>
      <rPr>
        <u/>
        <sz val="10"/>
        <color indexed="8"/>
        <rFont val="Arial"/>
        <family val="2"/>
      </rPr>
      <t xml:space="preserve">Cost ($) </t>
    </r>
    <r>
      <rPr>
        <u/>
        <sz val="10"/>
        <rFont val="Arial"/>
        <family val="2"/>
      </rPr>
      <t xml:space="preserve"> </t>
    </r>
  </si>
  <si>
    <t>Refrigeration, Plate Heat Exchanger</t>
  </si>
  <si>
    <t>This practice involves on-farm energy use determination and development of methods for increasing efficiency for energy conservation.  A description of this scenario follows:  Milk leaves the cow at around 101°F and generally cools down to 95°F by the time it enters the storage tank where mechanical cooling takes over. If a Plate Heat Exchanger is installed ahead of the storage tank, it can typically reduce milks temperatures to between 55°F and 70°F before it enters the tank. Dairy farms also consume large quantities of hot water for sanitization chores.</t>
  </si>
  <si>
    <t>Plate heat exchanger</t>
  </si>
  <si>
    <t>plate heat exchanger</t>
  </si>
  <si>
    <t>cost</t>
  </si>
  <si>
    <t>small</t>
  </si>
  <si>
    <t>large</t>
  </si>
  <si>
    <t>labor cost</t>
  </si>
  <si>
    <t>Refrigeration, Scroll Compressor</t>
  </si>
  <si>
    <t>Refrigeration, Scroll Compressor-LRF</t>
  </si>
  <si>
    <t>Refrigeration, Scroll Compressor-HU</t>
  </si>
  <si>
    <r>
      <rPr>
        <sz val="10"/>
        <rFont val="Arial"/>
        <family val="2"/>
      </rPr>
      <t>Resource Concern:</t>
    </r>
    <r>
      <rPr>
        <sz val="10"/>
        <color indexed="12"/>
        <rFont val="Arial"/>
        <family val="2"/>
      </rPr>
      <t xml:space="preserve"> The primary resource concern to be addressed is inefficient energy use in equipment and facilities - "Refrigeration". </t>
    </r>
    <r>
      <rPr>
        <sz val="10"/>
        <rFont val="Arial"/>
        <family val="2"/>
      </rPr>
      <t>Existing Conditions:</t>
    </r>
    <r>
      <rPr>
        <sz val="10"/>
        <color indexed="12"/>
        <rFont val="Arial"/>
        <family val="2"/>
      </rPr>
      <t xml:space="preserve">  An an on-farm energy audit has identified an inefficient reciprocating compressor as a key component of the refrigeration system used to cool milk. The compressor is a critical part of a milk cooling system, affecting milk quality, system reliability, and system efficiency. </t>
    </r>
    <r>
      <rPr>
        <sz val="10"/>
        <rFont val="Arial"/>
        <family val="2"/>
      </rPr>
      <t xml:space="preserve">Improved Conditions: </t>
    </r>
    <r>
      <rPr>
        <sz val="10"/>
        <color rgb="FF0000FF"/>
        <rFont val="Arial"/>
        <family val="2"/>
      </rPr>
      <t xml:space="preserve">A more efficient scroll compressor, which will reduce energy use, is evidenced by the energy audit. A comparably sized scroll compressor provides refrigeration capacity at a higher efficiency than a reciprocating compressor. Newer scroll compressor systems typically reduce electricity use by 15 to 25 percent compared to reciprocating compressors. Scroll compressors use a spiral process that discharges fully pressurized gas refrigerant. Scroll compressors use a spiral process that discharges fully pressurized gas refrigerant. Quieter and more reliable than traditional reciprocating compressors, scroll compressors are designed to “wear in,” not out, so they improve with time and last longer. </t>
    </r>
    <r>
      <rPr>
        <sz val="10"/>
        <rFont val="Arial"/>
        <family val="2"/>
      </rPr>
      <t>Typical Scenario:</t>
    </r>
    <r>
      <rPr>
        <sz val="10"/>
        <color indexed="12"/>
        <rFont val="Arial"/>
        <family val="2"/>
      </rPr>
      <t xml:space="preserve"> A new scroll compressor, associated controls, wiring, and materials to retrofit an existing refrigeration system. A new condenser is not included in this typical scenario. </t>
    </r>
    <r>
      <rPr>
        <sz val="10"/>
        <rFont val="Arial"/>
        <family val="2"/>
      </rPr>
      <t>Associated practices/activities:</t>
    </r>
    <r>
      <rPr>
        <sz val="10"/>
        <color indexed="12"/>
        <rFont val="Arial"/>
        <family val="2"/>
      </rPr>
      <t xml:space="preserve"> 122-AgEMP - HQ, 124-AgEMP - Landscape, and other activities within 374-Farmstead Energy Improvement.</t>
    </r>
  </si>
  <si>
    <t>Scroll Compressor, controls, wiring, and associated appurtenances.</t>
  </si>
  <si>
    <t>Size (HP)</t>
  </si>
  <si>
    <t>Cost ($)</t>
  </si>
  <si>
    <t>Unit Cost ($/HP)</t>
  </si>
  <si>
    <t>Average Cost ($/HP):</t>
  </si>
  <si>
    <t>Pond (Ea.)</t>
  </si>
  <si>
    <t>Embankment Pond, Effective height up to 8'</t>
  </si>
  <si>
    <t xml:space="preserve">Several years ago a cost estimate was made and all costs associated with the installation of an embankment pond was lumped into one generalized cost item which is listed in the </t>
  </si>
  <si>
    <t xml:space="preserve">below Equipement/Installation Section.    </t>
  </si>
  <si>
    <t>Effective height is defined as the difference in elevation in feet between the elevation of the crest of the</t>
  </si>
  <si>
    <t>auxilary spillway and the lowest point on the cross section of the centerline of the dam.  If there is no</t>
  </si>
  <si>
    <t>auxilary spillway the top of the dam is the upper limit.</t>
  </si>
  <si>
    <t>Included in Equipment Cost</t>
  </si>
  <si>
    <t xml:space="preserve">1% of Installation Costs </t>
  </si>
  <si>
    <t>Some possible increase in liability due to the open water.  No Data Available</t>
  </si>
  <si>
    <t>Embankment Pond, Effective height greater than 8'</t>
  </si>
  <si>
    <t>Excavated Pond</t>
  </si>
  <si>
    <t xml:space="preserve">Several years ago a cost estimate was made and all costs associated with the installation of an excavated pond was lumped into one generalized cost item which is listed in the </t>
  </si>
  <si>
    <t>Windbreak/Shelterbelt Establishment (Ac.)</t>
  </si>
  <si>
    <t xml:space="preserve">Windbreak/Shelterbelt Establishment </t>
  </si>
  <si>
    <t>Feet</t>
  </si>
  <si>
    <t>Typical Windbreak/Shelterbelt Scenario</t>
  </si>
  <si>
    <t>Typical installation of trees and/or shrubs to establish a windbreak or shelterbelt.  Trees sourced from the KY Div. of Forestry State Nurseries for seedlings and private industry for containerized plants to establish  an area less than 1 acre in size (typical 5 rows, 15 ft wide each, totalling 75 ft wide X 500 LF)(rows 1 &amp; 5 KDF seedlings at 8'spacing;  125 total)(rows 2, 3, and 4 containerized seedlings at 12' spacing; 125 total).   Tree/shrub installation is done after mowing the area and spraying resident vegetation once or twice with herbicide to control unwanted vegetation.  Vegetative cover can be established before, during or after planting the trees/shrubs if necessary for the success of the practice. Vegetation is typically 9# Orchardgrass, 7# VA wildrye, 3# Redtop OR 20# wheat, so avg. cost is based on 10# Orchardgrass.</t>
  </si>
  <si>
    <t>1 Acre</t>
  </si>
  <si>
    <t>Potted Plants</t>
  </si>
  <si>
    <t>Ea</t>
  </si>
  <si>
    <t>Augering (for containerized plants)</t>
  </si>
  <si>
    <t>Broadcasting (Seeding)</t>
  </si>
  <si>
    <t xml:space="preserve">Hand Labor to Plant </t>
  </si>
  <si>
    <t>Hr</t>
  </si>
  <si>
    <t>Windbreak/Shelterbelt Establishment - w/establishment of vegetative cover</t>
  </si>
  <si>
    <t>Typical installation of trees and/or shrubs to establish a windbreak or shelterbelt.  Trees sourced from the KY Div. of Forestry State Nurseries for seedlings and private industry for containerized plants to establish  an area less than 1 acre in size (typical 5 rows, 15 ft wide each, totalling 75 ft wide X 500 LF)(rows 1 &amp; 5 KDF seedlings at 8'spacing;  125 total)(rows 2, 3, and 4 containerized seedlings at 12' spacing; 125 total).   Tree/shrub installation is done after mowing the area and spraying resident vegetation once or twice with herbicide to control unwanted vegetation.Vegetative cover can be established before, during or after planting the trees/shrubs. Vegetation is typically 9# Orchardgrass, 7# VA wildrye, 3# Redtop OR 20# wheat, so avg. cost is based on 10# Orchardgrass.</t>
  </si>
  <si>
    <t>Containerized Plants</t>
  </si>
  <si>
    <t>382-Fence</t>
  </si>
  <si>
    <t>Exclusion Fence</t>
  </si>
  <si>
    <t xml:space="preserve">A constructed exclusion barrier to protect water resources or other sensitive areas from degradation from livestock (usually cattle). Fence includes wooden and steel posts driven into the ground and/or wire with 2 gates built according to state FOTG standards. Benefits of the practice are managed livestock grazing intensity, duration and frequency, reduced soil erosion, improved water quality, improved plant health and vigor, and/or improved wildlife habitat. </t>
  </si>
  <si>
    <t>Livestock have open access to water resources and/or other sensitive areas causing degradation of resources. Degradation would include soil erosion,  water quality, plant health and vigor, and wildlife habitat.</t>
  </si>
  <si>
    <t xml:space="preserve">Permanent fence is installed (4 stand barb wire) to protect the riparian areas and/or other sensitive areas from degradation by livestock. Benefits of the practice are managed livestock grazing intensity, duration and frequency, reduced soil erosion, improved water quality, improved plant health and vigor, and/or improved wildlife habitat. </t>
  </si>
  <si>
    <t>560, 575, 528, 472, 378</t>
  </si>
  <si>
    <t>Ft</t>
  </si>
  <si>
    <t>Post - Wood, CCA treated 5" x 8' Non tapered</t>
  </si>
  <si>
    <t>4 to 5 inch line post</t>
  </si>
  <si>
    <t>ea</t>
  </si>
  <si>
    <t>Post - Steel T, 1.33 lbs - 6'</t>
  </si>
  <si>
    <t>Post - Wood, CCA treated 6" x 8' Non tapered</t>
  </si>
  <si>
    <t>6 to 8 inch corner post</t>
  </si>
  <si>
    <t>Gates 16'</t>
  </si>
  <si>
    <t>Misc:  Barbed Wire, 3 Strand</t>
  </si>
  <si>
    <t>Brace pins, battens, clips, staples</t>
  </si>
  <si>
    <t>ft</t>
  </si>
  <si>
    <t>Wire, Barbed (Galvanized) - 12.5 Gauge, 1,320' roll</t>
  </si>
  <si>
    <t>Galvanized 12.5 gauge, 1,320' roll</t>
  </si>
  <si>
    <t>Pickup</t>
  </si>
  <si>
    <t>Auger attachment</t>
  </si>
  <si>
    <t>Light Equipment Operators</t>
  </si>
  <si>
    <t>% of materials, equipment/installation, and labor</t>
  </si>
  <si>
    <t>Interior Fence</t>
  </si>
  <si>
    <t xml:space="preserve">A constructed interior barrier for implementing prescribed grazing of livestock (usually cattle). Fence includes charger, wood posts driven into the ground with three strands of high tensile wire and 2 gates built according to state FOTG standards. Benefits of the practice are managed livestock grazing intensity, duration and frequency, reduced soil erosion, improved water quality, improved plant health and vigor, and/or improved wildlife habitat. </t>
  </si>
  <si>
    <t>Grazing distribution is less then optimal. Plants are either over or underutilized causing degradation of organic matter or spot grazing.</t>
  </si>
  <si>
    <t>Cross fencing (3 strand high tensile fence) is installed that will improve; water/soil quality, grazing management, plant diversity and/or animal health.</t>
  </si>
  <si>
    <t>528, 516, 614, 561, 342, 512, 314</t>
  </si>
  <si>
    <t>Electric - Cutoff switch</t>
  </si>
  <si>
    <t>Electric - Fence energizer, 6 joule</t>
  </si>
  <si>
    <t>Electric - Ground rod clamps</t>
  </si>
  <si>
    <t>Electric - Ground Rods</t>
  </si>
  <si>
    <t>Electric - Insulated cable</t>
  </si>
  <si>
    <t>Electric - Lightening Diverter</t>
  </si>
  <si>
    <t>Electric - Power Surge Protector</t>
  </si>
  <si>
    <t>Electric - Tester</t>
  </si>
  <si>
    <t>Misc:  High Tensile Electric, 2 Strand</t>
  </si>
  <si>
    <t>Post - Wood, CCA treated 4" x 8' Non tapered</t>
  </si>
  <si>
    <t>Wire, High Tensile - 12.5 Gauge, 4,000' roll</t>
  </si>
  <si>
    <t>Gate - Pipe, 16'</t>
  </si>
  <si>
    <t>6 rail tube gate, 16 gauge</t>
  </si>
  <si>
    <t>Field Border (Ac.)</t>
  </si>
  <si>
    <t xml:space="preserve"> Field Border - Introduced Grasses - Conv. Till</t>
  </si>
  <si>
    <t>Average net profit from commodity crops</t>
  </si>
  <si>
    <t xml:space="preserve"> Field Border - Introduced Grasses - No Till</t>
  </si>
  <si>
    <t xml:space="preserve"> Field Border - Native Grass - Legumes - No Till</t>
  </si>
  <si>
    <t xml:space="preserve"> Field Border - Native Grass - 1# Forbs Mix </t>
  </si>
  <si>
    <t>Typical Native Grass-No Till Scenario with CP-33 Mixes 1, 2, 5 or 8</t>
  </si>
  <si>
    <t xml:space="preserve"> Field Border - Native Grass - 2# Forbs Mix </t>
  </si>
  <si>
    <t>KY</t>
  </si>
  <si>
    <t>Irrigation Reservoir (No.)</t>
  </si>
  <si>
    <t xml:space="preserve"> Embankment, unlined</t>
  </si>
  <si>
    <t>Irrigation resevoir embankment, unlined</t>
  </si>
  <si>
    <t>Irrigation resevoir embankment, unlined - HU</t>
  </si>
  <si>
    <t>An irrigation reservior contructed by placing fill.  Includes reservoirs with some excavation.  Payment covers site preparation, fill placement, and common inflow and outlet structures.</t>
  </si>
  <si>
    <t>A basin constructed to collect and store irrigation water.</t>
  </si>
  <si>
    <t>CuYd fill</t>
  </si>
  <si>
    <t>Earth berm</t>
  </si>
  <si>
    <t>(Delivered/Installed Cost)</t>
  </si>
  <si>
    <t>$/Unit</t>
  </si>
  <si>
    <t>unused</t>
  </si>
  <si>
    <t>Geotextile Fabric</t>
  </si>
  <si>
    <t>SqFt</t>
  </si>
  <si>
    <t>Gravel, Sand</t>
  </si>
  <si>
    <t>CuYd</t>
  </si>
  <si>
    <t>Rock</t>
  </si>
  <si>
    <t>Total Materials Cost:</t>
  </si>
  <si>
    <t xml:space="preserve">Reference: </t>
  </si>
  <si>
    <t>Excavation/Fill (bulk earth moving with dozer)</t>
  </si>
  <si>
    <t xml:space="preserve">  Units Moved per hour:</t>
  </si>
  <si>
    <t xml:space="preserve">  Units</t>
  </si>
  <si>
    <t xml:space="preserve">  Equipment Cost w/Operator ($/Hr)</t>
  </si>
  <si>
    <t>Total Excavation Cost/Unit:</t>
  </si>
  <si>
    <t xml:space="preserve">   Units Moved per Basin:</t>
  </si>
  <si>
    <t>Total Excavation/Fill Cost:</t>
  </si>
  <si>
    <t xml:space="preserve">  (Included in Equipment/Instillation Costs)</t>
  </si>
  <si>
    <t>5% of Materials, equipment and labor costs.</t>
  </si>
  <si>
    <t>Maintenance Plan Needed:  Inspect embankments and pipe inlets, repair damages, remove debris, mow, fertilize, control noxious weeds and burrowing animals, re-seed, clean out basin.</t>
  </si>
  <si>
    <t>5% of Installation Costs</t>
  </si>
  <si>
    <t>Minimal land taken out of production.</t>
  </si>
  <si>
    <t>Reduced risk, reduced sediment/flood damage.</t>
  </si>
  <si>
    <t>342-Critical Area Planting, 382-Fence, 516-Pipeline</t>
  </si>
  <si>
    <t>Riparian Herbaceous Cover (Ac.)</t>
  </si>
  <si>
    <t>Riparian Herbaceous Cover - Introduced Grass Mix</t>
  </si>
  <si>
    <t>Riparian Herbaceous Cover - Introduced Grass Mix -HU</t>
  </si>
  <si>
    <t>A strip of permanent vegetation will be established at the edge a field adjacent to a stream.</t>
  </si>
  <si>
    <t>Unit type is based on 1 acre of riparian herbaceous cover established.</t>
  </si>
  <si>
    <t>Riparian Herbaceous Cover - Native Grass/Forb Mix</t>
  </si>
  <si>
    <t>Riparian Herbaceous Cover - Native Grass/Forb Mix - HU</t>
  </si>
  <si>
    <t>512-Forage and Biomass Planting</t>
  </si>
  <si>
    <t>Cool Season Grass (includes grass/legume mixtures)</t>
  </si>
  <si>
    <t>Conversion of cropland or degraded pasture or hayland dominated by weeds and/or low quality forages (including endophyte infected tall fescue).  Quality forage needs to be established to control erosion, and to improve forage quality and quantity.</t>
  </si>
  <si>
    <t>Poorly managed/degraded pasture land or cropland being converted to pasture and/or hay.</t>
  </si>
  <si>
    <t>Suitable species are established to create better cover and erosion control for pasture, hay and/or biomass production.</t>
  </si>
  <si>
    <t>528, 511, 614, 516, 382, 533</t>
  </si>
  <si>
    <t>Fall</t>
  </si>
  <si>
    <t>Spring</t>
  </si>
  <si>
    <t>Lime (ENM)</t>
  </si>
  <si>
    <t>Phosphorus (P2O5)</t>
  </si>
  <si>
    <t>Potassium (K2O)</t>
  </si>
  <si>
    <t>Orchard Grass (Dactylis glomerata)</t>
  </si>
  <si>
    <t xml:space="preserve">Red Clover (Trifolium pratense) </t>
  </si>
  <si>
    <t>Ladino Clover (Trifolium repens)</t>
  </si>
  <si>
    <t>Lime application</t>
  </si>
  <si>
    <t>Lime application performed by ground equipment.  Includes equipment, power unit and labor costs.</t>
  </si>
  <si>
    <t>Equipment: Ag Tractor - 60 hp</t>
  </si>
  <si>
    <t>Fertilizer, ground application, dry bulk</t>
  </si>
  <si>
    <t>Native Warm Season Grasses</t>
  </si>
  <si>
    <t>Establishment of native warm season grasses for grazing and /or hay.  A percentage of the total forage base needs to be converted to NWSG to allow for rotation throughout the year and to allow hay harvest during better curing conditions of mid summer.</t>
  </si>
  <si>
    <t>Cropland dominated by persistent weeds, erosion , or pest problems and pastures dominated by poor quality cool season grasses.</t>
  </si>
  <si>
    <t>Suitable NWSG species are established to create better cover and reduce erosion on cropland, hayland, or pastures.    Forage quality is improved by diluting the total effect of toxic endophyte fescue.  Also, NWSG has the added benefit of being able to be harvested for energy uses.</t>
  </si>
  <si>
    <t>528, 511, 614, 516, 382, 533, 338, 394</t>
  </si>
  <si>
    <t>Herbicide, Imazapic-NH4, salt</t>
  </si>
  <si>
    <t>Product is typically used in these practices 512 and 645.  Product Name:  Panoramic, Plateau</t>
  </si>
  <si>
    <t>Big Blue Stem (Andropogon gerardii )</t>
  </si>
  <si>
    <t>Native Grasses</t>
  </si>
  <si>
    <t>lbs.</t>
  </si>
  <si>
    <t>Indian Grass (Tomahawk) (Sorghastrum nutans)</t>
  </si>
  <si>
    <t>Forage Mixture Establishment - Organic</t>
  </si>
  <si>
    <t>A 5 acre organic pasture/hayland is seeded with an organic grass and legume mix to provide adequate quantity and quality of feed and forage. The seedbed is prepared using organic fertilizer, lime, primary tillage, and light tillage.</t>
  </si>
  <si>
    <t>A 5 acre organic pasture/hayland has inadequate quantities and quality of feed and forage and low productivity, health, and vigor. Pasture contains less than 60% of desirable forage for optimal pasture health.</t>
  </si>
  <si>
    <t>A 5 acre organic pasture/hayland is seeded with an organic grass and legume mix to provide adequate quantity and quality of feed and forage. An appropriate grass/legume mix is selected to meet the livestock needs. A legume is added to the mix for added nutrition and to reduce the amount of applied nitrogen. Legumes provide more forage and higher quality forage than grass alone. Plant productivity, health, and vigor of desirable species are achieved for optimal pasture health. The seedbed is prepared using organic fertilizer, lime, primary tillage, and light tillage.</t>
  </si>
  <si>
    <t>Prescribed Grazing (528), Fencing (382), Watering Facility (614), Nutrient Management (590).</t>
  </si>
  <si>
    <t>ORGANIC Nitrogen (chemical)</t>
  </si>
  <si>
    <t>Raw Manure Fertilizer - Nitrogen</t>
  </si>
  <si>
    <t>ORGANIC Phosphorus</t>
  </si>
  <si>
    <t>Raw Manure Fertilizer - Phosphorus</t>
  </si>
  <si>
    <t>ORGANIC Potassium</t>
  </si>
  <si>
    <t>Raw Manure Fertilizer - Potash</t>
  </si>
  <si>
    <t>Certified Organic - Ladino Clover (Trifolium repens)</t>
  </si>
  <si>
    <t>Certified Organic - Red Clover (Trifolium pratense)</t>
  </si>
  <si>
    <t>Certified Organic - Timothy (Phleum pratense)</t>
  </si>
  <si>
    <t>Introduced Perennial Grasses</t>
  </si>
  <si>
    <t>Certified Organic - Orchard Grass (Dactylis glomerata)</t>
  </si>
  <si>
    <t>Fertilizer: Limestone Spread NASS</t>
  </si>
  <si>
    <t>Primary Tillage</t>
  </si>
  <si>
    <t>Includes: Chisel, disk/harrow (all types), moldboard plow, etc.</t>
  </si>
  <si>
    <t>Light Tillage</t>
  </si>
  <si>
    <t>Includes: Field cultivator, row cultivator, drag/harrow, light disking, etc.   Equipment and labor.</t>
  </si>
  <si>
    <t>Dry bulk fertilizer application performed by ground equipment.  Equipment and labor.</t>
  </si>
  <si>
    <t>Warm Season Mix Establishment - Organic</t>
  </si>
  <si>
    <t>Establishing perennial warm season grass, or warm season grass with legumes and/or non-legumes on certified organic or transitioning to organic land.  Pre-planting weed control is essnetial and completed using reperated primary tillage at several different times of year.  Two  passes of a light disk are used to prepare a fine, uniform seedbed prior to seeding.  Seed is drilled.  No fertilizer application is required.  Lime is included to enhance available nutrients.  General labor is used to complete hand removal of warm season weeds during the growing season after planting.</t>
  </si>
  <si>
    <t>An existing cool season sod field that does not meet the forage demands, particularly during during periods of low forage production.  Resource concerns may include undesireable plant productivity and health, inadequate feed and forage for livestock, soil erosion and soil quality.  Competition for light and mositure from undesireable non-native weeds are threats to successful estbalishment of the native plants.</t>
  </si>
  <si>
    <t xml:space="preserve">A vigorous warm season grass and legume mix stand predmoinates the treated area.  The new forage plants improve livestock nutrition through improved forage quality and availability, and improved soil condition. </t>
  </si>
  <si>
    <t xml:space="preserve">528 Prescribed Grazing, 314 Brush Management, 511 Forage Harvest Management, 590 Nutrient Management, 595 Integrated Pest Management </t>
  </si>
  <si>
    <t>Little Blue Stem (Schizachyrium scoparium)</t>
  </si>
  <si>
    <t>Side Oats Grama (Bouteloua curtipendula)</t>
  </si>
  <si>
    <t>Wild Rye, Virginia (Elymus virginicus)</t>
  </si>
  <si>
    <t>Lespedeza, Korean (Annual) (Kummerowia stipulacea)</t>
  </si>
  <si>
    <t>Purple Coneflower (Echinacea purpurea )</t>
  </si>
  <si>
    <t>Native Forbs</t>
  </si>
  <si>
    <t>General labor</t>
  </si>
  <si>
    <t>516-Pipeline</t>
  </si>
  <si>
    <t>Pipeline &gt; 1" diameter (gravity)</t>
  </si>
  <si>
    <t xml:space="preserve">A non-pressurized pipeline is installed underground to move water via gravity flow to supply livestock watering system as part of a prescribed/rotational grazing system.  </t>
  </si>
  <si>
    <t>Open access to existing natural water supplies and/or poor grazing mgt. conditions are very common.  Such conditions often result in: poor water quality, poor grazing distribution/poor distribution of animal wastes and nutrient cycling and diminished plant vigor and productivity.  All of these negative effects are due to direct access to the natural water supplies and the resulting deposition of animal wastes and sediment from hoof-induced bank erosion.  Over-grazing of areas near the water sources and associated soil erosion also are typical.</t>
  </si>
  <si>
    <t>The typical installation would be 500 feet of buried 1.5 inch PVC, schedule 40 pipeline as part of an alternative watering facility for livestock.  The installed system of water collection and/or storage, gravity flow via the pipeline and delivery to animals via a watering trough(s) results in cleaner water for the livestock and improved animal health/performance, less movement of livestock in natural water supply areas and therefore less erosion and improved water quality, improved grazing distribution, animal waste distribution and nutrient cycling, and improved plant vigor and productivity which improves soil quality.</t>
  </si>
  <si>
    <t>Critical Area Planting (342), Pond (378), Fencing (382), Forage and Biomass Planting (512) Prescribed Grazing (528), Pumping Plant (533), Access Road (560), Heavy Use Area Protection (561), Spring Development (574), Animal Trails and Walkways (575), Stream Crossing (578), Water Well (642)</t>
  </si>
  <si>
    <t>Pipe - 1 1/2" - PVC - SCH 40</t>
  </si>
  <si>
    <t>Materials:  - 1 1/2" - PVC - SCH 40 - ASTM D1785</t>
  </si>
  <si>
    <t>Trenching - Earth 12" x 48"</t>
  </si>
  <si>
    <t>Includes equipment and labor for trenching and backfilling</t>
  </si>
  <si>
    <t>% of materials, equipment/installation, and labor.</t>
  </si>
  <si>
    <t>Pipeline (pressurized =&gt; 1")</t>
  </si>
  <si>
    <t>A pressurized pipeline is installed underground to supply livestock as part of a prescribed grazing system.  Two freeze-proof hydrants are also installed as part of the water supply system to facilitate rotational grazing.</t>
  </si>
  <si>
    <t>The typical installation would be 500 feet of buried 1.25 inch PVC, schedule 40 pipeline as part of an alternative watering facility for livestock.  The installed system of water collection and/or storage, gravity flow via the pipeline and delivery to animals via a watering trough(s) results in cleaner water for the livestock and improved animal health/performance, less movement of livestock in natural water supply areas and therefore less erosion and improved water quality, improved grazing distribution, animal waste distribution and nutrient cycling, and improved plant vigor and productivity which improves soil quality.</t>
  </si>
  <si>
    <t>Freeze Proof Hydrant</t>
  </si>
  <si>
    <t>3 ft bury</t>
  </si>
  <si>
    <t>Pipe - 1 1/4" - PVC - SCH 40</t>
  </si>
  <si>
    <t>Materails:  - 1 1/4" - PVC - SCH 40 - ASTM D1785</t>
  </si>
  <si>
    <t>Check Valve</t>
  </si>
  <si>
    <t>Pressure Relief Valve</t>
  </si>
  <si>
    <t>Materials for &lt;2"  Pressure Relief Valve</t>
  </si>
  <si>
    <t>Pipeline in Rock</t>
  </si>
  <si>
    <t>A pressurized pipeline is installed in rock to supply livestock as part of a prescribed grazing system.  Two freeze-proof hydrants are also installed as part of the water supply system to facilitate rotational grazing.</t>
  </si>
  <si>
    <t>The typical installation would be 500 feet of buried 1.25 inch PVC, schedule 40 pipeline and two freeze-proof hydrants as part of an alternative watering facility for livestock.  The installed system of water collection and/or storage, gravity flow via the pipeline and delivery to animals via a watering trough(s) results in cleaner water for the livestock and improved animal health/performance, less movement of livestock in natural water supply areas and therefore less erosion and improved water quality, improved grazing distribution, animal waste distribution and nutrient cycling, and improved plant vigor and productivity which improves soil quality.</t>
  </si>
  <si>
    <t>Pipe - 11/4" - PVC-SCH40</t>
  </si>
  <si>
    <t>Materails:  - 11/4" - PVC-SCH 40</t>
  </si>
  <si>
    <t>Gravel - ASTM C33 #57</t>
  </si>
  <si>
    <t>gravel or sand bedding: 500ft.x4"thickx1ft.wide=165cu.ft./27=6cu.yds.</t>
  </si>
  <si>
    <t>cu yd</t>
  </si>
  <si>
    <t>Trenching - Rock</t>
  </si>
  <si>
    <t>Includes equipment and labor for cutting trench in rock 6" x 36"</t>
  </si>
  <si>
    <t>528-Prescribed Grazing</t>
  </si>
  <si>
    <t>High Intensity (&gt; 5 paddocks)</t>
  </si>
  <si>
    <t>Managing the harvest of forage based vegetation for the grazing/browsing animal in order to optimize vegetative plant growth, efficient use and economic return.  Management of pasture forages may be considered to be at a high level with good fertility management and high efficiency of use with the use of 5 or greater paddocks.</t>
  </si>
  <si>
    <r>
      <t xml:space="preserve">Where grazing operations exhibit poor and inefficient use of forage plants and such use may cause degradation to soil and water resources.  Winter feeding </t>
    </r>
    <r>
      <rPr>
        <b/>
        <sz val="10"/>
        <color rgb="FF0823E8"/>
        <rFont val="Arial"/>
        <family val="2"/>
      </rPr>
      <t>sites</t>
    </r>
    <r>
      <rPr>
        <sz val="10"/>
        <color rgb="FF0823E8"/>
        <rFont val="Arial"/>
        <family val="2"/>
      </rPr>
      <t xml:space="preserve"> may cause soil and water degradation.  Stocking rates may likely be higher than the current level of pasture production and efficiency of use can support without management changes.  Changes may include improving fertility (yields) and efficiency of use with timely rotational management and pasture subdivision.  </t>
    </r>
  </si>
  <si>
    <t>Growth and use of forage plants are optimized providing additional grazed forages and minimizing the need for supplemental feeding.  Soil and water resources are managed such that no significant degradation occurs.  Producer is willing to develop yield potential of grassland and maximize forage growth and forage use efficiencies.  Pasture subdivision includes at least five paddocks.  Labor is needed to make management decisions when to move livestock and additional labor may be needed to actually assist in moving livestock.</t>
  </si>
  <si>
    <t>fence, well, pipeline, water facility, nutrient management</t>
  </si>
  <si>
    <t>4WD ATV.  Equipment only.</t>
  </si>
  <si>
    <t>Supervisor/Manager</t>
  </si>
  <si>
    <t>Labor involving supervision or management activities.  Includes crew supervisors, foremen and farm/ranch managers time required for adopting new technology, etc.</t>
  </si>
  <si>
    <t>Row Arrangement (Ac.)</t>
  </si>
  <si>
    <t>Establishing row arrangement for crops</t>
  </si>
  <si>
    <t>Establishing row arrangement for crops - HU</t>
  </si>
  <si>
    <t>Moderately steep field (&lt;10% slope) includes establishing crop rows in direction, grade and length to provide drainage, and erosion control. Used as part of drainage system, controls runoff, reduces soil erosion.  Crop rows on planned grades and lengths. Remove irregularities on land surface with special equipment, may change length, direction of crop rows on slope. Direction and length of row will vary according to local situation.  Planner will consider crop, exposure, aspect, flow of water, and use of additional practices.  Organic and Seasonal High Tunnel Initiatives ONLY!</t>
  </si>
  <si>
    <t>AC</t>
  </si>
  <si>
    <t>Excavation/Fill (bulk earth moving with tractor and box blade)</t>
  </si>
  <si>
    <t xml:space="preserve">   Units Moved per Acre:</t>
  </si>
  <si>
    <t>Total Excavation/Fill Cost per Acre:</t>
  </si>
  <si>
    <t xml:space="preserve">Data source:  </t>
  </si>
  <si>
    <t>Excavation/Fill (bulk earth moving with road grader)</t>
  </si>
  <si>
    <t>No land taken out of production.</t>
  </si>
  <si>
    <t>Reduced risk.</t>
  </si>
  <si>
    <t xml:space="preserve">Associated practices could include: </t>
  </si>
  <si>
    <t xml:space="preserve"> Filter Strip (393), Access Road (560), Grassed Waterway(412), Cover Crop (340), Land Smoothing (466), Conservation Cover (327), Irrigation Water Management (449), Sediment Basin (350), Terrace (600).</t>
  </si>
  <si>
    <t>561-Heavy Use Area Protection</t>
  </si>
  <si>
    <t>Gravel Pad</t>
  </si>
  <si>
    <t>Key Features: Typical 24 ft x 24 ft x 8 in thickness of gravel/crusher run underlain by geotextile   Typical situation; pasture setting where typical small herds (&lt; 30 head) need small winter feeding area away from surface water bodies.</t>
  </si>
  <si>
    <t>Denuded, eroded site condtions from animal concentrations impacting animal health and water quality.  Typically used in high traffic ingress/egress or small feeding areas.</t>
  </si>
  <si>
    <t>Feeding site is stabilized and moved away from surface water bodies by excavation and installation of 24 ft x 24 ft x 8 in thick gravel crusher run/geo pad for the purpose of feeding.    This pad is usually shared by 2 or more rotated pastures and has good grass or other filter area between it and water conveyance.  Erosion is minimized, animal health improved and improved water quality.</t>
  </si>
  <si>
    <t>382, 528, 560, 313, 575, 342, 614</t>
  </si>
  <si>
    <t>sq ft</t>
  </si>
  <si>
    <t>Gravel</t>
  </si>
  <si>
    <t>gravel</t>
  </si>
  <si>
    <t>Geotextile</t>
  </si>
  <si>
    <t>Includes materials, equipment and labor</t>
  </si>
  <si>
    <t>sq yd</t>
  </si>
  <si>
    <t>Skidsteer - 80 HP</t>
  </si>
  <si>
    <t>Light Equipment Operator</t>
  </si>
  <si>
    <t>590-Nutrient Management</t>
  </si>
  <si>
    <t>Basic Nutrient Mgt. - Inorganic Fertilizer Only</t>
  </si>
  <si>
    <t xml:space="preserve">This scenario pays for the implementation of a nutrient management plan associated with 100 acres of cropland and pasture where there is no manure application.  The nutrient management plan will meet the current 590 standard, although NRCS is not paying for the plan development under this scenario.  Payment is for implementation of nutrient management and to defray the cost of recordkeeping, soil testing and consultant services for analysis and nutrient recommendations.  Implementation will result in the right rate, right source, right method of placement, and right timing of the application of plant nutrients supplied by inorganic fertilizers according to Land Grant University recommendations.  Records demonstrating implementation of the nutrient management plan meeting the 4 Rs will be required.  Consultant services will be utilized for soil testing, data analysis, and nutrient recommendations. </t>
  </si>
  <si>
    <t>Farmer does not have a nutrient management plan that meets NRCS standards and specifications and does not follow Land Grant University recommended nutrient application methods and rates.  No current soil tests or recommended fertilizer rates known.  Soil quality may be degraded by excess or inadequate nutrients, water quality may be at risk from runoff and leaching, and plant productivity and health may be impaired.</t>
  </si>
  <si>
    <t>Implementation of this practice requires development of a nutrient management plan that meets the NRCS 590 standard.  Farmer will follow Land Grant University recommended nutrient application methods and rates.  Farmer will implement the plan by managing the proper amount, placement, form and timing of the application of plant nutrients and soil amendments.  Records demonstrating implementation will be maintained.</t>
  </si>
  <si>
    <t>328, 329, 345, 340</t>
  </si>
  <si>
    <t>Soil Test, Standard</t>
  </si>
  <si>
    <t>Includes materials, labor, and equipment costs.</t>
  </si>
  <si>
    <t>Dry bulk fertilizer application performed by ground equipment.  Includes equipment, power unit and labor costs.</t>
  </si>
  <si>
    <t>Record Keeping</t>
  </si>
  <si>
    <t>Consultant Services</t>
  </si>
  <si>
    <t>Data analysis for yields and nutrient recommendations</t>
  </si>
  <si>
    <t>Basic Nutrient Mgt. - Inorganic Fertilizer and Manure</t>
  </si>
  <si>
    <t xml:space="preserve">This scenario pays for the implementation of a nutrient management plan associated with 100 acres of cropland and pasture where there is organic manure application.  The nutrient management plan will meet the current 590 standard, although NRCS is not paying for the plan development under this scenario.  Payment is for implementation of nutrient management and to defray the cost of recordkeeping, soil and manure testing, and consultant services for analysis and recommendations.  Implementation will result in the right rate, right source, right method of placement, and right timing of the application of plant nutrients supplied by inorganic fertilizers and organic manures according to Land Grant University recommendations.  Records demonstrating implementation of the nutrient management plan meeting the 4 Rs will be required.  Consultant services will be utilized for soil testing, manure testing, data analysis, and nutrient recommendations. </t>
  </si>
  <si>
    <t>Farmer does not have a nutrient management plan that meets NRCS standards and specifications and does not follow Land Grant University recommended nutrient application methods and rates.  No current soil tests, manure analysis or recommended fertilizer rates known.  Soil quality may be degraded by excess or inadequate nutrients, water quality may be at risk from runoff and leaching, and plant productivity and health may be impaired.</t>
  </si>
  <si>
    <t>Manure Analysis</t>
  </si>
  <si>
    <t>Moisture, Total N, P, K</t>
  </si>
  <si>
    <t>Manure/compost application</t>
  </si>
  <si>
    <t>Loading, hauling and spreading manure/compost by ground equipment.  Equipment and labor.</t>
  </si>
  <si>
    <t xml:space="preserve">Record Keeping </t>
  </si>
  <si>
    <t>Basic Nutrient Mgt. - Specialty and Organic</t>
  </si>
  <si>
    <t xml:space="preserve">This scenario pays for the implementation of a nutrient management plan associated with 15 acres of specialty and/or organic crops.  Specialty crops include all crops defined by the Agricultural Marketing Services definition.  The nutrient management plan will meet the current 590 standard, although NRCS is not paying for the plan development under this scenario.  Payment is for implementation of nutrient management and to defray the cost of recordkeeping, soil testing, manure and compost testing, and consultant services for analysis and recommendations.  Implementation will result in the right rate, right source, right method of placement, and right timing of the application of plant nutrients supplied by inorganic fertilizers and organic manures/compost.  Records demonstrating implementation of the nutrient management plan meeting the 4 Rs will be required.  Consultant services will be utilized for soil testing, manure/compost testing, data analysis, and nutrient recommendations. </t>
  </si>
  <si>
    <t>328, 329, 345, 340, 484</t>
  </si>
  <si>
    <t>Compost Analysis</t>
  </si>
  <si>
    <t>Typical some broadcast and most hand place</t>
  </si>
  <si>
    <t xml:space="preserve">Enhanced Nut Mgmt. (test based precision application) </t>
  </si>
  <si>
    <t xml:space="preserve">This scenario pays for the implementation of a nutrient management plan associated with 50 acres of corn and the evaluation of nitrogen components using the Pre-sidedress Nitrate Test or Corn Stalk Nitrate Test.  The nutrient management plan will meet the current 590 standard, although NRCS is not paying for the plan development under this scenario.  Payment is for implementation of nutrient management and to defray the cost of recordkeeping, PSNT or plant tissue testing, and consultant services for analysis and recommendations.  Implementation will result in the right rate, right source, right method of placement, and right timing of the application of plant nutrients supplied by inorganic fertilizers according to Land Grant University recommendations.  Records demonstrating implementation of the nutrient management plan meeting the 4 Rs will be required.  Consultant services will be utilized for PSNT and/or CSNT testing, data analysis, and nutrient recommendations including split applications of nitrogen. </t>
  </si>
  <si>
    <t>Farmer is not utilizing advanced technology such as precision soil sampling, tissue testing, or split applications of nitrogen.  Soil quality may be degraded by excess or inadequate nutrients, water quality may be at risk from runoff and leaching, and plant productivity and health may be impaired.</t>
  </si>
  <si>
    <t>Farmer will have a nutrient management plan that meets the NRCS 590 standard and will follow Land Grant University recommended nutrient application methods and rates.  Farmer will implement the plan by managing the proper amount, placement, form and timing of the application of plant nutrients and soil amendments.  Records demonstrating implementation will be maintained.  Farmer will implement variable rate fertilizer application, precision soil sampling and/or tissue testing, and split application of nitrogen.</t>
  </si>
  <si>
    <t>Soil Nitrogen Testing (or 301 plant tissue testing)</t>
  </si>
  <si>
    <t>Pre-Side Dress/Deep Soil Testing</t>
  </si>
  <si>
    <t>Fertilizer, precision application</t>
  </si>
  <si>
    <t>Fertilizer application performed by light bar/GPS navigation system.  Equipment and labor.</t>
  </si>
  <si>
    <t>Record Keeping and analysis of consultant nutrient recommendations</t>
  </si>
  <si>
    <t>Data analysis for yields and recommendations for the right rate, source, timing and placement</t>
  </si>
  <si>
    <t>Enhanced Nut Mgmt. (Grid or Zone based variable rate application)</t>
  </si>
  <si>
    <t xml:space="preserve">This scenario pays for the implementation of a nutrient management plan associated with 50 acres of cropland using grid or zone based variable rate precision application.  The nutrient management plan will meet the current 590 standard, although NRCS is not paying for the plan development under this scenario.  Payment is for implementation of nutrient management and to defray the cost of recordkeeping, grid or zone soil testing, variable rate nutrient application, and consultant services for analysis and recommendations.  Implementation will result in the right rate, right source, right method of placement and right timing of the application of plant nutrients supplied by inorganic fertilizers according to Land Grant University recommendations.  Records demonstrating implementation of the nutrient management plan meeting the 4 Rs will be required.  Consultant services will be utilized for precision soil sampling (grid or zone based), data analysis, and nutrient recommendations including variable rate precision nutrient applications. </t>
  </si>
  <si>
    <t>Farmer is not utilizing advanced technology such as precision soil sampling or variable rate precision applications of nutrients and soil amendments.  Soil quality may be degraded by excess or inadequate nutrients, water quality may be at risk from runoff and leaching, and plant productivity and health may be impaired.</t>
  </si>
  <si>
    <t>Farmer will have a nutrient management plan that meets the NRCS 590 standard and will follow Land Grant University recommended nutrient application methods and rates.  Farmer will implement the plan by managing the proper amount, placement, form and timing of the application of plant nutrients and soil amendments.  Records demonstrating implementation will be maintained.  Farmer will implement variable rate fertilizer application with precision grid or zone soil sampling.</t>
  </si>
  <si>
    <t>Soil Test, Precision (Grid or Zone)</t>
  </si>
  <si>
    <t>Satellite imagery, aerial photography, infrared imagery</t>
  </si>
  <si>
    <t>Enhanced Nut Mgmt. (Sensor based on-the-go variable rate precision)</t>
  </si>
  <si>
    <t xml:space="preserve">This scenario pays for the implementation of a nutrient management plan associated with 200 acres of cropland using grid or zone soil sampling and on-the-go based variable rate precision application.  The nutrient management plan will meet the current 590 standard, although NRCS is not paying for the plan development under this scenario.  Payment is for implementation of nutrient management and to defray the cost of recordkeeping, grid or zone soil testing, variable rate nutrient application, on-the-go yield monitoring and consultant services for analysis and recommendations.  Implementation will result in the right rate, right source, right method of placement and right timing of the application of plant nutrients supplied by inorganic fertilizers based on Land Grant University recommendations.  Records demonstrating implementation of the nutrient management plan meeting the 4 Rs will be required.  Consultant services will be utilized for soil sampling, data analysis, and nutrient recommendations including variable rate precision nutrient applications. This scenario pays for implementation of enhanced nutrient management practices on farms based on grid or zone sampling and the use of chlorophyll readers (e.g. Greenseeker) technology to vary nitrogen applications.  Implementation will result in improved recorded keeping, management, and application of fertilizers. </t>
  </si>
  <si>
    <t>Farmer is not utilizing advanced technology such as precision soil sampling and variable rate precision applications of nutrients using chlorophyll readers such as the Greenseeker technology to vary nitrogen applications.  Soil quality may be degraded by excess or inadequate nutrients, water quality may be at risk from runoff and leaching, and plant productivity and health may be impaired.</t>
  </si>
  <si>
    <t>Soil Test, Precision</t>
  </si>
  <si>
    <t>Custom Equipment, Chlorophyll Reader</t>
  </si>
  <si>
    <t>applicator and chlorophyll sensor includes labor.  No materials</t>
  </si>
  <si>
    <t>Includes cost for equipment and power unit.  Labor not included.</t>
  </si>
  <si>
    <t>Enhanced Nut Mgmt. (manure injection)</t>
  </si>
  <si>
    <t xml:space="preserve">This scenario pays for the implementation of a nutrient management plan associated on 50 acres of cropland using manure injection.  The nutrient management plan will meet the current 590 standard, although NRCS is not paying for the plan development under this scenario.  Payment is for implementation of nutrient management and to defray the cost of recordkeeping, soil testing and injection of  at least one application of manure per year.  Implementation will result in the right rate, right source, right method of placement and right timing of the application of plant nutrients supplied by organic fertilizers based on Land Grant University recommendations.  Records demonstrating implementation of the nutrient management plan meeting the 4 Rs will be required.  Consultant services will be utilized for soil sampling, data analysis, and nutrient applications based placing manure in a slot or slit at least 2 inches below soil surface. Implementation will result in improved recorded keeping, management, and application of fertilizers. </t>
  </si>
  <si>
    <t>Farmer is not utilizing advanced technology such as manure injection to place manure below the soil surface to prevent runoff and improved plant update.  Soil quality may be degraded by excess or inadequate nutrients, water quality may be at risk from runoff and leaching, and plant productivity and health may be impaired.</t>
  </si>
  <si>
    <t>Farmer will have a nutrient management plan that meets the NRCS 590 standard and will follow Land Grant University recommended nutrient application methods and rates.  Farmer will implement the plan by managing the proper amount, placement, form and timing of the application of plant nutrients and soil amendments.  Records demonstrating implementation will be maintained.  Farmer will implement manure injection preventing potential nitrogen and phosphorous runoff and improves air quality by preventing some ammonia being released to the atmosphere.</t>
  </si>
  <si>
    <t>Manure/compost injection</t>
  </si>
  <si>
    <t>6000 gal/acre</t>
  </si>
  <si>
    <t>gal</t>
  </si>
  <si>
    <t>Enhanced Nut Mgmt. (field test plots)</t>
  </si>
  <si>
    <t xml:space="preserve">This scenario pays for a consultant with an nutrient management license or certification in their respect state to write a plan on nutrient management evaluations of nitrogen components associated on 20 acres of cropland using PSNT and replicated strip tests.  Payment is for implementation of nutrient management and to defray the cost of recordkeeping, soil testing and consultant services using adaptive techniques to implement replicated field strip trials.  Implementation will result in the right rate, right source, right method of placement and right timing of the application of plant nutrients supplied by inorganic fertilizers based on Land Grant University recommendations.  Records demonstrating implementation of the nutrient management plan meeting the 4 Rs will be required.  Implementation will result in improved recorded keeping, management, and application of fertilizers. </t>
  </si>
  <si>
    <t>Farmer is not utilizing advanced technology such as precision soil sampling, pre-sidedress nitrogen testing, or split applications of nitrogen.  Soil quality may be degraded by excess or inadequate nutrients, water quality may be at risk from runoff and leaching, and plant productivity and health may be impaired.</t>
  </si>
  <si>
    <t>Farmer will have a nutrient management plan that meets the NRCS 590 standard and will follow Land Grant University recommended nutrient application methods and rates.  Farmer will implement the plan by managing the proper amount, placement, form and timing of the application of plant nutrients and soil amendments.  Records demonstrating implementation will be maintained.  Farmer will implement variable rate fertilizer application, precision soil sampling, and split application of nitrogen.</t>
  </si>
  <si>
    <t>Subsurface Drain</t>
  </si>
  <si>
    <t>Subsurface Drain (Ft.)</t>
  </si>
  <si>
    <t>Drain Pipe</t>
  </si>
  <si>
    <t>Drain Pipe - HU</t>
  </si>
  <si>
    <t>Ranking</t>
  </si>
  <si>
    <t>Annualized</t>
  </si>
  <si>
    <t>Tool</t>
  </si>
  <si>
    <t>Costs</t>
  </si>
  <si>
    <t>Approved</t>
  </si>
  <si>
    <t xml:space="preserve">(using life &amp; </t>
  </si>
  <si>
    <t>discount rate)</t>
  </si>
  <si>
    <t>Annual Cost</t>
  </si>
  <si>
    <t>Practice Annual Cost ($/Unit/Yr):</t>
  </si>
  <si>
    <t>Practice Typical Units Installed:</t>
  </si>
  <si>
    <t>Practice Standard Unit:</t>
  </si>
  <si>
    <t>Two hundred feet of 4-inch plastic perforated tile line, installed on mostly level, silt-loam, cropland.</t>
  </si>
  <si>
    <t>Practice Average Cost ($/Project/Yr):</t>
  </si>
  <si>
    <t>A conduit, such as corrugated plastic tubing, tile, or pipe, installed beneath the ground surface to collect and/or convey drainage water.</t>
  </si>
  <si>
    <t>Seasonal High Tunnels only</t>
  </si>
  <si>
    <t>Ft.</t>
  </si>
  <si>
    <t>Type</t>
  </si>
  <si>
    <t>COR.PE</t>
  </si>
  <si>
    <t>Pipe Diameter</t>
  </si>
  <si>
    <t>PSI-Type</t>
  </si>
  <si>
    <t>5-N12</t>
  </si>
  <si>
    <t>Pipe Cost ($/LF)</t>
  </si>
  <si>
    <t>(See Pipe Cost Worksheet)</t>
  </si>
  <si>
    <t>Appurtenances (installed):</t>
  </si>
  <si>
    <t>Discharge Drain ($):</t>
  </si>
  <si>
    <t>Number of Drains:</t>
  </si>
  <si>
    <t xml:space="preserve">  Total Feet:</t>
  </si>
  <si>
    <t>Total Appurtenance Costs ($/Ft):</t>
  </si>
  <si>
    <t>Total Pipe &amp; Appurtenances Cost:</t>
  </si>
  <si>
    <t>Trencher, backhoe, hand tools</t>
  </si>
  <si>
    <t>Pipe Laying</t>
  </si>
  <si>
    <t>Total Trench Excavation</t>
  </si>
  <si>
    <t>Backfill - Bedding</t>
  </si>
  <si>
    <t>Backfill - Pipe to Surface</t>
  </si>
  <si>
    <t>Total Installation Cost:</t>
  </si>
  <si>
    <t>Labor costs are include in Equipment/Installation Costs</t>
  </si>
  <si>
    <t>Five percent of materials, equipment/Installation and labor costs</t>
  </si>
  <si>
    <t>Inspect, clean, replace as needed.</t>
  </si>
  <si>
    <t>1% of materials, equipment/Installation and labor costs</t>
  </si>
  <si>
    <t>None, no land taken out of production</t>
  </si>
  <si>
    <t>Reduced risk, better soil/water control</t>
  </si>
  <si>
    <t>342-Critical Area Planting, 516-Pipeline, 798 Seasonal High Tunnel</t>
  </si>
  <si>
    <t>614-Watering Facility</t>
  </si>
  <si>
    <t>Galvanized, HD Poly, tire trough or other material</t>
  </si>
  <si>
    <t xml:space="preserve">Provide an adequate amount and quality of drinking water for livestock and address the associated resouce concerns such as soil eroison and excessive nutrient buildup, excessive sdiments in surface water or having inadequate stock water, grazing management, poor plant diversity and quality,  water quality, and animal health.  This scenario is for the installation of a galvanized steel or heavy duty polyethylene livestock watering tank which has capacity of approximately 200 gallons.  It is located to serve multiple pastures and to supply water needs for a herd of 8 to 15 head of cattle.  The cost includes all field preparation, excavation, sand, gravel and plumbing as needed to install the tank. This size tank will supply 2 days of water to herd of 10 head if water supply is lost due to mechanical or other failure. It does not include the pipeline to deliver the water to a tank or trough.  </t>
  </si>
  <si>
    <t>The setting takes place where livestock have open access to existing natural water supplies and/or poor grazing mgt. results in: poor water quality from soil erosion and manure deposit, poor grazing distribution and plant health, over grazing, poor manure distribution, and poor animal health.</t>
  </si>
  <si>
    <t xml:space="preserve">Improved: water/soil quality, grazing management, plant diversity and quality, manure distribution, water quality, and animal health. The area is stable with one single tank of either galvanized or HD polyethylene (galvanized, steel, plastic or PE has to meet 20 year life)with approximately 300 gallons available to multiple pastures.  The tank will be located so that livestock may easily obtain water from relatively short distances.  Surface water is no longer used for watering livestock and livestock grazing is uniformly distributed, thereby preventing sediments from reaching the surface water. Provide approximately two days water storage with a galvenized tank (200 gallons, 2.8 deep), tank valving and appurtenances on a 8" thick gravel skirt that extends 8' past the base (10' radius, 8.2 CY) and placed on geotextile (44 SY), for leveling and prevention of settlement.  </t>
  </si>
  <si>
    <t>Pipeline (516), Heavy Use Area (561), Critical Area Planting (342), Pumping Plant (533), Fence (382), Well (642)</t>
  </si>
  <si>
    <t>Galvenized, 200 Gallon</t>
  </si>
  <si>
    <t>Portable heavy duty rubber stock tank</t>
  </si>
  <si>
    <t>Gravel/Crusher Run installed</t>
  </si>
  <si>
    <t>cu yds</t>
  </si>
  <si>
    <t>Wildlife Escape Ramp</t>
  </si>
  <si>
    <t>Pool size 15' x 30', for small mammals less than one pound</t>
  </si>
  <si>
    <t>Includes: Skid Steer Loaders, Hydraulic Excavators  &lt;50 HP, Trenchers &lt;12”, Ag Equipment &lt;150 HP, Pickup Trucks, Forklifts, Mulchers</t>
  </si>
  <si>
    <t>Open Concrete (500 to 1000 gal)</t>
  </si>
  <si>
    <t>Provide an adequate amount and quality of drinking water for livestock and  address the associated resouce concerns such as soil eroison and excessive nutrient buildup, excessive sdiments in surface water or having inadequate stock water, grazing management, poor plant diversity and quality,  water quality, and animal health.  A 500 gallon permanent concrete watering trough is installed on a gravel pad with geotextile to meet the daily requirements of the herd.   It is located to serve multiple pastures.  A large capacity water supply is needed due to the slow rate of replenishment into the watering facility from the water source   Due to the available soil conditions, the gravel/geotextile surface is necessary to provide a stable surface for where the watering facility can be placed and will not settle. Due to the unlevel surface, the area needs to be shaped with equipment and operator. Additional equipment and labor will be needed to place the concrete trough.</t>
  </si>
  <si>
    <t>The setting takes place where livestock (usually &gt; 15 head) have open access to existing natural water supplies, slopes, and/or poor grazing mgt. results in: poor water quality from soil erosion and concentrated manure deposits, poor grazing distribution and plant health, over grazing, poor manure distribution, and poor animal health.</t>
  </si>
  <si>
    <t xml:space="preserve">This scenario improves water/soil quality, grazing management, plant diversity and quality, manure distribution, water quality, and animal health. The area is stable, no grazing in sensitive area, creek water not impaired, no bank erosion and better distribution of grazing.  Install a typical 500 gallon concrete tank to provide two days of water (typical dimension for round is 3' diameter and 2.4 deep), tank valving and appurtenances on a 8" thick gravel skirt that extends 8' past the base (11' radius, 9.5 CY) and placed on geotextile (54SY), for leveling and prevention of settlement. </t>
  </si>
  <si>
    <t>installed</t>
  </si>
  <si>
    <t>sq yds</t>
  </si>
  <si>
    <t>Tank: Concrete, 500 gallon</t>
  </si>
  <si>
    <t>materials and delivery</t>
  </si>
  <si>
    <t>ADDITONAL NEEDS</t>
  </si>
  <si>
    <t>3 way shut off valve</t>
  </si>
  <si>
    <t>Tank: Float Assembly</t>
  </si>
  <si>
    <t>Float Valve, Stem, Swivel</t>
  </si>
  <si>
    <t>Trencher-Earth Clay 24"x 48"</t>
  </si>
  <si>
    <t>Includes equipment</t>
  </si>
  <si>
    <t>Includes: Skid Steer Loaders, Hy</t>
  </si>
  <si>
    <t>mobilization/demobilization</t>
  </si>
  <si>
    <t>Freeze Proof Automatic (2 hole)</t>
  </si>
  <si>
    <t xml:space="preserve">Provide an adequate amount and quality of drinking water for livestock and address the associated resouce concerns such as excessive nutrient buildup,  soil/water quality by installing a 2 hole freeze proof, on demand watering system. Scenerio: Install a freeze proof trough to provide water to livestock during colder months on a permanently mounted on concrete (6'x6") pad to prevent overturning by animals and surrounded by compacted gravel on geotextile whcih provides a stable surface for leveling and prevention of settlement.   This installation typically requires equipment with operator and a skilled laborer to assist in site preparation and connecting the trough to existing pipeline are needed.  </t>
  </si>
  <si>
    <t xml:space="preserve">The setting takes place where livestock have open access to existing natural water supplies and/or poor grazing mgt. results in: poor water quality from soil erosion and manure deposit, poor grazing distribution and plant health, over grazing, poor manure distribution, and poor animal health.  A pasture grazed with approximately 30 cattle has insufficient water supply that does not adequately meet the daily water requirements of the herd and inhibits proper animal distribution within the pasture. Typically animals have access to a water supply such as a stream, pond, etc and are causing resource concerns with water quality, excessive nutrients in water, and soil erosion. </t>
  </si>
  <si>
    <t xml:space="preserve">Improved: water/soil quality, grazing management, plant diversity and quality, manure distribution, water quality, and animal health and the permanent watering can supply throughout the year.  A 2 ball freeze proof pressurized watering facility is installed to provide water to livestock, it is placed on a compacted gravel surface with geotextile to meet the daily requirements of the herd on approximately 30 acres of rotated pasture. Due to the available soil conditions, the gravel/geotextile surface is necessary to provide a stable surface for where the watering facility can be placed and will not settle. The 2 ball watering system is permanently mounted on typical 6 x 6 concrete (0.5 Cu.Yd) to prevent overturning by animals and includes a 8 foot border of gravel on geotextile and rock for leveling and prevention of settlement. This particular installation typically requires equipment with operator and a skilled laborer to assist in site preparation and connecting the trough to existing pipeline are needed.  </t>
  </si>
  <si>
    <t>382, 516, 533, 561, 642, 342, 528, 512, 574, 378</t>
  </si>
  <si>
    <t>Items Needed</t>
  </si>
  <si>
    <t>Includes material, equipement</t>
  </si>
  <si>
    <t>Agregate gravel-graded/washed</t>
  </si>
  <si>
    <t>Tank: Freeze Proof 2 hole</t>
  </si>
  <si>
    <t>Includes delivery, setup, and hardware</t>
  </si>
  <si>
    <t>Concrete - 4000 psi - Slab on Grade</t>
  </si>
  <si>
    <t>Concrete- 4000 psi- Slab on Grade</t>
  </si>
  <si>
    <t>Sacrete or pre-mix acceptable</t>
  </si>
  <si>
    <t>Backhoe - 80 HP</t>
  </si>
  <si>
    <t>Equipement and Power unit costs</t>
  </si>
  <si>
    <t>620 Underground Outlet</t>
  </si>
  <si>
    <t>Pipe Diameter Less than 6"</t>
  </si>
  <si>
    <t>Pipe Diameter Less than 6" - HU</t>
  </si>
  <si>
    <t>EQIP - MRBI</t>
  </si>
  <si>
    <t>EQIP - OI</t>
  </si>
  <si>
    <t>Underground Outlet</t>
  </si>
  <si>
    <t>Conduit installed beneath the surface of the ground to collect surface water and convey to a suitable outlet.  Typically used to dispose of excess water from terraces and diversions on row crop fields with sheet-rill and/or gully erosion.  Typical size is 1,300 ft consisting of risers spaced 250 ft, horizontal outlets and animal guards spaced 660 ft, and conduit, such as corrugated PE pipe where the majority of pipe length used in the installation is less than 6" in diameter.  Payment includes cost of the materials described above plus trenching, backfilling and pipe placement.  Cost data is applicable to organic and conventional agricultural production systems.  See the "Underground Outlet" conservation practice standard.</t>
  </si>
  <si>
    <t>362 Diversion; 600 Terrace; 638 Water and Sediment Control Basin</t>
  </si>
  <si>
    <t>Foot</t>
  </si>
  <si>
    <t>5" Risers spaced 250' apart (cost list component 291)</t>
  </si>
  <si>
    <t>6" Horizontal Outlet spaced 660' apart (cost list component 266)</t>
  </si>
  <si>
    <t>6" Animal Guard spaced 660' apart (cost list component 254)</t>
  </si>
  <si>
    <t>5 " Corrugated PE Pipe (cost list component 218)</t>
  </si>
  <si>
    <t>Materials costs from the June 2010 Standardized State Average Cost List available from NRCS Missouri eFOTG Section I C. Economic Data.</t>
  </si>
  <si>
    <t>Trenching and Backfilling (cost list component 70)</t>
  </si>
  <si>
    <t>Equipment/Installation costs from the June 2010 Standardized State Average Cost List available from NRCS Missouri eFOTG Section I C. Economic Data.</t>
  </si>
  <si>
    <t xml:space="preserve">Included in materials, equipment/installation </t>
  </si>
  <si>
    <t>included in materials, equipment/installation</t>
  </si>
  <si>
    <t>Keeping inlets free of materials that may reduce flow, repairing pipe as needed, keeping adequate backfill over conduit, repair eroding areas at outlet</t>
  </si>
  <si>
    <t xml:space="preserve">Pipe Diameter 6" to 8" </t>
  </si>
  <si>
    <t>Pipe Diameter 6" to 8"  - HU</t>
  </si>
  <si>
    <t>Conduit installed beneath the surface of the ground to collect surface water and convey to a suitable outlet.  Typically used to dispose of excess water from terraces and diversions on row crop fields with sheet-rill and/or gully erosion.  Typical size is 1,300 ft consisting of risers spaced 250 ft, horizontal outlets and animal guards spaced 660 ft, and conduit, such as corrugated PE pipe where the majority of pipe length used in the installation is 6" to 8" in diameter.  Payment includes cost of the materials described above plus trenching, backfilling and pipe placement.  Cost data is applicable to organic and conventional agricultural production systems.  See the "Underground Outlet" conservation practice standard.</t>
  </si>
  <si>
    <t>8" Risers spaced 250' apart (cost list component 293)</t>
  </si>
  <si>
    <t>8" Horizontal Outlet spaced 660' apart (cost list component 267)</t>
  </si>
  <si>
    <t>8" Animal Guard spaced 660' apart (cost list component 255)</t>
  </si>
  <si>
    <t>6" and/or 8" Corrugated PE Pipe (average of cost list components 219,220)</t>
  </si>
  <si>
    <t xml:space="preserve">Pipe Diameter 10" </t>
  </si>
  <si>
    <t>Pipe Diameter 10"  - HU</t>
  </si>
  <si>
    <t>Conduit installed beneath the surface of the ground to collect surface water and convey to a suitable outlet.  Typically used to dispose of excess water from terraces and diversions in row crop fields with sheet-rill and/or gully erosion.  Typical size is 1,300 ft consisting of risers spaced 250 ft, horizontal outlets and animal guards spaced 660 ft, and conduit, such as corrugated PE pipe where the majority of pipe length used in the installation is 10" in diameter.  Payment includes cost of the materials described above plus trenching, backfilling and pipe placement.  Cost data is applicable to organic and conventional agricultural production systems.  See the "Underground Outlet" conservation practice standard.</t>
  </si>
  <si>
    <t>10" Risers spaced 250' apart (cost list component 294)</t>
  </si>
  <si>
    <t>10" Horizontal Outlet spaced 660' apart (cost list component 268)</t>
  </si>
  <si>
    <t>10" Animal Guard spaced 660' apart (cost list component 256)</t>
  </si>
  <si>
    <t>10" Corrugated PE Pipe (cost list component 221)</t>
  </si>
  <si>
    <t xml:space="preserve">Pipe Diameter Greater than 10" </t>
  </si>
  <si>
    <t>Pipe Diameter Greater than 10" - HU</t>
  </si>
  <si>
    <t>Conduit installed beneath the surface of the ground to collect surface water and convey to a suitable outlet.  Typically used to dispose of excess water from terraces and diversions in row crop fields with sheet-rill and/or gully erosion.  Typical size is 1,300 ft consisting of risers spaced 250 ft, horizontal outlets and animal guards spaced 660 ft, and conduit, such as corrugated PE pipe where the majority of pipe length used in the installation is greater than 10" in diameter.  Payment includes cost of the materials described above plus trenching, backfilling and pipe placement.  Cost data is applicable to organic and conventional agricultural production systems.  See the "Underground Outlet" conservation practice standard.</t>
  </si>
  <si>
    <t>12" Risers spaced 250' apart (cost list component 295)</t>
  </si>
  <si>
    <t>12" Horizontal Outlet spaced 660' apart (cost list component 269)</t>
  </si>
  <si>
    <t>12" Animal Guard spaced 660' apart (cost list component 257)</t>
  </si>
  <si>
    <t>12" Corrugated PE Pipe (cost list component 222)</t>
  </si>
  <si>
    <t>Trenching and Backfilling (cost list component 71)</t>
  </si>
  <si>
    <t>Equipment/Installation costs from the June 2010 Standardized State Average Cost List available from NRCS Missiouri eFOTG Section I C. Economic Data.</t>
  </si>
  <si>
    <t>633 Waste Recycling</t>
  </si>
  <si>
    <t>Waste Recycling</t>
  </si>
  <si>
    <t>Waste Recycling - HU</t>
  </si>
  <si>
    <t>Using agricultural wastes such as manure and wastewater or other organic residues for the purpose of providing a source of energy or soil amendment to build organic material into the soil (outside of nutrient limits).  Payment for this practice is only authorized for uses other than fertilization of crops, pasture, or haylands.  Payment basis is the use of 100 cubic foot increments of manure or litter.  See the "Waste Recycling" conservation practice standard.</t>
  </si>
  <si>
    <t>100 cu ft</t>
  </si>
  <si>
    <t>Alternative Utilization</t>
  </si>
  <si>
    <t xml:space="preserve">Practice payment is based on the use of poultry litter as a fuel source and calculating equivalent volumes for other livestock manure production (as a reference to spread an equivalent volume on one acre of grassland at nitrogen utilization rate.) </t>
  </si>
  <si>
    <t>Training to operate system</t>
  </si>
  <si>
    <t>Estimated hourly cost from Bureau of Labo Statistics compensation for professional services</t>
  </si>
  <si>
    <t>Restoration and Management of Declining Habitats (Sq ft)</t>
  </si>
  <si>
    <t>Restoration &amp; Management of Declining Habitats - Removal of Woody Vegetation</t>
  </si>
  <si>
    <t xml:space="preserve">Restoring native remnant grassland habitats by removing undesirable woody vegetation.  This practice will be completed by using Timber Stand Improvement methods such as "hack and squirt" </t>
  </si>
  <si>
    <t xml:space="preserve">or felling and stump treatment.  Unit type is based on the amount of woody vegetation removed/deadened on a square foot of basal area basis. Unit amount will vary greatly based on site conditions </t>
  </si>
  <si>
    <r>
      <t>but typically ranges from 10-80 FT</t>
    </r>
    <r>
      <rPr>
        <vertAlign val="superscript"/>
        <sz val="10"/>
        <rFont val="Arial"/>
        <family val="2"/>
      </rPr>
      <t>2</t>
    </r>
    <r>
      <rPr>
        <sz val="10"/>
        <rFont val="Arial"/>
        <family val="2"/>
      </rPr>
      <t xml:space="preserve"> of basal area removed per acre.</t>
    </r>
  </si>
  <si>
    <t>Restoration and Management of Declining Habitats (Ac.)</t>
  </si>
  <si>
    <t>Restoration &amp; Management of Declining Habitats - Mowing + Herbicide</t>
  </si>
  <si>
    <t xml:space="preserve">Mowing and 1 herbicide treatment of  a remnant native grassland to control unwanted herbaceous and/or woody vegetation to maintain and promote native herbaceous species typical of </t>
  </si>
  <si>
    <t>remnant grasslands. The practice will be used to restore native remenat grassland plant communities which will inturn improve wildlife food and cover.</t>
  </si>
  <si>
    <t>Unit type is based on acres of land treated.  The typical unit would be between 2 and 20 acres.</t>
  </si>
  <si>
    <t>Restoration &amp; Management of Declining Habitats - Mowing + 2X Herbicide</t>
  </si>
  <si>
    <t xml:space="preserve">Mowing and 2 herbicide treatment of  a remnant native grassland to control unwanted herbaceous and/or woody vegetation to maintain and promote native herbaceous species typical of </t>
  </si>
  <si>
    <t>Restoration &amp; Management of Declining Habitats - Prairie Planting - Native Grass/ 7 Forb Mix</t>
  </si>
  <si>
    <t>Restoration &amp; Management of Declining Habitats - Prairie Planting - Native Grass/7 Forb Mix</t>
  </si>
  <si>
    <t>Restoring native grassland habitats such as prairies, glades, barrens, or savannahs by planting native grass/forb mixtures on suitable sites.</t>
  </si>
  <si>
    <t xml:space="preserve">The practice will be used to restore and create native grassland habitats which will improve wildlife food and cover resources. </t>
  </si>
  <si>
    <t>Unit type is based on acres of land treated.  Typical units for this practice range from 5 to 50 acres.</t>
  </si>
  <si>
    <t>646-Shallow Water Development and Management</t>
  </si>
  <si>
    <t xml:space="preserve">Low Berm/Embankment Inundation pool (water control structure not included) </t>
  </si>
  <si>
    <t xml:space="preserve">Create an intentional  0.5 acre inundation pool for estabilishing  water habitat for wildlife that require shallow water for at least part of their life cycle.  The minimal water depth of water is 18"  over 75% of the area for wildlife that require moderate to shallow water for at least part of their life cycle.  Water is either ponded or managed  by  installation of a structure for water control (18" dia. flashboard riser on a 12" CMP, priced separately) through a  3.0' berm, 8' top width, 4:1 SS, 200 Lin. ft. low berm (444 CY), using on-site material.  </t>
  </si>
  <si>
    <t>Wildlife such as wading birds, fish or reptiles have access to 0.5 acre moderatley shallow water during the year.  Water is managed and ponded behind a dike where a 18" dia. flashboard riser with a 12" CMP under  3.0' berm, 8' top width, 6:1 SS, 250 Lin. Ft. berm, using on-site material, for estabilishing  shallow water habitat for wildlife that require shallow water for at least part of their life cycle.</t>
  </si>
  <si>
    <t xml:space="preserve">Wildlife such as wading birds, fish or reptiles have managed or shallow water by creating a 0.5 acre inundation pool for estabilishing  water habitat for at least part of their life cycle.  The minimal water depth of water is 18" over 75% of the area for wildlife that require moderate to shallow water for at least part of their life cycle.  Water is either ponded or managed  by  installation of a structure for water control (18" dia. flashboard riser on a 12" CMP, priced separately) through a  3.0' berm, 8' top width, 4:1 SS, 200 Lin. Ft. berm (444 CY), using on-site material.  </t>
  </si>
  <si>
    <t>340, 342, 659, 658, 659, 587</t>
  </si>
  <si>
    <t>Avg. d-'</t>
  </si>
  <si>
    <t>TW-'</t>
  </si>
  <si>
    <t>SS</t>
  </si>
  <si>
    <t>Length-'</t>
  </si>
  <si>
    <t>Vol CY</t>
  </si>
  <si>
    <t>Structure</t>
  </si>
  <si>
    <t>Excavation - Earth (Common)</t>
  </si>
  <si>
    <t>Includes equipment and labor</t>
  </si>
  <si>
    <t>Earthfill - Roller Compacted</t>
  </si>
  <si>
    <t>Additional Needed Materials</t>
  </si>
  <si>
    <t>flshboard riser-18"-6', and welded to pipe</t>
  </si>
  <si>
    <t>material</t>
  </si>
  <si>
    <t>12"CMP  culvert</t>
  </si>
  <si>
    <t xml:space="preserve">Excavated 2500 SF Pool with 6:1 SS- 3 ft depth, irrigular shape </t>
  </si>
  <si>
    <t xml:space="preserve">Create an intentional  small pool for estabilishing  water habitat for wildlife that require moderately deep water for at least part of their life cycle. Area is 2500 SF, depth 3' -4' depth, shallow excavated  habitat with flat side slopes. </t>
  </si>
  <si>
    <t>Wildlife such as wading birds, fish or reptiles have limited moderate or shallow water access during the year.</t>
  </si>
  <si>
    <t>Wildlife such as wading birds, fish or reptiles have shallow to moderate deep water access during the year.  Install a 2500 SF -3-4' depth, excavated  (460 CY) water habitat with 6:1 SS  for wildlife water for at least part of their life cycle.</t>
  </si>
  <si>
    <t>340, 342, 659, 658, 659</t>
  </si>
  <si>
    <t>In. Length</t>
  </si>
  <si>
    <t>In. Width</t>
  </si>
  <si>
    <t>OL</t>
  </si>
  <si>
    <t>OW</t>
  </si>
  <si>
    <t>AL</t>
  </si>
  <si>
    <t>AW</t>
  </si>
  <si>
    <t>IN. Area</t>
  </si>
  <si>
    <t>Depth</t>
  </si>
  <si>
    <t>CY</t>
  </si>
  <si>
    <t>Shore Line</t>
  </si>
  <si>
    <t xml:space="preserve">Excavated Shallow Pool -avg. 1 ft depth </t>
  </si>
  <si>
    <t>Create an intentional  1.0 acre excavated pool for estabilishing  water habitat for frogs, amphipians, wildlife that require shallow water for at least part of their life cycle.  The minimal water depth of water is 0.5"  over 75% of the area for wildlife that require moderate to shallow water for at least part of their life cycle.  Install a 1.0 acre shallow excavated, avg. 1.0' deep (1614) CY,  shape, water habitat, 6:1 SS (93 CY) for wildlife that require shallow water for at least part of their life cycle.</t>
  </si>
  <si>
    <t>Wildlife such as wading birds, fish or reptiles have limited shallow water access during the year.</t>
  </si>
  <si>
    <t>Wildlife such as wading birds, fish or reptiles have access to shallow water access during the year.  Install a 1.0 acre shallow excavated, shallow, avg. 1.0' deep (1614) CY,  shape, water habitat, 6:1 SS (93 CY) for wildlife that require shallow water for at least part of their life cycle.</t>
  </si>
  <si>
    <t xml:space="preserve">Excavated Shallow Pool -avg. 2 ft depth </t>
  </si>
  <si>
    <t>Create an intentional  1.0 acre excavated pool for estabilishing  water habitat for frogs, amphipians, wildlife that require shallow water for at least part of their life cycle. The pool is shallow, avg. 2.0' deep (3226) CY,  water habitat, 6:1 SS (370 CY) for wildlife that require shallow water for at least part of their life cycle.</t>
  </si>
  <si>
    <t>Wildlife such as wading birds, fish or reptiles have shallow water access during the year.  The pool is shallow, avg. 2.0' deep (3226) CY,  water habitat, 6:1 SS (370 CY) for wildlife that require shallow water for at least part of their life cycle.</t>
  </si>
  <si>
    <t xml:space="preserve">Excavated Shallow Pool -avg. 3 ft depth </t>
  </si>
  <si>
    <t>Create an intentional  1.0 acre excavated pool  for estabilishing  water habitat for frogs, amphipians, wading birds, ducks, wildlife that require moderate to shallow water for at least part of their life cycle. Install a 1.0 acre 3' avg. depth, shallow excavated  (4840) water habitat,  6:1 SS (554CY) for wildlife that require shallow water for at least part of their life cycle.</t>
  </si>
  <si>
    <t>Wildlife such as wading birds, fish or reptiles have shallow to moderate deep water access during the year.  Install a 1.0 acre 3' avg. depth, shallow excavated  (4840) water habitat,  6:1 SS (554CY) for wildlife that require shallow water for at least part of their life cycle.</t>
  </si>
  <si>
    <t>Early Successional Habitat Development/Mgt (Ac.)</t>
  </si>
  <si>
    <t>Edge Feathering - Removal of Woody Vegetation</t>
  </si>
  <si>
    <t>Reducing the amount of woodland canopy cover along the forest/woodland edge to improve understory vegetation development for wildlife.</t>
  </si>
  <si>
    <t>This practice will be used to improve wildlife habitat by increasing woodland understory development along the forest edge.</t>
  </si>
  <si>
    <r>
      <t>Unit amount will vary greatly based on site conditions but typically will average 70 SqFt</t>
    </r>
    <r>
      <rPr>
        <sz val="10"/>
        <rFont val="Arial"/>
        <family val="2"/>
      </rPr>
      <t xml:space="preserve"> of basal area removed per acre.</t>
    </r>
  </si>
  <si>
    <t>None Calculated since every situation varies.</t>
  </si>
  <si>
    <t>All Contiguous</t>
  </si>
  <si>
    <t>Seasonal High Tunnel for Crops</t>
  </si>
  <si>
    <t xml:space="preserve">Contiguous US </t>
  </si>
  <si>
    <t>Seasonal High Tunnel</t>
  </si>
  <si>
    <t>Sq FT</t>
  </si>
  <si>
    <t>All Contiguous US States</t>
  </si>
  <si>
    <t>AMA</t>
  </si>
  <si>
    <t>AMA-HU</t>
  </si>
  <si>
    <t xml:space="preserve">A manufactured frame of tubular steel (30 x 72 ft.) covered with 4-year 6mil plastic.  
</t>
  </si>
  <si>
    <t>Cropland where extension of the growing season is needed. Additional resource concerns that may need to be addressed include; soil erosin, soil condition, water quality, water quantity, plant condition, and energy use.</t>
  </si>
  <si>
    <t>The high tunnel is used in vegetable or small fruit crops to extend the growing season, improve water quality, improve soil condition, and increase local food production.  A manufactured frame of tubular steel (30 x 72 ft.) covered with 4-year 6mil plastic. Costs are based on purchase of manufactured kit and landowner installing the structure. Structure must be installed to manufacturer's specifications.  All runoff shall be managed to reduce soil erosion and prevent water quality issues; if plastic is not removed at the end of growing season, landowners must ensure management of snowload and adequate ventilation. Additional consideration should be made for Nutrient and Pest Management.</t>
  </si>
  <si>
    <t>Conservation Crop Rotation (328); Contour Farming (330); Cover Crop (340); Critical Area Planting (342); Diversion (362); Grassed Waterway (412); Integrated Pest Management (595); Irrigation Reservoir (436); Irrigation System, Microirrigation (441); Irrigation Water Management (449); Nutrient Management (590); Residue and Tillage Management, Mulch Till (345); Residue and Tillage Management, No Till/Strip Till/Direct Seed (329); Residue and Tillage Management, Ridge Till (346); Residue Management, Seasonal (344); Row Arrangement (557); Subsurface Drain (606); Surface Drainage, Field Ditch (607); Underground Outlet (620)</t>
  </si>
  <si>
    <t>Sq Ft</t>
  </si>
  <si>
    <t>A manufactured frame of tubular steel (30 x 72 ft.) covered with 4-year 6mil plastic. Base package includes the framework complete with all predrilled steel, hardware and instructions. Includes 6 mil 4-year polyethylene film to cover tunnel, and polylock for sides and ends ($5637.60). Shipping for Continental US @ 10% of seasonal high tunnel kit ($563.76).</t>
  </si>
  <si>
    <t>Labor performed using basic tools such as power tool, shovels, and other tools that do not require extensive training. (Does not include significant earthwork or grading to prepare site for high tunnel construction.) National Average $16.65 @ 71 hours</t>
  </si>
  <si>
    <t>Maintenance Plan Needed:  Replace greenhouse plastic every 4-years, manage roof runoff water, inspect, fix and replace structure parts as necessary. Figured @ 5% of labor and equipment cost.</t>
  </si>
  <si>
    <t>Waste Storage Facility</t>
  </si>
  <si>
    <t>Wet System "Small" Operations, up to 100 AU</t>
  </si>
  <si>
    <t>Waste Storage Facility for up to 100 AU</t>
  </si>
  <si>
    <t>An earth holding pond with an embankment and a clay earth liner to store manure and runoff.</t>
  </si>
  <si>
    <t>This practice will be used to store manure and runoff so it can be land applied as organic fertilizer.</t>
  </si>
  <si>
    <t>Unit type is based on per structure constructed.</t>
  </si>
  <si>
    <t xml:space="preserve">Note:  Some of the materials are also in some of Equip/Install items which are custom items.  </t>
  </si>
  <si>
    <t>Data Source:  See worksheet in this workbook named "Core Rates".  Seeds start on Row 279.</t>
  </si>
  <si>
    <t>Mulching</t>
  </si>
  <si>
    <t>Custom Rate Documentation from: See worksheet in this workbook named "Core Rates".  and all its references.</t>
  </si>
  <si>
    <t>Learn best way to load and empty stacking facilty and applying waste at agronomic rates.  Data not currently available.</t>
  </si>
  <si>
    <t>Data not currently available.</t>
  </si>
  <si>
    <t>Wet System "Medium" Operations, 100 to 200 AU</t>
  </si>
  <si>
    <t>Waste Storage Facility for 100 to 200 AU</t>
  </si>
  <si>
    <t>Wet System "Large" Operations, 200 to 500 AU</t>
  </si>
  <si>
    <t>Waste Storage Facility for 200 to 500 AU</t>
  </si>
  <si>
    <t>Herbaceous Weed Control (Ac.)</t>
  </si>
  <si>
    <t>Herbaceous Weed Control - Undesirable Species Control - Mowing</t>
  </si>
  <si>
    <t xml:space="preserve"> Herbaceous Weed Control - Undesirable Species Control - Mowing</t>
  </si>
  <si>
    <t>Mowing of an area to control unwanted herbaceous and/or woody vegetation to maintain an early successional vegetative state.</t>
  </si>
  <si>
    <t>The practice will be used to maintain early successional plant communities to improve wildlife food and cover.</t>
  </si>
  <si>
    <t>Unit type is based on acres of land treated.  The typical unit would be between 5 and 40 acres.</t>
  </si>
  <si>
    <t xml:space="preserve"> Herbaceous Weed Control - Undesirable Species Control - Mowing + Herbicide</t>
  </si>
  <si>
    <t>Mowing and 1 herbicide treatment of an area to control unwanted herbaceous and/or woody vegetation to maintain an early successional vegetative state.</t>
  </si>
  <si>
    <t>This practice will be used to maintain early successional plant communities to improve and maintain wildlife food and cover.</t>
  </si>
  <si>
    <t>Herbaceous Weed Control - Undesirable Species Control - Mowing + 2X Herbicide</t>
  </si>
  <si>
    <t>Mowing and 2 herbicide treatment of an area to control unwanted herbaceous and/or woody vegetation to maintain an early successional vegetative state.</t>
  </si>
  <si>
    <t>Composting Facilty (Ea.)</t>
  </si>
  <si>
    <t>Mortality Composter/ 2 Broiler Hs/ up to 250 Sow/Farrow/wood</t>
  </si>
  <si>
    <t>Composter to handle mortality from 2 broiler houses or up to a 250 sow/farrow operation.</t>
  </si>
  <si>
    <t>A composter facility with wood walls, a concrete floor and a roof to handle animal mortality.</t>
  </si>
  <si>
    <t>This practice will be used to reduce animal mortality so it can be land applied as organic fertilizer.</t>
  </si>
  <si>
    <t>Custom Rate Documentation from: 2007 EQIP cost list and all its references,   Various Seed Companies (Bamert, Ernst, Roundstone, Sharp Bros., Hamilton, Turner)</t>
  </si>
  <si>
    <t>Mortality Composter/ 4 Broiler Hs/ up to 530 Sow/Farrow/wood</t>
  </si>
  <si>
    <t>Composter to handle mortality from 4 broiler houses or up to a 530 sow/farrow operation.</t>
  </si>
  <si>
    <t>Mortality Composter/ 6 Broiler Hs/ up to 790 Sow/Farrow/wood</t>
  </si>
  <si>
    <t>Composter to handle mortality from 6 broiler houses or up to a 790 sow/farrow operation.</t>
  </si>
  <si>
    <t>Mortality Composter/ 8 Broiler Hs/ up to 1060 Sow/Farrow/wood</t>
  </si>
  <si>
    <t>Composter to handle mortality from 8 broiler houses or up to a 1060 sow/farrow operation.</t>
  </si>
  <si>
    <t>Mortality Composter/ 2 Broiler Hs/ up to 250 Sow/Farrow/concrete</t>
  </si>
  <si>
    <t>A composter facility with concrete walls, a concrete floor and a roof to handle animal mortality.</t>
  </si>
  <si>
    <t>Mortality Composter/ 4 Broiler Hs/ up to 530 Sow/Farrow/concrete</t>
  </si>
  <si>
    <t>A composter facility with concretewalls, a concrete floor and a roof to handle animal mortality.</t>
  </si>
  <si>
    <t>Mortality Composter/ 6 Broiler Hs/ up to 790 Sow/Farrow/concrete</t>
  </si>
  <si>
    <t>Mortality Composter/ 8 Broiler Hs/ up to 1060 Sow/Farrow/concrete</t>
  </si>
  <si>
    <t>Conservation Crop Rotation (Ac)</t>
  </si>
  <si>
    <t xml:space="preserve">Typical scenario is of an operation &lt;25acres that is transitioning to Organic production or is implementing Organic production per the USDA National Organic Progam (NOP).  </t>
  </si>
  <si>
    <t xml:space="preserve">The participant is required to develop and implement a crop rotation with average soil losses within acceptable levels (T) in accordance with the standard and the NOP. </t>
  </si>
  <si>
    <t>The cost is based on time for the data collection and decision-making processes for a 15 acre crop/vegetable operation.</t>
  </si>
  <si>
    <t>Transportation To and From Office:</t>
  </si>
  <si>
    <t>Review cert. organic plan/gather RUSLE2 info:</t>
  </si>
  <si>
    <t>Develop/review rotation options:</t>
  </si>
  <si>
    <t>Choose appropriate rotation:</t>
  </si>
  <si>
    <t>Implement rotation:</t>
  </si>
  <si>
    <t xml:space="preserve">Typical scenario is of an operation 25 -100 acres that is transitioning to Organic production or is implementing Organic production per the USDA National Organic Progam (NOP).  </t>
  </si>
  <si>
    <t xml:space="preserve">The cost is based on time for the data collection and decision-making processes on 62.5 acre crop/vegetable operation. </t>
  </si>
  <si>
    <t xml:space="preserve">Typical scenario is of an operation &gt;100acres that is transitioning to Organic production or is implementing Organic production per the USDA National Organic Progam (NOP).  </t>
  </si>
  <si>
    <t>The cost is based on time for the data collection and decision-making processes for a 100 acre crop/vegetable operation.</t>
  </si>
  <si>
    <t>0.01</t>
  </si>
  <si>
    <t>.015</t>
  </si>
  <si>
    <t>.01</t>
  </si>
  <si>
    <t>.02</t>
  </si>
  <si>
    <t>Residue and Tillage Management - No-Till/ Strip Till/ Direct Seed (Ac)</t>
  </si>
  <si>
    <r>
      <t xml:space="preserve">Every Crop and/or Cover Crop that is part of the rotation is seeded with no-till drills OR broadcast and incorporated </t>
    </r>
    <r>
      <rPr>
        <b/>
        <sz val="10"/>
        <color indexed="12"/>
        <rFont val="Arial"/>
        <family val="2"/>
      </rPr>
      <t>without</t>
    </r>
    <r>
      <rPr>
        <sz val="10"/>
        <color indexed="12"/>
        <rFont val="Arial"/>
        <family val="2"/>
      </rPr>
      <t xml:space="preserve"> full width tillage implement AND there is no full width tillage at all in the rotation.  Additionally, the STIR for the ROTATION MUST BE LESS THAN 30 and ≥15</t>
    </r>
  </si>
  <si>
    <t>Typical scenario includes sowing all crops in the rotation with a No-Till drill and NO full width tillage AT ALL during the rotation.  This payment is to be made every year of the contract for which the rotation meets the No-Till standard up to a total, not to exceed, 3 years.  Most if not all growers in KY either have or have easy access to No-till equipment so, there is no equipement cost associated with this practice that would be above and beyond what the growers are currently capable of doing.  The cost is associated with the increased scouting to monitor for the perceived increase of disease in continuous no-till and for the aquisition of knowledge necessary to select the appropriate drills/planters to achieve the designated STIR for this scenario.</t>
  </si>
  <si>
    <t>Unit type is based on acres of corver crop established.</t>
  </si>
  <si>
    <t>CCA</t>
  </si>
  <si>
    <t>Meet and discuss with a Certified Crop Advisor (CCA) the appropriate seeding equipement to achieve desired STIR for the Rotation. (4hour/500Acres)</t>
  </si>
  <si>
    <r>
      <t xml:space="preserve">Every Crop and/or Cover Crop that is part of the rotation is seeded with no-till drills OR broadcast and incorporated </t>
    </r>
    <r>
      <rPr>
        <b/>
        <sz val="10"/>
        <color indexed="12"/>
        <rFont val="Arial"/>
        <family val="2"/>
      </rPr>
      <t>without</t>
    </r>
    <r>
      <rPr>
        <sz val="10"/>
        <color indexed="12"/>
        <rFont val="Arial"/>
        <family val="2"/>
      </rPr>
      <t xml:space="preserve"> full width tillage implement AND there is no full width tillage at all in the rotation.  Additionally, the STIR for the ROTATION MUST BE LESS THAN 15 and ≥8</t>
    </r>
  </si>
  <si>
    <t>Meet and discuss with a Certified Crop Advisor (CCA) the appropriate seeding equipement to achieve desired STIR for the Rotation. (8hour/250Acres)</t>
  </si>
  <si>
    <r>
      <t xml:space="preserve">Every Crop and/or Cover Crop that is part of the rotation is seeded with no-till drills OR broadcast and incorporated </t>
    </r>
    <r>
      <rPr>
        <b/>
        <sz val="10"/>
        <color indexed="12"/>
        <rFont val="Arial"/>
        <family val="2"/>
      </rPr>
      <t>without</t>
    </r>
    <r>
      <rPr>
        <sz val="10"/>
        <color indexed="12"/>
        <rFont val="Arial"/>
        <family val="2"/>
      </rPr>
      <t xml:space="preserve"> full width tillage implement AND there is no full width tillage at all in the rotation.  Additionally, the STIR for the ROTATION MUST BE LESS THAN 8</t>
    </r>
  </si>
  <si>
    <t>Meet and discuss with a Certified Crop Advisor (CCA) the appropriate seeding equipement to achieve desired STIR for the Rotation. (16hour/125Acres)</t>
  </si>
  <si>
    <t>Critical Area Planting (Ac.)</t>
  </si>
  <si>
    <t xml:space="preserve">Critical Area Planting - Light Grading/Shaping (1-2hr/Ac), Introd. Grasses, Mulch  </t>
  </si>
  <si>
    <t>1 acre of a steep crop field with severe concentrated flow erosion damage or other area with relatively significant active erosion issues.  The severely eroding area will be planted to</t>
  </si>
  <si>
    <t>permanent vegetation such as grasses, or legumes.  Most work can be accomplished with typical farm equipment.  Vegetation establishment does not include tree planting.</t>
  </si>
  <si>
    <t>Custom Rate Documentation from: "Core Rates" "Core Rates 2011" worksheets at the end of this workbook and all its references. (See notes columns)</t>
  </si>
  <si>
    <t>Calibrate and operate seed drill, manage perennial grass. No data available.</t>
  </si>
  <si>
    <t xml:space="preserve"> $4/bu corn value X Typical 150 bu/acre yield = $ 600</t>
  </si>
  <si>
    <t>Reduced risk, less concentrated flow erosion, less machinery wear &amp; tear.</t>
  </si>
  <si>
    <t xml:space="preserve">Critical Area Planting - Medium Grading/Shaping (2-6hr/Ac), Introd. Grasses, Mulch  </t>
  </si>
  <si>
    <t xml:space="preserve">Critical Area Planting - Heavy Grading/Shaping (6-10hr/Ac), Introd. Grasses, Mulch  </t>
  </si>
  <si>
    <t xml:space="preserve">Critical Area Planting - Light Grading/Shaping (1-2hr/Ac), Introd. Grasses, ECB &amp; Mulch  </t>
  </si>
  <si>
    <t xml:space="preserve">Critical Area Planting - Med. Grading/Shaping (2-6hr/Ac), Introd. Grasses, ECB &amp; Mulch  </t>
  </si>
  <si>
    <t xml:space="preserve">Critical Area Planting - Heavy Grading/Shaping (6-10hr/Ac), Introd. Grasses, ECB &amp; Mulch  </t>
  </si>
  <si>
    <t xml:space="preserve">Critical Area Planting - Light Grading/Shaping (1-2hr/Ac), Mulch, Native Grass/Legume Mix </t>
  </si>
  <si>
    <t>Critical Area Planting - Medium Grading/Shaping (2-6hr/Ac), Mulch, Native Grass/Legume Mix</t>
  </si>
  <si>
    <t>Critical Area Planting - Heavy Grading/Shaping (6-10hr/Ac), Mulch, Native Grass/Legume Mix</t>
  </si>
  <si>
    <t>Critical Area Planting - Light Grading/Shaping (1-2hr/Ac), Mulch, Native Grass/Forbs Mix</t>
  </si>
  <si>
    <t>Critical Area Planting - Medium Grading/Shaping (2-6hr/Ac), Mulch, Native Grass/Forbs Mix</t>
  </si>
  <si>
    <t>Critical Area Planting - Heavy Grading/Shaping (6-10hr/Ac), Mulch, Native Grass/Forbs Mix</t>
  </si>
  <si>
    <t>Critical Area Planting - Medium Grading/Shaping (2-6hr/Ac), ECB &amp; Mulch, Native Grass/Legume Mix</t>
  </si>
  <si>
    <t>Critical Area Planting - Medium Grading/Shaping (2-6hr/Ac), ECB &amp; Mulch, Native Grass/Forbs Mix</t>
  </si>
  <si>
    <t>Waste Treatment Lagoon</t>
  </si>
  <si>
    <t>Waste Treatment Lagoon for up to 312 swine AU</t>
  </si>
  <si>
    <t>Waste Treatment Lagoon for a "Typical" swine operation of 312 AU (2500 feeder pigs averaging 125 pounds.)</t>
  </si>
  <si>
    <t>An earth treatment lagoon designed minimize seepage.</t>
  </si>
  <si>
    <t>This practice will be used to treat swine manure so it can be land applied as organic fertilizer.</t>
  </si>
  <si>
    <t>Diversion (Ft)</t>
  </si>
  <si>
    <t>Diversion - Typical Installation</t>
  </si>
  <si>
    <t xml:space="preserve">Several years ago a cost estimate was made and all costs acssociated with the installation of a diversion was lumped into one generalized cost item which is listed in the </t>
  </si>
  <si>
    <t xml:space="preserve">below Equipement/Installation Section.  We just adjusted these costs last year by increasing according to the NASS rate of 5%.  </t>
  </si>
  <si>
    <t>This rate was consistent with our neighboring state, TN, last year and therefore we feel confident that this rate is representative of the installation cost of this practice.</t>
  </si>
  <si>
    <t>Silvopasture Establishment (Ac.)</t>
  </si>
  <si>
    <t>Silvopasture Establishment  - Conifer Trees Only - No fertilizer or vegetative cover</t>
  </si>
  <si>
    <t>Typical Introduced Grass-No Tillage Scenario</t>
  </si>
  <si>
    <t xml:space="preserve">Establishing a low density, 1 acre stand of adapted conifer trees into pasture for integrated management of timber and forage resources.
</t>
  </si>
  <si>
    <t>Custom Rate Documentation from: "Core Rates", and "Core Rates 2011" worksheets at the end of this workbook and all its references. (See notes columns)</t>
  </si>
  <si>
    <t>Silvopasture Establishment  - Deciduous Trees Only - No fertilizer or vegetative cover</t>
  </si>
  <si>
    <t>Custom Rate Documentation from: "Core Rates" and "Core Rates 2011" worksheets at the end of this workbook and all its references. (See notes columns)</t>
  </si>
  <si>
    <t>Riparian Forest Buffer (Ac.)</t>
  </si>
  <si>
    <t>Riparian Forest Buffer - Tree &amp; Shrub Establishment (Ac.)</t>
  </si>
  <si>
    <t>Typical installation of Trees or Shrubs at a density of 681 trees per acre and sourced from the KY Div. of Forestry in an area less than 3 acres (price of tree bundles is the key price difference).  Tree/shrub installation is done after mowing the area and spraying resident vegetation once or twice with glyphosate to control unwanted vegetation.</t>
  </si>
  <si>
    <t>Riparian Forest Buffer - Tree &amp; Shrub Establishment w/vegetative cover (Ac.)</t>
  </si>
  <si>
    <t>Typical installation of Trees or Shrubs at a density of 681 trees per acre and sourced from the KY Div. of Forestry in an area greater than 3 acres (price of tree bundles is the key price difference). Tree/shrub installation is done after mowing the area and spraying resident vegetation once or twice with glyphosate to control unwanted vegetation. Vegetative cover can be established before, during or after planting the trees/shrubs. Vegetation is typically 9# Orchardgrass, 7# VA wildrye, 3# Redtop OR 20# wheat, so avg. cost is based on 10# Orchardgrass.</t>
  </si>
  <si>
    <t xml:space="preserve"> Riparian Forest Buffer - Introduced Grasses - No Till</t>
  </si>
  <si>
    <t xml:space="preserve"> Riparian Forest Buffer - Introduced Grasses - No T</t>
  </si>
  <si>
    <t>Riparian Forest Buffer - Native Grass - No Till</t>
  </si>
  <si>
    <t xml:space="preserve"> Riparian Forest Buffer - Native Grass - No Till</t>
  </si>
  <si>
    <t>Grade Stabilization Structure (Ea.)</t>
  </si>
  <si>
    <t>Rock Chute: Up to 50 cfs and 4' overfall</t>
  </si>
  <si>
    <t>Rock chute for up to 50cfs flow and 4 foot tall overfall.</t>
  </si>
  <si>
    <t>A chute that is shaped or graded to required dimensions, with geotextile underneath properly graded rock riprap.</t>
  </si>
  <si>
    <t>This practice will be used to provide a stable outlet for concentrated water flows.</t>
  </si>
  <si>
    <t>Unit type is based on number of riprap chutes installed.</t>
  </si>
  <si>
    <t>Rock Chute: Up to 100 cfs and 6' overfall</t>
  </si>
  <si>
    <t>Rock chute for up to 100cfs flow and 6 foot tall overfall.</t>
  </si>
  <si>
    <t>Rock Chute: Up to 150 cfs and 12' overfall</t>
  </si>
  <si>
    <t>Rock chute for up to 150cfs flow and 12 foot tall overfall.</t>
  </si>
  <si>
    <t>Rock Chute: Up to 200 cfs and 12' overfall</t>
  </si>
  <si>
    <t>Rock chute for up to 200cfs flow and 12 foot tall overfall.</t>
  </si>
  <si>
    <t>Rock Chute: Up to 250 cfs and 12' overfall</t>
  </si>
  <si>
    <t>Rock chute for up to 250cfs flow and 12 foot tall overfall.</t>
  </si>
  <si>
    <t>Wire Panel Straight Drop 8' wide up to 4' overfall</t>
  </si>
  <si>
    <t>A straight drop overfall structure consisting of an excavated trench that has a wire panel placed, with geotextile and rock riprap.</t>
  </si>
  <si>
    <t>Unit type is based on number of structures installed.</t>
  </si>
  <si>
    <t>Wire Panel Straight Drop 8' wide 4'-8' overfall</t>
  </si>
  <si>
    <t>Wire Panel Straight Drop 8' wide 4' -8' overfall</t>
  </si>
  <si>
    <t>Wire Panel Straight Drop 16' wide up to 4' overfall</t>
  </si>
  <si>
    <t>Wire Panel Straight Drop 16' wide 4'-8' overfall</t>
  </si>
  <si>
    <t>Wire Panel Straight Drop 16' wide 4' -8' overfall</t>
  </si>
  <si>
    <t>Wire Panel Straight Drop 24' wide up to 4' overfall</t>
  </si>
  <si>
    <t>Wire Panel Straight Drop 24' wide 4'-8' overfall</t>
  </si>
  <si>
    <t>Wire Panel Straight Drop 24' wide 4' -8' overfall</t>
  </si>
  <si>
    <t>Pipe Drop Structure</t>
  </si>
  <si>
    <t>An overfall structure consisting of a 30" CMP riser with an 18" CMP outlet pipe an anti-vortex baffle, an anti-seep collar, 100' of embankment.</t>
  </si>
  <si>
    <t>Unit type is based on number of pipe drop structures installed.</t>
  </si>
  <si>
    <t>Grassed Waterway (Ac.)</t>
  </si>
  <si>
    <t>Grassed Waterway - Erosion Control Blanket on ~80%</t>
  </si>
  <si>
    <t>Typical 40' wide Grass Waterway Scenario with 1'-2' cut/fill and erosion control blanket on ~80% of the area</t>
  </si>
  <si>
    <t>A constructed channel that is shaped or graded to required dimensions, established with suitable vegetation and ~80% covered with Type II erosion control blanket.</t>
  </si>
  <si>
    <t>This practice will be used to provide a stable conduit for concetrated water flows.</t>
  </si>
  <si>
    <t>Unit type is based on acres of grassed waterway established.</t>
  </si>
  <si>
    <t>Calibrate and operate seed drill, manage perennial grass. No data availabe this year.</t>
  </si>
  <si>
    <t>Grassed Waterway - ECB on ~80% + ~1100ft tile</t>
  </si>
  <si>
    <t>Typical 40' wide Grass Waterway Scenario with 1'-2' cut/fill and erosion control blanket on ~80% of the area and Tiled</t>
  </si>
  <si>
    <t>A constructed channel that is shaped or graded to required dimensions, established with suitable vegetation and ~80% covered with Type II erosion control blanket and Tiled.</t>
  </si>
  <si>
    <t>Grassed Waterway - Erosion Control Blanket on ~40%</t>
  </si>
  <si>
    <t>Typical 40' wide Grass Waterway Scenario with 1'-2' cut/fill and erosion control blanket on ~40% of the area</t>
  </si>
  <si>
    <t>A constructed channel that is shaped or graded to required dimensions, established with suitable vegetation and ~40% covered with Type II erosion control blanket.</t>
  </si>
  <si>
    <t>Grassed Waterway - ECB on ~40% + ~1100ft tile</t>
  </si>
  <si>
    <t>Typical 40' wide Grass Waterway Scenario with 1'-2' cut/fill and erosion control blanket on ~40% of the area and Tiled.</t>
  </si>
  <si>
    <t>A constructed channel that is shaped or graded to required dimensions, established with suitable vegetation and ~40% covered with Type II erosion control blanket and Tiled.</t>
  </si>
  <si>
    <t>Grassed Waterway - NO ECB or TILES</t>
  </si>
  <si>
    <t>Typical 40' wide Grass Waterway Scenario with 1'-2' cut/fill.</t>
  </si>
  <si>
    <t>A constructed channel that is shaped or graded to required dimensions, established with suitable vegetation.</t>
  </si>
  <si>
    <t>Grassed Waterway - ~1100ft tile, NO ECB</t>
  </si>
  <si>
    <t>Typical 40' wide Grass Waterway Scenario with 1'-2' cut/fill and Tiled.</t>
  </si>
  <si>
    <t>A constructed channel that is shaped or graded to required dimensions, established with suitable vegetation and tiled.</t>
  </si>
  <si>
    <t>Grassed Waterway - Rock Barriers + ~1100ft tile, NO ECB</t>
  </si>
  <si>
    <t>Typical 40' wide Grass Waterway Scenario with 1'-2' cut/fill, Rock Barriers and Tiled.</t>
  </si>
  <si>
    <t>A constructed channel that is shaped or graded to required dimensions, established with suitable vegetation, Rock Barriers and Tiled.</t>
  </si>
  <si>
    <t>Grassed Waterway - Rock Barriers, NO ECB</t>
  </si>
  <si>
    <t>Typical 40' wide Grass Waterway Scenario with 1'-2' cut/fill and Rock Barriers.</t>
  </si>
  <si>
    <t>A constructed channel that is shaped or graded to required dimensions, established with suitable vegetation and Rock Barriers.</t>
  </si>
  <si>
    <t>This practice will be used to provide a stable conduit for concentrated water flows.</t>
  </si>
  <si>
    <t>Tree &amp; Shrub Establishment (Ac.)</t>
  </si>
  <si>
    <t xml:space="preserve">Tree &amp; Shrub Establishment </t>
  </si>
  <si>
    <t>Tree &amp; Shrub Establishment - w/establishment of vegetative cover</t>
  </si>
  <si>
    <t>441 Irrigation System, Microirrigation</t>
  </si>
  <si>
    <t>Microirrigation for Seasonal High Tunnels</t>
  </si>
  <si>
    <t>No.</t>
  </si>
  <si>
    <t>EQIP - HU</t>
  </si>
  <si>
    <t>Microirrigation for Seasonal High Tunnels - HU</t>
  </si>
  <si>
    <t>Irrigation System, Microirrigation</t>
  </si>
  <si>
    <t>A microirrigation system for crops grown under a high tunnel structure.  Payment includes on-ground mainline and drip tape, fittings, and apurtenances.  Payment does not include cost of pumps or water supply equipment or power source.  This option excludes the use of "soaker hose" or the replacement of an existing microirrigation system.   Payment is eligible where an improvement in water use efficiency is greater than the existing irrigation system.   This practice is only applicable on land that has been irrigated 2 of the past 5 years.  See the "Irrigation System, Microirrigation" conservation practice standard.</t>
  </si>
  <si>
    <t>449 Irrigation Water Management (required)</t>
  </si>
  <si>
    <t>Backflow Device</t>
  </si>
  <si>
    <t>3/4" coupler</t>
  </si>
  <si>
    <t>3/4" Y-filter, 155 mesh</t>
  </si>
  <si>
    <t>3/4" Pressure Regulator -25 PSI</t>
  </si>
  <si>
    <t>3/4" Brass Ball Valve</t>
  </si>
  <si>
    <t>3/4" Poly Tubing, 130 ft</t>
  </si>
  <si>
    <t>T-Tape (15 mil, 12" emitter spacing, high flow) 400 ft</t>
  </si>
  <si>
    <t>Tape Loc 1/4" Barb (attach to mainline)</t>
  </si>
  <si>
    <t>0.400 Barb Punch</t>
  </si>
  <si>
    <t>Tape Loc Couplers (for repairs)</t>
  </si>
  <si>
    <t>Misc Male Pipe Threads</t>
  </si>
  <si>
    <t>Materials cost from vendor catalogs and web sites provided by Missouri State Office Irrigation Specialist</t>
  </si>
  <si>
    <t>included in materials and labor</t>
  </si>
  <si>
    <t xml:space="preserve">Installation Hired labor </t>
  </si>
  <si>
    <t>Labor costs from June 2010 Standardized State Average Cost List available from http://www.workforcekentucky.ky.gov/cgi/dataanalysis/oesWageReport.asp?menuchoice=OESWAGE</t>
  </si>
  <si>
    <t>O&amp;M plan that specifies operating and maintaining the system to ensure that it functions properly, periodic inspections and repair and replacement of damaged components</t>
  </si>
  <si>
    <t>449 Irrigation Water Management</t>
  </si>
  <si>
    <t>Irrigation Water Management</t>
  </si>
  <si>
    <t>Irrigation Water Management HU</t>
  </si>
  <si>
    <t>EQIP-OI Payment Percentage</t>
  </si>
  <si>
    <t>EQIP-OI-HU Payment Percentage</t>
  </si>
  <si>
    <t>This practice is required in conjunction with all irrigation practices on land irrigated 2 of the past 5 years.   A management plan is implemented for the irrigation systems in place to reduce runoff and erosion.  See the "Irrigation Water Management" conservation practice standard.</t>
  </si>
  <si>
    <t>430 Irrigation Pipeline; 464 Irrigation Land Leveling; 443 Irrigation System - Surface and Subsurface; 442 Irrigation System - Sprinkler</t>
  </si>
  <si>
    <t>Implementation of plan (cost list component 696)</t>
  </si>
  <si>
    <t>Record keeping (cost list component 696)</t>
  </si>
  <si>
    <t>Implementation of a plan - a one hour field visit each week from April through October to determine irrigation needs and assess runoff and erosion.  Labor costs from the June 2010 Standardized State Average Cost List available from NRCS Missouri eFOTG Section I C. Economic Data.</t>
  </si>
  <si>
    <t>Lined Waterway or Outlet (Lin. Ft.)</t>
  </si>
  <si>
    <t>Lined Outlet with Type III erosion control blanket</t>
  </si>
  <si>
    <t>Lined outlet with Type III erosion control blanket.</t>
  </si>
  <si>
    <t>A waterway, or an outlet for concentrated flow that is shaped or graded to required dimensions, and lined with Type III erosion control blanket.</t>
  </si>
  <si>
    <t>This practice will be used to provide a stable channel for concentrated water flows.</t>
  </si>
  <si>
    <t>Unit type is based on number of linear feet installed.</t>
  </si>
  <si>
    <t>Linear Feet</t>
  </si>
  <si>
    <t>Included in the Equipment/Instalation category</t>
  </si>
  <si>
    <t>Lined Outlet with Class III riprap on geotextile</t>
  </si>
  <si>
    <t>Lined outlet with Class III riprap on geotextile.</t>
  </si>
  <si>
    <t>A waterway, or an outlet for concentrated flow that is shaped or graded to required dimensions, and lined with Class III riprap on geotextile.</t>
  </si>
  <si>
    <t>Access Control (Ac)</t>
  </si>
  <si>
    <t>Access Control - Exclusion with Setback from Waterbody or Waterway</t>
  </si>
  <si>
    <t>Price of practice is based on the acreage excluded from animal access adjacent to a waterbody or waterway.</t>
  </si>
  <si>
    <t>Typically, a fence is installed (usually under EQIP) to manage the exclusion of the animals but set back distances vary depending on terrain.</t>
  </si>
  <si>
    <t>Based on typical KY - CRP rental rates of bottomland soils</t>
  </si>
  <si>
    <t>Access Control - Exclusion from Woodlot or Other Upland Site</t>
  </si>
  <si>
    <t>Price of practice is based on the acreage excluded from animal access adjacent to a woodlot or other upland site.</t>
  </si>
  <si>
    <t>Typically, a fence is installed (usually under EQIP) to manage the exclusion of the animals.</t>
  </si>
  <si>
    <t>Based on typical KY - CRP rental rates of bottomland soils divided by 4.5 to account for the difference in value of a typical wood lot or other upland site.</t>
  </si>
  <si>
    <t>Access Control - Exclusion with Setback from Woodlot or Other Upland Site</t>
  </si>
  <si>
    <t>Price of practice is based on 10 Acres of excluded area and 1 Acre of Setback adjacent to a woodlot or other upland site.</t>
  </si>
  <si>
    <t xml:space="preserve">KY </t>
  </si>
  <si>
    <t>Field Office Technical Guide</t>
  </si>
  <si>
    <t>TN</t>
  </si>
  <si>
    <t>MO</t>
  </si>
  <si>
    <t>OTHER</t>
  </si>
  <si>
    <t>Miscellaneous sources</t>
  </si>
  <si>
    <t>Out of State Average Cost (AL, TN, MO)</t>
  </si>
  <si>
    <t>Average Cost Including KY</t>
  </si>
  <si>
    <r>
      <t>2007</t>
    </r>
    <r>
      <rPr>
        <b/>
        <sz val="10"/>
        <color indexed="9"/>
        <rFont val="Arial"/>
        <family val="2"/>
      </rPr>
      <t xml:space="preserve">          KY Cost with NASS-based, 5% increase unless otherwise noted</t>
    </r>
  </si>
  <si>
    <t>Section 1</t>
  </si>
  <si>
    <r>
      <t xml:space="preserve">2006    </t>
    </r>
    <r>
      <rPr>
        <b/>
        <sz val="10"/>
        <color indexed="9"/>
        <rFont val="Arial"/>
        <family val="2"/>
      </rPr>
      <t>KY Cost</t>
    </r>
  </si>
  <si>
    <r>
      <t xml:space="preserve">2008      </t>
    </r>
    <r>
      <rPr>
        <b/>
        <sz val="10"/>
        <color indexed="9"/>
        <rFont val="Arial"/>
        <family val="2"/>
      </rPr>
      <t>KY Cost</t>
    </r>
  </si>
  <si>
    <t>Payment Schedule Core Rates 2009</t>
  </si>
  <si>
    <t>KY-2006</t>
  </si>
  <si>
    <t>2009 Comments</t>
  </si>
  <si>
    <t>2008 Comments</t>
  </si>
  <si>
    <t>2007 Comments</t>
  </si>
  <si>
    <t>Parameter</t>
  </si>
  <si>
    <t>Cost Type</t>
  </si>
  <si>
    <t>Unit_Cost</t>
  </si>
  <si>
    <t>Comments</t>
  </si>
  <si>
    <r>
      <t xml:space="preserve">Cost_Type </t>
    </r>
    <r>
      <rPr>
        <b/>
        <vertAlign val="superscript"/>
        <sz val="8"/>
        <rFont val="Arial"/>
        <family val="2"/>
      </rPr>
      <t>1/</t>
    </r>
  </si>
  <si>
    <t>0-50-50; 3 tons lime (Applied)</t>
  </si>
  <si>
    <t>Based on 6/08 survey of prices. Calculated from other components</t>
  </si>
  <si>
    <t>Based on 12/06 survey of prices. Calculated from other components</t>
  </si>
  <si>
    <t/>
  </si>
  <si>
    <t>0-50-50; 3 tons lime-Jackson Purchase Area (Applied)</t>
  </si>
  <si>
    <t>0-50-50 (Applied)</t>
  </si>
  <si>
    <t>50 N, 50 P, 50 K, 2 Tons Lime (Applied)</t>
  </si>
  <si>
    <t>50 N, 50 P, 50 K, 2 Tons Lime-Jackson Purchase Area (Applied)</t>
  </si>
  <si>
    <t>50 N, 50 P, 50 K (Applied)</t>
  </si>
  <si>
    <t>60 N, 60 P, 60 K, 2 Tons Lime (Applied)</t>
  </si>
  <si>
    <t>60 N, 60 P, 60 K, 2 Tons Lime-Jackson Purchase Area (Applied)</t>
  </si>
  <si>
    <t>60 N, 60 P, 60 K (Applied)</t>
  </si>
  <si>
    <t>120 N, 120 P, 120 K, 2 Tons Lime (Applied)</t>
  </si>
  <si>
    <t>120 N, 120 P, 120 K, 2 Tons Lime-Jackson Purchase Area (Applied)</t>
  </si>
  <si>
    <t>120 N, 120 P, 120 K (Applied)</t>
  </si>
  <si>
    <t>Fertilizer Prices</t>
  </si>
  <si>
    <t>10 mil Plastic Cut-off Wall</t>
  </si>
  <si>
    <t>Sq. Ft</t>
  </si>
  <si>
    <t>7% increase 2006-2008 NASS "Building Materials"</t>
  </si>
  <si>
    <t>Prices from Southern States on 6/12-6/13</t>
  </si>
  <si>
    <t>Average</t>
  </si>
  <si>
    <t>$/lb of</t>
  </si>
  <si>
    <t>5" Concrete Floor w/ 4 1/2' ht. x 2" PT Timber Wall *</t>
  </si>
  <si>
    <t>ALL PRICES PER TON unless noted</t>
  </si>
  <si>
    <t>$/Ton of</t>
  </si>
  <si>
    <t>N, P2O5</t>
  </si>
  <si>
    <t>5" Concrete Floor w/ 4' ht. X 2" PT Timber Wall (Hoop Roof Structure) *</t>
  </si>
  <si>
    <t>% fert.</t>
  </si>
  <si>
    <t>Nicholasville</t>
  </si>
  <si>
    <t>Bowling Green</t>
  </si>
  <si>
    <t>Owingsville</t>
  </si>
  <si>
    <t>Owensboro</t>
  </si>
  <si>
    <t>Mayfield</t>
  </si>
  <si>
    <t>Hopkinsville</t>
  </si>
  <si>
    <t>Fertilizer</t>
  </si>
  <si>
    <t>or K2O</t>
  </si>
  <si>
    <t>5" Concrete Floor w/ 4' ht. x 6" w. Concrete Wall *</t>
  </si>
  <si>
    <t>N</t>
  </si>
  <si>
    <t>NH3</t>
  </si>
  <si>
    <t>2.0' to 4.0' Bank Height Protected</t>
  </si>
  <si>
    <t>Lin Ft</t>
  </si>
  <si>
    <t>Based on linear regression of A24 through A29 data</t>
  </si>
  <si>
    <t>4.1' to 6.0' Bank Height Protected</t>
  </si>
  <si>
    <t>Up to 6.0' Bank Height Protected</t>
  </si>
  <si>
    <t>Lin. Ft</t>
  </si>
  <si>
    <t>6.3% increase 6/2006-6/2008 ENR Construction Index</t>
  </si>
  <si>
    <t>NH4SO4</t>
  </si>
  <si>
    <t>-</t>
  </si>
  <si>
    <t>6.1' to 8.0' Bank Height Protected</t>
  </si>
  <si>
    <t>Urea</t>
  </si>
  <si>
    <t>8.1' to 10.0' Bank Height Protected</t>
  </si>
  <si>
    <t>Lin Ft.</t>
  </si>
  <si>
    <t>P2O5</t>
  </si>
  <si>
    <t>DAP</t>
  </si>
  <si>
    <t>$/lb of N in DAP</t>
  </si>
  <si>
    <t>10.1 to 12.0' Bank Height Protected</t>
  </si>
  <si>
    <t xml:space="preserve">AC </t>
  </si>
  <si>
    <t>TSP</t>
  </si>
  <si>
    <t>12.1' to 16.0' Bank Height Protected</t>
  </si>
  <si>
    <t>Lin . Ft.</t>
  </si>
  <si>
    <t>K2O</t>
  </si>
  <si>
    <t>KCl</t>
  </si>
  <si>
    <t>Over 16.0' Bank Height Protected</t>
  </si>
  <si>
    <t>KSO4</t>
  </si>
  <si>
    <t>Bar Guard Intake (6") (Installed)</t>
  </si>
  <si>
    <t>$10.57/Diam In</t>
  </si>
  <si>
    <t>HD, cost of product only (Agri Drain Co.)</t>
  </si>
  <si>
    <t>Bar Guard Intake (8") (Installed)</t>
  </si>
  <si>
    <t>($165-pell)</t>
  </si>
  <si>
    <t>($150-pell)</t>
  </si>
  <si>
    <t>/Ton</t>
  </si>
  <si>
    <t>Bar Guard Intake (10") (Installed)</t>
  </si>
  <si>
    <t>Delivery</t>
  </si>
  <si>
    <t>Bar Guard Intake (12") (Installed)</t>
  </si>
  <si>
    <t>Spreading-F</t>
  </si>
  <si>
    <t>/Ac</t>
  </si>
  <si>
    <t>Bar Guard Intake (18") (Installed)</t>
  </si>
  <si>
    <t>Spreading-L</t>
  </si>
  <si>
    <t>Bar Guard Intake (24") (Installed)</t>
  </si>
  <si>
    <t>/Ton Lime, Delivery &amp; Spread</t>
  </si>
  <si>
    <t>Basal Area Removed</t>
  </si>
  <si>
    <t>0% increase 2007-2008 NASS "Custom Rates"</t>
  </si>
  <si>
    <t>Based on KY Division of Forestry (9/2007) Pam Snyder</t>
  </si>
  <si>
    <t xml:space="preserve">Broadcasting Seed </t>
  </si>
  <si>
    <t>Based on cost from "Custom Machinery Rates Applicable to KY (2008)" by Greg Halich</t>
  </si>
  <si>
    <t>Based on disking cost from "Custom Machinery Rates Applicable to KY (2007)" by Greg Halich</t>
  </si>
  <si>
    <t>Composter - dead animal (Installed)</t>
  </si>
  <si>
    <t>Cu Ft</t>
  </si>
  <si>
    <t>Herbicide Prices-2008</t>
  </si>
  <si>
    <t>Concrete (Slab in Place, includes wire mesh or fiber)</t>
  </si>
  <si>
    <t>Cu Yd</t>
  </si>
  <si>
    <t>AREA III suggestion</t>
  </si>
  <si>
    <t>Concrete (Walls in Place, includes steel reinforcement)</t>
  </si>
  <si>
    <t>ALL PRICES PER Acre unless noted</t>
  </si>
  <si>
    <t>Concrete Curb (12" ht x 5 1/2" width): Installed</t>
  </si>
  <si>
    <t>rate(oz/Ac)</t>
  </si>
  <si>
    <t>Concrete Drop Box (Installed)</t>
  </si>
  <si>
    <t>Glyphosate</t>
  </si>
  <si>
    <t>Concrete Floor (5" slab on grade): Installed</t>
  </si>
  <si>
    <t>Based on $125/cu yd</t>
  </si>
  <si>
    <t>"concrete pad"</t>
  </si>
  <si>
    <t>Glyphosate + Imazapic</t>
  </si>
  <si>
    <t>Concrete Floor Slabs &amp; Concrete Footers</t>
  </si>
  <si>
    <t>"flatwork"</t>
  </si>
  <si>
    <t>Imazapic</t>
  </si>
  <si>
    <t>Concrete Manhole-Spring Collection/storage - 12'x6'x4' (installed)</t>
  </si>
  <si>
    <t>Concrete Manhole-Spring Collection/storage - 12'x6'x5' (installed)</t>
  </si>
  <si>
    <t xml:space="preserve">Application </t>
  </si>
  <si>
    <t>Concrete Manhole-Spring Collection/storage - 8'x5'x4' (installed)</t>
  </si>
  <si>
    <t>Minimum Charge (NOT /Acre!)</t>
  </si>
  <si>
    <t>Concrete Manhole-Spring Collection/storage - 8'x5'x5' (installed)</t>
  </si>
  <si>
    <t>Imazapic appl. Cost:</t>
  </si>
  <si>
    <t>Concrete Manhole-Spring Collection/storage - 4'x4' (installed)</t>
  </si>
  <si>
    <t>Cost/Ac w/o Min Charge</t>
  </si>
  <si>
    <t>&lt;=$/Ac</t>
  </si>
  <si>
    <t>Concrete Wall (4' ht. x 6" wide): Installed</t>
  </si>
  <si>
    <t>Cost of  5 Ac w/o Min Charge</t>
  </si>
  <si>
    <t>&lt;=$/5Ac</t>
  </si>
  <si>
    <t>Concrete Walls Formed Surface (w/ one mat of steel reinforcement)</t>
  </si>
  <si>
    <t>Cost of  5 Ac w/ Min Charge</t>
  </si>
  <si>
    <t>Concrete Walls Formed Surface (w/ two mats of steel reinforcement)</t>
  </si>
  <si>
    <t>Cost/Ac w/ Min Charge (for a 5 Ac site)</t>
  </si>
  <si>
    <t>Construction of Water Bars</t>
  </si>
  <si>
    <t>AREA III sug. (incl. seed, mulch, blanket)</t>
  </si>
  <si>
    <t>2% increase 2006-2008 NASS "Custom Rates"</t>
  </si>
  <si>
    <t>270-843-1146</t>
  </si>
  <si>
    <t>606-674-6341</t>
  </si>
  <si>
    <t>270-684-9065</t>
  </si>
  <si>
    <t>270-247-3926</t>
  </si>
  <si>
    <t>270-885-8461</t>
  </si>
  <si>
    <t>Construction Site Prep - Very Light</t>
  </si>
  <si>
    <t>75/hr</t>
  </si>
  <si>
    <t>Based on 17.2% NASS Fuel increase</t>
  </si>
  <si>
    <t>*</t>
  </si>
  <si>
    <t>based on the average of a two spraying event process</t>
  </si>
  <si>
    <t>Construction Site Prep - Light</t>
  </si>
  <si>
    <t>**</t>
  </si>
  <si>
    <t>based on the average of a two spraying event process on 5 acres</t>
  </si>
  <si>
    <t>Construction Site Prep - Medium</t>
  </si>
  <si>
    <t>***</t>
  </si>
  <si>
    <t>Construction Site Prep - Heavy</t>
  </si>
  <si>
    <t>Corrugated Aluminum Pipe: 10" (Installed)</t>
  </si>
  <si>
    <t>1.75/Diam in</t>
  </si>
  <si>
    <t>Corrugated Aluminum Pipe: 12" (Installed)</t>
  </si>
  <si>
    <t>Corrugated Aluminum Pipe: 15" (Installed)</t>
  </si>
  <si>
    <t>Average Herbicide Prices 2008</t>
  </si>
  <si>
    <t>Corrugated Aluminum Pipe: 18" (Installed)</t>
  </si>
  <si>
    <t>typical appl. rate 4 veg. practice establish.</t>
  </si>
  <si>
    <t>typical appl. rate 4 veg. practice estab.</t>
  </si>
  <si>
    <t>Corrugated Aluminum Pipe: 24" (Installed)</t>
  </si>
  <si>
    <t>Corrugated Aluminum Pipe: 30" (Installed)</t>
  </si>
  <si>
    <t>Corrugated Aluminum Pipe: 36" (Installed)</t>
  </si>
  <si>
    <t>Corrugated Metal Pipe - Outlets: 4" (installed)</t>
  </si>
  <si>
    <t>Herbicide</t>
  </si>
  <si>
    <t>Price</t>
  </si>
  <si>
    <t>Cost</t>
  </si>
  <si>
    <t>Corrugated Metal Pipe - Outlets: 5" (installed)</t>
  </si>
  <si>
    <t>gallon</t>
  </si>
  <si>
    <t>ounce</t>
  </si>
  <si>
    <t>Roundup ULTRAMAX</t>
  </si>
  <si>
    <t>Corrugated Metal Pipe - Outlets: 10" (installed)</t>
  </si>
  <si>
    <t>Journey</t>
  </si>
  <si>
    <t>Corrugated Metal Pipe - Outlets: 12" (installed)</t>
  </si>
  <si>
    <t>Corrugated Metal Pipe - Outlets: 15" (installed)</t>
  </si>
  <si>
    <t>Glyphosate + Imazapic Tank Mix</t>
  </si>
  <si>
    <t>Roundup Original</t>
  </si>
  <si>
    <t>Corrugated Metal Pipe - Outlets: 18" (installed)</t>
  </si>
  <si>
    <t>Corrugated Metal Pipe: 12" Dia, 16 gage - Galvanized (Inst)</t>
  </si>
  <si>
    <t>1.10/Diam in, "(Steel)" only</t>
  </si>
  <si>
    <t>'*'</t>
  </si>
  <si>
    <t>Corrugated Metal Pipe: 15" Dia, 16 gage - Galvanized (Inst)</t>
  </si>
  <si>
    <t>Roundup Original MAX</t>
  </si>
  <si>
    <t>Corrugated Metal Pipe: 18" Dia, 16 gage - Galvanized (Inst)</t>
  </si>
  <si>
    <t>KYFWS</t>
  </si>
  <si>
    <t>Corrugated Metal Pipe: 24" Dia, 14 gage - Galvanized (Inst)</t>
  </si>
  <si>
    <t>based on average cost of chemicals for an initial appllication of Roundup MAX and a second application of Journey prior to vegetation establishment</t>
  </si>
  <si>
    <t>Corrugated Metal Pipe: 30" Dia, 14 gage - Galvanized (Inst)</t>
  </si>
  <si>
    <t>Corrugated Metal Pipe: 36" Dia, 12 gage - Galvanized (Inst)</t>
  </si>
  <si>
    <t>2, 4D Amine</t>
  </si>
  <si>
    <t>quart</t>
  </si>
  <si>
    <t>Corrugated Plastic Pipe: 4" (Installed)</t>
  </si>
  <si>
    <t>$0.45/Diam in</t>
  </si>
  <si>
    <t>PE</t>
  </si>
  <si>
    <t>AREA I suggestion to increase by 20%</t>
  </si>
  <si>
    <t>Based on Area 1recommended 20% increase</t>
  </si>
  <si>
    <t>rainstar</t>
  </si>
  <si>
    <t>Corrugated Plastic Pipe: 5" (Installed)</t>
  </si>
  <si>
    <t>Corrugated Plastic Pipe: 6" (Installed)</t>
  </si>
  <si>
    <t>Corrugated Plastic Pipe: 8" (Installed)</t>
  </si>
  <si>
    <t>Corrugated Plastic Pipe: 10" (Installed)</t>
  </si>
  <si>
    <t>ALL PRICES PER gal unless noted</t>
  </si>
  <si>
    <t>Corrugated Plastic Pipe: 12" (Installed)</t>
  </si>
  <si>
    <t>Hopkinsville'</t>
  </si>
  <si>
    <t>Corrugated Plastic, Double Walled Pipe: 4" (Installed)</t>
  </si>
  <si>
    <t>$1.00/Diam in</t>
  </si>
  <si>
    <t>PRODUCTS</t>
  </si>
  <si>
    <t>% A.I.</t>
  </si>
  <si>
    <t>Corrugated Plastic, Double Walled Pipe: 6" (Installed)</t>
  </si>
  <si>
    <t>Generic Glyphosate</t>
  </si>
  <si>
    <t>Corrugated Plastic, Double Walled Pipe: 8" (Installed)</t>
  </si>
  <si>
    <t>Touchdown</t>
  </si>
  <si>
    <t>Corrugated Plastic, Double Walled Pipe: 10" (Installed)</t>
  </si>
  <si>
    <t>Roundup Original®</t>
  </si>
  <si>
    <t>Price/Gal</t>
  </si>
  <si>
    <t>Corrugated Plastic, Double Walled Pipe: 12" (Installed)</t>
  </si>
  <si>
    <t>AREA I suggestion</t>
  </si>
  <si>
    <t>Roundup Original® MAX</t>
  </si>
  <si>
    <t>Corrugated Plastic, Double Walled Pipe: 15" (Inst)</t>
  </si>
  <si>
    <t>$1.20/Diam in</t>
  </si>
  <si>
    <t>Roundup PowerMAX™</t>
  </si>
  <si>
    <t>Corrugated Plastic, Double Walled Pipe: 18" (Inst)</t>
  </si>
  <si>
    <t>Roundup UltraDry®</t>
  </si>
  <si>
    <t>Corrugated Plastic, Double Walled Pipe: 24" (Inst)</t>
  </si>
  <si>
    <t>Roundup UltraMAX®</t>
  </si>
  <si>
    <t>Corrugated Plastic, Double Walled Pipe: 30" (Inst)</t>
  </si>
  <si>
    <t>PE ($0.50/diam in)</t>
  </si>
  <si>
    <t>average of AREA I &amp; III suggestions</t>
  </si>
  <si>
    <t>Roundup UltraMAX® II</t>
  </si>
  <si>
    <t>Corrugated Plastic, Double Walled Pipe: 36" (Inst)</t>
  </si>
  <si>
    <t>Roundup UltraMAX® RT</t>
  </si>
  <si>
    <t>Delivery Charge for Fertilizer/Lime</t>
  </si>
  <si>
    <t>Ton</t>
  </si>
  <si>
    <t>Based on 6/08 survey of prices</t>
  </si>
  <si>
    <t>Based on 12/06 survey of prices</t>
  </si>
  <si>
    <t>Roundup WEATHERMAX®</t>
  </si>
  <si>
    <t>Delivery Charge for Fertilizer/Lime-Jackson Purchase Area</t>
  </si>
  <si>
    <t>Jouney</t>
  </si>
  <si>
    <t>8.13/21.94</t>
  </si>
  <si>
    <t>Dike</t>
  </si>
  <si>
    <t>Panoramic</t>
  </si>
  <si>
    <t>Dirt/Lime Floor w/ 4 1/2' ht.x 2" PT Timber Wall *</t>
  </si>
  <si>
    <t>Plateau (from KYFWS)</t>
  </si>
  <si>
    <t>Dirt/Lime Floor w/ 4' ht. W/ 2" PT Timber Wall (Hoop Roof Structure) *</t>
  </si>
  <si>
    <t>Dirt/Lime Floor w/ 4' ht. x 6" w. Concrete Wall *</t>
  </si>
  <si>
    <t>Disking</t>
  </si>
  <si>
    <t>FR</t>
  </si>
  <si>
    <t>Custom Machinery Rates Applicable to KY (2008)" by Greg Halich</t>
  </si>
  <si>
    <t>Disking (strip disking for vegetative practice maintenance)</t>
  </si>
  <si>
    <t>Bassed on 2006 FR cost to strip disk heavy sod in small width strips.</t>
  </si>
  <si>
    <t>Diversion (includes earthmoving &amp; vegetation establishment)</t>
  </si>
  <si>
    <t>"construction"</t>
  </si>
  <si>
    <t>2% increase 2006-2008 NASS "Custom Rates" and corroborated with Greg Halich publications</t>
  </si>
  <si>
    <t>Drainage/Filter Diaphragm (sand collar, installed)</t>
  </si>
  <si>
    <t>Cu.Yd.</t>
  </si>
  <si>
    <t>Drainfill: Rock or Sand</t>
  </si>
  <si>
    <t>Tons</t>
  </si>
  <si>
    <t>Drill (seeding)</t>
  </si>
  <si>
    <t>Based on drilling cost from "Custom Machinery Rates Applicable to KY (2007)" by Greg Halich</t>
  </si>
  <si>
    <t>Earthmoving: Compacted Embankment</t>
  </si>
  <si>
    <t>AREA I ave. suggested increase of 25%</t>
  </si>
  <si>
    <t>Based on Area I recommended 25% increase</t>
  </si>
  <si>
    <t>Earthmoving: Design Storage Volume, Normal Conditions</t>
  </si>
  <si>
    <t>Earthmoving: Design Storage Volume, Rock, Fill Borrowed</t>
  </si>
  <si>
    <t>Earthmoving: Terrace</t>
  </si>
  <si>
    <t>$1-$2</t>
  </si>
  <si>
    <t>$1.30-Gradient to $2.50-Parallel</t>
  </si>
  <si>
    <t>$1.12-$1.62</t>
  </si>
  <si>
    <t>Earthmoving: Light grading/shaping (1-2 hrs/ac)</t>
  </si>
  <si>
    <t>$75/hr*1.5hrs</t>
  </si>
  <si>
    <t>Grading and Shaping Light CAT</t>
  </si>
  <si>
    <t>Earthmoving: Light shaping (&lt;0.5' cut/fill)</t>
  </si>
  <si>
    <t>Earthmoving: Medium grading/shaping (2-6 hrs/ac)</t>
  </si>
  <si>
    <t>$75/hr*4hrs</t>
  </si>
  <si>
    <t>Grading and Shaping Medium CAT</t>
  </si>
  <si>
    <t>Earthmoving: Medium shaping (0.5'-1.0' cut/fill)</t>
  </si>
  <si>
    <t>Earthmoving: Heavy grading/shaping (6-10 hrs/ac)</t>
  </si>
  <si>
    <t>Grading and Shaping Heavy CAT</t>
  </si>
  <si>
    <t>Earthmoving: Heavy shaping (1.0'-2.0' cut/fill)</t>
  </si>
  <si>
    <t>Earthmoving: Very heavy grading/shaping(&gt;10hrs/ac)</t>
  </si>
  <si>
    <t>$75/hr*15hrs</t>
  </si>
  <si>
    <t>Earthmoving: Very heavy shaping (&gt;2.0' cut/fill)</t>
  </si>
  <si>
    <t>Earthmoving: Excavation-spoil shaped and graded</t>
  </si>
  <si>
    <t>AA</t>
  </si>
  <si>
    <t>Indiana cost list</t>
  </si>
  <si>
    <t>Embankment Pond (height &lt;= 8 feet)</t>
  </si>
  <si>
    <t>AM</t>
  </si>
  <si>
    <t>Based on previous costs of ponds not to exceed a max cost.</t>
  </si>
  <si>
    <t>Embankment Pond (height &gt; 8 feet)</t>
  </si>
  <si>
    <t>Energizer</t>
  </si>
  <si>
    <t>5% increase in 2005-208 NASS "Supplies and Repair"</t>
  </si>
  <si>
    <t>Equipment Mobilization</t>
  </si>
  <si>
    <t>133.33=L, 420=H</t>
  </si>
  <si>
    <t>Left at present value</t>
  </si>
  <si>
    <t>Erosion Control Blanket, Type I (Installed)</t>
  </si>
  <si>
    <t>Sq Yd</t>
  </si>
  <si>
    <t>light</t>
  </si>
  <si>
    <t>Based on Area III recommendation</t>
  </si>
  <si>
    <t>Erosion Control Blanket, Type II (Installed)</t>
  </si>
  <si>
    <t>medium</t>
  </si>
  <si>
    <t>Erosion Control Blanket, Type III (Installed)</t>
  </si>
  <si>
    <r>
      <t xml:space="preserve">Excavated Pond </t>
    </r>
    <r>
      <rPr>
        <vertAlign val="superscript"/>
        <sz val="10"/>
        <rFont val="Arial"/>
        <family val="2"/>
      </rPr>
      <t>3/</t>
    </r>
  </si>
  <si>
    <t>Make CRR const. with Embnk. Pond (Area I)</t>
  </si>
  <si>
    <t>Fence: Permanent (Containment) (Installed)</t>
  </si>
  <si>
    <t>$1.00-$2.70 incl. gates</t>
  </si>
  <si>
    <t>$1.50=L $4.00=H</t>
  </si>
  <si>
    <t>$0.41-$1.69</t>
  </si>
  <si>
    <t>AREA I &amp; II suggestion</t>
  </si>
  <si>
    <t>Based on Area II &amp; III recommendations</t>
  </si>
  <si>
    <t>Fence: Permanent (Deterrent) (Installed)</t>
  </si>
  <si>
    <t>$0.11-1strd, $0.35-5strd</t>
  </si>
  <si>
    <t>AREA II suggestion in conj. w/ Pres. Grazing</t>
  </si>
  <si>
    <t>Based on Area II  recommendation</t>
  </si>
  <si>
    <t>Field Scouting (for insects, weeds or diseases)</t>
  </si>
  <si>
    <t>Hrs</t>
  </si>
  <si>
    <t>Gabion Baskets (thickness &gt;= 12 in., installed with rock)</t>
  </si>
  <si>
    <t>Gabion Mattresses (thickness &lt; 32 in., installed with rock)</t>
  </si>
  <si>
    <t>Galvanized Pipe: 1 1/2" (Installed)</t>
  </si>
  <si>
    <t>Galvanized Pipe: 1 1/4" (Installed)</t>
  </si>
  <si>
    <t>Gate: 8' Tubular (Installed)</t>
  </si>
  <si>
    <t>AREA I suggestion to increase by 15%</t>
  </si>
  <si>
    <t>Gate: 10' Tubular (Installed)</t>
  </si>
  <si>
    <t>Gate: 12' Tubular (Installed)</t>
  </si>
  <si>
    <t>"Metal Gates"</t>
  </si>
  <si>
    <t>Gate: 14' Tubular (Installed)</t>
  </si>
  <si>
    <t>Gate: 16' Tubular (Installed)</t>
  </si>
  <si>
    <t>Geologic Investigation (Equipment &amp; Operator)</t>
  </si>
  <si>
    <t>Geo-Textile (Installed)</t>
  </si>
  <si>
    <t>2.25=L, 2.44 H</t>
  </si>
  <si>
    <t>Geotextile Barrier</t>
  </si>
  <si>
    <t>Guard Rail Kit: 6" x 12' (Installed)</t>
  </si>
  <si>
    <t>Grounds and Insulation (for use with polywire and polytape)</t>
  </si>
  <si>
    <t>Guttering &amp; Downspouts - 5" or 6" (Installed)</t>
  </si>
  <si>
    <t>Based on harrowing cost from "Custom Machinery Rates Applicable to KY (2007)" by Greg Halich</t>
  </si>
  <si>
    <t>Herbicide Application (Including Herbicide)</t>
  </si>
  <si>
    <t>Based on spraying cost from Greg Halich plus avg cost of chemicals</t>
  </si>
  <si>
    <t>Based on Area III recommendation and consistent with NASS fuel increase</t>
  </si>
  <si>
    <t>Herbicide Application (Including Selective Post-emergent Herbicide)</t>
  </si>
  <si>
    <t>Herbicide-Burndown (product only)</t>
  </si>
  <si>
    <t>Gal</t>
  </si>
  <si>
    <t>Hide-A-Bale Barrier (per installed bale)</t>
  </si>
  <si>
    <t>Inlet Water Control Structure: 10"x 4'  (Installed)</t>
  </si>
  <si>
    <t>Inlet Water Control Structure: 10"x 5'  (Installed)</t>
  </si>
  <si>
    <t>Inlet Water Control Structure: 10"x 6'  (Installed)</t>
  </si>
  <si>
    <t>Inlet Water Control Structure: 10"x 7'  (Installed)</t>
  </si>
  <si>
    <t>Inlet Water Control Structure: 12"x 2' (Installed)</t>
  </si>
  <si>
    <t>Inlet Water Control Structure: 12"x 3'  (Installed)</t>
  </si>
  <si>
    <t>Inlet Water Control Structure: 12"x 4'  (Installed)</t>
  </si>
  <si>
    <t>Inlet Water Control Structure: 12"x 5'  (Installed)</t>
  </si>
  <si>
    <t>Inlet Water Control Structure: 12"x 6'  (Installed)</t>
  </si>
  <si>
    <t>Inlet Water Control Structure: 12"x 7'  (Installed)</t>
  </si>
  <si>
    <t>Inlet Water Control Structure: 6"x 4'  (Installed)</t>
  </si>
  <si>
    <t>Inlet Water Control Structure: 6"x 5'  (Installed)</t>
  </si>
  <si>
    <t>Inlet Water Control Structure: 6"x 6'  (Installed)</t>
  </si>
  <si>
    <t>Inlet Water Control Structure: 6"x 7'  (Installed)</t>
  </si>
  <si>
    <t>Inlet Water Control Structure: 8"x 4'  (Installed)</t>
  </si>
  <si>
    <t>Inlet Water Control Structure: 8"x 5'  (Installed)</t>
  </si>
  <si>
    <t>Inlet Water Control Structure: 8"x 6'  (Installed)</t>
  </si>
  <si>
    <t>Inlet Water Control Structure: 8"x 7'  (Installed)</t>
  </si>
  <si>
    <t>Inline Water Control Structure (Installed)  10"x 2'</t>
  </si>
  <si>
    <t>Inline Water Control Structure (Installed)  10"x 3'</t>
  </si>
  <si>
    <t>Inline Water Control Structure (Installed)  10"x 4'</t>
  </si>
  <si>
    <t>Inline Water Control Structure (Installed)  10"x 5'</t>
  </si>
  <si>
    <t>Inline Water Control Structure (Installed)  10"x 6'</t>
  </si>
  <si>
    <t>Inline Water Control Structure (Installed)  10"x 7'</t>
  </si>
  <si>
    <t>Inline Water Control Structure (Installed)  12"x 2'</t>
  </si>
  <si>
    <t>Inline Water Control Structure (Installed)  12"x 3'</t>
  </si>
  <si>
    <t>Inline Water Control Structure (Installed)  12"x 4'</t>
  </si>
  <si>
    <t>Inline Water Control Structure (Installed)  12"x 5'</t>
  </si>
  <si>
    <t>Inline Water Control Structure (Installed)  12"x 6'</t>
  </si>
  <si>
    <t>Inline Water Control Structure (Installed)  12"x 7'</t>
  </si>
  <si>
    <t>Inline Water Control Structure (Installed)  6"x 2'</t>
  </si>
  <si>
    <t>Inline Water Control Structure (Installed)  6"x 3'</t>
  </si>
  <si>
    <t>Inline Water Control Structure (Installed)  6"x 4'</t>
  </si>
  <si>
    <t>Inline Water Control Structure (Installed)  6"x 5'</t>
  </si>
  <si>
    <t>Inline Water Control Structure (Installed)  6"x 6'</t>
  </si>
  <si>
    <t>Inline Water Control Structure (Installed)  6"x 7'</t>
  </si>
  <si>
    <t>Inline Water Control Structure (Installed)  8"x 2'</t>
  </si>
  <si>
    <t>Inline Water Control Structure (Installed)  8"x 3'</t>
  </si>
  <si>
    <t>Inline Water Control Structure (Installed)  8"x 4'</t>
  </si>
  <si>
    <t>Inline Water Control Structure (Installed)  8"x 5'</t>
  </si>
  <si>
    <t>Inline Water Control Structure (Installed)  8"x 6'</t>
  </si>
  <si>
    <t>Inline Water Control Structure (Installed)  8"x 7'</t>
  </si>
  <si>
    <t>Inline Riser: 6" Perf Plastic Inlet Riser Kit (Inst)</t>
  </si>
  <si>
    <t>Inline Riser: 8" Perf Plastic Inlet Riser Kit (Inst)</t>
  </si>
  <si>
    <t>Inline Riser: 10" Perf Plastic Inlet Riser Kit (Inst)</t>
  </si>
  <si>
    <t>Interception Trench Compacted Fill</t>
  </si>
  <si>
    <t>Interception Trench Excavation</t>
  </si>
  <si>
    <t>Trenching and Backfilling</t>
  </si>
  <si>
    <t>Introduced Grass &amp; Legume (applied/conv.disking)</t>
  </si>
  <si>
    <t>guess from data</t>
  </si>
  <si>
    <t>infered from similar data w/o herb. Reference.  $15-$40</t>
  </si>
  <si>
    <t>Introduced Grass &amp; Legume (applied/one burndown)</t>
  </si>
  <si>
    <t>Introduced Grass &amp; Legume (applied/two burndowns)</t>
  </si>
  <si>
    <t>Introduced Grass Cover Crop (applied)</t>
  </si>
  <si>
    <t>Introduced Grasses (applied)</t>
  </si>
  <si>
    <t>meeting calc (based on Todd Templeton Data</t>
  </si>
  <si>
    <t>Based on Area I derived #s</t>
  </si>
  <si>
    <t>Labor (Conservation Work)</t>
  </si>
  <si>
    <t>Custom Machinery Rates Applicable to KY (2008)" by Greg Halich for "General Farm Labor" but using the high value because of the nature of conservation work</t>
  </si>
  <si>
    <t>Lime (Applied)</t>
  </si>
  <si>
    <t>Based on 6/08 survey of prices. Based on Urea cost.</t>
  </si>
  <si>
    <t>Lime (price of material only)</t>
  </si>
  <si>
    <t>Manure Nutrient Analysis</t>
  </si>
  <si>
    <t xml:space="preserve">UK soil testing lab cost </t>
  </si>
  <si>
    <t>Mass Concrete (no forming or steel required)</t>
  </si>
  <si>
    <t>Metal Pipe, Anti-Vortex Baffle (pipe diameter installed)</t>
  </si>
  <si>
    <t>Inches</t>
  </si>
  <si>
    <t>Metal Pipe, Fabrication of Riser Tee Joint (riser diameter installed)</t>
  </si>
  <si>
    <t>Metal Pipe, Hood Inlet (pipe diameter installed)</t>
  </si>
  <si>
    <t>Metal, Anti-Seep Collar, 10" Dia, 16 gage</t>
  </si>
  <si>
    <t>Metal, Anti-Seep Collar, 12" Dia, 16 gage</t>
  </si>
  <si>
    <t>"Anti-Seep" w/ no reference to metal</t>
  </si>
  <si>
    <t>Metal, Anti-Seep Collar, 15" Dia, 16 gage</t>
  </si>
  <si>
    <t>Metal, Anti-Seep Collar, 18" Dia, 16 gage</t>
  </si>
  <si>
    <t>Metal, Anti-Seep Collar, 24" Dia, 14 gage</t>
  </si>
  <si>
    <t>Metal, Anti-Seep Collar, 30" Dia, 14 gage</t>
  </si>
  <si>
    <t>Metal, Anti-Seep Collar, 36" Dia, 12 gage</t>
  </si>
  <si>
    <t>Mowing</t>
  </si>
  <si>
    <t>Based on cost from "Custom Machinery Rates Applicable to KY (2007)" by Greg Halich</t>
  </si>
  <si>
    <t>Mulching (2 tons/ac applied)</t>
  </si>
  <si>
    <t>1.5T/Acre hay</t>
  </si>
  <si>
    <t>$0.02/sqft</t>
  </si>
  <si>
    <t>"mulch natural"</t>
  </si>
  <si>
    <t>450-500</t>
  </si>
  <si>
    <t>Native Grass &amp; Forbs (applied/conv.disking)</t>
  </si>
  <si>
    <t>Native Grass &amp; Forbs (applied/one burndown)</t>
  </si>
  <si>
    <t>Native Grass &amp; Forbs (applied/two burndowns)</t>
  </si>
  <si>
    <t>Native Grass &amp; Legume, heavier seeding rate (applied/conv.disking)</t>
  </si>
  <si>
    <t>Native Grass &amp; Legume, heavier seeding rate (applied/one burndown)</t>
  </si>
  <si>
    <t>infered from similar data w/o herb. Reference</t>
  </si>
  <si>
    <t>Native Grass &amp; Legume, heavier seeding rate (applied/two burndowns)</t>
  </si>
  <si>
    <t>Native Grass &amp; Legume, lighter seeding rate (applied/conv.disking)</t>
  </si>
  <si>
    <t>Native Grass &amp; Legume, lighter seeding rate (applied/one burndown)</t>
  </si>
  <si>
    <t>Native Grass &amp; Legume, lighter seeding rate (applied/two burndowns)</t>
  </si>
  <si>
    <t>Native Grasses (applied)</t>
  </si>
  <si>
    <t>$68-$187</t>
  </si>
  <si>
    <t>meeting calc  (Based on lower seeding rate)</t>
  </si>
  <si>
    <t>Nitrogen - Actual lbs (price per pound of N)</t>
  </si>
  <si>
    <t>Lbs</t>
  </si>
  <si>
    <t>Based on 12/06 survey of prices. Based on Urea cost.</t>
  </si>
  <si>
    <t>Nutrient Budgeting (Data collection, entry and decision-making)</t>
  </si>
  <si>
    <t>Information from the only TSP in KY who does CNMPs</t>
  </si>
  <si>
    <t>Nutrient Management (Waste Application)</t>
  </si>
  <si>
    <t>No increase because it was a FR</t>
  </si>
  <si>
    <t>Offset Riser: 6" Plastic Inlet Riser Kit (Inst)</t>
  </si>
  <si>
    <t>Offset Riser: 8" Plastic Inlet Riser Kit (Inst)</t>
  </si>
  <si>
    <t>Offset Riser: 10" Plastic Inlet Riser Kit (Inst)</t>
  </si>
  <si>
    <t>Overseeding</t>
  </si>
  <si>
    <t>Phosphorus (P2O5) - Actual lbs (price per pound of P2O5)</t>
  </si>
  <si>
    <t>Based on 6/08 survey of prices. Based on DAP cost.</t>
  </si>
  <si>
    <t>Based on 12/06 survey of prices. Based on DAP cost.</t>
  </si>
  <si>
    <t>Pipeline Installed (installation only)</t>
  </si>
  <si>
    <t>Average of AREA II &amp; III suggestions</t>
  </si>
  <si>
    <t>Plastic Pipe, Anti-Seep Collar (2' x 2') (Installed)</t>
  </si>
  <si>
    <t>Product only (Aquatic Ecosystems Inc.)</t>
  </si>
  <si>
    <t>Plastic Pipe, Anti-Seep Collar (4' x 4') (Installed)</t>
  </si>
  <si>
    <t>Plastic Pipe, Anti-Seep Collar (5' x 5') (Installed)</t>
  </si>
  <si>
    <t>Plastic Pipe, Anti-Seep Collar (6' x 6') (Installed)</t>
  </si>
  <si>
    <t>Pole Barn Type Structure (w/o floor or walls) *</t>
  </si>
  <si>
    <t>Polywire</t>
  </si>
  <si>
    <t>Polytape</t>
  </si>
  <si>
    <t>Pond Liner: Compacted Clay (Installed)</t>
  </si>
  <si>
    <t>$0.18-$0.35/cuft</t>
  </si>
  <si>
    <t>Pond Liner: Synthetic (Installed)</t>
  </si>
  <si>
    <t>HDPE</t>
  </si>
  <si>
    <t>Potassium (K2O) - Actual lbs (price per pound of K2O)</t>
  </si>
  <si>
    <t>Based on 6/08 survey of prices. Based on KCl cost.</t>
  </si>
  <si>
    <t>Based on 12/06 survey of prices. Based on KCl cost.</t>
  </si>
  <si>
    <t>Average costs from WRP Costs 2/2008</t>
  </si>
  <si>
    <t>Potted Plants - Labor/Installation</t>
  </si>
  <si>
    <t>Average costs from WRP Costs 2/2009</t>
  </si>
  <si>
    <t>Prescribed Burning</t>
  </si>
  <si>
    <t>new</t>
  </si>
  <si>
    <t>Prescribed Grazing</t>
  </si>
  <si>
    <t>IP $10-$300/Acre</t>
  </si>
  <si>
    <t>Prescribed Grazing - First Year</t>
  </si>
  <si>
    <t>Prescribed Grazing - Second Year</t>
  </si>
  <si>
    <t>Prescribed Grazing - Third Year</t>
  </si>
  <si>
    <t>Pruning (Height to 10 Ft.)</t>
  </si>
  <si>
    <t>Pruning (Height to 20 Ft.)</t>
  </si>
  <si>
    <t>PVC SDR26 Pipe: 4" (Installed)</t>
  </si>
  <si>
    <t>PVC SDR26 Pipe: 6" (Installed)</t>
  </si>
  <si>
    <t>PVC SDR26 Pipe: 8" (Installed)</t>
  </si>
  <si>
    <t>PVC SDR26 Pipe: 10" (Installed)</t>
  </si>
  <si>
    <t>PVC SDR26 Pipe: 12" (Installed)</t>
  </si>
  <si>
    <t>Riprap (Chute in Place)</t>
  </si>
  <si>
    <t>Increased 10% to account for variability in prices across the state</t>
  </si>
  <si>
    <t>Riprap (In Place)</t>
  </si>
  <si>
    <t>Riprap (With Wire in Place)</t>
  </si>
  <si>
    <t>Rock Retarding Barrier (Installed)</t>
  </si>
  <si>
    <t>Rock, Filter Fabric, Pipe, Cattle Panel, Labor (Installed)</t>
  </si>
  <si>
    <t>Rock/Geo-Textile (Installed)</t>
  </si>
  <si>
    <t>$40/CY</t>
  </si>
  <si>
    <t>Rock: #610, 57, 4,3,2 DGA, Class I Sand (Installed)</t>
  </si>
  <si>
    <t>Rodent Guard - 6" (Installed)</t>
  </si>
  <si>
    <t>"Animal Guard"</t>
  </si>
  <si>
    <t>Rodent Guard - 8" (Installed)</t>
  </si>
  <si>
    <t>Rodent Guard - 10"  (Installed)</t>
  </si>
  <si>
    <t>Rodent Guard - 12"  (Installed)</t>
  </si>
  <si>
    <t>Rodent Guard - 15" (Installed)</t>
  </si>
  <si>
    <t>Rodent Guard - 18"  (Installed)</t>
  </si>
  <si>
    <t>Rodent Guard - 21" (Installed)</t>
  </si>
  <si>
    <t>Rodent Guard - 24" (Installed)</t>
  </si>
  <si>
    <t>Sample Collection (Soil, Manure, Water and/or Plant Tissue Samples)</t>
  </si>
  <si>
    <t>Schd 40 PVC Pipe: 1 1/4" (Installed)</t>
  </si>
  <si>
    <t>Schd 40 PVC Pipe: 4" (installed)</t>
  </si>
  <si>
    <t>Schd 40 PVC Pipe: 6" (Installed)</t>
  </si>
  <si>
    <t>Schd 40 PVC Pipe: 8" (Installed)</t>
  </si>
  <si>
    <t>Schd 40 PVC Pipe: 10" (Installed)</t>
  </si>
  <si>
    <t>Schd 40 PVC Pipe: 12" (Installed)</t>
  </si>
  <si>
    <t>Schd 40 PVC Pipe: 15" (Installed)</t>
  </si>
  <si>
    <t>Schd 40 PVC Pipe: 18" (Installed)</t>
  </si>
  <si>
    <t>Schd 80 PVC Pipe: 4" (installed)</t>
  </si>
  <si>
    <t>Schd 80 PVC Pipe: 6" (installed)</t>
  </si>
  <si>
    <t>Schd 80 PVC Pipe: 8" (installed)</t>
  </si>
  <si>
    <t>Schd 80 PVC Pipe: 10" (Installed)</t>
  </si>
  <si>
    <t>Schd 80 PVC Pipe: 12" (Installed)</t>
  </si>
  <si>
    <t>Seed (7 native forb species mix)</t>
  </si>
  <si>
    <t>Average costs from CRP Forb Mix Quotes 2/2008</t>
  </si>
  <si>
    <t>Seed (4 native forb species mix)</t>
  </si>
  <si>
    <t>Average costs from CRP Forb Mix Quotes 1/2007</t>
  </si>
  <si>
    <t>Seed (Big Bluestem)</t>
  </si>
  <si>
    <t>Seed (Indiangrass)</t>
  </si>
  <si>
    <t>Seed (Little Bluestem)</t>
  </si>
  <si>
    <t>Seed (Side Oats Grama)</t>
  </si>
  <si>
    <t>Seed (Eastern Gamagrass)</t>
  </si>
  <si>
    <t>Seed (Switchgrass)</t>
  </si>
  <si>
    <t>Seed (Virgina Wildrye)</t>
  </si>
  <si>
    <t>Seed (Riverbank Wildrye)</t>
  </si>
  <si>
    <t>Seed (Canada Wild Rye)</t>
  </si>
  <si>
    <t>Seed (Purlpetop Tridens)</t>
  </si>
  <si>
    <t>Seed (Rough Dropseed)</t>
  </si>
  <si>
    <t>Tall Fescue Prices-2007</t>
  </si>
  <si>
    <t>Seed (Tall Dropseed )</t>
  </si>
  <si>
    <t>Seed (Prairie Dropseed)</t>
  </si>
  <si>
    <t>Seed (Splitbeard Bluestem)</t>
  </si>
  <si>
    <t>Price/lb</t>
  </si>
  <si>
    <t>Prices- 6/2008</t>
  </si>
  <si>
    <t>Seed (Native grass except Prairie Dropseed and Splitbeard Bluestem)</t>
  </si>
  <si>
    <t>Average costs from CRP Forb Mix Quotes 1/2008</t>
  </si>
  <si>
    <t>Seedland.com</t>
  </si>
  <si>
    <t>Seedstrust.com</t>
  </si>
  <si>
    <t>Stockseed.com</t>
  </si>
  <si>
    <t>Seedsource.com</t>
  </si>
  <si>
    <t>Seedsofchange</t>
  </si>
  <si>
    <t>groworganic.com</t>
  </si>
  <si>
    <t>Welterseed.com and BillingsGazzette</t>
  </si>
  <si>
    <t>Average Price</t>
  </si>
  <si>
    <t>Seed (Orchard grass)</t>
  </si>
  <si>
    <t>Costs from Internet search of available websites 6/2007</t>
  </si>
  <si>
    <t>Stock Seed (&lt;=50#)</t>
  </si>
  <si>
    <t>Orchard grass</t>
  </si>
  <si>
    <t>Seed (Timothy)</t>
  </si>
  <si>
    <t>Stock Seed (&gt;50#)</t>
  </si>
  <si>
    <t>Seed (Red Clover)</t>
  </si>
  <si>
    <t>Lowe's</t>
  </si>
  <si>
    <t>Red Clover</t>
  </si>
  <si>
    <t>Seed (Tall Fescue KY-31)</t>
  </si>
  <si>
    <t>Costs from Internet search of available websites 6/2007 (Details to the right)</t>
  </si>
  <si>
    <t>Tall Fescue KY-31</t>
  </si>
  <si>
    <t>Seed (Redtop)</t>
  </si>
  <si>
    <t>Cost from Stockseed.com average price between $6.25-$5.75 per pound</t>
  </si>
  <si>
    <t>Redtop</t>
  </si>
  <si>
    <t>Seed (Wheat)</t>
  </si>
  <si>
    <t>Cost from Internet search of estimated 2007 wheat seed price of $11.50/bu</t>
  </si>
  <si>
    <t>Wheat</t>
  </si>
  <si>
    <r>
      <t xml:space="preserve">Seed (Rye - </t>
    </r>
    <r>
      <rPr>
        <i/>
        <sz val="8"/>
        <rFont val="Arial"/>
        <family val="2"/>
      </rPr>
      <t>Secale cereale</t>
    </r>
    <r>
      <rPr>
        <sz val="8"/>
        <rFont val="Arial"/>
        <family val="2"/>
      </rPr>
      <t>)</t>
    </r>
  </si>
  <si>
    <t>Cost from seedsource.com bulk price of $150 per 200 pounds</t>
  </si>
  <si>
    <r>
      <t xml:space="preserve">Rye - </t>
    </r>
    <r>
      <rPr>
        <i/>
        <sz val="8"/>
        <rFont val="Arial"/>
        <family val="2"/>
      </rPr>
      <t>Secale cereale</t>
    </r>
  </si>
  <si>
    <t>Seed (Hairy Vetch)</t>
  </si>
  <si>
    <t>Cost from seedsofchange.com bulk price of ~$100 per 50 pounds</t>
  </si>
  <si>
    <t>Hairy Vetch</t>
  </si>
  <si>
    <t>Seed (Green Manure Crop (Vetch, peas, bell beans and cereal))-Delivered</t>
  </si>
  <si>
    <t>Cost from groworganic.com and outsidepride.com prices of ~$1-$2 per pounds Delivered</t>
  </si>
  <si>
    <t>Green Manure Crop (Vetch, peas, bell beans and cereal))-Delivered</t>
  </si>
  <si>
    <t>Sheet Metal: (16 Gage)</t>
  </si>
  <si>
    <t>Small Grain Cover Crop (applied)</t>
  </si>
  <si>
    <t>Soil Test</t>
  </si>
  <si>
    <t>Spreading Charge - Fertilizer</t>
  </si>
  <si>
    <t>Spreading Charge - Lime</t>
  </si>
  <si>
    <t>Spreading Charge - Lime-Jackson Purchase Area</t>
  </si>
  <si>
    <t>Spring Box - 18" Dia. Concrete (Installed)</t>
  </si>
  <si>
    <t>Spring Collection Box</t>
  </si>
  <si>
    <t>Spring Box - 24" Dia. Concrete (Installed)</t>
  </si>
  <si>
    <t>Steel Pipe: 16" (Installed)</t>
  </si>
  <si>
    <t>"smooth steel"</t>
  </si>
  <si>
    <t>Steel Pipe: 18" (Installed)</t>
  </si>
  <si>
    <t>Steel Pipe: 20" (Installed)</t>
  </si>
  <si>
    <t>Steel Pipe: 22" (Installed)</t>
  </si>
  <si>
    <t>Steel Pipe: 24" (Installed)</t>
  </si>
  <si>
    <t>Steel Pipe: 30" (Installed)</t>
  </si>
  <si>
    <t>Storage Basin - (1000 gal.) Installed</t>
  </si>
  <si>
    <t>1.84/gal for "Water storage tanks"</t>
  </si>
  <si>
    <t>Storage Basin - (1500 gal.) Installed</t>
  </si>
  <si>
    <t>Temporary Watering Facility</t>
  </si>
  <si>
    <t>Tile Blocking</t>
  </si>
  <si>
    <t>OH cost</t>
  </si>
  <si>
    <t>Tread in Posts (for use with polywire and polytape)</t>
  </si>
  <si>
    <t xml:space="preserve">Tree/Shrub Planting (applied) &lt; 1500 trees-total  (trees/shrubs &amp; planting included)  </t>
  </si>
  <si>
    <t>$90-$165</t>
  </si>
  <si>
    <t>$150(conifers)-$250(hardwoods)</t>
  </si>
  <si>
    <t>Tree/Shrub Planting (applied) &gt; 1500 trees-total  (trees/shrubs &amp; planting included)</t>
  </si>
  <si>
    <t>Tree Planting</t>
  </si>
  <si>
    <t>Kentucky Division of Forestry</t>
  </si>
  <si>
    <t>Tree Planting, sparsely planted (i.e. for Silvopasture setting)  (trees &amp; planting included)</t>
  </si>
  <si>
    <t>Tree seedlings</t>
  </si>
  <si>
    <t>Trenching: Solid Rock Conditions ( &lt; 12" depth in rock)</t>
  </si>
  <si>
    <t>"Rock Trenching"</t>
  </si>
  <si>
    <t>Trenching: Solid Rock Conditions (12" - 30" depth in rock)</t>
  </si>
  <si>
    <t>Trough, Tank, Fountain (Installed)</t>
  </si>
  <si>
    <t>Use Exclusion</t>
  </si>
  <si>
    <t>Incentive Payment</t>
  </si>
  <si>
    <t>Waste Structure Warning Sign: 12" x 10" Alum (Inst)</t>
  </si>
  <si>
    <t>Well Drilling: (Each additional foot over 100 including casing)</t>
  </si>
  <si>
    <t>based on 12/lf for drill and casing</t>
  </si>
  <si>
    <t>Well Drilling: 1-100' including casing</t>
  </si>
  <si>
    <t>based on 75' well</t>
  </si>
  <si>
    <t>based on 75' "shallow" well, else $1013.25</t>
  </si>
  <si>
    <t>Wildlife Watering Facility</t>
  </si>
  <si>
    <t>original price of 666.67 @ 75% CS</t>
  </si>
  <si>
    <t>Wood Wall (4 1/2' ht w/ 2" PT timbers): Installed</t>
  </si>
  <si>
    <t>KDF 2008-2009 List</t>
  </si>
  <si>
    <t>Schd 40 PVC Pipe: 2" (material only)</t>
  </si>
  <si>
    <t>SPECIES</t>
  </si>
  <si>
    <t>Cost for 10 bundle</t>
  </si>
  <si>
    <t>Cost per 100</t>
  </si>
  <si>
    <t>Cave Gate:  Installed</t>
  </si>
  <si>
    <r>
      <t>UP TO</t>
    </r>
    <r>
      <rPr>
        <b/>
        <sz val="10"/>
        <color indexed="17"/>
        <rFont val="Arial"/>
        <family val="2"/>
      </rPr>
      <t xml:space="preserve"> 10,000 trees (shipping is an additional $15 per bundle, tax included)</t>
    </r>
  </si>
  <si>
    <r>
      <t xml:space="preserve">OVER </t>
    </r>
    <r>
      <rPr>
        <b/>
        <sz val="10"/>
        <color indexed="17"/>
        <rFont val="Arial"/>
        <family val="2"/>
      </rPr>
      <t>10,000 trees           (trees must be picked up, price excludes tax)</t>
    </r>
  </si>
  <si>
    <t>Seed (Green Manure Crop-ORG (Vetch, peas, bell beans and cereal)-Delivered</t>
  </si>
  <si>
    <t>Seed (Hairy Vetch-ORG)</t>
  </si>
  <si>
    <t>Cypress</t>
  </si>
  <si>
    <t>Seed (Oats-ORG)</t>
  </si>
  <si>
    <t>Pine, loblolly</t>
  </si>
  <si>
    <t>Seed (Orchard grass-ORG)</t>
  </si>
  <si>
    <t>Pine shortleaf</t>
  </si>
  <si>
    <t>Seed (Perennial ryegrass-ORG)</t>
  </si>
  <si>
    <t>Pine, Virginia</t>
  </si>
  <si>
    <t>Seed (Red Clover-ORG)</t>
  </si>
  <si>
    <t>Pine, white</t>
  </si>
  <si>
    <t>Seed (Tall Fescue-ORG)</t>
  </si>
  <si>
    <t>Seed (Timothy-ORG)</t>
  </si>
  <si>
    <t>Cherry, black</t>
  </si>
  <si>
    <t>Seed (Wheat-ORG)</t>
  </si>
  <si>
    <t>Dogwood, grey</t>
  </si>
  <si>
    <t>Seed (Cereal Rye-ORG)</t>
  </si>
  <si>
    <t>Dogwood, flowering</t>
  </si>
  <si>
    <t>Moldboard Plowing</t>
  </si>
  <si>
    <t>Dogwood, silky</t>
  </si>
  <si>
    <t>ORGANIC Nitrogen - Actual lbs (price per pound of N)</t>
  </si>
  <si>
    <t>Persimmon</t>
  </si>
  <si>
    <t>ORGANIC Phosphorus (P2O5) - Actual lbs (price per pound of P2O5)</t>
  </si>
  <si>
    <t>Plum, wild</t>
  </si>
  <si>
    <t>ORGANIC Potassium (K2O) - Actual lbs (price per pound of K2O)</t>
  </si>
  <si>
    <t>Pollinator Habitat Forb Mix (9 species)</t>
  </si>
  <si>
    <t>Coffeetree, Kentucky</t>
  </si>
  <si>
    <t>Seed(Crimson Clover)</t>
  </si>
  <si>
    <t>Locust, black</t>
  </si>
  <si>
    <t>Seed(Yellow Blossom Sweet Clover)</t>
  </si>
  <si>
    <t>Redbud, eastern</t>
  </si>
  <si>
    <t>Seed(Austrian Winter Pea)</t>
  </si>
  <si>
    <t>Seed(Diakon radish)</t>
  </si>
  <si>
    <t>Hickory, mixed</t>
  </si>
  <si>
    <t>Rolldown of cover crop mixture</t>
  </si>
  <si>
    <t>Hickory, shagbark</t>
  </si>
  <si>
    <t>CAP-Forest Mgt Base Rate Plan Development</t>
  </si>
  <si>
    <t>Hickory, water</t>
  </si>
  <si>
    <t>CAP-Forest Mgt Base Rate Timber Cruise (51-150ac)</t>
  </si>
  <si>
    <t>Oak, black</t>
  </si>
  <si>
    <t>CAP-Forest Mgt Base Rate Timber Cruise (151-300)</t>
  </si>
  <si>
    <t>Oak, bur (3yr)</t>
  </si>
  <si>
    <t>CAP-Forest Mgt Base Rate Timber Cruise (301-500ac)</t>
  </si>
  <si>
    <t>Oak, cherrybark</t>
  </si>
  <si>
    <t>CAP-Forest Mgt Base Rate Timber Cruise (10-50ac)</t>
  </si>
  <si>
    <t>Oak, cherrybark (2yr)</t>
  </si>
  <si>
    <t>CAP-Forest Mgt Base Rate Timber Cruise (&gt;500 ac)</t>
  </si>
  <si>
    <t>Oak, chestnut</t>
  </si>
  <si>
    <t>Trough, Tank(rubber tire)Installed</t>
  </si>
  <si>
    <t>Oak, northern red</t>
  </si>
  <si>
    <t>Aerial Seeding</t>
  </si>
  <si>
    <t>Oak, northern red (2yr)</t>
  </si>
  <si>
    <t>Oak, nutall</t>
  </si>
  <si>
    <t>Oak, overcup</t>
  </si>
  <si>
    <t>Oak, overcup (2yr)</t>
  </si>
  <si>
    <t>Oak, pin</t>
  </si>
  <si>
    <t>Oak, pin (2yr)</t>
  </si>
  <si>
    <t>Oak,  sawtooth</t>
  </si>
  <si>
    <t>Oak, red Shumard</t>
  </si>
  <si>
    <t>Oak, red Shumard (2yr)</t>
  </si>
  <si>
    <t>Oak, southern red</t>
  </si>
  <si>
    <t>Oak, swamp chestnut</t>
  </si>
  <si>
    <t>Oak, swamp chestnut (2yr)</t>
  </si>
  <si>
    <t>Oak white</t>
  </si>
  <si>
    <t>Oak, willow</t>
  </si>
  <si>
    <t>Pecan (2yr)</t>
  </si>
  <si>
    <t>Walnut, black</t>
  </si>
  <si>
    <t>Ash, green</t>
  </si>
  <si>
    <t>Ash, white</t>
  </si>
  <si>
    <t>Birch, river</t>
  </si>
  <si>
    <t>Hazelnut</t>
  </si>
  <si>
    <t>Sycamore</t>
  </si>
  <si>
    <t>Yellow-Poplar</t>
  </si>
  <si>
    <t>Average cost per tree:</t>
  </si>
  <si>
    <t>Average cost per tree for deciduous silvopasture:</t>
  </si>
  <si>
    <t>533-Pumping Plant</t>
  </si>
  <si>
    <t>Solar Pump</t>
  </si>
  <si>
    <t>A solar-powered pump is a normal pump with an electric motor used to supply water to a livestock watering system. Electricity for the motor is generated on-site through a solar panel (typical 48 volts, 4 - 75 watt panels) which converts solar energy to direct-current (DC) electricity. This scenario is applicable for either grazing or irrigation systems.  For either a grazing system or an irrigation system install a submersible solar powered pump.  For a grazing system existing surface waters are impacted by unrestricted access by livestock and inadequate water is available for livestock.  For an irrigation system existing pump produces inadequate supply of water and is energy inefficient or a new pump is needed for a new well.   No feasible access to nearby electrical source is available.</t>
  </si>
  <si>
    <t>Livestock have open access to existing natural water supplies and/or poor grazing mgt. results in: poor water quality, poor grazing dist., over grazing and soil erosion.</t>
  </si>
  <si>
    <t>One solar powered livestock water system installed with all appurtenances to supply water to a water storage facility and/or pressure tank for improved livestock herd management.  Improved: water/soil quality, grazing management, plant diversity and animal health.</t>
  </si>
  <si>
    <t>Fence (382), Prescribed Grazing (528), Water Well (642), Pipeline (516), Spring Development (574), Watering Facility (614)</t>
  </si>
  <si>
    <t>Watts</t>
  </si>
  <si>
    <t>Solar Panels</t>
  </si>
  <si>
    <t>Includes all materials (electrical, controllers, and service drop, etc.), equipment and labor</t>
  </si>
  <si>
    <t>Watt</t>
  </si>
  <si>
    <t>Pump: &lt; 5 HP - Pump and motor</t>
  </si>
  <si>
    <t>Materials, labor, controls:   &lt; 5 HP - Pump and motor</t>
  </si>
  <si>
    <t>hp</t>
  </si>
  <si>
    <t>Deep Cycle Battery</t>
  </si>
  <si>
    <t>Materials for Deep Cycle Battery (56 amp-hour)</t>
  </si>
  <si>
    <t>Pressure Tank: 40 Gal.</t>
  </si>
  <si>
    <t>Pipe - 1" - PVC - SCH 40</t>
  </si>
  <si>
    <t>Materails:  - 1" - PVC - SCH 40 - ASTM D1785</t>
  </si>
  <si>
    <t xml:space="preserve">Ram/Nose Pump </t>
  </si>
  <si>
    <t>Ram or Nose Pump used to transfer water to storage and distribute water to gravity fed livestock watering system or nose pump away from surface water as a low energy method of getting water to pastured livestock.  RAM pushes water to storage tank for distribution to a water facility or facilties and is anchored to concrete pad. In the case of ram pumps, bypass water is returned to the stream or storage facility, without erosion or impairment to water quality.</t>
  </si>
  <si>
    <t>One ram or Nose pump installed with all appurtenances anchored to concrete pad (9 ft x 4 ft x 5 in) or other appropriate secure base to supply water to a water storage facility for improved livestock herd management.   Improved: water/soil quality, grazing management, plant diversity and animal health.</t>
  </si>
  <si>
    <t>Prescribed Grazing (528), Fence (382), Heavy Use Area Protection (561), Watering Facility (614)</t>
  </si>
  <si>
    <t>Pump: Ram Pump</t>
  </si>
  <si>
    <t>Materials only for 2" Ram Pump Kit</t>
  </si>
  <si>
    <t>Concrete - 4000 psi - CIP Reinforced, Formed</t>
  </si>
  <si>
    <t>Includes materials, equipment, forms and labor</t>
  </si>
  <si>
    <t>Livestock  Water Pump (&lt; 2 HP)</t>
  </si>
  <si>
    <t>In a typical scenario, a 1 HP  pump is installed in association with spring development or well to provide water via pipeline to watering facility.</t>
  </si>
  <si>
    <t>Grazing livestock do not have access to adequate water when out on pasture.  Water source is downhill from grazing paddocks and/or cattle are watering in surface water.</t>
  </si>
  <si>
    <t>A small 1 HP pump is installed at water source (well or spring) in order to pump water uphill to appropriate locations within the prescribed grazing system.  Pump enables the development of new watering sites that are removed from hydrologically sensitive areas and provide for a better distribution of animal wastes and associated nutrients.  Cattle exclusion from surface water results in improved surface water quality, reduced erosion</t>
  </si>
  <si>
    <t>Small Irrigation Pump or WasteT(2-5 HP)</t>
  </si>
  <si>
    <t>The typcial scenario supports replacement of a  pump in an existing micro irrigation system  (includes backflow prevention device, filters and/or water meter as appropriate) on cropland using a typical 3 HP pump.  Size of pump is determined by required GPM derived from a design for specific irrigation system on cropland.  Scenario could also be used for a 3 HP for silage leachate, barnyard runoff, and milkhouse waste (as part of a waste transfer system) at farm headquarters.</t>
  </si>
  <si>
    <r>
      <rPr>
        <b/>
        <sz val="10"/>
        <color rgb="FF0823E8"/>
        <rFont val="Arial"/>
        <family val="2"/>
      </rPr>
      <t>Irrigation Setting</t>
    </r>
    <r>
      <rPr>
        <sz val="10"/>
        <color rgb="FF0823E8"/>
        <rFont val="Arial"/>
        <family val="2"/>
      </rPr>
      <t xml:space="preserve">: existing micro irrigation system employs an inefficient, improperly sized pump that leads to inefficient water delivery resulting in high energy costs; or 
</t>
    </r>
    <r>
      <rPr>
        <b/>
        <sz val="10"/>
        <color rgb="FF0823E8"/>
        <rFont val="Arial"/>
        <family val="2"/>
      </rPr>
      <t>Waste Transfer Setting</t>
    </r>
    <r>
      <rPr>
        <sz val="10"/>
        <color rgb="FF0823E8"/>
        <rFont val="Arial"/>
        <family val="2"/>
      </rPr>
      <t>: various types of liquid waste at the headquarters is uncollected causing surface and ground water issues. Due to topography, gravity transfer is not possible and a properly sized pump is needed to transfer waste as part of a waste transfer system.</t>
    </r>
  </si>
  <si>
    <r>
      <rPr>
        <b/>
        <sz val="10"/>
        <color rgb="FF0823E8"/>
        <rFont val="Arial"/>
        <family val="2"/>
      </rPr>
      <t>Irrigation Setting</t>
    </r>
    <r>
      <rPr>
        <sz val="10"/>
        <color rgb="FF0823E8"/>
        <rFont val="Arial"/>
        <family val="2"/>
      </rPr>
      <t xml:space="preserve">: For micro irrigation system, a properly designed pump is installed reducing water and energy usage.  </t>
    </r>
    <r>
      <rPr>
        <b/>
        <sz val="10"/>
        <color rgb="FF0823E8"/>
        <rFont val="Arial"/>
        <family val="2"/>
      </rPr>
      <t>Waste Transfer Setting</t>
    </r>
    <r>
      <rPr>
        <sz val="10"/>
        <color rgb="FF0823E8"/>
        <rFont val="Arial"/>
        <family val="2"/>
      </rPr>
      <t xml:space="preserve">: For liquid waste, wastes that have been collected through a waste transfer system are now efficiently transferred to appropriate treatment or storage facilities. </t>
    </r>
  </si>
  <si>
    <t>Waste Transfer (634), Irrigation Pipeline (430), Irrigation System, Micro-Irrigation (441), Heavy Use Area Protection (561), Irrigation Water Management (449),Waste Storage Facility (313), Vegetated Treatment Area (635)</t>
  </si>
  <si>
    <t>Irrigation or WasteT Pump &gt; 5 hp</t>
  </si>
  <si>
    <t>The typcial scenario supports replacement of a  pump in an existing irrigation system  (includes backflow prevention device or water meter as appropriate) on cropland with a 7.5 HP permanent pump.  Size of pump is determined by required GPM derived from a design for specific irrigation system on cropland.  Scenario could also be used for a 7.5 HP pump for silage leachate, barnyard runoff, and milkhouse waste (as part of a waste transfer system) at farm headquarters. The combination of higher solids content and volume require a larger horse power pump.  This liquid manure pump is used to transfer semi-solid manure from a small reception pit located either below a barnyard or at the end of a free-stall barn or scrape alley.</t>
  </si>
  <si>
    <r>
      <rPr>
        <b/>
        <sz val="10"/>
        <color rgb="FF0823E8"/>
        <rFont val="Arial"/>
        <family val="2"/>
      </rPr>
      <t xml:space="preserve">Irrigation Setting:  </t>
    </r>
    <r>
      <rPr>
        <sz val="10"/>
        <color rgb="FF0823E8"/>
        <rFont val="Arial"/>
        <family val="2"/>
      </rPr>
      <t xml:space="preserve">Either an existing irrigation system employs an inefficient, improperly sized pump that leads to inefficient water delivery resulting in high energy costs; or 
</t>
    </r>
    <r>
      <rPr>
        <b/>
        <sz val="10"/>
        <color rgb="FF0823E8"/>
        <rFont val="Arial"/>
        <family val="2"/>
      </rPr>
      <t>Waste Transfer Setting</t>
    </r>
    <r>
      <rPr>
        <sz val="10"/>
        <color rgb="FF0823E8"/>
        <rFont val="Arial"/>
        <family val="2"/>
      </rPr>
      <t xml:space="preserve">: various types of semi-solid or liquid waste at the headquarters is uncollected causing surface and ground water issues.  </t>
    </r>
  </si>
  <si>
    <r>
      <rPr>
        <b/>
        <sz val="10"/>
        <color rgb="FF0823E8"/>
        <rFont val="Arial"/>
        <family val="2"/>
      </rPr>
      <t>Irrigation Setting:</t>
    </r>
    <r>
      <rPr>
        <sz val="10"/>
        <color rgb="FF0823E8"/>
        <rFont val="Arial"/>
        <family val="2"/>
      </rPr>
      <t xml:space="preserve"> For irrigation system, a properly designed pump is installed reducing water and energy usage.  </t>
    </r>
    <r>
      <rPr>
        <b/>
        <sz val="10"/>
        <color rgb="FF0823E8"/>
        <rFont val="Arial"/>
        <family val="2"/>
      </rPr>
      <t>Waste Transfer Setting:</t>
    </r>
    <r>
      <rPr>
        <sz val="10"/>
        <color rgb="FF0823E8"/>
        <rFont val="Arial"/>
        <family val="2"/>
      </rPr>
      <t xml:space="preserve"> For semi-solid or liquid waste, wastes that have been collected through a waste transfer system are now efficiently transferred to appropriate treatment or storage facilities or crop application. Due to topography, gravity transfer is not possible and a properly sized pump is needed to transfer waste as part of a waste transfer system.</t>
    </r>
  </si>
  <si>
    <t>Pump: 5 to 10 HP - Pump and motor</t>
  </si>
  <si>
    <t>Materials, labor, controls:   5 to 10 HP - Pump and motor</t>
  </si>
  <si>
    <t>Manhole 4' x 4'</t>
  </si>
  <si>
    <t>Precast Manhole with base and top delivered</t>
  </si>
  <si>
    <t>Roof Runoff Structure (No.)</t>
  </si>
  <si>
    <t>Rain Gutters &amp; Downspouts</t>
  </si>
  <si>
    <t>80 feet aluminum gutters and 48 feet aluminum downspouts to move rain water away from structures.</t>
  </si>
  <si>
    <t>Part of a roof runoff management system.</t>
  </si>
  <si>
    <t>Structures that collect, control, and transport precipitation from roofs.</t>
  </si>
  <si>
    <t>Can be used for organic or transition to organic</t>
  </si>
  <si>
    <t>Roof (/SqFt):</t>
  </si>
  <si>
    <t xml:space="preserve">  Length (Ft):</t>
  </si>
  <si>
    <t xml:space="preserve">  Width (Ft):</t>
  </si>
  <si>
    <t xml:space="preserve">  Height (Ft):</t>
  </si>
  <si>
    <t>Rain Gutters ($/Ft):</t>
  </si>
  <si>
    <t xml:space="preserve">  Feet</t>
  </si>
  <si>
    <t>Downspout Pipe ($/Ft):</t>
  </si>
  <si>
    <t xml:space="preserve">  Elbows and other Appurtenances ($/Ft):</t>
  </si>
  <si>
    <t xml:space="preserve">  Cost ($/Ft of Rain Gutter):</t>
  </si>
  <si>
    <t>Included in Material Costs</t>
  </si>
  <si>
    <t>Keep structures clean and free of obstruction, inspect and repair as needed.</t>
  </si>
  <si>
    <t>3% of Installation Costs</t>
  </si>
  <si>
    <t>606-Subsurface Drain, 587-Structure for Water Control, 516-Pipeline</t>
  </si>
  <si>
    <t>Access Road (Ft.)</t>
  </si>
  <si>
    <t>Single Lane, gravel</t>
  </si>
  <si>
    <t>Single Lane, gravel-HU</t>
  </si>
  <si>
    <t>A single lane, 14-foot wide, gravel surfaced roadbed with 2-foot wide additional earthen shoulders all underlain with non-woven geotextile</t>
  </si>
  <si>
    <t xml:space="preserve">on mildly rolling terrain.  </t>
  </si>
  <si>
    <t xml:space="preserve">Access from a private or public road or highway to a conservation measure (i.e., Access road needed for relocation of manure facilities </t>
  </si>
  <si>
    <t>or to centralized feeding facilities implemented as part of prescribed grazing system).</t>
  </si>
  <si>
    <t>Any necessary under roadway drainage conveyances should be installed using the Conservation Practice Standard, Code 587,</t>
  </si>
  <si>
    <t>Structure for Water Control or the Code 578, Stream Crossing, as applicable.  Permanent vegetation should be established</t>
  </si>
  <si>
    <t>using Code 342, Critical Area Planting.</t>
  </si>
  <si>
    <t>Practice Definition:  A travel-way for equipment and vehicles constructed as part of a conservation plan.</t>
  </si>
  <si>
    <t>Practice Description</t>
  </si>
  <si>
    <t>Access road needed for relocation of winter facilities.</t>
  </si>
  <si>
    <t>KYDOH gravel, gradation 610, 57, DGA</t>
  </si>
  <si>
    <t>Volume/Linear Foot:</t>
  </si>
  <si>
    <t>CuYd/Ft Rd</t>
  </si>
  <si>
    <t>Units/Linear Foot:</t>
  </si>
  <si>
    <t>Ton/Ft Rd (used 1.5 Tons/CY)</t>
  </si>
  <si>
    <t>Material Cost ($/Ton)</t>
  </si>
  <si>
    <t>Delivery Cost ($/Ton)</t>
  </si>
  <si>
    <t>Total Delivered Cost ($/Ton):</t>
  </si>
  <si>
    <t xml:space="preserve">  (3 truck loads per hour)</t>
  </si>
  <si>
    <t xml:space="preserve">  Placement Cost of  $/Ton)</t>
  </si>
  <si>
    <t>Total  Installed Cost ($ per Unit Rd):</t>
  </si>
  <si>
    <t>($/Ton x Ton/Ft Rd)</t>
  </si>
  <si>
    <t>SY</t>
  </si>
  <si>
    <t>Cost/Unit Installed:</t>
  </si>
  <si>
    <t>Total Geotextile Cost ($ per Unit Rd):</t>
  </si>
  <si>
    <t>Total Materials Installed Cost ($ per Unit Rd)</t>
  </si>
  <si>
    <t>Excavation/Fill (bulk and fine grade earth moving with dozer/road grader)</t>
  </si>
  <si>
    <t xml:space="preserve">   Units Moved per LnFt Road:</t>
  </si>
  <si>
    <t>Total Excavation/Fill Cost ($ per Unit Rd):</t>
  </si>
  <si>
    <t>Reduced risk, less concentrated flow erosion, less wear &amp; tear on machinery and livestock.</t>
  </si>
  <si>
    <t>587-Structure for Water Control, 578 Stream Crossing, 342-Critical Area Planting</t>
  </si>
  <si>
    <t>Spring Development (No)</t>
  </si>
  <si>
    <t>Spring Development - with concrete cutoff wall</t>
  </si>
  <si>
    <t>Typical Installation Scenario</t>
  </si>
  <si>
    <t>Estimate is based on a collection trench 50' long by 2' wide by 5' deep.  20 lin ft of Sch 40 PVC pipe between the trench and a 4'x4' collection box.</t>
  </si>
  <si>
    <t>A concrete cutoff wall of 2 cu. yd. installed below the collection area.</t>
  </si>
  <si>
    <t>Spring Development - with storage</t>
  </si>
  <si>
    <t>Estimate is based on a collection trench 50' long by 2' wide by 5' deep.  20 lin ft of Sch 40 PVC pipe between the trench and a 1000 gallon septic tank for storage and sediment accumulation.</t>
  </si>
  <si>
    <t>Animal Trails and Walkways (Sq ft)</t>
  </si>
  <si>
    <t>Animal Trails and Walkways - Rock/Geotextile Installation</t>
  </si>
  <si>
    <t>Square Foot</t>
  </si>
  <si>
    <t>A rock/geotextile reinforced area that allows the transit of animals without the degradation of the area or offsite erosion impacts to the surounding areas.</t>
  </si>
  <si>
    <t>The practice will be used to reinforce heavily trafficed areas to stabilizes them and reduce erosion.</t>
  </si>
  <si>
    <t>Unit type is based on square feet of rock/geotextile installed.</t>
  </si>
  <si>
    <t>Stream Crossing (Each)</t>
  </si>
  <si>
    <t>Stream Crossing - 6 Foot Deep Stream</t>
  </si>
  <si>
    <t>~6' deep stream with 4:1 side slopes, ~10' bottom width and ~15' "road" width.</t>
  </si>
  <si>
    <t>Unit type is based on number crossings installed.</t>
  </si>
  <si>
    <t>Stream Crossing - 10 Foot Deep Stream</t>
  </si>
  <si>
    <t>~10' deep stream with 4:1 side slopes, ~10' bottom width and ~15' "road" width.</t>
  </si>
  <si>
    <t>Stream Crossing - 15 Foot Deep Stream</t>
  </si>
  <si>
    <t>~15' deep stream with 4:1 side slopes, ~10' bottom width and ~15' "road" width.</t>
  </si>
  <si>
    <t>Streambank and Shoreline Protection (Feet)</t>
  </si>
  <si>
    <t>Streambank and Shoreline Protection -Conventional, Bio-Engineering, or Natural Stream Restoration Streambank Treatments from 2' up to 4' Bank Height Protection</t>
  </si>
  <si>
    <t xml:space="preserve">Used to treat erosion/slough/scour on streambanks from 2 feet to 4 feet in height, by either full bank height riprap on geotextile, or </t>
  </si>
  <si>
    <t>equivalent bio engineering practices.</t>
  </si>
  <si>
    <t>Streambank and Shoreline Protection -Conventional, Bio-Engineering, or Natural Stream Restoration Streambank Treatments from 4' up to 6' Bank Height Protection</t>
  </si>
  <si>
    <t xml:space="preserve">Used to treat erosion/slough/scour on streambanks from 4 feet to 6 feet in height, by either full bank height riprap on geotextile, or </t>
  </si>
  <si>
    <t>Streambank and Shoreline Protection -Conventional, Bio-Engineering, or Natural Stream Restoration Streambank Treatments from 6' up to 8' Bank Height Protection</t>
  </si>
  <si>
    <t xml:space="preserve">Used to treat erosion/slough/scour on streambanks from 6 feet to 8 feet in height, by either full bank height riprap on geotextile, or </t>
  </si>
  <si>
    <t>Streambank and Shoreline Protection -Conventional, Bio-Engineering, or Natural Stream Restoration Streambank Treatments from 8' up to 10' Bank Height Protection</t>
  </si>
  <si>
    <t xml:space="preserve">Used to treat erosion/slough/scour on streambanks from 8 feet to 10 feet in height, by either full bank height riprap on geotextile, or </t>
  </si>
  <si>
    <t>Streambank and Shoreline Protection -Conventional, Bio-Engineering, or Natural Stream Restoration Streambank Treatments from 10' up to 12' Bank Height Protection</t>
  </si>
  <si>
    <t xml:space="preserve">Used to treat erosion/slough/scour on streambanks from 10 feet to 12 feet in height, by either full bank height riprap on geotextile, or </t>
  </si>
  <si>
    <t>Streambank and Shoreline Protection -Conventional, Bio-Engineering, or Natural Stream Restoration Streambank Treatments from 12' up to 16' Bank Height Protection</t>
  </si>
  <si>
    <t xml:space="preserve">Used to treat erosion/slough/scour on streambanks from 12 feet to 16 feet in height, by either full bank height riprap on geotextile, or </t>
  </si>
  <si>
    <t>Streambank and Shoreline Protection -Conventional, Bio-Engineering, or Natural Stream Restoration Streambank Treatments Greater Than 16' Bank Height Protection</t>
  </si>
  <si>
    <t xml:space="preserve">Used to treat erosion/slough/scour on streambanks over 16 feet in height, by either full bank height riprap on geotextile, or </t>
  </si>
  <si>
    <t xml:space="preserve">Surface Drainage, Field Ditch </t>
  </si>
  <si>
    <t>Surface Drainage, Field Ditch (Ft.)</t>
  </si>
  <si>
    <t>Field Ditch</t>
  </si>
  <si>
    <t>Quarter mile field ditch on clay-silt soils.</t>
  </si>
  <si>
    <t>An open drainage ditch constructed to a designed size and grade.</t>
  </si>
  <si>
    <t>Excavation (Backhoe)</t>
  </si>
  <si>
    <t xml:space="preserve">  Units Moved per LnFt Ditch:</t>
  </si>
  <si>
    <t xml:space="preserve">  Total Excavation Cost/Unit (LnFt):</t>
  </si>
  <si>
    <t xml:space="preserve">  Total Excavation Cost/Unit (CuYd):</t>
  </si>
  <si>
    <t>Soil Removal with Dump Truck</t>
  </si>
  <si>
    <t>Total Excavation/Spoil Removal Cost (CuYd):</t>
  </si>
  <si>
    <t>Example:</t>
  </si>
  <si>
    <t>Ditch Width (ft):</t>
  </si>
  <si>
    <t>Ditch Depth (ft):</t>
  </si>
  <si>
    <t>Units Excavated (CuYd/LnFt):</t>
  </si>
  <si>
    <t>Total Linear Feet of Ditch:</t>
  </si>
  <si>
    <t>Total Cost of Ditch Project:</t>
  </si>
  <si>
    <t>Included in Equipment/Instillation Costs</t>
  </si>
  <si>
    <t>Maintenance Plan Needed: Inspect and repair as needed.</t>
  </si>
  <si>
    <t>Minimal to no land taken out of production.</t>
  </si>
  <si>
    <t>Associated Practices;</t>
  </si>
  <si>
    <t>342-Critical Area Planting.</t>
  </si>
  <si>
    <t>Tree &amp; Shrub Establishment (Ea)</t>
  </si>
  <si>
    <t>Tree &amp; Shrub Establishment - Potted Plants, Installed</t>
  </si>
  <si>
    <t xml:space="preserve">Typical installation of potted Trees or Shrubs sourced from the KY Div. of Forestry </t>
  </si>
  <si>
    <t>Per Plant</t>
  </si>
  <si>
    <t>Tree &amp; Shrub Est.-Enrichment Planting no herb. Req'd 100-200 seedlings</t>
  </si>
  <si>
    <t>Tree &amp; Shrub Est.-Enrichment Planting no herb. Req'd 100-200 seedlings-HU</t>
  </si>
  <si>
    <t>Typical Enhancement Tree Planting Scenario w/ no herbicide application</t>
  </si>
  <si>
    <t>Typical installation of Trees or Shrubs for enhancement tree planting after forest stand improvement or harvest; based on no herbicide required and KDOF tree seedling values; 100-200 seedlings per acre.</t>
  </si>
  <si>
    <t>Tree &amp; Shrub Est.-Enrichment Planting no herb. Req'd 201-300 seedlings</t>
  </si>
  <si>
    <t>Tree &amp; Shrub Est.-Enrichment Planting no herb. Req'd 201-300 seedlings-HU</t>
  </si>
  <si>
    <t>Typical installation of Trees or Shrubs for enhancement tree planting after forest stand improvement or harvest; based on no herbicide required and KDOF tree seedling values; 201-300 seedlings per acre.</t>
  </si>
  <si>
    <t>Tree &amp; Shrub Est.-Enrichment Planting w/herb. Req'd 100-200 seedlings</t>
  </si>
  <si>
    <t>Typical Enhancement Tree Planting Scenario w/herbicide application</t>
  </si>
  <si>
    <t>Typical installation of Trees or Shrubs for enhancement tree planting after forest stand improvement or harvest; based on herbicide applied on a spot spray basis (glysophate) and KDOF tree seedling values; 100-200 seedlings per acre.</t>
  </si>
  <si>
    <t>Tree &amp; Shrub Est.-Enrichment Planting w/herb. Req'd 201-300 seedlings</t>
  </si>
  <si>
    <t>Typical installation of Trees or Shrubs for enhancement tree planting after forest stand improvement or harvest; based on herbicide applied on a spot spray basis (glysophate) and KDOF tree seedling values; 201-300 seedlings per acre.</t>
  </si>
  <si>
    <t>Vegetated Treatment Area (Ac.)</t>
  </si>
  <si>
    <t xml:space="preserve"> Vegetated Treatment Area - Introduced Grasses - Conv. Till</t>
  </si>
  <si>
    <t>A strip of permanent vegetation established for agricultural wastewater treatment.</t>
  </si>
  <si>
    <t>The practice will be used to capture nutrients, organics, pathogens, and other contaminants associated with livestock, poultry, and other ag operations.</t>
  </si>
  <si>
    <t>Unit type is based on 1 acre of vegetated treatment area established.</t>
  </si>
  <si>
    <t xml:space="preserve"> Vegetated Treatment Area - Introduced Grasses - No Till</t>
  </si>
  <si>
    <t>Water and Sediment Control Basin (Ea.)</t>
  </si>
  <si>
    <t>250 Cu yd fill, 5" dia. cpp, 6" riser</t>
  </si>
  <si>
    <t xml:space="preserve">Water and Sediment Control Basin </t>
  </si>
  <si>
    <t>An earthen sediment control basin with 250 cu yd of fill, 5" dia cpp, 6 dia riser.</t>
  </si>
  <si>
    <t>This practice will be used to reduce erosion and sediment from cropland.</t>
  </si>
  <si>
    <t>Unit type is based per basin constructed.</t>
  </si>
  <si>
    <t>500 Cu yd fill, 6" dia. cpp, 8" riser</t>
  </si>
  <si>
    <t>An earthen sediment control basin with 500 cu yd of fill, 6" dia cpp, 8 dia riser.</t>
  </si>
  <si>
    <t>Unit type is based  per basin constructed.</t>
  </si>
  <si>
    <t>750 Cu yd fill, 8" dia. cpp, 10" riser</t>
  </si>
  <si>
    <t>An earthen sediment control basin with 750 cu yd of fill, 8" dia cpp, 10 dia riser.</t>
  </si>
  <si>
    <t>Water Well (Ft)</t>
  </si>
  <si>
    <t>Water Well - Typical Installation</t>
  </si>
  <si>
    <t xml:space="preserve">Wells have various depth ranges in KY depending on where you are located.  Many years ago a cost estimate was made and two generalized cost rates were identified and have been listed in the </t>
  </si>
  <si>
    <t>below Equipement/Installation Section.  We just adjusted these costs last year by increasing according to the NASS rate of 5%.  After discussing the various depths that water is encountered in KY</t>
  </si>
  <si>
    <t>we estimate that the average well is about 200' deep and that is what the below per ft cost is estimated from.</t>
  </si>
  <si>
    <t>Road/Trail/Landing Closure &amp; Treatment (Ac)</t>
  </si>
  <si>
    <t xml:space="preserve">Road/Trail/Landing Closure &amp; Treatment (Ac) - Light Grading/Shaping (1-2hr/Ac), Introd. Grasses, Mulch  </t>
  </si>
  <si>
    <t xml:space="preserve">Road/Trail/Landing Closure &amp; Treatment (Ac) - Medium Grading/Shaping (2-6hr/Ac), Introd. Grasses, Mulch  </t>
  </si>
  <si>
    <t xml:space="preserve">Road/Trail/Landing Closure &amp; Treatment (Ac) - Heavy Grading/Shaping (6-10hr/Ac), Introd. Grasses, Mulch  </t>
  </si>
  <si>
    <t xml:space="preserve">Road/Trail/Landing Closure &amp; Treatment (Ac) - Light Grading/Shaping (1-2hr/Ac), Introd. Grasses, ECB &amp; Mulch  </t>
  </si>
  <si>
    <t xml:space="preserve">Road/Trail/Landing Closure &amp; Treatment (Ac) - Med. Grading/Shaping (2-6hr/Ac), Introd. Grasses, ECB &amp; Mulch  </t>
  </si>
  <si>
    <t xml:space="preserve">Road/Trail/Landing Closure &amp; Treatment (Ac) - Heavy Grading/Shaping (6-10hr/Ac), Introd. Grasses, ECB &amp; Mulch  </t>
  </si>
  <si>
    <t xml:space="preserve">Road/Trail/Landing Closure &amp; Treatment (Ac) - Light Grading/Shaping (1-2hr/Ac), Mulch, Native Grass/Legume Mix </t>
  </si>
  <si>
    <t>Road/Trail/Landing Closure &amp; Treatment (Ac) - Medium Grading/Shaping (2-6hr/Ac), Mulch, Native Grass/Legume Mix</t>
  </si>
  <si>
    <t>Road/Trail/Landing Closure &amp; Treatment (Ac) - Heavy Grading/Shaping (6-10hr/Ac), Mulch, Native Grass/Legume Mix</t>
  </si>
  <si>
    <t>Road/Trail/Landing Closure &amp; Treatment (Ac) - Light Grading/Shaping (1-2hr/Ac), Mulch, Native Grass/Forbs Mix</t>
  </si>
  <si>
    <t>Road/Trail/Landing Closure &amp; Treatment (Ac) - Medium Grading/Shaping (2-6hr/Ac), Mulch, Native Grass/Forbs Mix</t>
  </si>
  <si>
    <t>Road/Trail/Landing Closure &amp; Treatment (Ac) - Heavy Grading/Shaping (6-10hr/Ac), Mulch, Native Grass/Forbs Mix</t>
  </si>
  <si>
    <t>Road/Trail/Landing Closure &amp; Treatment (Ac) - Medium Grading/Shaping (2-6hr/Ac), ECB &amp; Mulch, Native Grass/Legume Mix</t>
  </si>
  <si>
    <t>Road/Trail/Landing Closure &amp; Treatment (Ac) - Medium Grading/Shaping (2-6hr/Ac), ECB &amp; Mulch, Native Grass/Forbs Mix</t>
  </si>
  <si>
    <t>666-Forest Stand Improvement</t>
  </si>
  <si>
    <t>Hardwood silviculture w/ hand tools - No TSP</t>
  </si>
  <si>
    <t>A skilled chainsaw operator trained in directional felling and safety in steep conditions is hired to fell or girdle the trees marked for removal in order to achieve a desired stand density based on basal area and/or crown competition.  Typically 20-40 sq. ft. of non-merchantable basal area are removed from competition with desired trees.  Glyphosate treatment is often needed to limit coppicing. State DOF employees are used to provide technical assistance with practice need, marking, practice implementation asssistance, etc. with no cost to the landowner.</t>
  </si>
  <si>
    <t>Stands of pole-sized hardwoods on land with red oak 50-year site index of 60 or greater have non-merchantable, defective or undesirable trees co-dominant and in competition with desired crop trees.  Habitat potential for desired wildlife species is not ideal.</t>
  </si>
  <si>
    <t>The applied treatment results in the improved health, productivity and vigor of 15-40 remaining crop trees per acre.  Habitat potential for desired species is improved by increased mast production and regeneration of the forest understory.</t>
  </si>
  <si>
    <t>472, 382, 660, 394, 338, 643, 645,</t>
  </si>
  <si>
    <t>Operation Maintenance</t>
  </si>
  <si>
    <t>periodic inspections during and after treatment to ensure practice purposes are achieved, after storm events, insect and diseases outbreaks in the area and inspections for timber trespass.</t>
  </si>
  <si>
    <t>Hardwood silviculture w/ hand tools - TSP Marking</t>
  </si>
  <si>
    <t>A skilled chainsaw operator trained in directional felling and safety in steep conditions is hired to fell or girdle the trees marked for removal in order to achieve a desired stand density based on basal area and/or crown competition.  Typically 20-40 sq. ft. of non-merchantable basal area are removed from competition with desired trees.  Glyphosate treatment is often needed to limit coppicing. Consultant foresters are used to provide technical assistance with marking, practice implementation asssistance, etc.  Landowners must pay the consultant forester for these services.</t>
  </si>
  <si>
    <t>Consultant services</t>
  </si>
  <si>
    <t>Consultant services to assist in resource inventory, plan development, site surveys, site monitoring, etc.</t>
  </si>
  <si>
    <t>Thinning for Wildlife</t>
  </si>
  <si>
    <t>A skilled chainsaw operator trained in directional felling and safety in steep conditions is hired to fell or girdle the trees marked for removal in order to achieve a desired stand density based on basal area and/or stocking percent.  Typically 40-60 sq. ft. of non-merchantable basal area are removed from competition with desired trees to open the stand and promote understory development.  Herbicide treatment is often required to limit coppicing.  In many cases, State DOF employees are used to provide technical assistance with practice need, marking, practice implementation asssistance, etc. with no cost to the landowner.</t>
  </si>
  <si>
    <t xml:space="preserve">Habitat potential for desired wildlife species is not adequate due to high tree stocking rates and/or heavy mid-story leading to poor understory development.  In addition,  poor species composition can result in reduced mast and fruit prodicution for wildlife. </t>
  </si>
  <si>
    <t xml:space="preserve">The applied treatment results in lower stocking rates which improves habitat for targeted wildlife species including many declining forestland birds by increasing forest understory development, desirable plant species populations, and mast production of remianing crop trees,  </t>
  </si>
  <si>
    <t>660, 394, 338, 643, 645</t>
  </si>
  <si>
    <t xml:space="preserve">Conservation Crop Rotation &lt;25 acres - Develop and implement a crop rotation with average soil losses within acceptable levels (T) - </t>
  </si>
  <si>
    <t xml:space="preserve">Conservation Crop Rotation 25-100 acres - Develop and implement a crop rotation with average soil losses within acceptable levels (T) - </t>
  </si>
  <si>
    <t xml:space="preserve">Conservation Crop Rotation &gt;100 acres - Develop and implement a crop rotation with average soil losses within acceptable levels (T) - </t>
  </si>
  <si>
    <t>595-Intergrated Pest Management</t>
  </si>
  <si>
    <t>Basic IPM for Field Crops</t>
  </si>
  <si>
    <t xml:space="preserve">WIN-PST is used to assess risk of likely pest suppression activities and identify appropriate mitigation measures to the identified risks for conventionally grown row crops, small grain or forage.  An IPM plan meeting the FOTG 595 criteria is written by a Cooperative Extension employee, Certified Crop Advisor, or similar crop protection advisor.  The plan includes specifications for appropriate prevention, avoidance, and monitoring (PAM) measures to be implemented on cropland according to Land Grant University guidelines.  A monitoring program is implemented using economic thresholds for known pests to take pest suppression actions when pest populations exceed the established economic thresholds. </t>
  </si>
  <si>
    <t>Crop field with no IPM plan meeting NRCS 595 standard.  An assessment of likely risk of likely pest suppression activities has not been performed; and no measures to mitigate likely risks have been identified.  Therefore prevention,  avoidance and monitoring strategies have not been fully implemented.  Suppression activities are often applied without actual pest-level monitoring in consideration of economic thresholds.  Excessive suppression activities result in high production cost and degradation of natural resources.</t>
  </si>
  <si>
    <t>An IPM plan meeting the FOTG 595 requirements has been developed by an Extension employee, CCA or similar corps protection specialist.  WIN-PST has been used to assess pest control risks.  The 595 IPM plan outlines the prevention, avoidance and monitoring techniques (from NRCS Agronomy Tech. Note No. 5) that are required for successful implementation of IPM.   The farmer is able to implement several recommended prevention, avoidance and monitoring activities indentified in the plan.  Monitoring is implemented by the farmer under the direction of the consultant.  PAM activities reduce the need for one to two suppression activities per crop season, lower cost of production and improve natural resource conditions.</t>
  </si>
  <si>
    <t>Conservation Crop Rotation (328), Cover Crop (340), Mulch Till (345), Residue Management No Till/Strip Till (329), Filter Strip (393), Field Border (386)</t>
  </si>
  <si>
    <t>Use of LOW COST drift reducing spray techniques to prevent pesticide drift</t>
  </si>
  <si>
    <t>Use of drift reduction techniques that include application during lowest wind speed, application with lower pressure nozzles and lower boom heights (e.g. directed sprays).</t>
  </si>
  <si>
    <t>ac.</t>
  </si>
  <si>
    <t>Use of LOW COST drift reducing spray technology to prevent pesticide drift</t>
  </si>
  <si>
    <t>Use of drift reduction technologies that include application with drift-reducing nozzle, boom shields, row hoods and drift-reducing adjuvant</t>
  </si>
  <si>
    <t xml:space="preserve">Establishing Economic Thresholds for known pests, Monitoring pest populations in the field and making pest suppression decisions based on pest populations exceeding the established economic thresholds. </t>
  </si>
  <si>
    <t>skilled labor</t>
  </si>
  <si>
    <t>hrs.</t>
  </si>
  <si>
    <t>Development of the University-based Integrated Pest Mgt. Plan focused on the Prevention and Avoidance Techniques to avoid chemical suppression that poses potential hazards</t>
  </si>
  <si>
    <t>This is a comprehensive, university-based document that is focused on managing the actual pests in the crop.  NRCS employee will NOT perform this task.  Typically a CCA or extension agent develops this and NRCS develops the mitigation necessary for the pesticides chosen (if any).</t>
  </si>
  <si>
    <t>Record keeping</t>
  </si>
  <si>
    <t>Advanced IPM for Field Crops</t>
  </si>
  <si>
    <t xml:space="preserve">WIN-PST is used to assess risk of likely pest suppression activities and identify appropriate mitigation measures to the identified risks for conventionally grown row crops, small grain or forage.  An IPM plan meeting the FOTG 595 criteria is written by a Cooperative Extension employee, Certified Crop Advisor, or similar crop protection advisor.  The plan includes specifications for appropriate prevention, avoidance, and monitoring (PAM) measures to be implemented on cropland according to Land Grant University guidelines.  A monitoring program is implemented using economic thresholds for known pests to take pest suppression actions when pest populations exceed the established economic thresholds.   Use of precision techniques and equipment is adopted to reduce required suppression activities and amount of pesticide materials applied.  Adoption of advanced technologies requires more time for consulting services and for installation than the basic scenario. </t>
  </si>
  <si>
    <t>A row crop field where an assessment of the likely risk of likely pest suppression activities has been performed; and measures to mitigate likely risks have been identified.  Some prevention,  avoidance and monitoring strategies have been implemented already.  The on-going pest suppression activities still result in higher than minimum production costs and risk of degradation to natural resources has been identified using WIN-PST.  For instance,  pest suppression techniques and equipment used still allows possibility for overlap, excess or non-target application of pesticide- resulting in higher production costs and degradation of natural resources.</t>
  </si>
  <si>
    <t xml:space="preserve">An IPM plan meeting the FOTG 595 requirements has been developed by an Extension employee, CCA or similar corps protection specialist.  WIN-PST has been used to assess pest control risks.  The 595 IPM plan outlines the prevention, avoidance and monitoring techniques (from NRCS Agronomy Tech. Note No. 5) that are required for successful implementation of IPM.   The farmer is able to implement several recommended prevention, avoidance and monitoring activities indentified in the plan.  In addition, precision suppression technology is adopted to reduce required number of suppression activities and/or amount of material applied.  Monitoring is implemented by the farmer under the direction of the consultant.  Implementation of this practice scenario PAM activities reduce the total volume of pesticide applied and the risk of over application or non-target application, lowers cost of production and improves natural resource conditions. </t>
  </si>
  <si>
    <t xml:space="preserve"> Conservation Crop Rotation (328), Cover Crop (340), Mulch Till (345), Residue Management No Till/Strip Till (329), Filter Strip (393), Field Border (386), </t>
  </si>
  <si>
    <t>Reduction of pesticide application using "smart sprayer" technology</t>
  </si>
  <si>
    <t>Utilize electronically controlled or managed chemical spray application technology to more precisely apply pesticides to their intended target</t>
  </si>
  <si>
    <t>Use of HIGH COST drift reducing spray technology to prevent pesticide drift</t>
  </si>
  <si>
    <t>Use of drift reduction technologies that include directed sprayer rigs in orchards rather than traditional air-blast sprayers and using ultra-low-volume electrostatic sprayers in low wind conditions to improve the amount of plant material wetted and reduce the amount of drift losses.</t>
  </si>
  <si>
    <t xml:space="preserve"> hrs</t>
  </si>
  <si>
    <t>Use of "No-spray" zones as setback areas adjacent to sensitive areas (beyond what is required by the pesticide label)</t>
  </si>
  <si>
    <t>Use of real time weather data information as a decision tool for determining when climatic condition are most conducive for pesticide applications that minimize environmental risks to natural resources</t>
  </si>
  <si>
    <t xml:space="preserve"> IPM for Specialty Crops</t>
  </si>
  <si>
    <t>WIN-PST is used to assess risk of likely pest suppression activities and identify appropriate mitigation measures to the identified risks for  cropland producing specialty crops (vegetables, orchards, vineyards, nursery, sod, greenhouse).  An IPM plan meeting the FOTG 595 criteria is written by a Cooperative Extension employee, Certified Crop Advisor, or similar crop protection advisor.  The plan includes specifications for appropriate prevention, avoidance, and monitoring (PAM) measures to be implemented on cropland according to Land Grant University guidelines.  A monitoring program is implemented by the farmer, under the direction of the crop protection advisor, using economic thresholds for known pests to take pest suppression actions when pest populations exceed the established economic thresholds for high value vegetable and orchard crops.   Specialty crops require a more highly intensified monitoring program than row crops.  Use of specialized precision techniques and equipment is adopted to reduce required suppression activities and amount of pesticide materials applied.    Time spent on PAMs activities requires increased time for consulting services as well as the farmer's labor, compared to other crop types.</t>
  </si>
  <si>
    <t>A vegetable farm or orchard where an assessment of the likely risk of likely pest suppression activities has already been performed; and some measures to mitigate likely risks have been identified.  Some prevention,  avoidance and monitoring strategies have been implemented already.  The on-going pest suppression activities still result in higher than minimum production costs and risk of degradation to natural resources has been identified using WIN-PST.  For instance,  pest suppression techniques and equipment used still allows possibility for overlap, excess or non-target application of pesticide- resulting in higher production costs and degradation of natural resources.</t>
  </si>
  <si>
    <t xml:space="preserve">An IPM plan meeting the FOTG 595 requirements has been developed by an Extension employee, CCA or similar corps protection specialist.  WIN-PST has been used to assess pest control risks.  The 595 IPM plan outlines the prevention, avoidance and monitoring techniques (from NRCS Agronomy Tech. Note No. 5) that are required for successful implementation of IPM.   The farmer is able to implement several recommended prevention, avoidance and monitoring activities indentified in the plan.  In addition, precision suppression technology is adopted to reduce required number of suppression activities and/or amount of material applied.  Monitoring is implemented by the farmer under the direction of the consultant.  Overall, the PAM activities reduce the need for four pest suppression activities per crop season.  Implementation of this practice scenario reduces the total volume of pesticide applied and the risk of over application or non-target application, lowers cost of production and improves natural resource conditions. </t>
  </si>
  <si>
    <t xml:space="preserve"> Conservation Crop Rotation (328), Cover Crop (340), Mulch Till (345), Residue Management No Till/Strip Till (329), Filter Strip (393), Field Border (386)</t>
  </si>
  <si>
    <t>Protection of beneficial insects and/or pollinator by adjusting pesticide application time</t>
  </si>
  <si>
    <t>general labor</t>
  </si>
  <si>
    <t>consultnat services</t>
  </si>
  <si>
    <t>IPM for Organic Field Crops</t>
  </si>
  <si>
    <t>WIN-PST is used to assess risk of likely pest suppression activities and identify appropriate mitigation measures to the identified risks for organically grown row crops, small grain or forage.  An IPM plan meeting the FOTG 595 criteria is written by a Cooperative Extension employee, Certified Crop Advisor, or similar crop protection advisor.  The plan includes specifications for  prevention, avoidance, and monitoring (PAM) measures meeting NOP standards to be implemented on the cropland according to Land Grant University guidelines.  A monitoring program is implemented by the farmer under the crop protection advisor's direction using economic thresholds for known pests to take pest suppression actions when pest populations exceed the established economic thresholds.</t>
  </si>
  <si>
    <t>Crop field with no IPM plan meeting NRCS 595 standard.  An assessment of likely risk of  pest suppression activities has not been performed; and no measures to mitigate likely risks have been identified.  Therefore prevention,  avoidance and monitoring strategies have not been fully implemented.  Suppression activities are often applied without actual pest-level monitoring in consideration of economic thresholds.  Excessive suppression activities result in high production cost and degradation of natural resources; and pest outbreaks causing excessive crop loss.</t>
  </si>
  <si>
    <t>An IPM plan meeting the FOTG 595 requirements has been developed by an Extension employee, CCA or similar corps protection specialist.  WIN-PST has been used to assess pest control risks.  The 595 IPM plan outlines the prevention, avoidance and monitoring techniques (from NRCS Agronomy Tech. Note No. 5) that are required for successful implementation of IPM.   The farmer is able to implement several recommended prevention, avoidance and monitoring activities the meet NOP standards and are indentified in the plan.  Monitoring is implemented by the farmer under the direction of the consultant.  PAM activities reduce the need for three to five suppression activities per crop season, lower cost of production, lower crop losses and improved natural resource conditions.</t>
  </si>
  <si>
    <t xml:space="preserve">Prevention or altering habitat after harvest that would allow disease, inoculums, insect and weed populations to develop.  </t>
  </si>
  <si>
    <t>Cultural Techniques to prevent and/or avoid development of pest pressures</t>
  </si>
  <si>
    <t>Managing companion plantings and trap crops to prevent outbreak of pest</t>
  </si>
  <si>
    <t>consultant services</t>
  </si>
  <si>
    <t>IPM for Organic Specialty Crops</t>
  </si>
  <si>
    <t>WIN-PST is used to assess risk of likely pest suppression activities and identify appropriate mitigation measures to the identified risks for organically grown row crops (vegetables, orchards, vineyards, nursery, sod, greenhouse).  An IPM plan meeting the FOTG 595 criteria is written by a Cooperative Extension employee, Certified Crop Advisor, or similar crop protection advisor.  The plan includes specifications for prevention, avoidance, and monitoring (PAM) measures meeting NOP standards to be implemented on the cropland according to Land Grant University guidelines.  A monitoring program is implemented by the farmer under the crop protection advisor's direction using economic thresholds for known pests to take pest suppression actions when pest populations exceed the established economic thresholds.  Specialty crops require a more highly intensified monitoring program than row crops.   Pest habitat manipulation, trap crops and other cultural techniques are used when economic thresholds are exceeded.    Time spent on organic PAMs activities requires increased time for consulting services as well as the farmer's labor, compared to other organic crop types.</t>
  </si>
  <si>
    <t xml:space="preserve">An organic vegetable farm or orchard where an assessment of the likely risk of likely pest suppression activities has already been performed; and some measures to mitigate likely risks have been identified.  Some prevention,  avoidance and monitoring strategies have been implemented already.   However, suppression activities are often applied with no regard for monitoring or economic thresholds.  The on-going pest suppression activities still result in higher than minimum production costs and risk of degradation to natural resources has been identified using WIN-PST.  For instance,  pest suppression techniques and equipment used still allows possibility for excess tillage, hand treatment of pests and degradation of natural resources.   </t>
  </si>
  <si>
    <t xml:space="preserve">An IPM plan meeting the FOTG 595 requirements has been developed by an Extension employee, CCA or similar corps protection specialist.  WIN-PST has been used to assess pest control risks.  The 595 IPM plan outlines the prevention, avoidance and monitoring techniques (from NRCS Agronomy Tech. Note No. 5) that are required for successful implementation of IPM.   The farmer is able to implement several recommended prevention, avoidance and monitoring activities indentified in the plan.  In addition, precision suppression technology is adopted to reduce required number of suppression activities and/or amount of material applied.  Monitoring is implemented by the farmer under the direction of the consultant.  Overall, the PAM activities reduce the need for four pest suppression activities per crop season.  Implementation of this practice scenario reduces the risk of natural resource damage resulting from organic pest control measures, improves plant condition, reduces crop losses and improves natural resource conditions. </t>
  </si>
  <si>
    <t xml:space="preserve">Conservation Crop Rotation (328), Cover Crop (340), Mulch Till (345), Residue Management No Till/Strip Till (329), Filter Strip (393), Field Border (386), </t>
  </si>
  <si>
    <t>Hedgerow Planting (Ac)</t>
  </si>
  <si>
    <t>Hedgerow Planting - no fertilizer or veg cover</t>
  </si>
  <si>
    <t>Hedgerow Planting - w/establishment of vegetative cover</t>
  </si>
  <si>
    <t>Dry Stack-Covered (Ea.)</t>
  </si>
  <si>
    <r>
      <t xml:space="preserve">2 House Broiler </t>
    </r>
    <r>
      <rPr>
        <u/>
        <sz val="10"/>
        <color indexed="12"/>
        <rFont val="Arial"/>
        <family val="2"/>
      </rPr>
      <t>OR</t>
    </r>
    <r>
      <rPr>
        <sz val="10"/>
        <color indexed="12"/>
        <rFont val="Arial"/>
        <family val="2"/>
      </rPr>
      <t xml:space="preserve"> 56 to 80 Cattle AU, Wood Walls</t>
    </r>
  </si>
  <si>
    <t>2 House Broiler OR 56 to 80 Cattle AU, Wood Walls</t>
  </si>
  <si>
    <t>Dry Stack/Litter Storage Structure to handle manure/litter from a 2 house broiler operation or from 56 to 80 cattle AU.</t>
  </si>
  <si>
    <t>A dry stack  facility with wood walls, a concrete floor and a roof to handle animal manure and/or poultry litter.</t>
  </si>
  <si>
    <t>This practice will be used to store manure and/or poultry litter so it can be land applied as organic fertilizer.</t>
  </si>
  <si>
    <t>2 House Broiler OR 56 to 80 Cattle AU, Concrete Walls</t>
  </si>
  <si>
    <t>A dry stack  facility with concrete walls, a concrete floor and a roof to handle animal manure and/or poultry litter.</t>
  </si>
</sst>
</file>

<file path=xl/styles.xml><?xml version="1.0" encoding="utf-8"?>
<styleSheet xmlns="http://schemas.openxmlformats.org/spreadsheetml/2006/main">
  <numFmts count="21">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0.00000"/>
    <numFmt numFmtId="166" formatCode="0.0"/>
    <numFmt numFmtId="167" formatCode="#,##0.0"/>
    <numFmt numFmtId="168" formatCode="&quot;$&quot;#,##0"/>
    <numFmt numFmtId="169" formatCode="&quot;$&quot;#,##0.000"/>
    <numFmt numFmtId="170" formatCode="_(* #,##0_);_(* \(#,##0\);_(* &quot;-&quot;??_);_(@_)"/>
    <numFmt numFmtId="171" formatCode="&quot;$&quot;#,##0.00;\(&quot;$&quot;#,##0.00\)"/>
    <numFmt numFmtId="172" formatCode="0.0%"/>
    <numFmt numFmtId="173" formatCode="mm\-dd\-yy"/>
    <numFmt numFmtId="174" formatCode="0.00_)"/>
    <numFmt numFmtId="175" formatCode="_(* #,##0.0_);_(* \(#,##0.0\);_(* &quot;-&quot;??_);_(@_)"/>
    <numFmt numFmtId="176" formatCode="0.000"/>
  </numFmts>
  <fonts count="137">
    <font>
      <sz val="10"/>
      <name val="Arial"/>
    </font>
    <font>
      <sz val="11"/>
      <color theme="1"/>
      <name val="Calibri"/>
      <family val="2"/>
      <scheme val="minor"/>
    </font>
    <font>
      <b/>
      <sz val="10"/>
      <name val="Arial"/>
      <family val="2"/>
    </font>
    <font>
      <sz val="8"/>
      <name val="Arial"/>
      <family val="2"/>
    </font>
    <font>
      <b/>
      <sz val="12"/>
      <name val="Arial"/>
      <family val="2"/>
    </font>
    <font>
      <sz val="10"/>
      <name val="Arial"/>
      <family val="2"/>
    </font>
    <font>
      <u/>
      <sz val="10"/>
      <name val="Arial"/>
      <family val="2"/>
    </font>
    <font>
      <u/>
      <sz val="10"/>
      <name val="Arial"/>
      <family val="2"/>
    </font>
    <font>
      <b/>
      <u/>
      <sz val="10"/>
      <name val="Arial"/>
      <family val="2"/>
    </font>
    <font>
      <sz val="10"/>
      <color indexed="12"/>
      <name val="Arial"/>
      <family val="2"/>
    </font>
    <font>
      <sz val="10"/>
      <color indexed="12"/>
      <name val="Arial"/>
      <family val="2"/>
    </font>
    <font>
      <sz val="10"/>
      <color rgb="FF0000FF"/>
      <name val="Arial"/>
      <family val="2"/>
    </font>
    <font>
      <sz val="8"/>
      <color indexed="12"/>
      <name val="Arial"/>
      <family val="2"/>
    </font>
    <font>
      <u/>
      <sz val="10"/>
      <color theme="10"/>
      <name val="Arial"/>
      <family val="2"/>
    </font>
    <font>
      <sz val="10"/>
      <name val="Arial"/>
    </font>
    <font>
      <sz val="11"/>
      <color rgb="FF006100"/>
      <name val="Calibri"/>
      <family val="2"/>
      <scheme val="minor"/>
    </font>
    <font>
      <sz val="10"/>
      <color indexed="12"/>
      <name val="Arial"/>
    </font>
    <font>
      <u/>
      <sz val="10"/>
      <name val="Arial"/>
    </font>
    <font>
      <sz val="8"/>
      <name val="Arial"/>
    </font>
    <font>
      <sz val="10"/>
      <color indexed="22"/>
      <name val="Arial"/>
      <family val="2"/>
    </font>
    <font>
      <sz val="9"/>
      <color indexed="8"/>
      <name val="Arial"/>
      <family val="2"/>
    </font>
    <font>
      <sz val="9"/>
      <name val="Arial"/>
      <family val="2"/>
    </font>
    <font>
      <sz val="10"/>
      <color indexed="8"/>
      <name val="Arial"/>
      <family val="2"/>
    </font>
    <font>
      <sz val="10"/>
      <color indexed="12"/>
      <name val="Calibri"/>
      <family val="2"/>
    </font>
    <font>
      <sz val="9"/>
      <color rgb="FF0000FF"/>
      <name val="Arial"/>
      <family val="2"/>
    </font>
    <font>
      <b/>
      <sz val="14"/>
      <color rgb="FF006100"/>
      <name val="Calibri"/>
      <family val="2"/>
      <scheme val="minor"/>
    </font>
    <font>
      <b/>
      <sz val="12"/>
      <color rgb="FF006100"/>
      <name val="Calibri"/>
      <family val="2"/>
      <scheme val="minor"/>
    </font>
    <font>
      <b/>
      <sz val="11"/>
      <color rgb="FF006100"/>
      <name val="Calibri"/>
      <family val="2"/>
      <scheme val="minor"/>
    </font>
    <font>
      <sz val="10"/>
      <color rgb="FF0823E8"/>
      <name val="Arial"/>
      <family val="2"/>
    </font>
    <font>
      <sz val="10"/>
      <color rgb="FF0823E8"/>
      <name val="MS Sans Serif"/>
      <family val="2"/>
    </font>
    <font>
      <sz val="10"/>
      <color rgb="FF2D46FB"/>
      <name val="Arial"/>
      <family val="2"/>
    </font>
    <font>
      <sz val="10"/>
      <color rgb="FF2D46FB"/>
      <name val="Times New Roman"/>
      <family val="1"/>
    </font>
    <font>
      <sz val="10"/>
      <name val="Symbol"/>
      <family val="1"/>
      <charset val="2"/>
    </font>
    <font>
      <sz val="8"/>
      <color indexed="8"/>
      <name val="Arial"/>
      <family val="2"/>
    </font>
    <font>
      <b/>
      <sz val="12"/>
      <color indexed="12"/>
      <name val="Arial"/>
      <family val="2"/>
    </font>
    <font>
      <u/>
      <sz val="10"/>
      <color indexed="12"/>
      <name val="Arial"/>
      <family val="2"/>
    </font>
    <font>
      <b/>
      <sz val="12"/>
      <name val="Arial Narrow"/>
      <family val="2"/>
    </font>
    <font>
      <sz val="10"/>
      <name val="Arial Narrow"/>
      <family val="2"/>
    </font>
    <font>
      <b/>
      <sz val="11"/>
      <name val="Arial Narrow"/>
      <family val="2"/>
    </font>
    <font>
      <sz val="11"/>
      <name val="Arial Narrow"/>
      <family val="2"/>
    </font>
    <font>
      <sz val="11"/>
      <color indexed="62"/>
      <name val="Arial Narrow"/>
      <family val="2"/>
    </font>
    <font>
      <sz val="11"/>
      <color indexed="8"/>
      <name val="Arial Narrow"/>
      <family val="2"/>
    </font>
    <font>
      <sz val="11"/>
      <color indexed="17"/>
      <name val="Arial Narrow"/>
      <family val="2"/>
    </font>
    <font>
      <b/>
      <sz val="11"/>
      <color indexed="8"/>
      <name val="Arial Narrow"/>
      <family val="2"/>
    </font>
    <font>
      <b/>
      <sz val="11"/>
      <name val="Arial"/>
      <family val="2"/>
    </font>
    <font>
      <b/>
      <sz val="11"/>
      <color indexed="8"/>
      <name val="Arial"/>
      <family val="2"/>
    </font>
    <font>
      <sz val="11"/>
      <name val="Arial"/>
      <family val="2"/>
    </font>
    <font>
      <b/>
      <sz val="11"/>
      <color indexed="17"/>
      <name val="Arial Narrow"/>
      <family val="2"/>
    </font>
    <font>
      <b/>
      <sz val="10"/>
      <color indexed="17"/>
      <name val="Arial Narrow"/>
      <family val="2"/>
    </font>
    <font>
      <b/>
      <sz val="10"/>
      <name val="Arial Narrow"/>
      <family val="2"/>
    </font>
    <font>
      <b/>
      <sz val="9"/>
      <name val="Arial Narrow"/>
      <family val="2"/>
    </font>
    <font>
      <sz val="9"/>
      <color indexed="17"/>
      <name val="Arial Narrow"/>
      <family val="2"/>
    </font>
    <font>
      <b/>
      <sz val="8"/>
      <color indexed="81"/>
      <name val="Tahoma"/>
      <family val="2"/>
    </font>
    <font>
      <u/>
      <sz val="7.5"/>
      <color theme="10"/>
      <name val="Arial"/>
      <family val="2"/>
    </font>
    <font>
      <sz val="10"/>
      <color indexed="10"/>
      <name val="Arial"/>
      <family val="2"/>
    </font>
    <font>
      <sz val="16"/>
      <name val="Arial"/>
      <family val="2"/>
    </font>
    <font>
      <b/>
      <sz val="16"/>
      <name val="Arial"/>
      <family val="2"/>
    </font>
    <font>
      <sz val="16"/>
      <color indexed="12"/>
      <name val="Arial"/>
      <family val="2"/>
    </font>
    <font>
      <b/>
      <u/>
      <sz val="16"/>
      <name val="Arial"/>
      <family val="2"/>
    </font>
    <font>
      <u/>
      <sz val="16"/>
      <name val="Arial"/>
      <family val="2"/>
    </font>
    <font>
      <sz val="14"/>
      <name val="Arial"/>
      <family val="2"/>
    </font>
    <font>
      <sz val="16"/>
      <color rgb="FF0000FF"/>
      <name val="Arial"/>
      <family val="2"/>
    </font>
    <font>
      <b/>
      <sz val="14"/>
      <color rgb="FFFF00FF"/>
      <name val="Arial"/>
      <family val="2"/>
    </font>
    <font>
      <u/>
      <sz val="16"/>
      <color rgb="FF0000FF"/>
      <name val="Arial"/>
      <family val="2"/>
    </font>
    <font>
      <sz val="16"/>
      <color indexed="10"/>
      <name val="Arial"/>
      <family val="2"/>
    </font>
    <font>
      <sz val="12"/>
      <name val="Times New Roman"/>
      <family val="1"/>
    </font>
    <font>
      <u/>
      <sz val="10"/>
      <color indexed="8"/>
      <name val="Arial"/>
      <family val="2"/>
    </font>
    <font>
      <b/>
      <sz val="16"/>
      <color indexed="10"/>
      <name val="Arial"/>
      <family val="2"/>
    </font>
    <font>
      <sz val="16"/>
      <color theme="1"/>
      <name val="Arial"/>
      <family val="2"/>
    </font>
    <font>
      <sz val="16"/>
      <color theme="1"/>
      <name val="Calibri"/>
      <family val="2"/>
      <scheme val="minor"/>
    </font>
    <font>
      <sz val="16"/>
      <color rgb="FF3333FF"/>
      <name val="Arial"/>
      <family val="2"/>
    </font>
    <font>
      <sz val="16"/>
      <color rgb="FFFF0000"/>
      <name val="Arial"/>
      <family val="2"/>
    </font>
    <font>
      <u/>
      <sz val="10"/>
      <color rgb="FF0000FF"/>
      <name val="Arial"/>
      <family val="2"/>
    </font>
    <font>
      <b/>
      <sz val="10"/>
      <color indexed="10"/>
      <name val="Arial"/>
      <family val="2"/>
    </font>
    <font>
      <sz val="10"/>
      <color theme="1"/>
      <name val="Arial"/>
      <family val="2"/>
    </font>
    <font>
      <sz val="10"/>
      <color theme="1"/>
      <name val="Calibri"/>
      <family val="2"/>
      <scheme val="minor"/>
    </font>
    <font>
      <sz val="10"/>
      <color rgb="FF3333FF"/>
      <name val="Arial"/>
      <family val="2"/>
    </font>
    <font>
      <sz val="10"/>
      <color rgb="FFFF00FF"/>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2"/>
      <color indexed="53"/>
      <name val="Times New Roman"/>
      <family val="1"/>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sz val="11"/>
      <name val="Garamond"/>
      <family val="1"/>
    </font>
    <font>
      <b/>
      <sz val="11"/>
      <color indexed="63"/>
      <name val="Calibri"/>
      <family val="2"/>
    </font>
    <font>
      <b/>
      <sz val="18"/>
      <color indexed="62"/>
      <name val="Cambria"/>
      <family val="2"/>
    </font>
    <font>
      <b/>
      <sz val="11"/>
      <color indexed="8"/>
      <name val="Calibri"/>
      <family val="2"/>
    </font>
    <font>
      <sz val="10"/>
      <name val="Garamond"/>
      <family val="1"/>
    </font>
    <font>
      <sz val="7"/>
      <name val="Arial"/>
      <family val="2"/>
    </font>
    <font>
      <sz val="9"/>
      <color indexed="12"/>
      <name val="Arial"/>
      <family val="2"/>
    </font>
    <font>
      <sz val="10"/>
      <name val="MS Sans Serif"/>
      <family val="2"/>
    </font>
    <font>
      <sz val="10"/>
      <color rgb="FF3227C7"/>
      <name val="Arial"/>
      <family val="2"/>
    </font>
    <font>
      <sz val="10"/>
      <color rgb="FF071CB9"/>
      <name val="Arial"/>
      <family val="2"/>
    </font>
    <font>
      <sz val="10"/>
      <color rgb="FFFF0000"/>
      <name val="Arial"/>
      <family val="2"/>
    </font>
    <font>
      <b/>
      <sz val="10"/>
      <color rgb="FF0823E8"/>
      <name val="Arial"/>
      <family val="2"/>
    </font>
    <font>
      <b/>
      <sz val="10"/>
      <color indexed="81"/>
      <name val="Tahoma"/>
    </font>
    <font>
      <sz val="10"/>
      <color indexed="81"/>
      <name val="Tahoma"/>
    </font>
    <font>
      <sz val="10"/>
      <color rgb="FF0070C0"/>
      <name val="Arial"/>
      <family val="2"/>
    </font>
    <font>
      <sz val="11"/>
      <color rgb="FF0070C0"/>
      <name val="Times New Roman"/>
      <family val="1"/>
    </font>
    <font>
      <sz val="10"/>
      <color rgb="FF002060"/>
      <name val="Arial"/>
      <family val="2"/>
    </font>
    <font>
      <sz val="10"/>
      <name val="Courier"/>
      <family val="3"/>
    </font>
    <font>
      <b/>
      <u/>
      <sz val="10"/>
      <color indexed="12"/>
      <name val="Arial"/>
      <family val="2"/>
    </font>
    <font>
      <vertAlign val="superscript"/>
      <sz val="10"/>
      <name val="Arial"/>
      <family val="2"/>
    </font>
    <font>
      <b/>
      <sz val="10"/>
      <color indexed="12"/>
      <name val="Arial"/>
      <family val="2"/>
    </font>
    <font>
      <sz val="12"/>
      <name val="Arial"/>
      <family val="2"/>
    </font>
    <font>
      <b/>
      <sz val="22"/>
      <color indexed="9"/>
      <name val="Berlin Sans FB"/>
      <family val="2"/>
    </font>
    <font>
      <sz val="14"/>
      <color indexed="9"/>
      <name val="Arial Black"/>
      <family val="2"/>
    </font>
    <font>
      <sz val="14"/>
      <name val="Arial Black"/>
      <family val="2"/>
    </font>
    <font>
      <b/>
      <sz val="8"/>
      <color indexed="9"/>
      <name val="Arial"/>
      <family val="2"/>
    </font>
    <font>
      <sz val="8"/>
      <color indexed="9"/>
      <name val="Arial"/>
      <family val="2"/>
    </font>
    <font>
      <b/>
      <sz val="22"/>
      <name val="Berlin Sans FB"/>
      <family val="2"/>
    </font>
    <font>
      <b/>
      <sz val="8"/>
      <name val="Arial"/>
      <family val="2"/>
    </font>
    <font>
      <b/>
      <sz val="10"/>
      <name val="Berlin Sans FB"/>
      <family val="2"/>
    </font>
    <font>
      <b/>
      <sz val="16"/>
      <color indexed="9"/>
      <name val="Arial"/>
      <family val="2"/>
    </font>
    <font>
      <b/>
      <sz val="10"/>
      <color indexed="9"/>
      <name val="Arial"/>
      <family val="2"/>
    </font>
    <font>
      <b/>
      <sz val="10"/>
      <color indexed="17"/>
      <name val="Arial"/>
      <family val="2"/>
    </font>
    <font>
      <b/>
      <u/>
      <sz val="10"/>
      <color indexed="17"/>
      <name val="Arial"/>
      <family val="2"/>
    </font>
    <font>
      <b/>
      <u/>
      <sz val="10"/>
      <color indexed="10"/>
      <name val="Arial"/>
      <family val="2"/>
    </font>
    <font>
      <b/>
      <vertAlign val="superscript"/>
      <sz val="8"/>
      <name val="Arial"/>
      <family val="2"/>
    </font>
    <font>
      <sz val="10"/>
      <color indexed="17"/>
      <name val="Arial"/>
      <family val="2"/>
    </font>
    <font>
      <b/>
      <i/>
      <sz val="10"/>
      <color indexed="17"/>
      <name val="Arial"/>
      <family val="2"/>
    </font>
    <font>
      <sz val="8"/>
      <color indexed="10"/>
      <name val="Arial"/>
      <family val="2"/>
    </font>
    <font>
      <b/>
      <i/>
      <sz val="10"/>
      <color indexed="12"/>
      <name val="Arial"/>
      <family val="2"/>
    </font>
    <font>
      <i/>
      <sz val="8"/>
      <name val="Arial"/>
      <family val="2"/>
    </font>
    <font>
      <strike/>
      <sz val="8"/>
      <name val="Arial"/>
      <family val="2"/>
    </font>
    <font>
      <sz val="8"/>
      <color indexed="81"/>
      <name val="Tahoma"/>
      <family val="2"/>
    </font>
    <font>
      <sz val="10"/>
      <color rgb="FF0033CC"/>
      <name val="Arial"/>
      <family val="2"/>
    </font>
    <font>
      <strike/>
      <sz val="10"/>
      <color rgb="FFFF0000"/>
      <name val="Arial"/>
      <family val="2"/>
    </font>
  </fonts>
  <fills count="50">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2"/>
        <bgColor indexed="64"/>
      </patternFill>
    </fill>
    <fill>
      <patternFill patternType="solid">
        <fgColor theme="0" tint="-0.249977111117893"/>
        <bgColor indexed="64"/>
      </patternFill>
    </fill>
    <fill>
      <patternFill patternType="solid">
        <fgColor theme="0"/>
        <bgColor indexed="64"/>
      </patternFill>
    </fill>
    <fill>
      <patternFill patternType="solid">
        <fgColor rgb="FFC6EFCE"/>
      </patternFill>
    </fill>
    <fill>
      <patternFill patternType="solid">
        <fgColor rgb="FFCCFFFF"/>
        <bgColor indexed="64"/>
      </patternFill>
    </fill>
    <fill>
      <patternFill patternType="solid">
        <fgColor theme="2"/>
        <bgColor indexed="64"/>
      </patternFill>
    </fill>
    <fill>
      <patternFill patternType="solid">
        <fgColor indexed="43"/>
        <bgColor indexed="64"/>
      </patternFill>
    </fill>
    <fill>
      <patternFill patternType="solid">
        <fgColor indexed="9"/>
        <bgColor indexed="64"/>
      </patternFill>
    </fill>
    <fill>
      <patternFill patternType="solid">
        <fgColor indexed="17"/>
        <bgColor indexed="64"/>
      </patternFill>
    </fill>
    <fill>
      <patternFill patternType="solid">
        <fgColor rgb="FFFF0000"/>
        <bgColor indexed="64"/>
      </patternFill>
    </fill>
    <fill>
      <patternFill patternType="solid">
        <fgColor rgb="FFC0C0C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5"/>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23"/>
        <bgColor indexed="64"/>
      </patternFill>
    </fill>
    <fill>
      <patternFill patternType="solid">
        <fgColor indexed="10"/>
        <bgColor indexed="64"/>
      </patternFill>
    </fill>
    <fill>
      <patternFill patternType="solid">
        <fgColor indexed="52"/>
        <bgColor indexed="64"/>
      </patternFill>
    </fill>
    <fill>
      <patternFill patternType="solid">
        <fgColor indexed="13"/>
        <bgColor indexed="64"/>
      </patternFill>
    </fill>
    <fill>
      <patternFill patternType="solid">
        <fgColor indexed="11"/>
        <bgColor indexed="64"/>
      </patternFill>
    </fill>
    <fill>
      <patternFill patternType="solid">
        <fgColor indexed="48"/>
        <bgColor indexed="64"/>
      </patternFill>
    </fill>
    <fill>
      <patternFill patternType="solid">
        <fgColor indexed="40"/>
        <bgColor indexed="64"/>
      </patternFill>
    </fill>
    <fill>
      <patternFill patternType="solid">
        <fgColor indexed="12"/>
        <bgColor indexed="64"/>
      </patternFill>
    </fill>
    <fill>
      <patternFill patternType="solid">
        <fgColor theme="8" tint="0.59999389629810485"/>
        <bgColor indexed="64"/>
      </patternFill>
    </fill>
    <fill>
      <patternFill patternType="solid">
        <fgColor indexed="4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indexed="8"/>
        <bgColor indexed="64"/>
      </patternFill>
    </fill>
    <fill>
      <patternFill patternType="solid">
        <fgColor indexed="50"/>
        <bgColor indexed="64"/>
      </patternFill>
    </fill>
    <fill>
      <patternFill patternType="solid">
        <fgColor theme="2"/>
        <bgColor rgb="FF000000"/>
      </patternFill>
    </fill>
  </fills>
  <borders count="87">
    <border>
      <left/>
      <right/>
      <top/>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D0D7E5"/>
      </left>
      <right style="thin">
        <color rgb="FFD0D7E5"/>
      </right>
      <top/>
      <bottom style="thin">
        <color rgb="FFD0D7E5"/>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2"/>
      </left>
      <right/>
      <top style="medium">
        <color indexed="62"/>
      </top>
      <bottom/>
      <diagonal/>
    </border>
    <border>
      <left/>
      <right/>
      <top style="medium">
        <color indexed="62"/>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double">
        <color indexed="8"/>
      </bottom>
      <diagonal/>
    </border>
    <border>
      <left/>
      <right/>
      <top style="thin">
        <color indexed="64"/>
      </top>
      <bottom style="double">
        <color indexed="8"/>
      </bottom>
      <diagonal/>
    </border>
    <border>
      <left/>
      <right style="thin">
        <color indexed="64"/>
      </right>
      <top style="thin">
        <color indexed="64"/>
      </top>
      <bottom style="double">
        <color indexed="8"/>
      </bottom>
      <diagonal/>
    </border>
    <border>
      <left style="medium">
        <color indexed="64"/>
      </left>
      <right/>
      <top style="double">
        <color indexed="8"/>
      </top>
      <bottom/>
      <diagonal/>
    </border>
    <border>
      <left/>
      <right/>
      <top style="double">
        <color indexed="8"/>
      </top>
      <bottom/>
      <diagonal/>
    </border>
    <border>
      <left/>
      <right style="thin">
        <color indexed="8"/>
      </right>
      <top style="double">
        <color indexed="8"/>
      </top>
      <bottom/>
      <diagonal/>
    </border>
    <border>
      <left style="thin">
        <color indexed="8"/>
      </left>
      <right style="thin">
        <color indexed="8"/>
      </right>
      <top style="double">
        <color indexed="8"/>
      </top>
      <bottom/>
      <diagonal/>
    </border>
    <border>
      <left style="thin">
        <color indexed="8"/>
      </left>
      <right style="medium">
        <color indexed="64"/>
      </right>
      <top style="double">
        <color indexed="8"/>
      </top>
      <bottom/>
      <diagonal/>
    </border>
    <border>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ashed">
        <color auto="1"/>
      </left>
      <right style="dashed">
        <color auto="1"/>
      </right>
      <top style="dashed">
        <color auto="1"/>
      </top>
      <bottom style="dashed">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dashed">
        <color auto="1"/>
      </left>
      <right style="dashed">
        <color auto="1"/>
      </right>
      <top/>
      <bottom style="dashed">
        <color auto="1"/>
      </bottom>
      <diagonal/>
    </border>
    <border>
      <left style="thin">
        <color auto="1"/>
      </left>
      <right style="dashed">
        <color auto="1"/>
      </right>
      <top style="dashed">
        <color auto="1"/>
      </top>
      <bottom style="dashed">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bottom/>
      <diagonal/>
    </border>
    <border>
      <left/>
      <right style="thin">
        <color indexed="64"/>
      </right>
      <top style="medium">
        <color indexed="64"/>
      </top>
      <bottom/>
      <diagonal/>
    </border>
    <border>
      <left style="thin">
        <color indexed="8"/>
      </left>
      <right style="thin">
        <color indexed="8"/>
      </right>
      <top style="thin">
        <color indexed="64"/>
      </top>
      <bottom style="double">
        <color indexed="8"/>
      </bottom>
      <diagonal/>
    </border>
    <border>
      <left/>
      <right style="thin">
        <color indexed="8"/>
      </right>
      <top style="thin">
        <color indexed="64"/>
      </top>
      <bottom style="double">
        <color indexed="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94">
    <xf numFmtId="0" fontId="0" fillId="0" borderId="0"/>
    <xf numFmtId="0" fontId="5" fillId="0" borderId="0"/>
    <xf numFmtId="43" fontId="5" fillId="0" borderId="0" applyFont="0" applyFill="0" applyBorder="0" applyAlignment="0" applyProtection="0"/>
    <xf numFmtId="0" fontId="5" fillId="0" borderId="0"/>
    <xf numFmtId="0" fontId="13" fillId="0" borderId="0" applyNumberFormat="0" applyFill="0" applyBorder="0" applyAlignment="0" applyProtection="0">
      <alignment vertical="top"/>
      <protection locked="0"/>
    </xf>
    <xf numFmtId="44" fontId="14" fillId="0" borderId="0" applyFont="0" applyFill="0" applyBorder="0" applyAlignment="0" applyProtection="0"/>
    <xf numFmtId="9" fontId="14" fillId="0" borderId="0" applyFont="0" applyFill="0" applyBorder="0" applyAlignment="0" applyProtection="0"/>
    <xf numFmtId="0" fontId="15" fillId="7" borderId="0" applyNumberFormat="0" applyBorder="0" applyAlignment="0" applyProtection="0"/>
    <xf numFmtId="0" fontId="14"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5" fillId="0" borderId="0" applyNumberFormat="0" applyFill="0" applyBorder="0" applyAlignment="0" applyProtection="0">
      <alignment vertical="top"/>
      <protection locked="0"/>
    </xf>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3" fillId="0" borderId="0" applyNumberFormat="0" applyFill="0" applyBorder="0" applyAlignment="0" applyProtection="0">
      <alignment vertical="top"/>
      <protection locked="0"/>
    </xf>
    <xf numFmtId="0" fontId="5" fillId="0" borderId="0"/>
    <xf numFmtId="37" fontId="65" fillId="0" borderId="0"/>
    <xf numFmtId="0" fontId="1" fillId="0" borderId="0"/>
    <xf numFmtId="0" fontId="78" fillId="15" borderId="0" applyNumberFormat="0" applyBorder="0" applyAlignment="0" applyProtection="0"/>
    <xf numFmtId="0" fontId="78" fillId="16" borderId="0" applyNumberFormat="0" applyBorder="0" applyAlignment="0" applyProtection="0"/>
    <xf numFmtId="0" fontId="78" fillId="17" borderId="0" applyNumberFormat="0" applyBorder="0" applyAlignment="0" applyProtection="0"/>
    <xf numFmtId="0" fontId="78" fillId="18" borderId="0" applyNumberFormat="0" applyBorder="0" applyAlignment="0" applyProtection="0"/>
    <xf numFmtId="0" fontId="78" fillId="19" borderId="0" applyNumberFormat="0" applyBorder="0" applyAlignment="0" applyProtection="0"/>
    <xf numFmtId="0" fontId="78" fillId="17" borderId="0" applyNumberFormat="0" applyBorder="0" applyAlignment="0" applyProtection="0"/>
    <xf numFmtId="0" fontId="78" fillId="19" borderId="0" applyNumberFormat="0" applyBorder="0" applyAlignment="0" applyProtection="0"/>
    <xf numFmtId="0" fontId="78" fillId="16"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78" fillId="19" borderId="0" applyNumberFormat="0" applyBorder="0" applyAlignment="0" applyProtection="0"/>
    <xf numFmtId="0" fontId="78" fillId="17" borderId="0" applyNumberFormat="0" applyBorder="0" applyAlignment="0" applyProtection="0"/>
    <xf numFmtId="0" fontId="79" fillId="19"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1" borderId="0" applyNumberFormat="0" applyBorder="0" applyAlignment="0" applyProtection="0"/>
    <xf numFmtId="0" fontId="79" fillId="19" borderId="0" applyNumberFormat="0" applyBorder="0" applyAlignment="0" applyProtection="0"/>
    <xf numFmtId="0" fontId="79" fillId="16" borderId="0" applyNumberFormat="0" applyBorder="0" applyAlignment="0" applyProtection="0"/>
    <xf numFmtId="0" fontId="79" fillId="24"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79" fillId="27" borderId="0" applyNumberFormat="0" applyBorder="0" applyAlignment="0" applyProtection="0"/>
    <xf numFmtId="0" fontId="80" fillId="28" borderId="0" applyNumberFormat="0" applyBorder="0" applyAlignment="0" applyProtection="0"/>
    <xf numFmtId="0" fontId="81" fillId="29" borderId="60" applyNumberFormat="0" applyAlignment="0" applyProtection="0"/>
    <xf numFmtId="0" fontId="81" fillId="29" borderId="60" applyNumberFormat="0" applyAlignment="0" applyProtection="0"/>
    <xf numFmtId="0" fontId="82" fillId="30" borderId="61" applyNumberFormat="0" applyAlignment="0" applyProtection="0"/>
    <xf numFmtId="173" fontId="65" fillId="0" borderId="0"/>
    <xf numFmtId="37" fontId="83" fillId="31" borderId="0"/>
    <xf numFmtId="0" fontId="84" fillId="0" borderId="0" applyNumberFormat="0" applyFill="0" applyBorder="0" applyAlignment="0" applyProtection="0"/>
    <xf numFmtId="0" fontId="85" fillId="19" borderId="0" applyNumberFormat="0" applyBorder="0" applyAlignment="0" applyProtection="0"/>
    <xf numFmtId="0" fontId="86" fillId="0" borderId="62" applyNumberFormat="0" applyFill="0" applyAlignment="0" applyProtection="0"/>
    <xf numFmtId="0" fontId="87" fillId="0" borderId="63" applyNumberFormat="0" applyFill="0" applyAlignment="0" applyProtection="0"/>
    <xf numFmtId="0" fontId="88" fillId="0" borderId="64" applyNumberFormat="0" applyFill="0" applyAlignment="0" applyProtection="0"/>
    <xf numFmtId="0" fontId="88" fillId="0" borderId="0" applyNumberFormat="0" applyFill="0" applyBorder="0" applyAlignment="0" applyProtection="0"/>
    <xf numFmtId="0" fontId="89" fillId="20" borderId="60" applyNumberFormat="0" applyAlignment="0" applyProtection="0"/>
    <xf numFmtId="0" fontId="89" fillId="20" borderId="60" applyNumberFormat="0" applyAlignment="0" applyProtection="0"/>
    <xf numFmtId="0" fontId="90" fillId="0" borderId="65" applyNumberFormat="0" applyFill="0" applyAlignment="0" applyProtection="0"/>
    <xf numFmtId="0" fontId="91" fillId="20" borderId="0" applyNumberFormat="0" applyBorder="0" applyAlignment="0" applyProtection="0"/>
    <xf numFmtId="0" fontId="5" fillId="0" borderId="0"/>
    <xf numFmtId="0" fontId="1" fillId="0" borderId="0"/>
    <xf numFmtId="0" fontId="5" fillId="0" borderId="0"/>
    <xf numFmtId="0" fontId="5" fillId="0" borderId="0"/>
    <xf numFmtId="0" fontId="65" fillId="17" borderId="66" applyNumberFormat="0" applyFont="0" applyAlignment="0" applyProtection="0"/>
    <xf numFmtId="0" fontId="65" fillId="17" borderId="66" applyNumberFormat="0" applyFont="0" applyAlignment="0" applyProtection="0"/>
    <xf numFmtId="41" fontId="92" fillId="0" borderId="0"/>
    <xf numFmtId="0" fontId="93" fillId="29" borderId="67" applyNumberFormat="0" applyAlignment="0" applyProtection="0"/>
    <xf numFmtId="0" fontId="93" fillId="29" borderId="67" applyNumberFormat="0" applyAlignment="0" applyProtection="0"/>
    <xf numFmtId="9" fontId="5" fillId="0" borderId="0" applyFont="0" applyFill="0" applyBorder="0" applyAlignment="0" applyProtection="0"/>
    <xf numFmtId="0" fontId="94" fillId="0" borderId="0" applyNumberFormat="0" applyFill="0" applyBorder="0" applyAlignment="0" applyProtection="0"/>
    <xf numFmtId="0" fontId="95" fillId="0" borderId="68" applyNumberFormat="0" applyFill="0" applyAlignment="0" applyProtection="0"/>
    <xf numFmtId="0" fontId="95" fillId="0" borderId="68" applyNumberFormat="0" applyFill="0" applyAlignment="0" applyProtection="0"/>
    <xf numFmtId="37" fontId="96" fillId="0" borderId="0">
      <alignment horizontal="center"/>
    </xf>
    <xf numFmtId="0" fontId="90" fillId="0" borderId="0" applyNumberFormat="0" applyFill="0" applyBorder="0" applyAlignment="0" applyProtection="0"/>
    <xf numFmtId="0" fontId="99" fillId="0" borderId="0"/>
    <xf numFmtId="0" fontId="5" fillId="0" borderId="0"/>
    <xf numFmtId="0" fontId="1" fillId="0" borderId="0"/>
    <xf numFmtId="0" fontId="99" fillId="0" borderId="0"/>
    <xf numFmtId="43" fontId="1" fillId="0" borderId="0" applyFont="0" applyFill="0" applyBorder="0" applyAlignment="0" applyProtection="0"/>
    <xf numFmtId="174" fontId="109" fillId="0" borderId="0"/>
    <xf numFmtId="0" fontId="110" fillId="0" borderId="0" applyNumberFormat="0" applyFill="0" applyBorder="0" applyAlignment="0" applyProtection="0">
      <alignment vertical="top"/>
      <protection locked="0"/>
    </xf>
    <xf numFmtId="43" fontId="5" fillId="0" borderId="0" applyFont="0" applyFill="0" applyBorder="0" applyAlignment="0" applyProtection="0"/>
  </cellStyleXfs>
  <cellXfs count="2235">
    <xf numFmtId="0" fontId="0" fillId="0" borderId="0" xfId="0"/>
    <xf numFmtId="0" fontId="4" fillId="0" borderId="0" xfId="0" applyFont="1" applyAlignment="1">
      <alignment horizontal="left"/>
    </xf>
    <xf numFmtId="0" fontId="5" fillId="0" borderId="0" xfId="0" applyFont="1"/>
    <xf numFmtId="0" fontId="9" fillId="0" borderId="0" xfId="0" applyFont="1" applyAlignment="1">
      <alignment horizontal="left"/>
    </xf>
    <xf numFmtId="0" fontId="9" fillId="0" borderId="0" xfId="0" applyFont="1" applyAlignment="1">
      <alignment horizontal="center"/>
    </xf>
    <xf numFmtId="0" fontId="3" fillId="0" borderId="0" xfId="0" applyFont="1"/>
    <xf numFmtId="0" fontId="5" fillId="2" borderId="0" xfId="0" applyFont="1" applyFill="1"/>
    <xf numFmtId="0" fontId="5" fillId="3" borderId="0" xfId="0" applyFont="1" applyFill="1" applyBorder="1" applyAlignment="1">
      <alignment horizontal="center"/>
    </xf>
    <xf numFmtId="0" fontId="9" fillId="3" borderId="1" xfId="0" applyFont="1" applyFill="1" applyBorder="1" applyAlignment="1">
      <alignment horizontal="center"/>
    </xf>
    <xf numFmtId="0" fontId="9" fillId="3" borderId="2" xfId="0" applyFont="1" applyFill="1" applyBorder="1" applyAlignment="1">
      <alignment horizontal="center"/>
    </xf>
    <xf numFmtId="0" fontId="5" fillId="3" borderId="2" xfId="0" applyFont="1" applyFill="1" applyBorder="1" applyAlignment="1">
      <alignment horizontal="center"/>
    </xf>
    <xf numFmtId="0" fontId="5" fillId="4" borderId="3" xfId="0" applyFont="1" applyFill="1" applyBorder="1"/>
    <xf numFmtId="0" fontId="5" fillId="4" borderId="3" xfId="0" applyFont="1" applyFill="1" applyBorder="1" applyAlignment="1">
      <alignment horizontal="left"/>
    </xf>
    <xf numFmtId="0" fontId="2" fillId="4" borderId="3" xfId="0" applyFont="1" applyFill="1" applyBorder="1" applyAlignment="1">
      <alignment horizontal="center"/>
    </xf>
    <xf numFmtId="0" fontId="2" fillId="4" borderId="4" xfId="0" applyFont="1" applyFill="1" applyBorder="1" applyAlignment="1">
      <alignment horizontal="center"/>
    </xf>
    <xf numFmtId="0" fontId="5" fillId="4" borderId="5" xfId="0" applyFont="1" applyFill="1" applyBorder="1" applyAlignment="1">
      <alignment horizontal="left"/>
    </xf>
    <xf numFmtId="0" fontId="5" fillId="4" borderId="0" xfId="0" applyFont="1" applyFill="1" applyBorder="1"/>
    <xf numFmtId="0" fontId="2" fillId="4" borderId="0" xfId="0" applyFont="1" applyFill="1" applyBorder="1" applyAlignment="1">
      <alignment horizontal="center"/>
    </xf>
    <xf numFmtId="0" fontId="2" fillId="4" borderId="6" xfId="0" applyFont="1" applyFill="1" applyBorder="1" applyAlignment="1">
      <alignment horizontal="center"/>
    </xf>
    <xf numFmtId="0" fontId="5" fillId="4" borderId="5" xfId="0" applyFont="1" applyFill="1" applyBorder="1"/>
    <xf numFmtId="0" fontId="7" fillId="4" borderId="5" xfId="0" applyFont="1" applyFill="1" applyBorder="1" applyAlignment="1">
      <alignment horizontal="left"/>
    </xf>
    <xf numFmtId="0" fontId="7" fillId="4" borderId="0" xfId="0" applyFont="1" applyFill="1" applyBorder="1" applyAlignment="1">
      <alignment horizontal="center"/>
    </xf>
    <xf numFmtId="0" fontId="8" fillId="4" borderId="0" xfId="0" applyFont="1" applyFill="1" applyBorder="1" applyAlignment="1">
      <alignment horizontal="center"/>
    </xf>
    <xf numFmtId="0" fontId="8" fillId="4" borderId="6" xfId="0" applyFont="1" applyFill="1" applyBorder="1" applyAlignment="1">
      <alignment horizontal="center"/>
    </xf>
    <xf numFmtId="164" fontId="5" fillId="4" borderId="0" xfId="0" applyNumberFormat="1" applyFont="1" applyFill="1" applyBorder="1" applyAlignment="1">
      <alignment horizontal="center"/>
    </xf>
    <xf numFmtId="9" fontId="10" fillId="4" borderId="0" xfId="0" applyNumberFormat="1" applyFont="1" applyFill="1" applyBorder="1" applyAlignment="1">
      <alignment horizontal="center"/>
    </xf>
    <xf numFmtId="0" fontId="5" fillId="4" borderId="1" xfId="0" applyFont="1" applyFill="1" applyBorder="1"/>
    <xf numFmtId="0" fontId="5" fillId="4" borderId="2" xfId="0" applyFont="1" applyFill="1" applyBorder="1"/>
    <xf numFmtId="0" fontId="0" fillId="4" borderId="2" xfId="0" applyFill="1" applyBorder="1"/>
    <xf numFmtId="0" fontId="8" fillId="2" borderId="7" xfId="0" applyFont="1" applyFill="1" applyBorder="1" applyAlignment="1">
      <alignment horizontal="left"/>
    </xf>
    <xf numFmtId="0" fontId="2" fillId="2" borderId="3" xfId="0" applyFont="1" applyFill="1" applyBorder="1" applyAlignment="1">
      <alignment horizontal="left"/>
    </xf>
    <xf numFmtId="0" fontId="5" fillId="2" borderId="3" xfId="0" applyFont="1" applyFill="1" applyBorder="1"/>
    <xf numFmtId="0" fontId="5" fillId="2" borderId="4" xfId="0" applyFont="1" applyFill="1" applyBorder="1"/>
    <xf numFmtId="0" fontId="9" fillId="2" borderId="5" xfId="0" applyFont="1" applyFill="1" applyBorder="1" applyAlignment="1">
      <alignment horizontal="left"/>
    </xf>
    <xf numFmtId="0" fontId="2" fillId="2" borderId="0" xfId="0" applyFont="1" applyFill="1" applyBorder="1" applyAlignment="1">
      <alignment horizontal="left"/>
    </xf>
    <xf numFmtId="0" fontId="5" fillId="2" borderId="0" xfId="0" applyFont="1" applyFill="1" applyBorder="1"/>
    <xf numFmtId="0" fontId="5" fillId="2" borderId="6" xfId="0" applyFont="1" applyFill="1" applyBorder="1"/>
    <xf numFmtId="0" fontId="5" fillId="2" borderId="5" xfId="0" applyFont="1" applyFill="1" applyBorder="1" applyAlignment="1">
      <alignment horizontal="left"/>
    </xf>
    <xf numFmtId="0" fontId="2" fillId="2" borderId="5" xfId="0" applyFont="1" applyFill="1" applyBorder="1" applyAlignment="1">
      <alignment horizontal="left"/>
    </xf>
    <xf numFmtId="0" fontId="9" fillId="2" borderId="0" xfId="0" applyFont="1" applyFill="1" applyBorder="1"/>
    <xf numFmtId="0" fontId="5" fillId="2" borderId="5" xfId="0" applyFont="1" applyFill="1" applyBorder="1"/>
    <xf numFmtId="0" fontId="5" fillId="2" borderId="0" xfId="0" applyFont="1" applyFill="1" applyBorder="1" applyAlignment="1">
      <alignment horizontal="left"/>
    </xf>
    <xf numFmtId="0" fontId="8" fillId="2" borderId="5" xfId="0" applyFont="1" applyFill="1" applyBorder="1" applyAlignment="1">
      <alignment horizontal="left"/>
    </xf>
    <xf numFmtId="0" fontId="2" fillId="2" borderId="1" xfId="0" applyFont="1" applyFill="1" applyBorder="1"/>
    <xf numFmtId="0" fontId="5" fillId="2" borderId="2" xfId="0" applyFont="1" applyFill="1" applyBorder="1"/>
    <xf numFmtId="0" fontId="7" fillId="2" borderId="6" xfId="0" applyFont="1" applyFill="1" applyBorder="1"/>
    <xf numFmtId="164" fontId="9" fillId="2" borderId="6" xfId="0" applyNumberFormat="1" applyFont="1" applyFill="1" applyBorder="1"/>
    <xf numFmtId="164" fontId="5" fillId="2" borderId="6" xfId="0" applyNumberFormat="1" applyFont="1" applyFill="1" applyBorder="1"/>
    <xf numFmtId="164" fontId="9" fillId="2" borderId="6" xfId="0" quotePrefix="1" applyNumberFormat="1" applyFont="1" applyFill="1" applyBorder="1"/>
    <xf numFmtId="0" fontId="5" fillId="0" borderId="0" xfId="0" applyFont="1" applyFill="1" applyBorder="1"/>
    <xf numFmtId="0" fontId="4" fillId="0" borderId="0" xfId="0" applyFont="1" applyFill="1" applyBorder="1" applyAlignment="1">
      <alignment horizontal="left"/>
    </xf>
    <xf numFmtId="164" fontId="2" fillId="4" borderId="2" xfId="0" applyNumberFormat="1" applyFont="1" applyFill="1" applyBorder="1" applyAlignment="1">
      <alignment horizontal="center"/>
    </xf>
    <xf numFmtId="164" fontId="2" fillId="2" borderId="8" xfId="0" applyNumberFormat="1" applyFont="1" applyFill="1" applyBorder="1"/>
    <xf numFmtId="0" fontId="9" fillId="3" borderId="0" xfId="0" applyFont="1" applyFill="1" applyBorder="1" applyAlignment="1">
      <alignment horizontal="center"/>
    </xf>
    <xf numFmtId="0" fontId="9" fillId="3" borderId="5" xfId="0" applyFont="1" applyFill="1" applyBorder="1" applyAlignment="1">
      <alignment horizontal="center"/>
    </xf>
    <xf numFmtId="0" fontId="5" fillId="4" borderId="7" xfId="0" applyFont="1" applyFill="1" applyBorder="1" applyAlignment="1">
      <alignment horizontal="left"/>
    </xf>
    <xf numFmtId="8" fontId="5" fillId="0" borderId="0" xfId="0" applyNumberFormat="1" applyFont="1"/>
    <xf numFmtId="6" fontId="5" fillId="0" borderId="0" xfId="0" applyNumberFormat="1" applyFont="1"/>
    <xf numFmtId="0" fontId="5" fillId="2" borderId="0" xfId="0" applyFont="1" applyFill="1" applyBorder="1" applyAlignment="1">
      <alignment horizontal="right"/>
    </xf>
    <xf numFmtId="7" fontId="2" fillId="2" borderId="0" xfId="0" applyNumberFormat="1" applyFont="1" applyFill="1" applyAlignment="1" applyProtection="1">
      <alignment horizontal="right"/>
    </xf>
    <xf numFmtId="3" fontId="9" fillId="2" borderId="0" xfId="0" applyNumberFormat="1" applyFont="1" applyFill="1" applyBorder="1"/>
    <xf numFmtId="49" fontId="5" fillId="0" borderId="0" xfId="0" applyNumberFormat="1" applyFont="1" applyFill="1" applyBorder="1" applyAlignment="1">
      <alignment horizontal="center"/>
    </xf>
    <xf numFmtId="49" fontId="5" fillId="2" borderId="5" xfId="0" applyNumberFormat="1" applyFont="1" applyFill="1" applyBorder="1" applyAlignment="1">
      <alignment horizontal="left"/>
    </xf>
    <xf numFmtId="0" fontId="9" fillId="2" borderId="0" xfId="0" applyFont="1" applyFill="1" applyAlignment="1">
      <alignment horizontal="center"/>
    </xf>
    <xf numFmtId="49" fontId="5" fillId="0" borderId="0" xfId="0" applyNumberFormat="1" applyFont="1" applyBorder="1" applyAlignment="1">
      <alignment horizontal="center"/>
    </xf>
    <xf numFmtId="49" fontId="5" fillId="0" borderId="0" xfId="0" applyNumberFormat="1" applyFont="1" applyAlignment="1">
      <alignment horizontal="center"/>
    </xf>
    <xf numFmtId="165" fontId="5" fillId="2" borderId="0" xfId="0" applyNumberFormat="1" applyFont="1" applyFill="1" applyBorder="1"/>
    <xf numFmtId="0" fontId="5" fillId="4" borderId="0" xfId="0" applyFont="1" applyFill="1" applyBorder="1" applyAlignment="1">
      <alignment horizontal="left"/>
    </xf>
    <xf numFmtId="49" fontId="2" fillId="3" borderId="7" xfId="0" applyNumberFormat="1" applyFont="1" applyFill="1" applyBorder="1" applyAlignment="1">
      <alignment horizontal="center"/>
    </xf>
    <xf numFmtId="49" fontId="2" fillId="3" borderId="3" xfId="0" applyNumberFormat="1" applyFont="1" applyFill="1" applyBorder="1" applyAlignment="1">
      <alignment horizontal="center"/>
    </xf>
    <xf numFmtId="49" fontId="5" fillId="3" borderId="3" xfId="0" applyNumberFormat="1" applyFont="1" applyFill="1" applyBorder="1" applyAlignment="1">
      <alignment horizontal="center"/>
    </xf>
    <xf numFmtId="49" fontId="8" fillId="3" borderId="5" xfId="0" applyNumberFormat="1" applyFont="1" applyFill="1" applyBorder="1" applyAlignment="1">
      <alignment horizontal="center"/>
    </xf>
    <xf numFmtId="49" fontId="8" fillId="3" borderId="0" xfId="0" applyNumberFormat="1" applyFont="1" applyFill="1" applyBorder="1" applyAlignment="1">
      <alignment horizontal="center"/>
    </xf>
    <xf numFmtId="164" fontId="0" fillId="4" borderId="0" xfId="0" applyNumberFormat="1" applyFill="1" applyBorder="1" applyAlignment="1">
      <alignment horizontal="center"/>
    </xf>
    <xf numFmtId="164" fontId="0" fillId="4" borderId="6" xfId="0" applyNumberFormat="1" applyFill="1" applyBorder="1" applyAlignment="1">
      <alignment horizontal="center"/>
    </xf>
    <xf numFmtId="164" fontId="6" fillId="4" borderId="0" xfId="0" applyNumberFormat="1" applyFont="1" applyFill="1" applyBorder="1" applyAlignment="1">
      <alignment horizontal="center"/>
    </xf>
    <xf numFmtId="164" fontId="6" fillId="4" borderId="6" xfId="0" applyNumberFormat="1" applyFont="1" applyFill="1" applyBorder="1" applyAlignment="1">
      <alignment horizontal="center"/>
    </xf>
    <xf numFmtId="164" fontId="2" fillId="4" borderId="8" xfId="0" applyNumberFormat="1" applyFont="1" applyFill="1" applyBorder="1" applyAlignment="1">
      <alignment horizontal="center"/>
    </xf>
    <xf numFmtId="0" fontId="7" fillId="2" borderId="0" xfId="0" applyFont="1" applyFill="1" applyBorder="1"/>
    <xf numFmtId="0" fontId="5" fillId="0" borderId="0" xfId="0" applyFont="1" applyAlignment="1">
      <alignment horizontal="center"/>
    </xf>
    <xf numFmtId="164" fontId="2" fillId="0" borderId="0" xfId="0" applyNumberFormat="1" applyFont="1" applyFill="1" applyBorder="1" applyAlignment="1">
      <alignment horizontal="center"/>
    </xf>
    <xf numFmtId="0" fontId="0" fillId="0" borderId="0" xfId="0" applyFill="1" applyBorder="1"/>
    <xf numFmtId="0" fontId="5" fillId="0" borderId="0" xfId="0" applyFont="1" applyFill="1"/>
    <xf numFmtId="49" fontId="2" fillId="3" borderId="4" xfId="0" applyNumberFormat="1" applyFont="1" applyFill="1" applyBorder="1" applyAlignment="1">
      <alignment horizontal="center"/>
    </xf>
    <xf numFmtId="49" fontId="8" fillId="3" borderId="6" xfId="0" applyNumberFormat="1" applyFont="1" applyFill="1" applyBorder="1" applyAlignment="1">
      <alignment horizontal="center"/>
    </xf>
    <xf numFmtId="164" fontId="5" fillId="3" borderId="6" xfId="0" applyNumberFormat="1" applyFont="1" applyFill="1" applyBorder="1" applyAlignment="1">
      <alignment horizontal="center"/>
    </xf>
    <xf numFmtId="164" fontId="5" fillId="3" borderId="8" xfId="0" applyNumberFormat="1" applyFont="1" applyFill="1" applyBorder="1" applyAlignment="1">
      <alignment horizontal="center"/>
    </xf>
    <xf numFmtId="0" fontId="2" fillId="0" borderId="0" xfId="0" applyFont="1" applyFill="1" applyBorder="1" applyAlignment="1">
      <alignment horizontal="center"/>
    </xf>
    <xf numFmtId="0" fontId="8" fillId="0" borderId="0" xfId="0" applyFont="1" applyFill="1" applyBorder="1" applyAlignment="1">
      <alignment horizontal="center"/>
    </xf>
    <xf numFmtId="0" fontId="5" fillId="0" borderId="0" xfId="0" applyFont="1" applyFill="1" applyBorder="1" applyAlignment="1">
      <alignment horizontal="center"/>
    </xf>
    <xf numFmtId="0" fontId="5" fillId="2" borderId="0" xfId="0" applyFont="1" applyFill="1" applyBorder="1" applyAlignment="1">
      <alignment horizontal="right" vertical="top"/>
    </xf>
    <xf numFmtId="0" fontId="5" fillId="2" borderId="5" xfId="0" applyFont="1" applyFill="1" applyBorder="1" applyAlignment="1">
      <alignment horizontal="left" vertical="top"/>
    </xf>
    <xf numFmtId="0" fontId="9" fillId="2" borderId="0" xfId="0" applyFont="1" applyFill="1" applyBorder="1" applyAlignment="1">
      <alignment horizontal="left"/>
    </xf>
    <xf numFmtId="9" fontId="9" fillId="2" borderId="0" xfId="0" applyNumberFormat="1" applyFont="1" applyFill="1" applyBorder="1" applyAlignment="1">
      <alignment horizontal="left"/>
    </xf>
    <xf numFmtId="0" fontId="11" fillId="0" borderId="0" xfId="0" applyFont="1" applyAlignment="1">
      <alignment horizontal="center"/>
    </xf>
    <xf numFmtId="0" fontId="11" fillId="2" borderId="0" xfId="0" applyFont="1" applyFill="1" applyBorder="1" applyAlignment="1">
      <alignment horizontal="left" wrapText="1"/>
    </xf>
    <xf numFmtId="0" fontId="8" fillId="2" borderId="6" xfId="0" applyFont="1" applyFill="1" applyBorder="1" applyAlignment="1">
      <alignment horizontal="right" vertical="center"/>
    </xf>
    <xf numFmtId="0" fontId="5" fillId="5" borderId="0" xfId="0" applyFont="1" applyFill="1" applyAlignment="1">
      <alignment wrapText="1"/>
    </xf>
    <xf numFmtId="0" fontId="5" fillId="0" borderId="0" xfId="0" applyFont="1" applyAlignment="1">
      <alignment wrapText="1"/>
    </xf>
    <xf numFmtId="0" fontId="11" fillId="2" borderId="0" xfId="0" applyFont="1" applyFill="1" applyBorder="1" applyAlignment="1">
      <alignment horizontal="left" wrapText="1"/>
    </xf>
    <xf numFmtId="0" fontId="5" fillId="0" borderId="0" xfId="0" applyFont="1" applyAlignment="1">
      <alignment wrapText="1"/>
    </xf>
    <xf numFmtId="0" fontId="5" fillId="5" borderId="5" xfId="0" applyFont="1" applyFill="1" applyBorder="1" applyAlignment="1">
      <alignment horizontal="left" wrapText="1"/>
    </xf>
    <xf numFmtId="0" fontId="5" fillId="5" borderId="0" xfId="0" applyFont="1" applyFill="1"/>
    <xf numFmtId="0" fontId="5" fillId="5" borderId="9" xfId="0" applyFont="1" applyFill="1" applyBorder="1" applyAlignment="1">
      <alignment vertical="center"/>
    </xf>
    <xf numFmtId="0" fontId="5" fillId="5" borderId="9" xfId="0" applyFont="1" applyFill="1" applyBorder="1" applyAlignment="1">
      <alignment horizontal="right" vertical="center"/>
    </xf>
    <xf numFmtId="0" fontId="5" fillId="5" borderId="0" xfId="0" applyFont="1" applyFill="1" applyAlignment="1">
      <alignment horizontal="right" wrapText="1"/>
    </xf>
    <xf numFmtId="6" fontId="5" fillId="5" borderId="0" xfId="0" applyNumberFormat="1" applyFont="1" applyFill="1" applyAlignment="1">
      <alignment wrapText="1"/>
    </xf>
    <xf numFmtId="0" fontId="5" fillId="0" borderId="0" xfId="0" applyFont="1" applyAlignment="1">
      <alignment horizontal="center" wrapText="1"/>
    </xf>
    <xf numFmtId="49" fontId="5" fillId="3" borderId="3" xfId="0" applyNumberFormat="1" applyFont="1" applyFill="1" applyBorder="1" applyAlignment="1">
      <alignment horizontal="center" wrapText="1"/>
    </xf>
    <xf numFmtId="49" fontId="8" fillId="3" borderId="0" xfId="0" applyNumberFormat="1" applyFont="1" applyFill="1" applyBorder="1" applyAlignment="1">
      <alignment horizontal="center" wrapText="1"/>
    </xf>
    <xf numFmtId="0" fontId="9" fillId="3" borderId="0" xfId="0" applyFont="1" applyFill="1" applyBorder="1" applyAlignment="1">
      <alignment horizontal="center" wrapText="1"/>
    </xf>
    <xf numFmtId="0" fontId="9" fillId="3" borderId="2" xfId="0" applyFont="1" applyFill="1" applyBorder="1" applyAlignment="1">
      <alignment horizontal="center" wrapText="1"/>
    </xf>
    <xf numFmtId="0" fontId="5" fillId="0" borderId="0" xfId="0" applyFont="1" applyAlignment="1">
      <alignment horizontal="left"/>
    </xf>
    <xf numFmtId="0" fontId="12" fillId="6" borderId="0" xfId="0" applyFont="1" applyFill="1" applyBorder="1" applyAlignment="1">
      <alignment horizontal="left" vertical="center" wrapText="1"/>
    </xf>
    <xf numFmtId="0" fontId="13" fillId="0" borderId="0" xfId="4" applyAlignment="1" applyProtection="1"/>
    <xf numFmtId="0" fontId="11" fillId="2" borderId="0" xfId="0" applyFont="1" applyFill="1" applyBorder="1" applyAlignment="1">
      <alignment horizontal="left" wrapText="1"/>
    </xf>
    <xf numFmtId="0" fontId="9" fillId="2" borderId="0" xfId="0" applyFont="1" applyFill="1" applyBorder="1" applyAlignment="1">
      <alignment wrapText="1"/>
    </xf>
    <xf numFmtId="0" fontId="5" fillId="2" borderId="5" xfId="0" applyFont="1" applyFill="1" applyBorder="1" applyAlignment="1">
      <alignment horizontal="left" wrapText="1"/>
    </xf>
    <xf numFmtId="0" fontId="4" fillId="0" borderId="2" xfId="0" applyFont="1" applyBorder="1" applyAlignment="1">
      <alignment horizontal="left"/>
    </xf>
    <xf numFmtId="0" fontId="5" fillId="0" borderId="2" xfId="0" applyFont="1" applyBorder="1"/>
    <xf numFmtId="49" fontId="8" fillId="3" borderId="7" xfId="0" applyNumberFormat="1" applyFont="1" applyFill="1" applyBorder="1" applyAlignment="1">
      <alignment horizontal="center" wrapText="1"/>
    </xf>
    <xf numFmtId="49" fontId="8" fillId="3" borderId="3" xfId="0" applyNumberFormat="1" applyFont="1" applyFill="1" applyBorder="1" applyAlignment="1">
      <alignment horizontal="center"/>
    </xf>
    <xf numFmtId="49" fontId="8" fillId="3" borderId="3" xfId="0" applyNumberFormat="1" applyFont="1" applyFill="1" applyBorder="1" applyAlignment="1">
      <alignment horizontal="center" wrapText="1"/>
    </xf>
    <xf numFmtId="49" fontId="8" fillId="3" borderId="4" xfId="0" applyNumberFormat="1" applyFont="1" applyFill="1" applyBorder="1" applyAlignment="1">
      <alignment horizontal="center" wrapText="1"/>
    </xf>
    <xf numFmtId="0" fontId="8" fillId="0" borderId="0" xfId="0" applyFont="1" applyFill="1" applyBorder="1" applyAlignment="1">
      <alignment horizontal="center" wrapText="1"/>
    </xf>
    <xf numFmtId="49" fontId="9" fillId="3" borderId="0" xfId="0" applyNumberFormat="1" applyFont="1" applyFill="1" applyBorder="1" applyAlignment="1">
      <alignment horizontal="center" wrapText="1"/>
    </xf>
    <xf numFmtId="0" fontId="5" fillId="0" borderId="0" xfId="0" applyFont="1" applyFill="1" applyBorder="1" applyAlignment="1">
      <alignment horizontal="left"/>
    </xf>
    <xf numFmtId="49" fontId="9" fillId="3" borderId="2" xfId="0" applyNumberFormat="1" applyFont="1" applyFill="1" applyBorder="1" applyAlignment="1">
      <alignment horizontal="center" wrapText="1"/>
    </xf>
    <xf numFmtId="0" fontId="5" fillId="4" borderId="7" xfId="0" applyFont="1" applyFill="1" applyBorder="1"/>
    <xf numFmtId="0" fontId="8" fillId="4" borderId="5" xfId="0" applyFont="1" applyFill="1" applyBorder="1" applyAlignment="1">
      <alignment horizontal="left"/>
    </xf>
    <xf numFmtId="9" fontId="16" fillId="4" borderId="0" xfId="0" applyNumberFormat="1" applyFont="1" applyFill="1" applyBorder="1" applyAlignment="1">
      <alignment horizontal="center"/>
    </xf>
    <xf numFmtId="164" fontId="0" fillId="0" borderId="0" xfId="0" applyNumberFormat="1" applyFill="1" applyBorder="1" applyAlignment="1">
      <alignment horizontal="center"/>
    </xf>
    <xf numFmtId="164" fontId="5" fillId="0" borderId="0" xfId="0" applyNumberFormat="1" applyFont="1" applyFill="1" applyBorder="1" applyAlignment="1">
      <alignment horizontal="center"/>
    </xf>
    <xf numFmtId="164" fontId="17" fillId="4" borderId="0" xfId="0" applyNumberFormat="1" applyFont="1" applyFill="1" applyBorder="1" applyAlignment="1">
      <alignment horizontal="center"/>
    </xf>
    <xf numFmtId="164" fontId="17" fillId="4" borderId="6" xfId="0" applyNumberFormat="1" applyFont="1" applyFill="1" applyBorder="1" applyAlignment="1">
      <alignment horizontal="center"/>
    </xf>
    <xf numFmtId="164" fontId="17" fillId="0" borderId="0" xfId="0" applyNumberFormat="1" applyFont="1" applyFill="1" applyBorder="1" applyAlignment="1">
      <alignment horizontal="center"/>
    </xf>
    <xf numFmtId="164" fontId="6" fillId="0" borderId="0" xfId="0" applyNumberFormat="1" applyFont="1" applyFill="1" applyBorder="1" applyAlignment="1">
      <alignment horizontal="center"/>
    </xf>
    <xf numFmtId="0" fontId="2" fillId="4" borderId="1" xfId="0" applyFont="1" applyFill="1" applyBorder="1"/>
    <xf numFmtId="164" fontId="5" fillId="4" borderId="2" xfId="0" applyNumberFormat="1" applyFont="1" applyFill="1" applyBorder="1" applyAlignment="1">
      <alignment horizontal="center"/>
    </xf>
    <xf numFmtId="164" fontId="5" fillId="4" borderId="8" xfId="0" applyNumberFormat="1" applyFont="1" applyFill="1" applyBorder="1" applyAlignment="1">
      <alignment horizontal="center"/>
    </xf>
    <xf numFmtId="0" fontId="18" fillId="0" borderId="0" xfId="0" applyFont="1"/>
    <xf numFmtId="0" fontId="5" fillId="0" borderId="5" xfId="0" applyFont="1" applyBorder="1"/>
    <xf numFmtId="0" fontId="0" fillId="2" borderId="5" xfId="0" applyFill="1" applyBorder="1"/>
    <xf numFmtId="0" fontId="0" fillId="2" borderId="0" xfId="0" applyFill="1"/>
    <xf numFmtId="166" fontId="9" fillId="2" borderId="0" xfId="0" applyNumberFormat="1" applyFont="1" applyFill="1" applyBorder="1" applyAlignment="1">
      <alignment horizontal="left"/>
    </xf>
    <xf numFmtId="0" fontId="19" fillId="2" borderId="0" xfId="0" applyFont="1" applyFill="1" applyBorder="1"/>
    <xf numFmtId="0" fontId="19" fillId="2" borderId="6" xfId="0" applyFont="1" applyFill="1" applyBorder="1"/>
    <xf numFmtId="0" fontId="8" fillId="2" borderId="6" xfId="0" applyFont="1" applyFill="1" applyBorder="1"/>
    <xf numFmtId="8" fontId="9" fillId="2" borderId="0" xfId="0" applyNumberFormat="1" applyFont="1" applyFill="1" applyBorder="1" applyAlignment="1">
      <alignment horizontal="left"/>
    </xf>
    <xf numFmtId="0" fontId="6" fillId="2" borderId="6" xfId="0" applyFont="1" applyFill="1" applyBorder="1"/>
    <xf numFmtId="0" fontId="5" fillId="2" borderId="0" xfId="0" applyFont="1" applyFill="1" applyBorder="1" applyAlignment="1">
      <alignment horizontal="center"/>
    </xf>
    <xf numFmtId="44" fontId="5" fillId="2" borderId="0" xfId="5" applyFont="1" applyFill="1" applyBorder="1" applyAlignment="1">
      <alignment horizontal="center"/>
    </xf>
    <xf numFmtId="167" fontId="5" fillId="2" borderId="0" xfId="0" applyNumberFormat="1" applyFont="1" applyFill="1" applyBorder="1"/>
    <xf numFmtId="164" fontId="5" fillId="2" borderId="0" xfId="0" applyNumberFormat="1" applyFont="1" applyFill="1" applyBorder="1"/>
    <xf numFmtId="44" fontId="22" fillId="2" borderId="0" xfId="5" applyFont="1" applyFill="1" applyBorder="1" applyAlignment="1">
      <alignment horizontal="right"/>
    </xf>
    <xf numFmtId="166" fontId="5" fillId="2" borderId="0" xfId="0" applyNumberFormat="1" applyFont="1" applyFill="1" applyBorder="1"/>
    <xf numFmtId="44" fontId="5" fillId="2" borderId="0" xfId="0" applyNumberFormat="1" applyFont="1" applyFill="1" applyBorder="1"/>
    <xf numFmtId="10" fontId="5" fillId="2" borderId="0" xfId="0" applyNumberFormat="1" applyFont="1" applyFill="1" applyBorder="1" applyAlignment="1">
      <alignment horizontal="right"/>
    </xf>
    <xf numFmtId="0" fontId="0" fillId="2" borderId="0" xfId="0" applyFill="1" applyBorder="1"/>
    <xf numFmtId="164" fontId="0" fillId="0" borderId="0" xfId="0" applyNumberFormat="1"/>
    <xf numFmtId="9" fontId="9" fillId="4" borderId="0" xfId="0" applyNumberFormat="1" applyFont="1" applyFill="1" applyBorder="1" applyAlignment="1">
      <alignment horizontal="center"/>
    </xf>
    <xf numFmtId="0" fontId="20" fillId="2" borderId="5" xfId="0" applyFont="1" applyFill="1" applyBorder="1" applyAlignment="1" applyProtection="1">
      <alignment horizontal="right" wrapText="1"/>
    </xf>
    <xf numFmtId="0" fontId="3" fillId="2" borderId="5" xfId="0" applyFont="1" applyFill="1" applyBorder="1" applyAlignment="1">
      <alignment horizontal="right"/>
    </xf>
    <xf numFmtId="0" fontId="5" fillId="6" borderId="0" xfId="0" applyFont="1" applyFill="1" applyBorder="1" applyAlignment="1">
      <alignment horizontal="left" vertical="center"/>
    </xf>
    <xf numFmtId="0" fontId="6" fillId="4" borderId="5" xfId="0" applyFont="1" applyFill="1" applyBorder="1" applyAlignment="1">
      <alignment horizontal="left"/>
    </xf>
    <xf numFmtId="0" fontId="6" fillId="4" borderId="0" xfId="0" applyFont="1" applyFill="1" applyBorder="1" applyAlignment="1">
      <alignment horizontal="center"/>
    </xf>
    <xf numFmtId="0" fontId="6" fillId="2" borderId="0" xfId="0" applyFont="1" applyFill="1" applyBorder="1"/>
    <xf numFmtId="0" fontId="5" fillId="5" borderId="0" xfId="0" applyFont="1" applyFill="1" applyBorder="1"/>
    <xf numFmtId="0" fontId="5" fillId="0" borderId="7" xfId="0" applyFont="1" applyBorder="1"/>
    <xf numFmtId="0" fontId="5" fillId="0" borderId="3" xfId="0" applyFont="1" applyBorder="1"/>
    <xf numFmtId="0" fontId="5" fillId="0" borderId="4" xfId="0" applyFont="1" applyBorder="1"/>
    <xf numFmtId="0" fontId="5" fillId="0" borderId="0" xfId="0" applyFont="1" applyBorder="1" applyAlignment="1">
      <alignment horizontal="left" wrapText="1"/>
    </xf>
    <xf numFmtId="0" fontId="5" fillId="0" borderId="6" xfId="0" applyFont="1" applyBorder="1" applyAlignment="1">
      <alignment horizontal="left" wrapText="1"/>
    </xf>
    <xf numFmtId="0" fontId="5" fillId="0" borderId="0" xfId="0" applyFont="1" applyBorder="1"/>
    <xf numFmtId="0" fontId="5" fillId="0" borderId="6" xfId="0" applyFont="1" applyBorder="1"/>
    <xf numFmtId="0" fontId="5" fillId="0" borderId="1" xfId="0" applyFont="1" applyBorder="1"/>
    <xf numFmtId="0" fontId="5" fillId="0" borderId="8" xfId="0" applyFont="1" applyBorder="1"/>
    <xf numFmtId="0" fontId="12" fillId="6" borderId="0" xfId="0" applyFont="1" applyFill="1" applyBorder="1" applyAlignment="1">
      <alignment horizontal="left" vertical="center"/>
    </xf>
    <xf numFmtId="0" fontId="11" fillId="0" borderId="0" xfId="3" applyFont="1" applyAlignment="1">
      <alignment horizontal="center"/>
    </xf>
    <xf numFmtId="0" fontId="5" fillId="0" borderId="0" xfId="3" applyFont="1" applyAlignment="1">
      <alignment horizontal="center"/>
    </xf>
    <xf numFmtId="0" fontId="12" fillId="6" borderId="0" xfId="3" applyFont="1" applyFill="1" applyBorder="1" applyAlignment="1">
      <alignment horizontal="left" vertical="center" wrapText="1"/>
    </xf>
    <xf numFmtId="0" fontId="5" fillId="0" borderId="0" xfId="3" applyFont="1" applyAlignment="1">
      <alignment horizontal="center" wrapText="1"/>
    </xf>
    <xf numFmtId="0" fontId="5" fillId="0" borderId="0" xfId="3" applyFont="1"/>
    <xf numFmtId="0" fontId="4" fillId="0" borderId="0" xfId="3" applyFont="1" applyAlignment="1">
      <alignment horizontal="left"/>
    </xf>
    <xf numFmtId="0" fontId="5" fillId="0" borderId="0" xfId="3" applyFont="1" applyAlignment="1">
      <alignment wrapText="1"/>
    </xf>
    <xf numFmtId="49" fontId="2" fillId="3" borderId="7" xfId="3" applyNumberFormat="1" applyFont="1" applyFill="1" applyBorder="1" applyAlignment="1">
      <alignment horizontal="center"/>
    </xf>
    <xf numFmtId="49" fontId="2" fillId="3" borderId="3" xfId="3" applyNumberFormat="1" applyFont="1" applyFill="1" applyBorder="1" applyAlignment="1">
      <alignment horizontal="center"/>
    </xf>
    <xf numFmtId="49" fontId="5" fillId="3" borderId="3" xfId="3" applyNumberFormat="1" applyFont="1" applyFill="1" applyBorder="1" applyAlignment="1">
      <alignment horizontal="center"/>
    </xf>
    <xf numFmtId="49" fontId="5" fillId="8" borderId="3" xfId="3" applyNumberFormat="1" applyFont="1" applyFill="1" applyBorder="1" applyAlignment="1">
      <alignment horizontal="center" wrapText="1"/>
    </xf>
    <xf numFmtId="49" fontId="2" fillId="3" borderId="4" xfId="3" applyNumberFormat="1" applyFont="1" applyFill="1" applyBorder="1" applyAlignment="1">
      <alignment horizontal="center"/>
    </xf>
    <xf numFmtId="0" fontId="2" fillId="0" borderId="0" xfId="3" applyFont="1" applyFill="1" applyBorder="1" applyAlignment="1">
      <alignment horizontal="center"/>
    </xf>
    <xf numFmtId="0" fontId="5" fillId="0" borderId="0" xfId="3"/>
    <xf numFmtId="49" fontId="8" fillId="3" borderId="5" xfId="3" applyNumberFormat="1" applyFont="1" applyFill="1" applyBorder="1" applyAlignment="1">
      <alignment horizontal="center"/>
    </xf>
    <xf numFmtId="49" fontId="8" fillId="3" borderId="0" xfId="3" applyNumberFormat="1" applyFont="1" applyFill="1" applyBorder="1" applyAlignment="1">
      <alignment horizontal="center"/>
    </xf>
    <xf numFmtId="49" fontId="8" fillId="3" borderId="0" xfId="3" applyNumberFormat="1" applyFont="1" applyFill="1" applyBorder="1" applyAlignment="1">
      <alignment horizontal="center" wrapText="1"/>
    </xf>
    <xf numFmtId="49" fontId="8" fillId="3" borderId="6" xfId="3" applyNumberFormat="1" applyFont="1" applyFill="1" applyBorder="1" applyAlignment="1">
      <alignment horizontal="center"/>
    </xf>
    <xf numFmtId="0" fontId="8" fillId="0" borderId="0" xfId="3" applyFont="1" applyFill="1" applyBorder="1" applyAlignment="1">
      <alignment horizontal="center"/>
    </xf>
    <xf numFmtId="0" fontId="9" fillId="3" borderId="5" xfId="3" applyFont="1" applyFill="1" applyBorder="1" applyAlignment="1">
      <alignment horizontal="center"/>
    </xf>
    <xf numFmtId="0" fontId="5" fillId="3" borderId="0" xfId="3" applyFont="1" applyFill="1" applyBorder="1" applyAlignment="1">
      <alignment horizontal="center"/>
    </xf>
    <xf numFmtId="0" fontId="9" fillId="3" borderId="0" xfId="3" applyFont="1" applyFill="1" applyBorder="1" applyAlignment="1">
      <alignment horizontal="center" wrapText="1"/>
    </xf>
    <xf numFmtId="0" fontId="5" fillId="8" borderId="0" xfId="3" applyFont="1" applyFill="1" applyAlignment="1">
      <alignment horizontal="center" wrapText="1"/>
    </xf>
    <xf numFmtId="168" fontId="5" fillId="3" borderId="6" xfId="3" applyNumberFormat="1" applyFont="1" applyFill="1" applyBorder="1" applyAlignment="1">
      <alignment horizontal="center"/>
    </xf>
    <xf numFmtId="0" fontId="5" fillId="0" borderId="0" xfId="3" applyFont="1" applyFill="1" applyBorder="1" applyAlignment="1">
      <alignment horizontal="center"/>
    </xf>
    <xf numFmtId="0" fontId="9" fillId="3" borderId="1" xfId="3" applyFont="1" applyFill="1" applyBorder="1" applyAlignment="1">
      <alignment horizontal="center"/>
    </xf>
    <xf numFmtId="0" fontId="5" fillId="3" borderId="2" xfId="3" applyFont="1" applyFill="1" applyBorder="1" applyAlignment="1">
      <alignment horizontal="center"/>
    </xf>
    <xf numFmtId="0" fontId="9" fillId="3" borderId="2" xfId="3" applyFont="1" applyFill="1" applyBorder="1" applyAlignment="1">
      <alignment horizontal="center" wrapText="1"/>
    </xf>
    <xf numFmtId="0" fontId="5" fillId="8" borderId="2" xfId="3" applyFont="1" applyFill="1" applyBorder="1" applyAlignment="1">
      <alignment horizontal="center" wrapText="1"/>
    </xf>
    <xf numFmtId="168" fontId="5" fillId="3" borderId="8" xfId="3" applyNumberFormat="1" applyFont="1" applyFill="1" applyBorder="1" applyAlignment="1">
      <alignment horizontal="center"/>
    </xf>
    <xf numFmtId="0" fontId="9" fillId="0" borderId="0" xfId="3" applyFont="1" applyAlignment="1">
      <alignment horizontal="center"/>
    </xf>
    <xf numFmtId="0" fontId="9" fillId="0" borderId="0" xfId="3" applyFont="1" applyAlignment="1">
      <alignment horizontal="left"/>
    </xf>
    <xf numFmtId="0" fontId="5" fillId="4" borderId="7" xfId="3" applyFont="1" applyFill="1" applyBorder="1" applyAlignment="1">
      <alignment horizontal="left"/>
    </xf>
    <xf numFmtId="0" fontId="5" fillId="4" borderId="3" xfId="3" applyFont="1" applyFill="1" applyBorder="1" applyAlignment="1">
      <alignment horizontal="left"/>
    </xf>
    <xf numFmtId="0" fontId="5" fillId="4" borderId="3" xfId="3" applyFont="1" applyFill="1" applyBorder="1"/>
    <xf numFmtId="0" fontId="2" fillId="4" borderId="3" xfId="3" applyFont="1" applyFill="1" applyBorder="1" applyAlignment="1">
      <alignment horizontal="center"/>
    </xf>
    <xf numFmtId="0" fontId="2" fillId="4" borderId="4" xfId="3" applyFont="1" applyFill="1" applyBorder="1" applyAlignment="1">
      <alignment horizontal="center"/>
    </xf>
    <xf numFmtId="0" fontId="5" fillId="4" borderId="5" xfId="3" applyFont="1" applyFill="1" applyBorder="1" applyAlignment="1">
      <alignment horizontal="left"/>
    </xf>
    <xf numFmtId="0" fontId="5" fillId="4" borderId="0" xfId="3" applyFont="1" applyFill="1" applyBorder="1" applyAlignment="1">
      <alignment horizontal="left"/>
    </xf>
    <xf numFmtId="0" fontId="5" fillId="4" borderId="0" xfId="3" applyFont="1" applyFill="1" applyBorder="1"/>
    <xf numFmtId="0" fontId="2" fillId="4" borderId="0" xfId="3" applyFont="1" applyFill="1" applyBorder="1" applyAlignment="1">
      <alignment horizontal="center"/>
    </xf>
    <xf numFmtId="0" fontId="2" fillId="4" borderId="6" xfId="3" applyFont="1" applyFill="1" applyBorder="1" applyAlignment="1">
      <alignment horizontal="center"/>
    </xf>
    <xf numFmtId="0" fontId="5" fillId="4" borderId="5" xfId="3" applyFont="1" applyFill="1" applyBorder="1"/>
    <xf numFmtId="0" fontId="6" fillId="4" borderId="5" xfId="3" applyFont="1" applyFill="1" applyBorder="1" applyAlignment="1">
      <alignment horizontal="left"/>
    </xf>
    <xf numFmtId="0" fontId="6" fillId="4" borderId="0" xfId="3" applyFont="1" applyFill="1" applyBorder="1" applyAlignment="1">
      <alignment horizontal="center"/>
    </xf>
    <xf numFmtId="0" fontId="8" fillId="4" borderId="0" xfId="3" applyFont="1" applyFill="1" applyBorder="1" applyAlignment="1">
      <alignment horizontal="center"/>
    </xf>
    <xf numFmtId="0" fontId="8" fillId="4" borderId="6" xfId="3" applyFont="1" applyFill="1" applyBorder="1" applyAlignment="1">
      <alignment horizontal="center"/>
    </xf>
    <xf numFmtId="168" fontId="5" fillId="4" borderId="0" xfId="3" applyNumberFormat="1" applyFont="1" applyFill="1" applyBorder="1" applyAlignment="1">
      <alignment horizontal="right"/>
    </xf>
    <xf numFmtId="9" fontId="9" fillId="4" borderId="0" xfId="3" applyNumberFormat="1" applyFont="1" applyFill="1" applyBorder="1" applyAlignment="1">
      <alignment horizontal="center"/>
    </xf>
    <xf numFmtId="168" fontId="5" fillId="4" borderId="0" xfId="3" applyNumberFormat="1" applyFill="1" applyBorder="1" applyAlignment="1">
      <alignment horizontal="right"/>
    </xf>
    <xf numFmtId="168" fontId="5" fillId="4" borderId="6" xfId="3" applyNumberFormat="1" applyFill="1" applyBorder="1" applyAlignment="1">
      <alignment horizontal="right"/>
    </xf>
    <xf numFmtId="168" fontId="6" fillId="4" borderId="0" xfId="3" applyNumberFormat="1" applyFont="1" applyFill="1" applyBorder="1" applyAlignment="1">
      <alignment horizontal="right"/>
    </xf>
    <xf numFmtId="168" fontId="6" fillId="4" borderId="6" xfId="3" applyNumberFormat="1" applyFont="1" applyFill="1" applyBorder="1" applyAlignment="1">
      <alignment horizontal="right"/>
    </xf>
    <xf numFmtId="0" fontId="5" fillId="4" borderId="1" xfId="3" applyFont="1" applyFill="1" applyBorder="1"/>
    <xf numFmtId="0" fontId="5" fillId="4" borderId="2" xfId="3" applyFont="1" applyFill="1" applyBorder="1"/>
    <xf numFmtId="168" fontId="2" fillId="4" borderId="2" xfId="3" applyNumberFormat="1" applyFont="1" applyFill="1" applyBorder="1" applyAlignment="1">
      <alignment horizontal="right"/>
    </xf>
    <xf numFmtId="0" fontId="5" fillId="4" borderId="2" xfId="3" applyFill="1" applyBorder="1"/>
    <xf numFmtId="168" fontId="2" fillId="4" borderId="8" xfId="3" applyNumberFormat="1" applyFont="1" applyFill="1" applyBorder="1" applyAlignment="1">
      <alignment horizontal="right"/>
    </xf>
    <xf numFmtId="0" fontId="5" fillId="0" borderId="0" xfId="3" applyFont="1" applyFill="1" applyBorder="1"/>
    <xf numFmtId="164" fontId="2" fillId="0" borderId="0" xfId="3" applyNumberFormat="1" applyFont="1" applyFill="1" applyBorder="1" applyAlignment="1">
      <alignment horizontal="center"/>
    </xf>
    <xf numFmtId="0" fontId="5" fillId="0" borderId="0" xfId="3" applyFill="1" applyBorder="1"/>
    <xf numFmtId="0" fontId="5" fillId="0" borderId="0" xfId="3" applyFont="1" applyFill="1"/>
    <xf numFmtId="0" fontId="4" fillId="0" borderId="0" xfId="3" applyFont="1" applyFill="1" applyBorder="1" applyAlignment="1">
      <alignment horizontal="left"/>
    </xf>
    <xf numFmtId="0" fontId="3" fillId="0" borderId="0" xfId="3" applyFont="1"/>
    <xf numFmtId="0" fontId="8" fillId="2" borderId="7" xfId="3" applyFont="1" applyFill="1" applyBorder="1" applyAlignment="1">
      <alignment horizontal="left"/>
    </xf>
    <xf numFmtId="0" fontId="2" fillId="2" borderId="3" xfId="3" applyFont="1" applyFill="1" applyBorder="1" applyAlignment="1">
      <alignment horizontal="left"/>
    </xf>
    <xf numFmtId="0" fontId="5" fillId="2" borderId="3" xfId="3" applyFont="1" applyFill="1" applyBorder="1"/>
    <xf numFmtId="0" fontId="5" fillId="2" borderId="4" xfId="3" applyFont="1" applyFill="1" applyBorder="1"/>
    <xf numFmtId="0" fontId="8" fillId="2" borderId="5" xfId="3" applyFont="1" applyFill="1" applyBorder="1" applyAlignment="1">
      <alignment horizontal="left"/>
    </xf>
    <xf numFmtId="0" fontId="2" fillId="2" borderId="0" xfId="3" applyFont="1" applyFill="1" applyBorder="1" applyAlignment="1">
      <alignment horizontal="left"/>
    </xf>
    <xf numFmtId="0" fontId="5" fillId="2" borderId="6" xfId="3" applyFont="1" applyFill="1" applyBorder="1"/>
    <xf numFmtId="0" fontId="11" fillId="2" borderId="0" xfId="3" applyFont="1" applyFill="1" applyBorder="1" applyAlignment="1">
      <alignment horizontal="left" wrapText="1"/>
    </xf>
    <xf numFmtId="0" fontId="5" fillId="5" borderId="0" xfId="3" applyFont="1" applyFill="1" applyAlignment="1">
      <alignment wrapText="1"/>
    </xf>
    <xf numFmtId="0" fontId="5" fillId="2" borderId="5" xfId="3" applyFont="1" applyFill="1" applyBorder="1" applyAlignment="1">
      <alignment horizontal="left"/>
    </xf>
    <xf numFmtId="0" fontId="5" fillId="2" borderId="5" xfId="3" applyFont="1" applyFill="1" applyBorder="1" applyAlignment="1">
      <alignment horizontal="left" vertical="top"/>
    </xf>
    <xf numFmtId="0" fontId="5" fillId="2" borderId="0" xfId="3" applyFont="1" applyFill="1" applyBorder="1" applyAlignment="1">
      <alignment horizontal="right" vertical="top"/>
    </xf>
    <xf numFmtId="0" fontId="5" fillId="2" borderId="0" xfId="3" applyFont="1" applyFill="1" applyBorder="1"/>
    <xf numFmtId="0" fontId="2" fillId="2" borderId="5" xfId="3" applyFont="1" applyFill="1" applyBorder="1" applyAlignment="1">
      <alignment horizontal="left"/>
    </xf>
    <xf numFmtId="0" fontId="9" fillId="2" borderId="0" xfId="3" applyFont="1" applyFill="1" applyBorder="1"/>
    <xf numFmtId="0" fontId="9" fillId="2" borderId="0" xfId="3" applyFont="1" applyFill="1" applyBorder="1" applyAlignment="1">
      <alignment horizontal="left"/>
    </xf>
    <xf numFmtId="9" fontId="9" fillId="2" borderId="0" xfId="3" applyNumberFormat="1" applyFont="1" applyFill="1" applyBorder="1" applyAlignment="1">
      <alignment horizontal="left"/>
    </xf>
    <xf numFmtId="0" fontId="5" fillId="2" borderId="0" xfId="3" applyFont="1" applyFill="1" applyBorder="1" applyAlignment="1">
      <alignment horizontal="left"/>
    </xf>
    <xf numFmtId="0" fontId="8" fillId="2" borderId="6" xfId="3" applyFont="1" applyFill="1" applyBorder="1" applyAlignment="1">
      <alignment horizontal="right" vertical="center"/>
    </xf>
    <xf numFmtId="0" fontId="5" fillId="2" borderId="5" xfId="3" applyFont="1" applyFill="1" applyBorder="1"/>
    <xf numFmtId="0" fontId="6" fillId="2" borderId="6" xfId="3" applyFont="1" applyFill="1" applyBorder="1"/>
    <xf numFmtId="49" fontId="5" fillId="0" borderId="0" xfId="3" applyNumberFormat="1" applyFont="1" applyBorder="1" applyAlignment="1">
      <alignment horizontal="center"/>
    </xf>
    <xf numFmtId="49" fontId="5" fillId="0" borderId="0" xfId="3" applyNumberFormat="1" applyFont="1" applyFill="1" applyBorder="1" applyAlignment="1">
      <alignment horizontal="center"/>
    </xf>
    <xf numFmtId="164" fontId="9" fillId="2" borderId="6" xfId="3" applyNumberFormat="1" applyFont="1" applyFill="1" applyBorder="1"/>
    <xf numFmtId="0" fontId="6" fillId="2" borderId="0" xfId="3" applyFont="1" applyFill="1" applyBorder="1"/>
    <xf numFmtId="49" fontId="5" fillId="2" borderId="5" xfId="3" applyNumberFormat="1" applyFont="1" applyFill="1" applyBorder="1" applyAlignment="1">
      <alignment horizontal="left"/>
    </xf>
    <xf numFmtId="0" fontId="5" fillId="2" borderId="0" xfId="3" applyFont="1" applyFill="1"/>
    <xf numFmtId="0" fontId="9" fillId="2" borderId="0" xfId="3" applyFont="1" applyFill="1" applyAlignment="1">
      <alignment horizontal="center"/>
    </xf>
    <xf numFmtId="165" fontId="5" fillId="2" borderId="0" xfId="3" applyNumberFormat="1" applyFont="1" applyFill="1" applyBorder="1"/>
    <xf numFmtId="0" fontId="9" fillId="2" borderId="5" xfId="3" applyFont="1" applyFill="1" applyBorder="1" applyAlignment="1">
      <alignment horizontal="left"/>
    </xf>
    <xf numFmtId="3" fontId="9" fillId="2" borderId="0" xfId="3" applyNumberFormat="1" applyFont="1" applyFill="1" applyBorder="1"/>
    <xf numFmtId="0" fontId="5" fillId="2" borderId="0" xfId="3" applyFont="1" applyFill="1" applyBorder="1" applyAlignment="1">
      <alignment horizontal="right"/>
    </xf>
    <xf numFmtId="7" fontId="2" fillId="2" borderId="0" xfId="3" applyNumberFormat="1" applyFont="1" applyFill="1" applyAlignment="1" applyProtection="1">
      <alignment horizontal="right"/>
    </xf>
    <xf numFmtId="0" fontId="5" fillId="5" borderId="5" xfId="3" applyFont="1" applyFill="1" applyBorder="1" applyAlignment="1">
      <alignment horizontal="left" wrapText="1"/>
    </xf>
    <xf numFmtId="0" fontId="5" fillId="5" borderId="0" xfId="3" applyFont="1" applyFill="1"/>
    <xf numFmtId="0" fontId="5" fillId="5" borderId="9" xfId="3" applyFont="1" applyFill="1" applyBorder="1" applyAlignment="1">
      <alignment vertical="center"/>
    </xf>
    <xf numFmtId="0" fontId="5" fillId="5" borderId="9" xfId="3" applyFont="1" applyFill="1" applyBorder="1" applyAlignment="1">
      <alignment horizontal="right" vertical="center"/>
    </xf>
    <xf numFmtId="0" fontId="5" fillId="5" borderId="0" xfId="3" applyFont="1" applyFill="1" applyAlignment="1">
      <alignment horizontal="right" wrapText="1"/>
    </xf>
    <xf numFmtId="6" fontId="5" fillId="5" borderId="0" xfId="3" applyNumberFormat="1" applyFont="1" applyFill="1" applyAlignment="1">
      <alignment wrapText="1"/>
    </xf>
    <xf numFmtId="6" fontId="5" fillId="2" borderId="0" xfId="3" applyNumberFormat="1" applyFont="1" applyFill="1" applyBorder="1"/>
    <xf numFmtId="164" fontId="9" fillId="2" borderId="6" xfId="3" quotePrefix="1" applyNumberFormat="1" applyFont="1" applyFill="1" applyBorder="1"/>
    <xf numFmtId="0" fontId="5" fillId="5" borderId="0" xfId="3" applyFont="1" applyFill="1" applyBorder="1" applyAlignment="1">
      <alignment vertical="center"/>
    </xf>
    <xf numFmtId="0" fontId="5" fillId="5" borderId="0" xfId="3" applyFont="1" applyFill="1" applyBorder="1" applyAlignment="1">
      <alignment horizontal="right" vertical="center"/>
    </xf>
    <xf numFmtId="49" fontId="5" fillId="0" borderId="0" xfId="3" applyNumberFormat="1" applyFont="1" applyAlignment="1">
      <alignment horizontal="center"/>
    </xf>
    <xf numFmtId="164" fontId="5" fillId="2" borderId="6" xfId="3" applyNumberFormat="1" applyFont="1" applyFill="1" applyBorder="1"/>
    <xf numFmtId="0" fontId="2" fillId="2" borderId="1" xfId="3" applyFont="1" applyFill="1" applyBorder="1"/>
    <xf numFmtId="0" fontId="5" fillId="2" borderId="2" xfId="3" applyFont="1" applyFill="1" applyBorder="1"/>
    <xf numFmtId="168" fontId="2" fillId="2" borderId="8" xfId="3" applyNumberFormat="1" applyFont="1" applyFill="1" applyBorder="1"/>
    <xf numFmtId="6" fontId="5" fillId="0" borderId="0" xfId="3" applyNumberFormat="1" applyFont="1"/>
    <xf numFmtId="8" fontId="5" fillId="0" borderId="0" xfId="3" applyNumberFormat="1" applyFont="1"/>
    <xf numFmtId="168" fontId="5" fillId="2" borderId="6" xfId="3" applyNumberFormat="1" applyFont="1" applyFill="1" applyBorder="1"/>
    <xf numFmtId="164" fontId="2" fillId="2" borderId="8" xfId="3" applyNumberFormat="1" applyFont="1" applyFill="1" applyBorder="1"/>
    <xf numFmtId="0" fontId="11" fillId="0" borderId="0" xfId="8" applyFont="1" applyAlignment="1">
      <alignment horizontal="center"/>
    </xf>
    <xf numFmtId="0" fontId="5" fillId="0" borderId="0" xfId="8" applyFont="1" applyAlignment="1">
      <alignment horizontal="center"/>
    </xf>
    <xf numFmtId="0" fontId="12" fillId="6" borderId="0" xfId="8" applyFont="1" applyFill="1" applyBorder="1" applyAlignment="1">
      <alignment horizontal="left" vertical="center" wrapText="1"/>
    </xf>
    <xf numFmtId="0" fontId="5" fillId="0" borderId="0" xfId="8" applyFont="1" applyAlignment="1">
      <alignment horizontal="center" wrapText="1"/>
    </xf>
    <xf numFmtId="0" fontId="5" fillId="0" borderId="0" xfId="8" applyFont="1"/>
    <xf numFmtId="0" fontId="4" fillId="0" borderId="0" xfId="8" applyFont="1" applyAlignment="1">
      <alignment horizontal="left"/>
    </xf>
    <xf numFmtId="0" fontId="5" fillId="0" borderId="0" xfId="8" applyFont="1" applyAlignment="1">
      <alignment wrapText="1"/>
    </xf>
    <xf numFmtId="49" fontId="2" fillId="3" borderId="7" xfId="8" applyNumberFormat="1" applyFont="1" applyFill="1" applyBorder="1" applyAlignment="1">
      <alignment horizontal="center"/>
    </xf>
    <xf numFmtId="49" fontId="2" fillId="3" borderId="3" xfId="8" applyNumberFormat="1" applyFont="1" applyFill="1" applyBorder="1" applyAlignment="1">
      <alignment horizontal="center"/>
    </xf>
    <xf numFmtId="49" fontId="5" fillId="3" borderId="3" xfId="8" applyNumberFormat="1" applyFont="1" applyFill="1" applyBorder="1" applyAlignment="1">
      <alignment horizontal="center"/>
    </xf>
    <xf numFmtId="49" fontId="5" fillId="8" borderId="3" xfId="8" applyNumberFormat="1" applyFont="1" applyFill="1" applyBorder="1" applyAlignment="1">
      <alignment horizontal="center" wrapText="1"/>
    </xf>
    <xf numFmtId="49" fontId="2" fillId="3" borderId="4" xfId="8" applyNumberFormat="1" applyFont="1" applyFill="1" applyBorder="1" applyAlignment="1">
      <alignment horizontal="center"/>
    </xf>
    <xf numFmtId="0" fontId="2" fillId="0" borderId="0" xfId="8" applyFont="1" applyFill="1" applyBorder="1" applyAlignment="1">
      <alignment horizontal="center"/>
    </xf>
    <xf numFmtId="0" fontId="14" fillId="0" borderId="0" xfId="8"/>
    <xf numFmtId="49" fontId="8" fillId="3" borderId="5" xfId="8" applyNumberFormat="1" applyFont="1" applyFill="1" applyBorder="1" applyAlignment="1">
      <alignment horizontal="center"/>
    </xf>
    <xf numFmtId="49" fontId="8" fillId="3" borderId="0" xfId="8" applyNumberFormat="1" applyFont="1" applyFill="1" applyBorder="1" applyAlignment="1">
      <alignment horizontal="center"/>
    </xf>
    <xf numFmtId="49" fontId="8" fillId="3" borderId="0" xfId="8" applyNumberFormat="1" applyFont="1" applyFill="1" applyBorder="1" applyAlignment="1">
      <alignment horizontal="center" wrapText="1"/>
    </xf>
    <xf numFmtId="49" fontId="8" fillId="3" borderId="6" xfId="8" applyNumberFormat="1" applyFont="1" applyFill="1" applyBorder="1" applyAlignment="1">
      <alignment horizontal="center"/>
    </xf>
    <xf numFmtId="0" fontId="8" fillId="0" borderId="0" xfId="8" applyFont="1" applyFill="1" applyBorder="1" applyAlignment="1">
      <alignment horizontal="center"/>
    </xf>
    <xf numFmtId="0" fontId="9" fillId="3" borderId="5" xfId="8" applyFont="1" applyFill="1" applyBorder="1" applyAlignment="1">
      <alignment horizontal="center"/>
    </xf>
    <xf numFmtId="0" fontId="5" fillId="3" borderId="0" xfId="8" applyFont="1" applyFill="1" applyBorder="1" applyAlignment="1">
      <alignment horizontal="center"/>
    </xf>
    <xf numFmtId="0" fontId="9" fillId="3" borderId="0" xfId="8" applyFont="1" applyFill="1" applyBorder="1" applyAlignment="1">
      <alignment horizontal="center" wrapText="1"/>
    </xf>
    <xf numFmtId="0" fontId="5" fillId="8" borderId="0" xfId="8" applyFont="1" applyFill="1" applyAlignment="1">
      <alignment horizontal="center" wrapText="1"/>
    </xf>
    <xf numFmtId="168" fontId="5" fillId="3" borderId="6" xfId="8" applyNumberFormat="1" applyFont="1" applyFill="1" applyBorder="1" applyAlignment="1">
      <alignment horizontal="center"/>
    </xf>
    <xf numFmtId="0" fontId="5" fillId="0" borderId="0" xfId="8" applyFont="1" applyFill="1" applyBorder="1" applyAlignment="1">
      <alignment horizontal="center"/>
    </xf>
    <xf numFmtId="0" fontId="9" fillId="3" borderId="1" xfId="8" applyFont="1" applyFill="1" applyBorder="1" applyAlignment="1">
      <alignment horizontal="center"/>
    </xf>
    <xf numFmtId="0" fontId="5" fillId="3" borderId="2" xfId="8" applyFont="1" applyFill="1" applyBorder="1" applyAlignment="1">
      <alignment horizontal="center"/>
    </xf>
    <xf numFmtId="0" fontId="9" fillId="3" borderId="2" xfId="8" applyFont="1" applyFill="1" applyBorder="1" applyAlignment="1">
      <alignment horizontal="center" wrapText="1"/>
    </xf>
    <xf numFmtId="0" fontId="5" fillId="8" borderId="2" xfId="8" applyFont="1" applyFill="1" applyBorder="1" applyAlignment="1">
      <alignment horizontal="center" wrapText="1"/>
    </xf>
    <xf numFmtId="168" fontId="5" fillId="3" borderId="8" xfId="8" applyNumberFormat="1" applyFont="1" applyFill="1" applyBorder="1" applyAlignment="1">
      <alignment horizontal="center"/>
    </xf>
    <xf numFmtId="0" fontId="9" fillId="0" borderId="0" xfId="8" applyFont="1" applyAlignment="1">
      <alignment horizontal="center"/>
    </xf>
    <xf numFmtId="0" fontId="9" fillId="0" borderId="0" xfId="8" applyFont="1" applyAlignment="1">
      <alignment horizontal="left"/>
    </xf>
    <xf numFmtId="0" fontId="5" fillId="4" borderId="7" xfId="8" applyFont="1" applyFill="1" applyBorder="1" applyAlignment="1">
      <alignment horizontal="left"/>
    </xf>
    <xf numFmtId="0" fontId="5" fillId="4" borderId="3" xfId="8" applyFont="1" applyFill="1" applyBorder="1" applyAlignment="1">
      <alignment horizontal="left"/>
    </xf>
    <xf numFmtId="0" fontId="5" fillId="4" borderId="3" xfId="8" applyFont="1" applyFill="1" applyBorder="1"/>
    <xf numFmtId="0" fontId="2" fillId="4" borderId="3" xfId="8" applyFont="1" applyFill="1" applyBorder="1" applyAlignment="1">
      <alignment horizontal="center"/>
    </xf>
    <xf numFmtId="0" fontId="2" fillId="4" borderId="4" xfId="8" applyFont="1" applyFill="1" applyBorder="1" applyAlignment="1">
      <alignment horizontal="center"/>
    </xf>
    <xf numFmtId="0" fontId="5" fillId="4" borderId="5" xfId="8" applyFont="1" applyFill="1" applyBorder="1" applyAlignment="1">
      <alignment horizontal="left"/>
    </xf>
    <xf numFmtId="0" fontId="5" fillId="4" borderId="0" xfId="8" applyFont="1" applyFill="1" applyBorder="1" applyAlignment="1">
      <alignment horizontal="left"/>
    </xf>
    <xf numFmtId="0" fontId="5" fillId="4" borderId="0" xfId="8" applyFont="1" applyFill="1" applyBorder="1"/>
    <xf numFmtId="0" fontId="2" fillId="4" borderId="0" xfId="8" applyFont="1" applyFill="1" applyBorder="1" applyAlignment="1">
      <alignment horizontal="center"/>
    </xf>
    <xf numFmtId="0" fontId="2" fillId="4" borderId="6" xfId="8" applyFont="1" applyFill="1" applyBorder="1" applyAlignment="1">
      <alignment horizontal="center"/>
    </xf>
    <xf numFmtId="0" fontId="5" fillId="4" borderId="5" xfId="8" applyFont="1" applyFill="1" applyBorder="1"/>
    <xf numFmtId="0" fontId="6" fillId="4" borderId="5" xfId="8" applyFont="1" applyFill="1" applyBorder="1" applyAlignment="1">
      <alignment horizontal="left"/>
    </xf>
    <xf numFmtId="0" fontId="6" fillId="4" borderId="0" xfId="8" applyFont="1" applyFill="1" applyBorder="1" applyAlignment="1">
      <alignment horizontal="center"/>
    </xf>
    <xf numFmtId="0" fontId="8" fillId="4" borderId="0" xfId="8" applyFont="1" applyFill="1" applyBorder="1" applyAlignment="1">
      <alignment horizontal="center"/>
    </xf>
    <xf numFmtId="0" fontId="8" fillId="4" borderId="6" xfId="8" applyFont="1" applyFill="1" applyBorder="1" applyAlignment="1">
      <alignment horizontal="center"/>
    </xf>
    <xf numFmtId="168" fontId="5" fillId="4" borderId="0" xfId="8" applyNumberFormat="1" applyFont="1" applyFill="1" applyBorder="1" applyAlignment="1">
      <alignment horizontal="center"/>
    </xf>
    <xf numFmtId="9" fontId="9" fillId="4" borderId="0" xfId="8" applyNumberFormat="1" applyFont="1" applyFill="1" applyBorder="1" applyAlignment="1">
      <alignment horizontal="center"/>
    </xf>
    <xf numFmtId="168" fontId="14" fillId="4" borderId="0" xfId="8" applyNumberFormat="1" applyFill="1" applyBorder="1" applyAlignment="1">
      <alignment horizontal="center"/>
    </xf>
    <xf numFmtId="168" fontId="14" fillId="4" borderId="6" xfId="8" applyNumberFormat="1" applyFill="1" applyBorder="1" applyAlignment="1">
      <alignment horizontal="center"/>
    </xf>
    <xf numFmtId="168" fontId="6" fillId="4" borderId="0" xfId="8" applyNumberFormat="1" applyFont="1" applyFill="1" applyBorder="1" applyAlignment="1">
      <alignment horizontal="center"/>
    </xf>
    <xf numFmtId="168" fontId="6" fillId="4" borderId="6" xfId="8" applyNumberFormat="1" applyFont="1" applyFill="1" applyBorder="1" applyAlignment="1">
      <alignment horizontal="center"/>
    </xf>
    <xf numFmtId="0" fontId="5" fillId="4" borderId="1" xfId="8" applyFont="1" applyFill="1" applyBorder="1"/>
    <xf numFmtId="0" fontId="5" fillId="4" borderId="2" xfId="8" applyFont="1" applyFill="1" applyBorder="1"/>
    <xf numFmtId="168" fontId="2" fillId="4" borderId="2" xfId="8" applyNumberFormat="1" applyFont="1" applyFill="1" applyBorder="1" applyAlignment="1">
      <alignment horizontal="center"/>
    </xf>
    <xf numFmtId="0" fontId="14" fillId="4" borderId="2" xfId="8" applyFill="1" applyBorder="1"/>
    <xf numFmtId="168" fontId="2" fillId="4" borderId="8" xfId="8" applyNumberFormat="1" applyFont="1" applyFill="1" applyBorder="1" applyAlignment="1">
      <alignment horizontal="center"/>
    </xf>
    <xf numFmtId="0" fontId="5" fillId="0" borderId="0" xfId="8" applyFont="1" applyFill="1" applyBorder="1"/>
    <xf numFmtId="164" fontId="2" fillId="0" borderId="0" xfId="8" applyNumberFormat="1" applyFont="1" applyFill="1" applyBorder="1" applyAlignment="1">
      <alignment horizontal="center"/>
    </xf>
    <xf numFmtId="0" fontId="14" fillId="0" borderId="0" xfId="8" applyFill="1" applyBorder="1"/>
    <xf numFmtId="0" fontId="5" fillId="0" borderId="0" xfId="8" applyFont="1" applyFill="1"/>
    <xf numFmtId="0" fontId="4" fillId="0" borderId="0" xfId="8" applyFont="1" applyFill="1" applyBorder="1" applyAlignment="1">
      <alignment horizontal="left"/>
    </xf>
    <xf numFmtId="0" fontId="3" fillId="0" borderId="0" xfId="8" applyFont="1"/>
    <xf numFmtId="0" fontId="8" fillId="2" borderId="7" xfId="8" applyFont="1" applyFill="1" applyBorder="1" applyAlignment="1">
      <alignment horizontal="left"/>
    </xf>
    <xf numFmtId="0" fontId="2" fillId="2" borderId="3" xfId="8" applyFont="1" applyFill="1" applyBorder="1" applyAlignment="1">
      <alignment horizontal="left"/>
    </xf>
    <xf numFmtId="0" fontId="5" fillId="2" borderId="3" xfId="8" applyFont="1" applyFill="1" applyBorder="1"/>
    <xf numFmtId="0" fontId="5" fillId="2" borderId="4" xfId="8" applyFont="1" applyFill="1" applyBorder="1"/>
    <xf numFmtId="0" fontId="8" fillId="2" borderId="5" xfId="8" applyFont="1" applyFill="1" applyBorder="1" applyAlignment="1">
      <alignment horizontal="left"/>
    </xf>
    <xf numFmtId="0" fontId="2" fillId="2" borderId="0" xfId="8" applyFont="1" applyFill="1" applyBorder="1" applyAlignment="1">
      <alignment horizontal="left"/>
    </xf>
    <xf numFmtId="0" fontId="5" fillId="2" borderId="6" xfId="8" applyFont="1" applyFill="1" applyBorder="1"/>
    <xf numFmtId="0" fontId="11" fillId="2" borderId="0" xfId="8" applyFont="1" applyFill="1" applyBorder="1" applyAlignment="1">
      <alignment horizontal="left" wrapText="1"/>
    </xf>
    <xf numFmtId="0" fontId="5" fillId="5" borderId="0" xfId="8" applyFont="1" applyFill="1" applyAlignment="1">
      <alignment wrapText="1"/>
    </xf>
    <xf numFmtId="0" fontId="5" fillId="2" borderId="5" xfId="8" applyFont="1" applyFill="1" applyBorder="1" applyAlignment="1">
      <alignment horizontal="left"/>
    </xf>
    <xf numFmtId="0" fontId="5" fillId="2" borderId="5" xfId="8" applyFont="1" applyFill="1" applyBorder="1" applyAlignment="1">
      <alignment horizontal="left" vertical="top"/>
    </xf>
    <xf numFmtId="0" fontId="5" fillId="2" borderId="0" xfId="8" applyFont="1" applyFill="1" applyBorder="1" applyAlignment="1">
      <alignment horizontal="right" vertical="top"/>
    </xf>
    <xf numFmtId="0" fontId="5" fillId="2" borderId="0" xfId="8" applyFont="1" applyFill="1" applyBorder="1"/>
    <xf numFmtId="0" fontId="2" fillId="2" borderId="5" xfId="8" applyFont="1" applyFill="1" applyBorder="1" applyAlignment="1">
      <alignment horizontal="left"/>
    </xf>
    <xf numFmtId="0" fontId="9" fillId="2" borderId="0" xfId="8" applyFont="1" applyFill="1" applyBorder="1"/>
    <xf numFmtId="0" fontId="9" fillId="2" borderId="0" xfId="8" applyFont="1" applyFill="1" applyBorder="1" applyAlignment="1">
      <alignment horizontal="left"/>
    </xf>
    <xf numFmtId="9" fontId="9" fillId="2" borderId="0" xfId="8" applyNumberFormat="1" applyFont="1" applyFill="1" applyBorder="1" applyAlignment="1">
      <alignment horizontal="left"/>
    </xf>
    <xf numFmtId="0" fontId="5" fillId="2" borderId="0" xfId="8" applyFont="1" applyFill="1" applyBorder="1" applyAlignment="1">
      <alignment horizontal="left"/>
    </xf>
    <xf numFmtId="0" fontId="8" fillId="2" borderId="6" xfId="8" applyFont="1" applyFill="1" applyBorder="1" applyAlignment="1">
      <alignment horizontal="right" vertical="center"/>
    </xf>
    <xf numFmtId="0" fontId="5" fillId="2" borderId="5" xfId="8" applyFont="1" applyFill="1" applyBorder="1"/>
    <xf numFmtId="0" fontId="6" fillId="2" borderId="6" xfId="8" applyFont="1" applyFill="1" applyBorder="1"/>
    <xf numFmtId="49" fontId="5" fillId="0" borderId="0" xfId="8" applyNumberFormat="1" applyFont="1" applyBorder="1" applyAlignment="1">
      <alignment horizontal="center"/>
    </xf>
    <xf numFmtId="49" fontId="5" fillId="0" borderId="0" xfId="8" applyNumberFormat="1" applyFont="1" applyFill="1" applyBorder="1" applyAlignment="1">
      <alignment horizontal="center"/>
    </xf>
    <xf numFmtId="164" fontId="9" fillId="2" borderId="6" xfId="8" applyNumberFormat="1" applyFont="1" applyFill="1" applyBorder="1"/>
    <xf numFmtId="0" fontId="6" fillId="2" borderId="0" xfId="8" applyFont="1" applyFill="1" applyBorder="1"/>
    <xf numFmtId="49" fontId="5" fillId="2" borderId="5" xfId="8" applyNumberFormat="1" applyFont="1" applyFill="1" applyBorder="1" applyAlignment="1">
      <alignment horizontal="left"/>
    </xf>
    <xf numFmtId="0" fontId="5" fillId="2" borderId="0" xfId="8" applyFont="1" applyFill="1"/>
    <xf numFmtId="0" fontId="9" fillId="2" borderId="0" xfId="8" applyFont="1" applyFill="1" applyAlignment="1">
      <alignment horizontal="center"/>
    </xf>
    <xf numFmtId="165" fontId="5" fillId="2" borderId="0" xfId="8" applyNumberFormat="1" applyFont="1" applyFill="1" applyBorder="1"/>
    <xf numFmtId="0" fontId="9" fillId="2" borderId="5" xfId="8" applyFont="1" applyFill="1" applyBorder="1" applyAlignment="1">
      <alignment horizontal="left"/>
    </xf>
    <xf numFmtId="3" fontId="9" fillId="2" borderId="0" xfId="8" applyNumberFormat="1" applyFont="1" applyFill="1" applyBorder="1"/>
    <xf numFmtId="0" fontId="5" fillId="2" borderId="0" xfId="8" applyFont="1" applyFill="1" applyBorder="1" applyAlignment="1">
      <alignment horizontal="right"/>
    </xf>
    <xf numFmtId="7" fontId="2" fillId="2" borderId="0" xfId="8" applyNumberFormat="1" applyFont="1" applyFill="1" applyAlignment="1" applyProtection="1">
      <alignment horizontal="right"/>
    </xf>
    <xf numFmtId="0" fontId="5" fillId="5" borderId="5" xfId="8" applyFont="1" applyFill="1" applyBorder="1" applyAlignment="1">
      <alignment horizontal="left" wrapText="1"/>
    </xf>
    <xf numFmtId="0" fontId="5" fillId="5" borderId="0" xfId="8" applyFont="1" applyFill="1"/>
    <xf numFmtId="0" fontId="5" fillId="5" borderId="9" xfId="8" applyFont="1" applyFill="1" applyBorder="1" applyAlignment="1">
      <alignment vertical="center"/>
    </xf>
    <xf numFmtId="0" fontId="5" fillId="5" borderId="9" xfId="8" applyFont="1" applyFill="1" applyBorder="1" applyAlignment="1">
      <alignment horizontal="right" vertical="center"/>
    </xf>
    <xf numFmtId="0" fontId="5" fillId="5" borderId="0" xfId="8" applyFont="1" applyFill="1" applyAlignment="1">
      <alignment horizontal="right" wrapText="1"/>
    </xf>
    <xf numFmtId="6" fontId="5" fillId="5" borderId="0" xfId="8" applyNumberFormat="1" applyFont="1" applyFill="1" applyAlignment="1">
      <alignment wrapText="1"/>
    </xf>
    <xf numFmtId="6" fontId="5" fillId="2" borderId="0" xfId="8" applyNumberFormat="1" applyFont="1" applyFill="1" applyBorder="1"/>
    <xf numFmtId="164" fontId="9" fillId="2" borderId="6" xfId="8" quotePrefix="1" applyNumberFormat="1" applyFont="1" applyFill="1" applyBorder="1"/>
    <xf numFmtId="0" fontId="5" fillId="5" borderId="0" xfId="8" applyFont="1" applyFill="1" applyBorder="1" applyAlignment="1">
      <alignment vertical="center"/>
    </xf>
    <xf numFmtId="0" fontId="5" fillId="5" borderId="0" xfId="8" applyFont="1" applyFill="1" applyBorder="1" applyAlignment="1">
      <alignment horizontal="right" vertical="center"/>
    </xf>
    <xf numFmtId="49" fontId="5" fillId="0" borderId="0" xfId="8" applyNumberFormat="1" applyFont="1" applyAlignment="1">
      <alignment horizontal="center"/>
    </xf>
    <xf numFmtId="164" fontId="5" fillId="2" borderId="6" xfId="8" applyNumberFormat="1" applyFont="1" applyFill="1" applyBorder="1"/>
    <xf numFmtId="0" fontId="2" fillId="2" borderId="1" xfId="8" applyFont="1" applyFill="1" applyBorder="1"/>
    <xf numFmtId="0" fontId="5" fillId="2" borderId="2" xfId="8" applyFont="1" applyFill="1" applyBorder="1"/>
    <xf numFmtId="168" fontId="2" fillId="2" borderId="8" xfId="8" applyNumberFormat="1" applyFont="1" applyFill="1" applyBorder="1"/>
    <xf numFmtId="6" fontId="5" fillId="0" borderId="0" xfId="8" applyNumberFormat="1" applyFont="1"/>
    <xf numFmtId="8" fontId="5" fillId="0" borderId="0" xfId="8" applyNumberFormat="1" applyFont="1"/>
    <xf numFmtId="0" fontId="5" fillId="0" borderId="0" xfId="0" applyFont="1" applyAlignment="1">
      <alignment horizontal="center" vertical="center" wrapText="1"/>
    </xf>
    <xf numFmtId="0" fontId="5" fillId="0" borderId="0" xfId="0" applyFont="1" applyAlignment="1">
      <alignment horizontal="center" vertical="center"/>
    </xf>
    <xf numFmtId="49" fontId="9" fillId="6" borderId="0" xfId="0" applyNumberFormat="1" applyFont="1" applyFill="1" applyBorder="1" applyAlignment="1">
      <alignment horizontal="center" vertical="center" wrapText="1" shrinkToFit="1"/>
    </xf>
    <xf numFmtId="49" fontId="9" fillId="3" borderId="0" xfId="0" applyNumberFormat="1" applyFont="1" applyFill="1" applyBorder="1" applyAlignment="1">
      <alignment horizontal="center" vertical="center" wrapText="1" shrinkToFit="1"/>
    </xf>
    <xf numFmtId="49" fontId="9" fillId="3" borderId="2" xfId="0" applyNumberFormat="1" applyFont="1" applyFill="1" applyBorder="1" applyAlignment="1">
      <alignment horizontal="center" vertical="center" wrapText="1" shrinkToFit="1"/>
    </xf>
    <xf numFmtId="0" fontId="9" fillId="5" borderId="9" xfId="0" applyFont="1" applyFill="1" applyBorder="1" applyAlignment="1">
      <alignment horizontal="left" vertical="center"/>
    </xf>
    <xf numFmtId="0" fontId="2" fillId="5" borderId="9" xfId="0" applyFont="1" applyFill="1" applyBorder="1" applyAlignment="1">
      <alignment horizontal="left" vertical="center"/>
    </xf>
    <xf numFmtId="0" fontId="9" fillId="5" borderId="9" xfId="0" applyFont="1" applyFill="1" applyBorder="1" applyAlignment="1">
      <alignment horizontal="center" vertical="center"/>
    </xf>
    <xf numFmtId="9" fontId="9" fillId="5" borderId="9" xfId="0" applyNumberFormat="1" applyFont="1" applyFill="1" applyBorder="1" applyAlignment="1">
      <alignment horizontal="center" vertical="center"/>
    </xf>
    <xf numFmtId="0" fontId="2" fillId="5" borderId="5" xfId="0" applyFont="1" applyFill="1" applyBorder="1" applyAlignment="1">
      <alignment horizontal="left" vertical="center"/>
    </xf>
    <xf numFmtId="0" fontId="0" fillId="5" borderId="0" xfId="0" applyFill="1" applyBorder="1" applyAlignment="1">
      <alignment vertical="center"/>
    </xf>
    <xf numFmtId="9" fontId="9" fillId="5" borderId="0" xfId="0" applyNumberFormat="1" applyFont="1" applyFill="1" applyBorder="1" applyAlignment="1">
      <alignment horizontal="center" vertical="center"/>
    </xf>
    <xf numFmtId="164" fontId="9" fillId="5" borderId="6" xfId="0" applyNumberFormat="1" applyFont="1" applyFill="1" applyBorder="1"/>
    <xf numFmtId="0" fontId="5" fillId="5" borderId="0" xfId="0" applyFont="1" applyFill="1" applyBorder="1" applyAlignment="1">
      <alignment vertical="center"/>
    </xf>
    <xf numFmtId="0" fontId="5" fillId="5" borderId="0" xfId="0" applyFont="1" applyFill="1" applyBorder="1" applyAlignment="1">
      <alignment horizontal="right" vertical="center"/>
    </xf>
    <xf numFmtId="0" fontId="2" fillId="5" borderId="0" xfId="0" applyFont="1" applyFill="1" applyBorder="1" applyAlignment="1">
      <alignment vertical="center" wrapText="1"/>
    </xf>
    <xf numFmtId="164" fontId="5" fillId="5" borderId="0" xfId="0" applyNumberFormat="1" applyFont="1" applyFill="1" applyBorder="1" applyAlignment="1">
      <alignment horizontal="center" vertical="center"/>
    </xf>
    <xf numFmtId="0" fontId="5" fillId="5" borderId="9" xfId="0" applyFont="1" applyFill="1" applyBorder="1" applyAlignment="1">
      <alignment vertical="center" wrapText="1" shrinkToFit="1"/>
    </xf>
    <xf numFmtId="164" fontId="11" fillId="5" borderId="9" xfId="0" applyNumberFormat="1" applyFont="1" applyFill="1" applyBorder="1" applyAlignment="1">
      <alignment horizontal="right" vertical="center"/>
    </xf>
    <xf numFmtId="164" fontId="5" fillId="5" borderId="0" xfId="0" applyNumberFormat="1" applyFont="1" applyFill="1" applyBorder="1" applyAlignment="1">
      <alignment horizontal="right" vertical="center"/>
    </xf>
    <xf numFmtId="164" fontId="5" fillId="5" borderId="0" xfId="0" applyNumberFormat="1" applyFont="1" applyFill="1" applyBorder="1" applyAlignment="1">
      <alignment vertical="center"/>
    </xf>
    <xf numFmtId="0" fontId="5" fillId="5" borderId="9" xfId="0" applyFont="1" applyFill="1" applyBorder="1" applyAlignment="1">
      <alignment vertical="center" wrapText="1"/>
    </xf>
    <xf numFmtId="0" fontId="2" fillId="5" borderId="0" xfId="0" applyFont="1" applyFill="1" applyBorder="1" applyAlignment="1">
      <alignment horizontal="center" vertical="center"/>
    </xf>
    <xf numFmtId="0" fontId="0" fillId="5" borderId="0" xfId="0" applyFill="1" applyBorder="1" applyAlignment="1">
      <alignment horizontal="center" vertical="center"/>
    </xf>
    <xf numFmtId="164" fontId="5" fillId="5" borderId="9" xfId="0" applyNumberFormat="1" applyFont="1" applyFill="1" applyBorder="1" applyAlignment="1">
      <alignment horizontal="right" vertical="center"/>
    </xf>
    <xf numFmtId="0" fontId="2" fillId="5" borderId="0" xfId="0" applyFont="1" applyFill="1" applyBorder="1" applyAlignment="1">
      <alignment wrapText="1"/>
    </xf>
    <xf numFmtId="164" fontId="9" fillId="5" borderId="0" xfId="0" applyNumberFormat="1" applyFont="1" applyFill="1" applyBorder="1" applyAlignment="1">
      <alignment horizontal="right" vertical="center"/>
    </xf>
    <xf numFmtId="0" fontId="11" fillId="5" borderId="9" xfId="0" applyFont="1" applyFill="1" applyBorder="1" applyAlignment="1">
      <alignment horizontal="right" vertical="center"/>
    </xf>
    <xf numFmtId="0" fontId="5" fillId="5" borderId="0" xfId="0" applyFont="1" applyFill="1" applyBorder="1" applyAlignment="1">
      <alignment vertical="center" wrapText="1"/>
    </xf>
    <xf numFmtId="0" fontId="11" fillId="5" borderId="0" xfId="0" applyFont="1" applyFill="1" applyBorder="1" applyAlignment="1">
      <alignment horizontal="right" vertical="center"/>
    </xf>
    <xf numFmtId="3" fontId="5" fillId="5" borderId="9" xfId="0" applyNumberFormat="1" applyFont="1" applyFill="1" applyBorder="1" applyAlignment="1">
      <alignment horizontal="right" vertical="center"/>
    </xf>
    <xf numFmtId="3" fontId="11" fillId="5" borderId="9" xfId="0" applyNumberFormat="1" applyFont="1" applyFill="1" applyBorder="1" applyAlignment="1">
      <alignment horizontal="right" vertical="center"/>
    </xf>
    <xf numFmtId="0" fontId="2" fillId="2" borderId="5" xfId="0" applyFont="1" applyFill="1" applyBorder="1"/>
    <xf numFmtId="164" fontId="2" fillId="2" borderId="6" xfId="0" applyNumberFormat="1" applyFont="1" applyFill="1" applyBorder="1"/>
    <xf numFmtId="0" fontId="2" fillId="5" borderId="7" xfId="0" applyFont="1" applyFill="1" applyBorder="1" applyAlignment="1">
      <alignment horizontal="left" vertical="center"/>
    </xf>
    <xf numFmtId="0" fontId="0" fillId="5" borderId="3" xfId="0" applyFill="1" applyBorder="1" applyAlignment="1">
      <alignment vertical="center"/>
    </xf>
    <xf numFmtId="169" fontId="5" fillId="5" borderId="3" xfId="0" applyNumberFormat="1" applyFont="1" applyFill="1" applyBorder="1" applyAlignment="1">
      <alignment horizontal="right" vertical="center"/>
    </xf>
    <xf numFmtId="0" fontId="5" fillId="5" borderId="4" xfId="0" applyFont="1" applyFill="1" applyBorder="1"/>
    <xf numFmtId="0" fontId="5" fillId="5" borderId="6" xfId="0" applyFont="1" applyFill="1" applyBorder="1"/>
    <xf numFmtId="0" fontId="5" fillId="5" borderId="8" xfId="0" applyFont="1" applyFill="1" applyBorder="1"/>
    <xf numFmtId="49" fontId="5" fillId="5" borderId="9" xfId="0" applyNumberFormat="1" applyFont="1" applyFill="1" applyBorder="1" applyAlignment="1">
      <alignment horizontal="center"/>
    </xf>
    <xf numFmtId="0" fontId="25" fillId="7" borderId="0" xfId="7" applyFont="1"/>
    <xf numFmtId="0" fontId="26" fillId="7" borderId="0" xfId="7" applyFont="1" applyBorder="1" applyAlignment="1">
      <alignment horizontal="left"/>
    </xf>
    <xf numFmtId="0" fontId="15" fillId="6" borderId="0" xfId="7" applyFill="1"/>
    <xf numFmtId="0" fontId="27" fillId="7" borderId="9" xfId="7" applyFont="1" applyBorder="1" applyAlignment="1">
      <alignment horizontal="left"/>
    </xf>
    <xf numFmtId="0" fontId="27" fillId="7" borderId="9" xfId="7" applyFont="1" applyBorder="1"/>
    <xf numFmtId="0" fontId="15" fillId="7" borderId="9" xfId="7" applyBorder="1" applyAlignment="1">
      <alignment horizontal="left"/>
    </xf>
    <xf numFmtId="0" fontId="28" fillId="9" borderId="9" xfId="0" applyFont="1" applyFill="1" applyBorder="1" applyProtection="1">
      <protection locked="0"/>
    </xf>
    <xf numFmtId="0" fontId="28" fillId="0" borderId="0" xfId="0" applyFont="1" applyFill="1" applyBorder="1" applyProtection="1">
      <protection locked="0"/>
    </xf>
    <xf numFmtId="0" fontId="28" fillId="0" borderId="0" xfId="0" applyFont="1" applyFill="1" applyBorder="1" applyAlignment="1" applyProtection="1">
      <alignment horizontal="center"/>
      <protection locked="0"/>
    </xf>
    <xf numFmtId="0" fontId="28" fillId="0" borderId="0" xfId="0" applyFont="1" applyFill="1" applyProtection="1">
      <protection locked="0"/>
    </xf>
    <xf numFmtId="0" fontId="28" fillId="9" borderId="9" xfId="0" applyFont="1" applyFill="1" applyBorder="1" applyAlignment="1" applyProtection="1">
      <alignment horizontal="left"/>
      <protection locked="0"/>
    </xf>
    <xf numFmtId="0" fontId="28" fillId="9" borderId="9" xfId="0" applyFont="1" applyFill="1" applyBorder="1" applyAlignment="1" applyProtection="1">
      <protection locked="0"/>
    </xf>
    <xf numFmtId="0" fontId="28" fillId="0" borderId="0" xfId="0" applyFont="1" applyFill="1" applyBorder="1" applyAlignment="1" applyProtection="1">
      <protection locked="0"/>
    </xf>
    <xf numFmtId="0" fontId="26" fillId="7" borderId="2" xfId="7" applyFont="1" applyBorder="1" applyAlignment="1">
      <alignment horizontal="left"/>
    </xf>
    <xf numFmtId="0" fontId="15" fillId="6" borderId="0" xfId="7" applyFill="1" applyBorder="1" applyAlignment="1">
      <alignment horizontal="left"/>
    </xf>
    <xf numFmtId="0" fontId="15" fillId="6" borderId="0" xfId="7" applyFill="1" applyBorder="1"/>
    <xf numFmtId="164" fontId="15" fillId="7" borderId="9" xfId="7" applyNumberFormat="1" applyBorder="1"/>
    <xf numFmtId="164" fontId="15" fillId="7" borderId="9" xfId="7" applyNumberFormat="1" applyBorder="1" applyAlignment="1">
      <alignment horizontal="left"/>
    </xf>
    <xf numFmtId="0" fontId="5" fillId="0" borderId="3" xfId="0" applyFont="1" applyFill="1" applyBorder="1"/>
    <xf numFmtId="0" fontId="26" fillId="7" borderId="2" xfId="7" applyFont="1" applyBorder="1"/>
    <xf numFmtId="0" fontId="27" fillId="7" borderId="9" xfId="7" applyFont="1" applyBorder="1" applyAlignment="1">
      <alignment horizontal="center" wrapText="1"/>
    </xf>
    <xf numFmtId="0" fontId="28" fillId="9" borderId="9" xfId="0" applyFont="1" applyFill="1" applyBorder="1" applyAlignment="1">
      <alignment horizontal="left"/>
    </xf>
    <xf numFmtId="0" fontId="28" fillId="9" borderId="9" xfId="0" applyFont="1" applyFill="1" applyBorder="1"/>
    <xf numFmtId="164" fontId="28" fillId="9" borderId="9" xfId="0" applyNumberFormat="1" applyFont="1" applyFill="1" applyBorder="1"/>
    <xf numFmtId="39" fontId="28" fillId="9" borderId="9" xfId="2" applyNumberFormat="1" applyFont="1" applyFill="1" applyBorder="1" applyProtection="1">
      <protection locked="0"/>
    </xf>
    <xf numFmtId="7" fontId="15" fillId="7" borderId="9" xfId="7" applyNumberFormat="1" applyBorder="1"/>
    <xf numFmtId="0" fontId="28" fillId="0" borderId="9" xfId="0" applyFont="1" applyBorder="1"/>
    <xf numFmtId="2" fontId="28" fillId="0" borderId="9" xfId="0" applyNumberFormat="1" applyFont="1" applyBorder="1"/>
    <xf numFmtId="0" fontId="28" fillId="0" borderId="0" xfId="0" applyFont="1" applyAlignment="1">
      <alignment horizontal="left"/>
    </xf>
    <xf numFmtId="0" fontId="28" fillId="0" borderId="0" xfId="0" applyFont="1"/>
    <xf numFmtId="2" fontId="28" fillId="0" borderId="0" xfId="0" applyNumberFormat="1" applyFont="1"/>
    <xf numFmtId="0" fontId="28" fillId="0" borderId="9" xfId="0" applyFont="1" applyBorder="1" applyAlignment="1">
      <alignment horizontal="left"/>
    </xf>
    <xf numFmtId="9" fontId="28" fillId="9" borderId="9" xfId="0" applyNumberFormat="1" applyFont="1" applyFill="1" applyBorder="1"/>
    <xf numFmtId="39" fontId="28" fillId="9" borderId="9" xfId="2" applyNumberFormat="1" applyFont="1" applyFill="1" applyBorder="1"/>
    <xf numFmtId="0" fontId="29" fillId="0" borderId="9" xfId="0" applyFont="1" applyBorder="1" applyAlignment="1">
      <alignment horizontal="left"/>
    </xf>
    <xf numFmtId="39" fontId="28" fillId="0" borderId="9" xfId="2" applyNumberFormat="1" applyFont="1" applyFill="1" applyBorder="1"/>
    <xf numFmtId="170" fontId="28" fillId="0" borderId="9" xfId="2" applyNumberFormat="1" applyFont="1" applyFill="1" applyBorder="1"/>
    <xf numFmtId="170" fontId="28" fillId="9" borderId="9" xfId="2" applyNumberFormat="1" applyFont="1" applyFill="1" applyBorder="1"/>
    <xf numFmtId="0" fontId="5" fillId="0" borderId="0" xfId="1" applyFont="1"/>
    <xf numFmtId="0" fontId="5" fillId="0" borderId="0" xfId="1" applyFont="1" applyFill="1"/>
    <xf numFmtId="0" fontId="28" fillId="9" borderId="9" xfId="1" applyFont="1" applyFill="1" applyBorder="1" applyProtection="1">
      <protection locked="0"/>
    </xf>
    <xf numFmtId="0" fontId="28" fillId="0" borderId="0" xfId="1" applyFont="1" applyFill="1" applyBorder="1" applyProtection="1">
      <protection locked="0"/>
    </xf>
    <xf numFmtId="0" fontId="28" fillId="0" borderId="0" xfId="1" applyFont="1" applyFill="1" applyBorder="1" applyAlignment="1" applyProtection="1">
      <alignment horizontal="center"/>
      <protection locked="0"/>
    </xf>
    <xf numFmtId="0" fontId="28" fillId="0" borderId="0" xfId="1" applyFont="1" applyFill="1" applyProtection="1">
      <protection locked="0"/>
    </xf>
    <xf numFmtId="0" fontId="28" fillId="9" borderId="9" xfId="1" applyFont="1" applyFill="1" applyBorder="1" applyAlignment="1" applyProtection="1">
      <alignment horizontal="left"/>
      <protection locked="0"/>
    </xf>
    <xf numFmtId="0" fontId="28" fillId="9" borderId="9" xfId="1" applyFont="1" applyFill="1" applyBorder="1" applyAlignment="1" applyProtection="1">
      <protection locked="0"/>
    </xf>
    <xf numFmtId="0" fontId="28" fillId="0" borderId="0" xfId="1" applyFont="1" applyFill="1" applyBorder="1" applyAlignment="1" applyProtection="1">
      <protection locked="0"/>
    </xf>
    <xf numFmtId="0" fontId="5" fillId="0" borderId="0" xfId="1" applyFont="1" applyFill="1" applyBorder="1"/>
    <xf numFmtId="0" fontId="5" fillId="0" borderId="0" xfId="1" applyFont="1" applyFill="1" applyBorder="1" applyAlignment="1">
      <alignment horizontal="center"/>
    </xf>
    <xf numFmtId="0" fontId="5" fillId="0" borderId="3" xfId="1" applyFont="1" applyFill="1" applyBorder="1"/>
    <xf numFmtId="0" fontId="5" fillId="0" borderId="0" xfId="1" applyFont="1" applyFill="1" applyBorder="1" applyAlignment="1">
      <alignment horizontal="left"/>
    </xf>
    <xf numFmtId="0" fontId="28" fillId="9" borderId="9" xfId="1" applyFont="1" applyFill="1" applyBorder="1" applyAlignment="1">
      <alignment horizontal="left"/>
    </xf>
    <xf numFmtId="0" fontId="28" fillId="9" borderId="9" xfId="1" applyFont="1" applyFill="1" applyBorder="1"/>
    <xf numFmtId="164" fontId="28" fillId="9" borderId="9" xfId="1" applyNumberFormat="1" applyFont="1" applyFill="1" applyBorder="1"/>
    <xf numFmtId="0" fontId="30" fillId="0" borderId="9" xfId="0" applyFont="1" applyFill="1" applyBorder="1" applyAlignment="1" applyProtection="1">
      <alignment horizontal="left" vertical="center"/>
    </xf>
    <xf numFmtId="0" fontId="30" fillId="0" borderId="9" xfId="0" applyFont="1" applyFill="1" applyBorder="1" applyAlignment="1" applyProtection="1">
      <alignment vertical="center"/>
    </xf>
    <xf numFmtId="171" fontId="30" fillId="0" borderId="9" xfId="0" applyNumberFormat="1" applyFont="1" applyFill="1" applyBorder="1" applyAlignment="1" applyProtection="1">
      <alignment horizontal="right" vertical="center"/>
    </xf>
    <xf numFmtId="164" fontId="28" fillId="0" borderId="9" xfId="1" applyNumberFormat="1" applyFont="1" applyFill="1" applyBorder="1"/>
    <xf numFmtId="170" fontId="30" fillId="0" borderId="9" xfId="2" applyNumberFormat="1" applyFont="1" applyFill="1" applyBorder="1"/>
    <xf numFmtId="0" fontId="31" fillId="0" borderId="13" xfId="0" applyFont="1" applyFill="1" applyBorder="1" applyAlignment="1" applyProtection="1">
      <alignment horizontal="left" vertical="center"/>
    </xf>
    <xf numFmtId="0" fontId="31" fillId="0" borderId="13" xfId="0" applyFont="1" applyFill="1" applyBorder="1" applyAlignment="1" applyProtection="1">
      <alignment vertical="center"/>
    </xf>
    <xf numFmtId="0" fontId="28" fillId="9" borderId="13" xfId="0" applyFont="1" applyFill="1" applyBorder="1"/>
    <xf numFmtId="171" fontId="31" fillId="0" borderId="14" xfId="0" applyNumberFormat="1" applyFont="1" applyFill="1" applyBorder="1" applyAlignment="1" applyProtection="1">
      <alignment horizontal="right" vertical="center"/>
    </xf>
    <xf numFmtId="39" fontId="28" fillId="0" borderId="9" xfId="2" applyNumberFormat="1" applyFont="1" applyFill="1" applyBorder="1" applyProtection="1">
      <protection locked="0"/>
    </xf>
    <xf numFmtId="6" fontId="5" fillId="0" borderId="0" xfId="1" applyNumberFormat="1" applyFont="1"/>
    <xf numFmtId="8" fontId="5" fillId="0" borderId="0" xfId="1" applyNumberFormat="1" applyFont="1"/>
    <xf numFmtId="0" fontId="5" fillId="0" borderId="0" xfId="9" applyFont="1"/>
    <xf numFmtId="0" fontId="2" fillId="0" borderId="0" xfId="9" applyFont="1" applyAlignment="1">
      <alignment horizontal="right"/>
    </xf>
    <xf numFmtId="0" fontId="5" fillId="0" borderId="0" xfId="9"/>
    <xf numFmtId="0" fontId="32" fillId="0" borderId="0" xfId="9" applyFont="1"/>
    <xf numFmtId="0" fontId="4" fillId="0" borderId="0" xfId="9" applyFont="1" applyAlignment="1">
      <alignment horizontal="left"/>
    </xf>
    <xf numFmtId="49" fontId="2" fillId="3" borderId="7" xfId="9" applyNumberFormat="1" applyFont="1" applyFill="1" applyBorder="1" applyAlignment="1">
      <alignment horizontal="center"/>
    </xf>
    <xf numFmtId="49" fontId="2" fillId="3" borderId="3" xfId="9" applyNumberFormat="1" applyFont="1" applyFill="1" applyBorder="1" applyAlignment="1">
      <alignment horizontal="center"/>
    </xf>
    <xf numFmtId="49" fontId="5" fillId="3" borderId="3" xfId="9" applyNumberFormat="1" applyFont="1" applyFill="1" applyBorder="1" applyAlignment="1">
      <alignment horizontal="center"/>
    </xf>
    <xf numFmtId="49" fontId="2" fillId="3" borderId="4" xfId="9" applyNumberFormat="1" applyFont="1" applyFill="1" applyBorder="1" applyAlignment="1">
      <alignment horizontal="center"/>
    </xf>
    <xf numFmtId="49" fontId="8" fillId="3" borderId="5" xfId="9" applyNumberFormat="1" applyFont="1" applyFill="1" applyBorder="1" applyAlignment="1">
      <alignment horizontal="center"/>
    </xf>
    <xf numFmtId="49" fontId="8" fillId="3" borderId="0" xfId="9" applyNumberFormat="1" applyFont="1" applyFill="1" applyBorder="1" applyAlignment="1">
      <alignment horizontal="center"/>
    </xf>
    <xf numFmtId="49" fontId="8" fillId="3" borderId="6" xfId="9" applyNumberFormat="1" applyFont="1" applyFill="1" applyBorder="1" applyAlignment="1">
      <alignment horizontal="center"/>
    </xf>
    <xf numFmtId="0" fontId="9" fillId="3" borderId="5" xfId="9" applyFont="1" applyFill="1" applyBorder="1" applyAlignment="1">
      <alignment horizontal="center" vertical="center"/>
    </xf>
    <xf numFmtId="0" fontId="5" fillId="3" borderId="0" xfId="9" applyFont="1" applyFill="1" applyBorder="1" applyAlignment="1">
      <alignment horizontal="center" vertical="center"/>
    </xf>
    <xf numFmtId="0" fontId="9" fillId="3" borderId="0" xfId="9" applyFont="1" applyFill="1" applyBorder="1" applyAlignment="1">
      <alignment horizontal="center" vertical="center"/>
    </xf>
    <xf numFmtId="0" fontId="9" fillId="3" borderId="0" xfId="9" applyFont="1" applyFill="1" applyBorder="1" applyAlignment="1">
      <alignment horizontal="left" wrapText="1"/>
    </xf>
    <xf numFmtId="0" fontId="5" fillId="3" borderId="0" xfId="9" applyFont="1" applyFill="1" applyBorder="1" applyAlignment="1">
      <alignment horizontal="center"/>
    </xf>
    <xf numFmtId="164" fontId="5" fillId="3" borderId="6" xfId="9" applyNumberFormat="1" applyFont="1" applyFill="1" applyBorder="1" applyAlignment="1">
      <alignment horizontal="center"/>
    </xf>
    <xf numFmtId="0" fontId="9" fillId="3" borderId="1" xfId="9" applyFont="1" applyFill="1" applyBorder="1" applyAlignment="1">
      <alignment horizontal="center" vertical="center"/>
    </xf>
    <xf numFmtId="0" fontId="5" fillId="3" borderId="2" xfId="9" applyFont="1" applyFill="1" applyBorder="1" applyAlignment="1">
      <alignment horizontal="center" vertical="center"/>
    </xf>
    <xf numFmtId="0" fontId="9" fillId="3" borderId="2" xfId="9" applyFont="1" applyFill="1" applyBorder="1" applyAlignment="1">
      <alignment horizontal="left" wrapText="1"/>
    </xf>
    <xf numFmtId="0" fontId="5" fillId="3" borderId="2" xfId="9" applyFont="1" applyFill="1" applyBorder="1" applyAlignment="1">
      <alignment horizontal="center"/>
    </xf>
    <xf numFmtId="164" fontId="5" fillId="3" borderId="8" xfId="9" applyNumberFormat="1" applyFont="1" applyFill="1" applyBorder="1" applyAlignment="1">
      <alignment horizontal="center"/>
    </xf>
    <xf numFmtId="0" fontId="9" fillId="0" borderId="0" xfId="9" applyFont="1" applyAlignment="1">
      <alignment horizontal="center"/>
    </xf>
    <xf numFmtId="0" fontId="9" fillId="0" borderId="0" xfId="9" applyFont="1" applyAlignment="1">
      <alignment horizontal="left"/>
    </xf>
    <xf numFmtId="0" fontId="5" fillId="4" borderId="7" xfId="9" applyFont="1" applyFill="1" applyBorder="1" applyAlignment="1">
      <alignment horizontal="left"/>
    </xf>
    <xf numFmtId="0" fontId="5" fillId="4" borderId="3" xfId="9" applyFont="1" applyFill="1" applyBorder="1" applyAlignment="1">
      <alignment horizontal="left"/>
    </xf>
    <xf numFmtId="0" fontId="5" fillId="4" borderId="3" xfId="9" applyFont="1" applyFill="1" applyBorder="1"/>
    <xf numFmtId="0" fontId="2" fillId="4" borderId="3" xfId="9" applyFont="1" applyFill="1" applyBorder="1" applyAlignment="1">
      <alignment horizontal="center"/>
    </xf>
    <xf numFmtId="0" fontId="5" fillId="4" borderId="5" xfId="9" applyFont="1" applyFill="1" applyBorder="1" applyAlignment="1">
      <alignment horizontal="left"/>
    </xf>
    <xf numFmtId="0" fontId="5" fillId="4" borderId="0" xfId="9" applyFont="1" applyFill="1" applyBorder="1" applyAlignment="1">
      <alignment horizontal="left"/>
    </xf>
    <xf numFmtId="0" fontId="5" fillId="4" borderId="0" xfId="9" applyFont="1" applyFill="1" applyBorder="1"/>
    <xf numFmtId="0" fontId="2" fillId="4" borderId="0" xfId="9" applyFont="1" applyFill="1" applyBorder="1" applyAlignment="1">
      <alignment horizontal="center"/>
    </xf>
    <xf numFmtId="0" fontId="5" fillId="4" borderId="5" xfId="9" applyFont="1" applyFill="1" applyBorder="1"/>
    <xf numFmtId="0" fontId="6" fillId="4" borderId="5" xfId="9" applyFont="1" applyFill="1" applyBorder="1" applyAlignment="1">
      <alignment horizontal="left"/>
    </xf>
    <xf numFmtId="0" fontId="6" fillId="4" borderId="0" xfId="9" applyFont="1" applyFill="1" applyBorder="1" applyAlignment="1">
      <alignment horizontal="center"/>
    </xf>
    <xf numFmtId="0" fontId="8" fillId="4" borderId="0" xfId="9" applyFont="1" applyFill="1" applyBorder="1" applyAlignment="1">
      <alignment horizontal="center"/>
    </xf>
    <xf numFmtId="164" fontId="5" fillId="4" borderId="0" xfId="9" applyNumberFormat="1" applyFont="1" applyFill="1" applyBorder="1" applyAlignment="1">
      <alignment horizontal="center"/>
    </xf>
    <xf numFmtId="9" fontId="9" fillId="4" borderId="0" xfId="9" applyNumberFormat="1" applyFont="1" applyFill="1" applyBorder="1" applyAlignment="1">
      <alignment horizontal="center"/>
    </xf>
    <xf numFmtId="164" fontId="5" fillId="4" borderId="0" xfId="9" applyNumberFormat="1" applyFill="1" applyBorder="1"/>
    <xf numFmtId="164" fontId="6" fillId="4" borderId="0" xfId="9" applyNumberFormat="1" applyFont="1" applyFill="1" applyBorder="1" applyAlignment="1">
      <alignment horizontal="center"/>
    </xf>
    <xf numFmtId="164" fontId="6" fillId="4" borderId="0" xfId="9" applyNumberFormat="1" applyFont="1" applyFill="1" applyBorder="1"/>
    <xf numFmtId="0" fontId="5" fillId="4" borderId="1" xfId="9" applyFont="1" applyFill="1" applyBorder="1"/>
    <xf numFmtId="0" fontId="5" fillId="4" borderId="2" xfId="9" applyFont="1" applyFill="1" applyBorder="1"/>
    <xf numFmtId="164" fontId="2" fillId="4" borderId="2" xfId="9" applyNumberFormat="1" applyFont="1" applyFill="1" applyBorder="1" applyAlignment="1">
      <alignment horizontal="center"/>
    </xf>
    <xf numFmtId="0" fontId="5" fillId="4" borderId="2" xfId="9" applyFill="1" applyBorder="1"/>
    <xf numFmtId="164" fontId="2" fillId="4" borderId="2" xfId="9" applyNumberFormat="1" applyFont="1" applyFill="1" applyBorder="1"/>
    <xf numFmtId="0" fontId="4" fillId="0" borderId="0" xfId="9" applyFont="1" applyFill="1" applyBorder="1" applyAlignment="1">
      <alignment horizontal="left"/>
    </xf>
    <xf numFmtId="0" fontId="3" fillId="0" borderId="0" xfId="9" applyFont="1"/>
    <xf numFmtId="0" fontId="8" fillId="2" borderId="7" xfId="9" applyFont="1" applyFill="1" applyBorder="1" applyAlignment="1">
      <alignment horizontal="left"/>
    </xf>
    <xf numFmtId="0" fontId="2" fillId="2" borderId="3" xfId="9" applyFont="1" applyFill="1" applyBorder="1" applyAlignment="1">
      <alignment horizontal="left"/>
    </xf>
    <xf numFmtId="0" fontId="5" fillId="2" borderId="3" xfId="9" applyFont="1" applyFill="1" applyBorder="1"/>
    <xf numFmtId="0" fontId="5" fillId="2" borderId="4" xfId="9" applyFont="1" applyFill="1" applyBorder="1"/>
    <xf numFmtId="0" fontId="22" fillId="2" borderId="5" xfId="9" applyFont="1" applyFill="1" applyBorder="1" applyAlignment="1">
      <alignment horizontal="left"/>
    </xf>
    <xf numFmtId="0" fontId="2" fillId="2" borderId="0" xfId="9" applyFont="1" applyFill="1" applyBorder="1" applyAlignment="1">
      <alignment horizontal="left"/>
    </xf>
    <xf numFmtId="0" fontId="5" fillId="2" borderId="0" xfId="9" applyFont="1" applyFill="1" applyBorder="1"/>
    <xf numFmtId="0" fontId="5" fillId="2" borderId="6" xfId="9" applyFont="1" applyFill="1" applyBorder="1"/>
    <xf numFmtId="0" fontId="5" fillId="2" borderId="0" xfId="9" applyFill="1"/>
    <xf numFmtId="0" fontId="22" fillId="2" borderId="0" xfId="9" applyFont="1" applyFill="1" applyBorder="1" applyAlignment="1">
      <alignment horizontal="left"/>
    </xf>
    <xf numFmtId="0" fontId="5" fillId="2" borderId="5" xfId="9" applyFont="1" applyFill="1" applyBorder="1" applyAlignment="1">
      <alignment horizontal="left"/>
    </xf>
    <xf numFmtId="0" fontId="9" fillId="2" borderId="5" xfId="9" applyFont="1" applyFill="1" applyBorder="1" applyAlignment="1">
      <alignment horizontal="left"/>
    </xf>
    <xf numFmtId="0" fontId="2" fillId="2" borderId="5" xfId="9" applyFont="1" applyFill="1" applyBorder="1" applyAlignment="1">
      <alignment horizontal="left"/>
    </xf>
    <xf numFmtId="0" fontId="9" fillId="2" borderId="0" xfId="9" applyFont="1" applyFill="1" applyBorder="1"/>
    <xf numFmtId="0" fontId="5" fillId="2" borderId="0" xfId="9" applyFont="1" applyFill="1"/>
    <xf numFmtId="1" fontId="9" fillId="2" borderId="0" xfId="9" applyNumberFormat="1" applyFont="1" applyFill="1" applyBorder="1" applyAlignment="1">
      <alignment horizontal="left"/>
    </xf>
    <xf numFmtId="9" fontId="9" fillId="2" borderId="0" xfId="9" applyNumberFormat="1" applyFont="1" applyFill="1" applyBorder="1" applyAlignment="1">
      <alignment horizontal="left"/>
    </xf>
    <xf numFmtId="0" fontId="5" fillId="2" borderId="0" xfId="9" quotePrefix="1" applyFont="1" applyFill="1"/>
    <xf numFmtId="0" fontId="8" fillId="2" borderId="6" xfId="9" applyFont="1" applyFill="1" applyBorder="1"/>
    <xf numFmtId="0" fontId="5" fillId="2" borderId="5" xfId="9" applyFont="1" applyFill="1" applyBorder="1"/>
    <xf numFmtId="0" fontId="5" fillId="2" borderId="0" xfId="9" applyFont="1" applyFill="1" applyBorder="1" applyAlignment="1">
      <alignment horizontal="left"/>
    </xf>
    <xf numFmtId="0" fontId="6" fillId="2" borderId="6" xfId="9" applyFont="1" applyFill="1" applyBorder="1"/>
    <xf numFmtId="0" fontId="8" fillId="2" borderId="5" xfId="9" applyFont="1" applyFill="1" applyBorder="1" applyAlignment="1">
      <alignment horizontal="left"/>
    </xf>
    <xf numFmtId="169" fontId="9" fillId="2" borderId="6" xfId="9" applyNumberFormat="1" applyFont="1" applyFill="1" applyBorder="1"/>
    <xf numFmtId="0" fontId="6" fillId="2" borderId="5" xfId="9" applyFont="1" applyFill="1" applyBorder="1" applyAlignment="1">
      <alignment horizontal="left"/>
    </xf>
    <xf numFmtId="0" fontId="6" fillId="2" borderId="0" xfId="9" applyFont="1" applyFill="1" applyBorder="1" applyAlignment="1">
      <alignment horizontal="center"/>
    </xf>
    <xf numFmtId="164" fontId="9" fillId="2" borderId="6" xfId="9" applyNumberFormat="1" applyFont="1" applyFill="1" applyBorder="1"/>
    <xf numFmtId="0" fontId="22" fillId="2" borderId="0" xfId="9" applyFont="1" applyFill="1" applyAlignment="1">
      <alignment horizontal="center"/>
    </xf>
    <xf numFmtId="2" fontId="5" fillId="2" borderId="0" xfId="9" applyNumberFormat="1" applyFont="1" applyFill="1" applyBorder="1" applyAlignment="1">
      <alignment horizontal="center"/>
    </xf>
    <xf numFmtId="166" fontId="5" fillId="2" borderId="0" xfId="9" applyNumberFormat="1" applyFont="1" applyFill="1" applyBorder="1" applyAlignment="1">
      <alignment horizontal="center"/>
    </xf>
    <xf numFmtId="164" fontId="5" fillId="2" borderId="0" xfId="9" applyNumberFormat="1" applyFont="1" applyFill="1" applyBorder="1" applyAlignment="1">
      <alignment horizontal="center"/>
    </xf>
    <xf numFmtId="164" fontId="5" fillId="2" borderId="6" xfId="9" applyNumberFormat="1" applyFont="1" applyFill="1" applyBorder="1"/>
    <xf numFmtId="0" fontId="5" fillId="2" borderId="5" xfId="9" quotePrefix="1" applyFont="1" applyFill="1" applyBorder="1"/>
    <xf numFmtId="164" fontId="22" fillId="2" borderId="0" xfId="9" applyNumberFormat="1" applyFont="1" applyFill="1" applyAlignment="1">
      <alignment horizontal="center"/>
    </xf>
    <xf numFmtId="0" fontId="22" fillId="2" borderId="5" xfId="9" applyFont="1" applyFill="1" applyBorder="1"/>
    <xf numFmtId="0" fontId="22" fillId="2" borderId="0" xfId="9" applyFont="1" applyFill="1"/>
    <xf numFmtId="0" fontId="33" fillId="2" borderId="5" xfId="9" applyFont="1" applyFill="1" applyBorder="1"/>
    <xf numFmtId="0" fontId="9" fillId="2" borderId="5" xfId="9" quotePrefix="1" applyFont="1" applyFill="1" applyBorder="1"/>
    <xf numFmtId="164" fontId="9" fillId="2" borderId="0" xfId="9" applyNumberFormat="1" applyFont="1" applyFill="1"/>
    <xf numFmtId="4" fontId="5" fillId="2" borderId="0" xfId="9" applyNumberFormat="1" applyFont="1" applyFill="1" applyBorder="1"/>
    <xf numFmtId="49" fontId="5" fillId="2" borderId="5" xfId="9" applyNumberFormat="1" applyFont="1" applyFill="1" applyBorder="1"/>
    <xf numFmtId="49" fontId="22" fillId="2" borderId="0" xfId="9" applyNumberFormat="1" applyFont="1" applyFill="1" applyAlignment="1">
      <alignment horizontal="center"/>
    </xf>
    <xf numFmtId="0" fontId="9" fillId="2" borderId="0" xfId="9" applyFont="1" applyFill="1" applyAlignment="1">
      <alignment horizontal="center"/>
    </xf>
    <xf numFmtId="0" fontId="5" fillId="2" borderId="0" xfId="9" applyFont="1" applyFill="1" applyBorder="1" applyAlignment="1">
      <alignment horizontal="center"/>
    </xf>
    <xf numFmtId="3" fontId="9" fillId="2" borderId="0" xfId="9" applyNumberFormat="1" applyFont="1" applyFill="1" applyBorder="1"/>
    <xf numFmtId="0" fontId="22" fillId="2" borderId="5" xfId="9" applyFont="1" applyFill="1" applyBorder="1" applyAlignment="1">
      <alignment horizontal="left" wrapText="1"/>
    </xf>
    <xf numFmtId="0" fontId="22" fillId="2" borderId="0" xfId="9" applyFont="1" applyFill="1" applyBorder="1" applyAlignment="1">
      <alignment horizontal="left" wrapText="1"/>
    </xf>
    <xf numFmtId="0" fontId="22" fillId="2" borderId="6" xfId="9" applyFont="1" applyFill="1" applyBorder="1" applyAlignment="1">
      <alignment horizontal="left" wrapText="1"/>
    </xf>
    <xf numFmtId="169" fontId="9" fillId="2" borderId="6" xfId="9" quotePrefix="1" applyNumberFormat="1" applyFont="1" applyFill="1" applyBorder="1"/>
    <xf numFmtId="164" fontId="9" fillId="2" borderId="6" xfId="9" quotePrefix="1" applyNumberFormat="1" applyFont="1" applyFill="1" applyBorder="1"/>
    <xf numFmtId="164" fontId="5" fillId="2" borderId="0" xfId="9" applyNumberFormat="1" applyFont="1" applyFill="1" applyBorder="1"/>
    <xf numFmtId="164" fontId="9" fillId="2" borderId="0" xfId="9" applyNumberFormat="1" applyFont="1" applyFill="1" applyBorder="1"/>
    <xf numFmtId="164" fontId="5" fillId="2" borderId="0" xfId="9" quotePrefix="1" applyNumberFormat="1" applyFont="1" applyFill="1" applyBorder="1"/>
    <xf numFmtId="0" fontId="9" fillId="2" borderId="5" xfId="9" applyFont="1" applyFill="1" applyBorder="1"/>
    <xf numFmtId="169" fontId="2" fillId="2" borderId="6" xfId="9" applyNumberFormat="1" applyFont="1" applyFill="1" applyBorder="1"/>
    <xf numFmtId="0" fontId="2" fillId="2" borderId="1" xfId="9" applyFont="1" applyFill="1" applyBorder="1"/>
    <xf numFmtId="0" fontId="5" fillId="2" borderId="2" xfId="9" applyFont="1" applyFill="1" applyBorder="1"/>
    <xf numFmtId="169" fontId="2" fillId="2" borderId="8" xfId="10" applyNumberFormat="1" applyFont="1" applyFill="1" applyBorder="1"/>
    <xf numFmtId="0" fontId="9" fillId="3" borderId="0" xfId="9" applyFont="1" applyFill="1" applyBorder="1" applyAlignment="1">
      <alignment horizontal="center" wrapText="1"/>
    </xf>
    <xf numFmtId="0" fontId="9" fillId="3" borderId="2" xfId="9" applyFont="1" applyFill="1" applyBorder="1" applyAlignment="1">
      <alignment horizontal="center" wrapText="1"/>
    </xf>
    <xf numFmtId="0" fontId="2" fillId="4" borderId="4" xfId="9" applyFont="1" applyFill="1" applyBorder="1" applyAlignment="1">
      <alignment horizontal="center"/>
    </xf>
    <xf numFmtId="0" fontId="2" fillId="4" borderId="6" xfId="9" applyFont="1" applyFill="1" applyBorder="1" applyAlignment="1">
      <alignment horizontal="center"/>
    </xf>
    <xf numFmtId="0" fontId="8" fillId="4" borderId="6" xfId="9" applyFont="1" applyFill="1" applyBorder="1" applyAlignment="1">
      <alignment horizontal="center"/>
    </xf>
    <xf numFmtId="164" fontId="5" fillId="4" borderId="6" xfId="9" applyNumberFormat="1" applyFill="1" applyBorder="1"/>
    <xf numFmtId="164" fontId="6" fillId="4" borderId="6" xfId="9" applyNumberFormat="1" applyFont="1" applyFill="1" applyBorder="1"/>
    <xf numFmtId="0" fontId="5" fillId="4" borderId="2" xfId="9" quotePrefix="1" applyFill="1" applyBorder="1"/>
    <xf numFmtId="164" fontId="2" fillId="4" borderId="8" xfId="9" applyNumberFormat="1" applyFont="1" applyFill="1" applyBorder="1"/>
    <xf numFmtId="0" fontId="9" fillId="3" borderId="5" xfId="9" applyFont="1" applyFill="1" applyBorder="1" applyAlignment="1">
      <alignment horizontal="center"/>
    </xf>
    <xf numFmtId="0" fontId="9" fillId="3" borderId="0" xfId="9" applyFont="1" applyFill="1" applyBorder="1" applyAlignment="1">
      <alignment horizontal="center"/>
    </xf>
    <xf numFmtId="0" fontId="9" fillId="3" borderId="1" xfId="9" applyFont="1" applyFill="1" applyBorder="1" applyAlignment="1">
      <alignment horizontal="center"/>
    </xf>
    <xf numFmtId="164" fontId="5" fillId="2" borderId="0" xfId="9" applyNumberFormat="1" applyFont="1" applyFill="1" applyAlignment="1">
      <alignment horizontal="center"/>
    </xf>
    <xf numFmtId="6" fontId="5" fillId="2" borderId="0" xfId="9" applyNumberFormat="1" applyFont="1" applyFill="1" applyBorder="1"/>
    <xf numFmtId="0" fontId="0" fillId="11" borderId="0" xfId="0" applyFill="1" applyBorder="1" applyAlignment="1"/>
    <xf numFmtId="0" fontId="0" fillId="11" borderId="0" xfId="0" applyFill="1"/>
    <xf numFmtId="0" fontId="38" fillId="3" borderId="22" xfId="0" applyFont="1" applyFill="1" applyBorder="1" applyAlignment="1">
      <alignment horizontal="center" vertical="center" wrapText="1"/>
    </xf>
    <xf numFmtId="0" fontId="38" fillId="3" borderId="23" xfId="0" applyFont="1" applyFill="1" applyBorder="1" applyAlignment="1">
      <alignment horizontal="center" vertical="center" wrapText="1"/>
    </xf>
    <xf numFmtId="0" fontId="38" fillId="3" borderId="24" xfId="0" applyFont="1" applyFill="1" applyBorder="1" applyAlignment="1">
      <alignment horizontal="center" vertical="center" wrapText="1"/>
    </xf>
    <xf numFmtId="0" fontId="0" fillId="11" borderId="0" xfId="0" applyFill="1" applyBorder="1"/>
    <xf numFmtId="0" fontId="40" fillId="3" borderId="25" xfId="0" applyFont="1" applyFill="1" applyBorder="1" applyAlignment="1">
      <alignment horizontal="center" vertical="center"/>
    </xf>
    <xf numFmtId="0" fontId="40" fillId="3" borderId="9" xfId="0" applyFont="1" applyFill="1" applyBorder="1" applyAlignment="1">
      <alignment horizontal="center" vertical="center"/>
    </xf>
    <xf numFmtId="0" fontId="40" fillId="3" borderId="9" xfId="0" applyNumberFormat="1" applyFont="1" applyFill="1" applyBorder="1" applyAlignment="1">
      <alignment horizontal="center" vertical="center"/>
    </xf>
    <xf numFmtId="164" fontId="40" fillId="3" borderId="26" xfId="0" applyNumberFormat="1" applyFont="1" applyFill="1" applyBorder="1" applyAlignment="1">
      <alignment horizontal="center" vertical="center"/>
    </xf>
    <xf numFmtId="0" fontId="40" fillId="3" borderId="27" xfId="0" applyFont="1" applyFill="1" applyBorder="1" applyAlignment="1">
      <alignment horizontal="center" vertical="center"/>
    </xf>
    <xf numFmtId="0" fontId="40" fillId="3" borderId="28" xfId="0" applyNumberFormat="1" applyFont="1" applyFill="1" applyBorder="1" applyAlignment="1">
      <alignment horizontal="center" vertical="center"/>
    </xf>
    <xf numFmtId="164" fontId="40" fillId="3" borderId="29" xfId="0" applyNumberFormat="1" applyFont="1" applyFill="1" applyBorder="1" applyAlignment="1">
      <alignment horizontal="center" vertical="center"/>
    </xf>
    <xf numFmtId="0" fontId="38" fillId="4" borderId="23" xfId="0" applyFont="1" applyFill="1" applyBorder="1" applyAlignment="1">
      <alignment horizontal="center" vertical="center" wrapText="1"/>
    </xf>
    <xf numFmtId="0" fontId="38" fillId="4" borderId="24" xfId="0" applyFont="1" applyFill="1" applyBorder="1" applyAlignment="1">
      <alignment horizontal="center" vertical="center" wrapText="1"/>
    </xf>
    <xf numFmtId="164" fontId="41" fillId="4" borderId="9" xfId="0" applyNumberFormat="1" applyFont="1" applyFill="1" applyBorder="1" applyAlignment="1">
      <alignment horizontal="center"/>
    </xf>
    <xf numFmtId="9" fontId="42" fillId="4" borderId="9" xfId="0" applyNumberFormat="1" applyFont="1" applyFill="1" applyBorder="1" applyAlignment="1">
      <alignment horizontal="center"/>
    </xf>
    <xf numFmtId="164" fontId="41" fillId="4" borderId="26" xfId="0" applyNumberFormat="1" applyFont="1" applyFill="1" applyBorder="1" applyAlignment="1">
      <alignment horizontal="center"/>
    </xf>
    <xf numFmtId="164" fontId="43" fillId="4" borderId="28" xfId="0" applyNumberFormat="1" applyFont="1" applyFill="1" applyBorder="1" applyAlignment="1">
      <alignment horizontal="center"/>
    </xf>
    <xf numFmtId="0" fontId="39" fillId="4" borderId="28" xfId="0" applyFont="1" applyFill="1" applyBorder="1" applyAlignment="1">
      <alignment horizontal="center"/>
    </xf>
    <xf numFmtId="0" fontId="39" fillId="4" borderId="28" xfId="0" applyFont="1" applyFill="1" applyBorder="1"/>
    <xf numFmtId="164" fontId="43" fillId="4" borderId="29" xfId="0" applyNumberFormat="1" applyFont="1" applyFill="1" applyBorder="1" applyAlignment="1">
      <alignment horizontal="center"/>
    </xf>
    <xf numFmtId="0" fontId="44" fillId="11" borderId="0" xfId="0" applyFont="1" applyFill="1" applyBorder="1" applyAlignment="1">
      <alignment horizontal="center"/>
    </xf>
    <xf numFmtId="164" fontId="45" fillId="11" borderId="0" xfId="0" applyNumberFormat="1" applyFont="1" applyFill="1" applyBorder="1" applyAlignment="1">
      <alignment horizontal="center"/>
    </xf>
    <xf numFmtId="0" fontId="46" fillId="11" borderId="0" xfId="0" applyFont="1" applyFill="1" applyBorder="1" applyAlignment="1">
      <alignment horizontal="center"/>
    </xf>
    <xf numFmtId="0" fontId="46" fillId="11" borderId="0" xfId="0" applyFont="1" applyFill="1" applyBorder="1"/>
    <xf numFmtId="0" fontId="47" fillId="11" borderId="23" xfId="0" applyFont="1" applyFill="1" applyBorder="1" applyAlignment="1">
      <alignment horizontal="center" vertical="center"/>
    </xf>
    <xf numFmtId="0" fontId="37" fillId="2" borderId="37" xfId="0" applyFont="1" applyFill="1" applyBorder="1"/>
    <xf numFmtId="0" fontId="37" fillId="2" borderId="11" xfId="0" applyFont="1" applyFill="1" applyBorder="1"/>
    <xf numFmtId="0" fontId="37" fillId="2" borderId="36" xfId="0" applyFont="1" applyFill="1" applyBorder="1"/>
    <xf numFmtId="0" fontId="47" fillId="11" borderId="26" xfId="0" applyFont="1" applyFill="1" applyBorder="1" applyAlignment="1">
      <alignment horizontal="center"/>
    </xf>
    <xf numFmtId="0" fontId="51" fillId="11" borderId="9" xfId="0" applyFont="1" applyFill="1" applyBorder="1" applyAlignment="1">
      <alignment horizontal="center"/>
    </xf>
    <xf numFmtId="10" fontId="51" fillId="11" borderId="26" xfId="0" applyNumberFormat="1" applyFont="1" applyFill="1" applyBorder="1" applyAlignment="1">
      <alignment horizontal="center"/>
    </xf>
    <xf numFmtId="0" fontId="37" fillId="12" borderId="18" xfId="0" applyFont="1" applyFill="1" applyBorder="1"/>
    <xf numFmtId="0" fontId="37" fillId="12" borderId="0" xfId="0" applyFont="1" applyFill="1" applyBorder="1"/>
    <xf numFmtId="0" fontId="37" fillId="12" borderId="19" xfId="0" applyFont="1" applyFill="1" applyBorder="1"/>
    <xf numFmtId="0" fontId="39" fillId="2" borderId="9" xfId="0" applyFont="1" applyFill="1" applyBorder="1" applyAlignment="1">
      <alignment horizontal="center" vertical="center" wrapText="1"/>
    </xf>
    <xf numFmtId="0" fontId="39" fillId="2" borderId="26" xfId="0" applyFont="1" applyFill="1" applyBorder="1" applyAlignment="1">
      <alignment horizontal="center" vertical="center" wrapText="1"/>
    </xf>
    <xf numFmtId="0" fontId="37" fillId="11" borderId="9" xfId="0" applyFont="1" applyFill="1" applyBorder="1" applyAlignment="1">
      <alignment horizontal="center" vertical="center"/>
    </xf>
    <xf numFmtId="164" fontId="37" fillId="11" borderId="9" xfId="0" applyNumberFormat="1" applyFont="1" applyFill="1" applyBorder="1" applyAlignment="1">
      <alignment horizontal="center" vertical="center"/>
    </xf>
    <xf numFmtId="164" fontId="37" fillId="11" borderId="26" xfId="0" applyNumberFormat="1" applyFont="1" applyFill="1" applyBorder="1" applyAlignment="1">
      <alignment horizontal="center" vertical="center"/>
    </xf>
    <xf numFmtId="164" fontId="37" fillId="2" borderId="48" xfId="0" applyNumberFormat="1" applyFont="1" applyFill="1" applyBorder="1" applyAlignment="1">
      <alignment horizontal="center" vertical="center"/>
    </xf>
    <xf numFmtId="164" fontId="37" fillId="11" borderId="49" xfId="0" applyNumberFormat="1" applyFont="1" applyFill="1" applyBorder="1" applyAlignment="1">
      <alignment horizontal="center" vertical="center"/>
    </xf>
    <xf numFmtId="164" fontId="37" fillId="6" borderId="9" xfId="0" applyNumberFormat="1" applyFont="1" applyFill="1" applyBorder="1" applyAlignment="1">
      <alignment horizontal="center" vertical="center"/>
    </xf>
    <xf numFmtId="9" fontId="37" fillId="11" borderId="9" xfId="0" applyNumberFormat="1" applyFont="1" applyFill="1" applyBorder="1" applyAlignment="1">
      <alignment horizontal="center" vertical="center"/>
    </xf>
    <xf numFmtId="164" fontId="39" fillId="2" borderId="9" xfId="0" applyNumberFormat="1" applyFont="1" applyFill="1" applyBorder="1" applyAlignment="1">
      <alignment horizontal="center"/>
    </xf>
    <xf numFmtId="164" fontId="39" fillId="2" borderId="26" xfId="0" applyNumberFormat="1" applyFont="1" applyFill="1" applyBorder="1" applyAlignment="1">
      <alignment horizontal="center"/>
    </xf>
    <xf numFmtId="0" fontId="37" fillId="11" borderId="9" xfId="0" applyFont="1" applyFill="1" applyBorder="1"/>
    <xf numFmtId="7" fontId="5" fillId="0" borderId="0" xfId="0" applyNumberFormat="1" applyFont="1" applyFill="1" applyBorder="1" applyAlignment="1">
      <alignment horizontal="left"/>
    </xf>
    <xf numFmtId="0" fontId="2" fillId="0" borderId="0" xfId="3" applyFont="1" applyAlignment="1">
      <alignment horizontal="right"/>
    </xf>
    <xf numFmtId="164" fontId="5" fillId="3" borderId="6" xfId="3" applyNumberFormat="1" applyFont="1" applyFill="1" applyBorder="1" applyAlignment="1">
      <alignment horizontal="center"/>
    </xf>
    <xf numFmtId="164" fontId="5" fillId="3" borderId="8" xfId="3" applyNumberFormat="1" applyFont="1" applyFill="1" applyBorder="1" applyAlignment="1">
      <alignment horizontal="center"/>
    </xf>
    <xf numFmtId="164" fontId="5" fillId="4" borderId="0" xfId="3" applyNumberFormat="1" applyFont="1" applyFill="1" applyBorder="1" applyAlignment="1">
      <alignment horizontal="center"/>
    </xf>
    <xf numFmtId="164" fontId="5" fillId="4" borderId="0" xfId="3" applyNumberFormat="1" applyFill="1" applyBorder="1"/>
    <xf numFmtId="164" fontId="5" fillId="4" borderId="6" xfId="3" applyNumberFormat="1" applyFill="1" applyBorder="1"/>
    <xf numFmtId="164" fontId="6" fillId="4" borderId="0" xfId="3" applyNumberFormat="1" applyFont="1" applyFill="1" applyBorder="1" applyAlignment="1">
      <alignment horizontal="center"/>
    </xf>
    <xf numFmtId="164" fontId="6" fillId="4" borderId="0" xfId="3" applyNumberFormat="1" applyFont="1" applyFill="1" applyBorder="1"/>
    <xf numFmtId="164" fontId="6" fillId="4" borderId="6" xfId="3" applyNumberFormat="1" applyFont="1" applyFill="1" applyBorder="1"/>
    <xf numFmtId="164" fontId="2" fillId="4" borderId="2" xfId="3" applyNumberFormat="1" applyFont="1" applyFill="1" applyBorder="1" applyAlignment="1">
      <alignment horizontal="center"/>
    </xf>
    <xf numFmtId="0" fontId="5" fillId="4" borderId="2" xfId="3" quotePrefix="1" applyFill="1" applyBorder="1"/>
    <xf numFmtId="164" fontId="2" fillId="4" borderId="2" xfId="3" applyNumberFormat="1" applyFont="1" applyFill="1" applyBorder="1"/>
    <xf numFmtId="164" fontId="2" fillId="4" borderId="8" xfId="3" applyNumberFormat="1" applyFont="1" applyFill="1" applyBorder="1"/>
    <xf numFmtId="0" fontId="5" fillId="2" borderId="5" xfId="3" applyFill="1" applyBorder="1" applyAlignment="1">
      <alignment horizontal="left"/>
    </xf>
    <xf numFmtId="1" fontId="9" fillId="2" borderId="0" xfId="3" applyNumberFormat="1" applyFont="1" applyFill="1" applyBorder="1" applyAlignment="1">
      <alignment horizontal="left"/>
    </xf>
    <xf numFmtId="0" fontId="5" fillId="2" borderId="0" xfId="3" quotePrefix="1" applyFont="1" applyFill="1"/>
    <xf numFmtId="0" fontId="8" fillId="2" borderId="6" xfId="3" applyFont="1" applyFill="1" applyBorder="1"/>
    <xf numFmtId="169" fontId="9" fillId="2" borderId="6" xfId="3" applyNumberFormat="1" applyFont="1" applyFill="1" applyBorder="1"/>
    <xf numFmtId="0" fontId="6" fillId="2" borderId="5" xfId="3" applyFont="1" applyFill="1" applyBorder="1" applyAlignment="1">
      <alignment horizontal="left"/>
    </xf>
    <xf numFmtId="0" fontId="6" fillId="2" borderId="0" xfId="3" applyFont="1" applyFill="1" applyBorder="1" applyAlignment="1">
      <alignment horizontal="center"/>
    </xf>
    <xf numFmtId="0" fontId="22" fillId="2" borderId="0" xfId="3" applyFont="1" applyFill="1" applyAlignment="1">
      <alignment horizontal="center"/>
    </xf>
    <xf numFmtId="2" fontId="5" fillId="2" borderId="0" xfId="3" applyNumberFormat="1" applyFont="1" applyFill="1" applyBorder="1" applyAlignment="1">
      <alignment horizontal="center"/>
    </xf>
    <xf numFmtId="166" fontId="5" fillId="2" borderId="0" xfId="3" applyNumberFormat="1" applyFont="1" applyFill="1" applyBorder="1" applyAlignment="1">
      <alignment horizontal="center"/>
    </xf>
    <xf numFmtId="164" fontId="5" fillId="2" borderId="0" xfId="3" applyNumberFormat="1" applyFont="1" applyFill="1" applyBorder="1" applyAlignment="1">
      <alignment horizontal="center"/>
    </xf>
    <xf numFmtId="0" fontId="22" fillId="2" borderId="5" xfId="3" applyFont="1" applyFill="1" applyBorder="1"/>
    <xf numFmtId="0" fontId="22" fillId="2" borderId="0" xfId="3" applyFont="1" applyFill="1"/>
    <xf numFmtId="164" fontId="22" fillId="2" borderId="0" xfId="3" applyNumberFormat="1" applyFont="1" applyFill="1" applyAlignment="1">
      <alignment horizontal="center"/>
    </xf>
    <xf numFmtId="49" fontId="5" fillId="2" borderId="5" xfId="3" applyNumberFormat="1" applyFont="1" applyFill="1" applyBorder="1"/>
    <xf numFmtId="49" fontId="5" fillId="2" borderId="0" xfId="3" applyNumberFormat="1" applyFont="1" applyFill="1" applyBorder="1" applyAlignment="1">
      <alignment horizontal="center"/>
    </xf>
    <xf numFmtId="0" fontId="5" fillId="2" borderId="0" xfId="3" applyFont="1" applyFill="1" applyBorder="1" applyAlignment="1">
      <alignment horizontal="center"/>
    </xf>
    <xf numFmtId="0" fontId="22" fillId="2" borderId="5" xfId="3" applyFont="1" applyFill="1" applyBorder="1" applyAlignment="1">
      <alignment horizontal="left" wrapText="1"/>
    </xf>
    <xf numFmtId="0" fontId="22" fillId="2" borderId="0" xfId="3" applyFont="1" applyFill="1" applyBorder="1" applyAlignment="1">
      <alignment horizontal="left" wrapText="1"/>
    </xf>
    <xf numFmtId="0" fontId="22" fillId="2" borderId="6" xfId="3" applyFont="1" applyFill="1" applyBorder="1" applyAlignment="1">
      <alignment horizontal="left" wrapText="1"/>
    </xf>
    <xf numFmtId="169" fontId="9" fillId="2" borderId="6" xfId="3" quotePrefix="1" applyNumberFormat="1" applyFont="1" applyFill="1" applyBorder="1"/>
    <xf numFmtId="0" fontId="5" fillId="2" borderId="0" xfId="3" applyFill="1" applyBorder="1"/>
    <xf numFmtId="164" fontId="5" fillId="2" borderId="0" xfId="3" applyNumberFormat="1" applyFont="1" applyFill="1" applyBorder="1"/>
    <xf numFmtId="164" fontId="9" fillId="2" borderId="0" xfId="3" applyNumberFormat="1" applyFont="1" applyFill="1" applyBorder="1"/>
    <xf numFmtId="164" fontId="5" fillId="2" borderId="0" xfId="3" quotePrefix="1" applyNumberFormat="1" applyFont="1" applyFill="1" applyBorder="1"/>
    <xf numFmtId="0" fontId="9" fillId="2" borderId="6" xfId="3" applyNumberFormat="1" applyFont="1" applyFill="1" applyBorder="1"/>
    <xf numFmtId="164" fontId="5" fillId="2" borderId="0" xfId="3" applyNumberFormat="1" applyFill="1" applyBorder="1" applyAlignment="1">
      <alignment horizontal="center"/>
    </xf>
    <xf numFmtId="9" fontId="9" fillId="2" borderId="0" xfId="3" applyNumberFormat="1" applyFont="1" applyFill="1" applyBorder="1"/>
    <xf numFmtId="0" fontId="9" fillId="2" borderId="5" xfId="3" applyFont="1" applyFill="1" applyBorder="1"/>
    <xf numFmtId="0" fontId="53" fillId="2" borderId="5" xfId="27" applyFill="1" applyBorder="1" applyAlignment="1" applyProtection="1">
      <alignment horizontal="left"/>
    </xf>
    <xf numFmtId="169" fontId="2" fillId="2" borderId="6" xfId="3" applyNumberFormat="1" applyFont="1" applyFill="1" applyBorder="1"/>
    <xf numFmtId="49" fontId="2" fillId="0" borderId="0" xfId="0" applyNumberFormat="1" applyFont="1" applyFill="1" applyBorder="1" applyAlignment="1">
      <alignment horizontal="center"/>
    </xf>
    <xf numFmtId="0" fontId="2" fillId="0" borderId="0" xfId="0" applyFont="1" applyAlignment="1">
      <alignment horizontal="center"/>
    </xf>
    <xf numFmtId="49" fontId="8" fillId="0" borderId="0" xfId="0" applyNumberFormat="1" applyFont="1" applyFill="1" applyBorder="1" applyAlignment="1">
      <alignment horizontal="center"/>
    </xf>
    <xf numFmtId="0" fontId="0" fillId="3" borderId="0" xfId="0" applyFill="1" applyBorder="1" applyAlignment="1">
      <alignment horizontal="center"/>
    </xf>
    <xf numFmtId="0" fontId="9" fillId="3" borderId="0" xfId="0" applyFont="1" applyFill="1" applyBorder="1" applyAlignment="1">
      <alignment horizontal="left" wrapText="1"/>
    </xf>
    <xf numFmtId="0" fontId="9" fillId="3" borderId="0" xfId="0" applyFont="1" applyFill="1" applyBorder="1" applyAlignment="1">
      <alignment horizontal="left"/>
    </xf>
    <xf numFmtId="0" fontId="0" fillId="3" borderId="2" xfId="0" applyFill="1" applyBorder="1" applyAlignment="1">
      <alignment horizontal="center"/>
    </xf>
    <xf numFmtId="0" fontId="9" fillId="3" borderId="2" xfId="0" applyFont="1" applyFill="1" applyBorder="1" applyAlignment="1">
      <alignment horizontal="left" wrapText="1"/>
    </xf>
    <xf numFmtId="0" fontId="9" fillId="3" borderId="2" xfId="0" applyFont="1" applyFill="1" applyBorder="1" applyAlignment="1">
      <alignment horizontal="left"/>
    </xf>
    <xf numFmtId="0" fontId="8" fillId="0" borderId="0" xfId="0" applyFont="1" applyAlignment="1">
      <alignment horizontal="center"/>
    </xf>
    <xf numFmtId="0" fontId="9" fillId="2" borderId="0" xfId="0" applyFont="1" applyFill="1" applyBorder="1" applyAlignment="1">
      <alignment horizontal="left" wrapText="1"/>
    </xf>
    <xf numFmtId="0" fontId="9" fillId="2" borderId="6" xfId="0" applyFont="1" applyFill="1" applyBorder="1" applyAlignment="1">
      <alignment horizontal="left" wrapText="1"/>
    </xf>
    <xf numFmtId="0" fontId="9" fillId="2" borderId="5" xfId="0" applyFont="1" applyFill="1" applyBorder="1" applyAlignment="1">
      <alignment wrapText="1"/>
    </xf>
    <xf numFmtId="0" fontId="9" fillId="2" borderId="6" xfId="0" applyFont="1" applyFill="1" applyBorder="1" applyAlignment="1">
      <alignment wrapText="1"/>
    </xf>
    <xf numFmtId="0" fontId="0" fillId="2" borderId="0" xfId="0" applyFill="1" applyAlignment="1">
      <alignment vertical="top" wrapText="1"/>
    </xf>
    <xf numFmtId="0" fontId="0" fillId="2" borderId="6" xfId="0" applyFill="1" applyBorder="1" applyAlignment="1">
      <alignment vertical="top" wrapText="1"/>
    </xf>
    <xf numFmtId="0" fontId="54" fillId="2" borderId="0" xfId="0" applyFont="1" applyFill="1"/>
    <xf numFmtId="172" fontId="9" fillId="2" borderId="0" xfId="0" applyNumberFormat="1" applyFont="1" applyFill="1" applyBorder="1" applyAlignment="1">
      <alignment horizontal="left"/>
    </xf>
    <xf numFmtId="164" fontId="9" fillId="2" borderId="6" xfId="0" applyNumberFormat="1" applyFont="1" applyFill="1" applyBorder="1" applyAlignment="1">
      <alignment horizontal="center"/>
    </xf>
    <xf numFmtId="5" fontId="9" fillId="2" borderId="0" xfId="0" applyNumberFormat="1" applyFont="1" applyFill="1" applyBorder="1"/>
    <xf numFmtId="6" fontId="9" fillId="2" borderId="0" xfId="0" applyNumberFormat="1" applyFont="1" applyFill="1" applyBorder="1"/>
    <xf numFmtId="164" fontId="5" fillId="2" borderId="6" xfId="0" applyNumberFormat="1" applyFont="1" applyFill="1" applyBorder="1" applyAlignment="1">
      <alignment horizontal="center"/>
    </xf>
    <xf numFmtId="0" fontId="9" fillId="2" borderId="0" xfId="0" applyFont="1" applyFill="1" applyBorder="1" applyAlignment="1">
      <alignment horizontal="left" vertical="top" wrapText="1"/>
    </xf>
    <xf numFmtId="0" fontId="9" fillId="2" borderId="0" xfId="0" applyFont="1" applyFill="1" applyBorder="1" applyAlignment="1">
      <alignment horizontal="right" vertical="top" wrapText="1"/>
    </xf>
    <xf numFmtId="164" fontId="9" fillId="2" borderId="0" xfId="0" applyNumberFormat="1" applyFont="1" applyFill="1" applyBorder="1" applyAlignment="1">
      <alignment horizontal="right" vertical="top" wrapText="1"/>
    </xf>
    <xf numFmtId="0" fontId="5" fillId="2" borderId="6" xfId="0" applyFont="1" applyFill="1" applyBorder="1" applyAlignment="1">
      <alignment horizontal="center"/>
    </xf>
    <xf numFmtId="164" fontId="9" fillId="2" borderId="6" xfId="0" quotePrefix="1" applyNumberFormat="1" applyFont="1" applyFill="1" applyBorder="1" applyAlignment="1">
      <alignment horizontal="center"/>
    </xf>
    <xf numFmtId="0" fontId="9" fillId="2" borderId="5" xfId="0" applyFont="1" applyFill="1" applyBorder="1"/>
    <xf numFmtId="164" fontId="5" fillId="2" borderId="8" xfId="0" applyNumberFormat="1" applyFont="1" applyFill="1" applyBorder="1" applyAlignment="1">
      <alignment horizontal="center"/>
    </xf>
    <xf numFmtId="0" fontId="5" fillId="0" borderId="0" xfId="0" applyNumberFormat="1" applyFont="1"/>
    <xf numFmtId="0" fontId="5" fillId="2" borderId="0" xfId="0" applyNumberFormat="1" applyFont="1" applyFill="1" applyBorder="1"/>
    <xf numFmtId="0" fontId="55" fillId="0" borderId="0" xfId="3" applyFont="1" applyFill="1" applyBorder="1" applyAlignment="1">
      <alignment horizontal="center"/>
    </xf>
    <xf numFmtId="0" fontId="55" fillId="0" borderId="0" xfId="3" applyFont="1" applyFill="1" applyBorder="1" applyAlignment="1">
      <alignment horizontal="left"/>
    </xf>
    <xf numFmtId="0" fontId="5" fillId="0" borderId="0" xfId="28" applyFont="1"/>
    <xf numFmtId="0" fontId="56" fillId="0" borderId="0" xfId="28" applyFont="1"/>
    <xf numFmtId="0" fontId="55" fillId="0" borderId="0" xfId="28" applyFont="1"/>
    <xf numFmtId="0" fontId="56" fillId="0" borderId="0" xfId="28" applyFont="1" applyAlignment="1">
      <alignment horizontal="left"/>
    </xf>
    <xf numFmtId="0" fontId="57" fillId="0" borderId="0" xfId="28" applyFont="1" applyAlignment="1">
      <alignment horizontal="left"/>
    </xf>
    <xf numFmtId="0" fontId="55" fillId="0" borderId="0" xfId="28" applyFont="1" applyFill="1" applyBorder="1"/>
    <xf numFmtId="49" fontId="56" fillId="3" borderId="15" xfId="28" applyNumberFormat="1" applyFont="1" applyFill="1" applyBorder="1" applyAlignment="1">
      <alignment horizontal="center"/>
    </xf>
    <xf numFmtId="49" fontId="56" fillId="3" borderId="16" xfId="28" applyNumberFormat="1" applyFont="1" applyFill="1" applyBorder="1" applyAlignment="1">
      <alignment horizontal="center"/>
    </xf>
    <xf numFmtId="49" fontId="55" fillId="3" borderId="16" xfId="28" applyNumberFormat="1" applyFont="1" applyFill="1" applyBorder="1" applyAlignment="1">
      <alignment horizontal="center"/>
    </xf>
    <xf numFmtId="49" fontId="56" fillId="3" borderId="17" xfId="28" applyNumberFormat="1" applyFont="1" applyFill="1" applyBorder="1" applyAlignment="1">
      <alignment horizontal="center"/>
    </xf>
    <xf numFmtId="0" fontId="56" fillId="0" borderId="0" xfId="28" applyFont="1" applyAlignment="1">
      <alignment horizontal="center"/>
    </xf>
    <xf numFmtId="49" fontId="58" fillId="3" borderId="18" xfId="28" applyNumberFormat="1" applyFont="1" applyFill="1" applyBorder="1" applyAlignment="1">
      <alignment horizontal="center"/>
    </xf>
    <xf numFmtId="49" fontId="58" fillId="3" borderId="0" xfId="28" applyNumberFormat="1" applyFont="1" applyFill="1" applyBorder="1" applyAlignment="1">
      <alignment horizontal="center"/>
    </xf>
    <xf numFmtId="49" fontId="58" fillId="3" borderId="0" xfId="28" applyNumberFormat="1" applyFont="1" applyFill="1" applyBorder="1" applyAlignment="1">
      <alignment horizontal="right"/>
    </xf>
    <xf numFmtId="49" fontId="58" fillId="3" borderId="19" xfId="28" applyNumberFormat="1" applyFont="1" applyFill="1" applyBorder="1" applyAlignment="1">
      <alignment horizontal="center"/>
    </xf>
    <xf numFmtId="0" fontId="58" fillId="0" borderId="0" xfId="28" applyFont="1" applyFill="1" applyBorder="1" applyAlignment="1">
      <alignment horizontal="center"/>
    </xf>
    <xf numFmtId="0" fontId="57" fillId="3" borderId="18" xfId="28" applyFont="1" applyFill="1" applyBorder="1" applyAlignment="1">
      <alignment horizontal="center"/>
    </xf>
    <xf numFmtId="0" fontId="55" fillId="3" borderId="0" xfId="28" applyFont="1" applyFill="1" applyBorder="1" applyAlignment="1">
      <alignment horizontal="center"/>
    </xf>
    <xf numFmtId="0" fontId="57" fillId="3" borderId="0" xfId="28" applyFont="1" applyFill="1" applyBorder="1" applyAlignment="1"/>
    <xf numFmtId="0" fontId="57" fillId="3" borderId="0" xfId="28" applyFont="1" applyFill="1" applyBorder="1" applyAlignment="1">
      <alignment horizontal="center"/>
    </xf>
    <xf numFmtId="164" fontId="55" fillId="3" borderId="19" xfId="28" applyNumberFormat="1" applyFont="1" applyFill="1" applyBorder="1" applyAlignment="1">
      <alignment horizontal="center"/>
    </xf>
    <xf numFmtId="0" fontId="55" fillId="0" borderId="0" xfId="28" applyFont="1" applyAlignment="1">
      <alignment horizontal="center"/>
    </xf>
    <xf numFmtId="0" fontId="57" fillId="3" borderId="52" xfId="28" applyFont="1" applyFill="1" applyBorder="1" applyAlignment="1">
      <alignment horizontal="center"/>
    </xf>
    <xf numFmtId="0" fontId="55" fillId="3" borderId="53" xfId="28" applyFont="1" applyFill="1" applyBorder="1" applyAlignment="1">
      <alignment horizontal="center"/>
    </xf>
    <xf numFmtId="0" fontId="57" fillId="3" borderId="53" xfId="28" applyFont="1" applyFill="1" applyBorder="1" applyAlignment="1"/>
    <xf numFmtId="0" fontId="57" fillId="3" borderId="53" xfId="28" applyFont="1" applyFill="1" applyBorder="1" applyAlignment="1">
      <alignment horizontal="center"/>
    </xf>
    <xf numFmtId="164" fontId="55" fillId="3" borderId="54" xfId="28" applyNumberFormat="1" applyFont="1" applyFill="1" applyBorder="1" applyAlignment="1">
      <alignment horizontal="center"/>
    </xf>
    <xf numFmtId="164" fontId="55" fillId="0" borderId="0" xfId="28" applyNumberFormat="1" applyFont="1" applyFill="1" applyBorder="1" applyAlignment="1">
      <alignment horizontal="center"/>
    </xf>
    <xf numFmtId="0" fontId="58" fillId="0" borderId="0" xfId="28" applyFont="1" applyAlignment="1">
      <alignment horizontal="center"/>
    </xf>
    <xf numFmtId="0" fontId="55" fillId="0" borderId="0" xfId="28" applyFont="1" applyAlignment="1">
      <alignment horizontal="left"/>
    </xf>
    <xf numFmtId="0" fontId="55" fillId="4" borderId="15" xfId="28" applyFont="1" applyFill="1" applyBorder="1" applyAlignment="1">
      <alignment horizontal="left"/>
    </xf>
    <xf numFmtId="0" fontId="55" fillId="4" borderId="16" xfId="28" applyFont="1" applyFill="1" applyBorder="1" applyAlignment="1">
      <alignment horizontal="left"/>
    </xf>
    <xf numFmtId="0" fontId="55" fillId="4" borderId="16" xfId="28" applyFont="1" applyFill="1" applyBorder="1"/>
    <xf numFmtId="0" fontId="56" fillId="4" borderId="16" xfId="28" applyFont="1" applyFill="1" applyBorder="1" applyAlignment="1">
      <alignment horizontal="center"/>
    </xf>
    <xf numFmtId="0" fontId="56" fillId="4" borderId="17" xfId="28" applyFont="1" applyFill="1" applyBorder="1" applyAlignment="1">
      <alignment horizontal="center"/>
    </xf>
    <xf numFmtId="0" fontId="5" fillId="0" borderId="0" xfId="28" applyFont="1" applyFill="1" applyBorder="1"/>
    <xf numFmtId="0" fontId="55" fillId="4" borderId="18" xfId="28" applyFont="1" applyFill="1" applyBorder="1"/>
    <xf numFmtId="0" fontId="55" fillId="4" borderId="0" xfId="28" applyFont="1" applyFill="1" applyBorder="1"/>
    <xf numFmtId="0" fontId="56" fillId="4" borderId="0" xfId="28" applyFont="1" applyFill="1" applyBorder="1" applyAlignment="1">
      <alignment horizontal="center"/>
    </xf>
    <xf numFmtId="0" fontId="56" fillId="4" borderId="19" xfId="28" applyFont="1" applyFill="1" applyBorder="1" applyAlignment="1">
      <alignment horizontal="center"/>
    </xf>
    <xf numFmtId="0" fontId="58" fillId="4" borderId="18" xfId="28" applyFont="1" applyFill="1" applyBorder="1" applyAlignment="1">
      <alignment horizontal="left"/>
    </xf>
    <xf numFmtId="0" fontId="58" fillId="4" borderId="0" xfId="28" applyFont="1" applyFill="1" applyBorder="1" applyAlignment="1">
      <alignment horizontal="center"/>
    </xf>
    <xf numFmtId="0" fontId="58" fillId="4" borderId="19" xfId="28" applyFont="1" applyFill="1" applyBorder="1" applyAlignment="1">
      <alignment horizontal="center"/>
    </xf>
    <xf numFmtId="0" fontId="55" fillId="4" borderId="18" xfId="28" applyFont="1" applyFill="1" applyBorder="1" applyAlignment="1">
      <alignment horizontal="left"/>
    </xf>
    <xf numFmtId="164" fontId="55" fillId="4" borderId="0" xfId="28" applyNumberFormat="1" applyFont="1" applyFill="1" applyBorder="1" applyAlignment="1">
      <alignment horizontal="center"/>
    </xf>
    <xf numFmtId="9" fontId="57" fillId="4" borderId="0" xfId="1" applyNumberFormat="1" applyFont="1" applyFill="1" applyBorder="1" applyAlignment="1">
      <alignment horizontal="center" vertical="top" wrapText="1"/>
    </xf>
    <xf numFmtId="164" fontId="55" fillId="4" borderId="19" xfId="28" applyNumberFormat="1" applyFont="1" applyFill="1" applyBorder="1" applyAlignment="1">
      <alignment horizontal="center"/>
    </xf>
    <xf numFmtId="164" fontId="59" fillId="4" borderId="0" xfId="28" applyNumberFormat="1" applyFont="1" applyFill="1" applyBorder="1" applyAlignment="1">
      <alignment horizontal="center"/>
    </xf>
    <xf numFmtId="164" fontId="59" fillId="4" borderId="19" xfId="28" applyNumberFormat="1" applyFont="1" applyFill="1" applyBorder="1" applyAlignment="1">
      <alignment horizontal="center"/>
    </xf>
    <xf numFmtId="0" fontId="56" fillId="4" borderId="52" xfId="28" applyFont="1" applyFill="1" applyBorder="1"/>
    <xf numFmtId="0" fontId="55" fillId="4" borderId="53" xfId="28" applyFont="1" applyFill="1" applyBorder="1"/>
    <xf numFmtId="164" fontId="56" fillId="4" borderId="53" xfId="28" applyNumberFormat="1" applyFont="1" applyFill="1" applyBorder="1" applyAlignment="1">
      <alignment horizontal="center"/>
    </xf>
    <xf numFmtId="164" fontId="56" fillId="4" borderId="54" xfId="28" applyNumberFormat="1" applyFont="1" applyFill="1" applyBorder="1" applyAlignment="1">
      <alignment horizontal="center"/>
    </xf>
    <xf numFmtId="0" fontId="56" fillId="0" borderId="0" xfId="28" applyFont="1" applyFill="1" applyBorder="1" applyAlignment="1">
      <alignment horizontal="left"/>
    </xf>
    <xf numFmtId="0" fontId="60" fillId="0" borderId="0" xfId="28" applyFont="1"/>
    <xf numFmtId="0" fontId="58" fillId="2" borderId="7" xfId="28" applyFont="1" applyFill="1" applyBorder="1" applyAlignment="1">
      <alignment horizontal="left"/>
    </xf>
    <xf numFmtId="0" fontId="56" fillId="2" borderId="3" xfId="28" applyFont="1" applyFill="1" applyBorder="1" applyAlignment="1">
      <alignment horizontal="left"/>
    </xf>
    <xf numFmtId="0" fontId="55" fillId="2" borderId="3" xfId="28" applyFont="1" applyFill="1" applyBorder="1"/>
    <xf numFmtId="0" fontId="55" fillId="2" borderId="4" xfId="28" applyFont="1" applyFill="1" applyBorder="1"/>
    <xf numFmtId="0" fontId="55" fillId="0" borderId="0" xfId="28" applyFont="1" applyAlignment="1">
      <alignment vertical="center"/>
    </xf>
    <xf numFmtId="0" fontId="55" fillId="2" borderId="5" xfId="3" applyFont="1" applyFill="1" applyBorder="1" applyAlignment="1">
      <alignment horizontal="left"/>
    </xf>
    <xf numFmtId="0" fontId="55" fillId="2" borderId="0" xfId="28" applyFont="1" applyFill="1" applyBorder="1" applyAlignment="1"/>
    <xf numFmtId="0" fontId="55" fillId="2" borderId="6" xfId="28" applyFont="1" applyFill="1" applyBorder="1" applyAlignment="1"/>
    <xf numFmtId="0" fontId="56" fillId="2" borderId="5" xfId="28" applyFont="1" applyFill="1" applyBorder="1" applyAlignment="1">
      <alignment horizontal="left"/>
    </xf>
    <xf numFmtId="0" fontId="56" fillId="2" borderId="0" xfId="28" applyFont="1" applyFill="1" applyBorder="1" applyAlignment="1">
      <alignment horizontal="left"/>
    </xf>
    <xf numFmtId="0" fontId="57" fillId="2" borderId="0" xfId="28" applyFont="1" applyFill="1" applyBorder="1"/>
    <xf numFmtId="0" fontId="55" fillId="2" borderId="0" xfId="28" applyFont="1" applyFill="1"/>
    <xf numFmtId="0" fontId="55" fillId="2" borderId="0" xfId="28" applyFont="1" applyFill="1" applyBorder="1"/>
    <xf numFmtId="0" fontId="55" fillId="2" borderId="6" xfId="28" applyFont="1" applyFill="1" applyBorder="1"/>
    <xf numFmtId="0" fontId="55" fillId="2" borderId="5" xfId="28" applyFont="1" applyFill="1" applyBorder="1" applyAlignment="1">
      <alignment horizontal="left"/>
    </xf>
    <xf numFmtId="0" fontId="62" fillId="0" borderId="0" xfId="28" applyFont="1"/>
    <xf numFmtId="0" fontId="57" fillId="2" borderId="0" xfId="28" applyFont="1" applyFill="1" applyBorder="1" applyAlignment="1">
      <alignment horizontal="left"/>
    </xf>
    <xf numFmtId="9" fontId="57" fillId="2" borderId="0" xfId="28" applyNumberFormat="1" applyFont="1" applyFill="1" applyBorder="1" applyAlignment="1">
      <alignment horizontal="left"/>
    </xf>
    <xf numFmtId="0" fontId="58" fillId="2" borderId="6" xfId="28" applyFont="1" applyFill="1" applyBorder="1" applyAlignment="1">
      <alignment horizontal="right"/>
    </xf>
    <xf numFmtId="0" fontId="62" fillId="0" borderId="0" xfId="28" applyFont="1" applyAlignment="1">
      <alignment horizontal="left" indent="1"/>
    </xf>
    <xf numFmtId="0" fontId="55" fillId="2" borderId="5" xfId="28" applyFont="1" applyFill="1" applyBorder="1"/>
    <xf numFmtId="0" fontId="55" fillId="2" borderId="0" xfId="28" applyFont="1" applyFill="1" applyBorder="1" applyAlignment="1">
      <alignment horizontal="left"/>
    </xf>
    <xf numFmtId="0" fontId="59" fillId="2" borderId="6" xfId="28" applyFont="1" applyFill="1" applyBorder="1"/>
    <xf numFmtId="0" fontId="58" fillId="2" borderId="5" xfId="28" applyFont="1" applyFill="1" applyBorder="1" applyAlignment="1">
      <alignment horizontal="left"/>
    </xf>
    <xf numFmtId="164" fontId="57" fillId="2" borderId="6" xfId="28" applyNumberFormat="1" applyFont="1" applyFill="1" applyBorder="1" applyAlignment="1">
      <alignment horizontal="right"/>
    </xf>
    <xf numFmtId="0" fontId="57" fillId="2" borderId="5" xfId="28" applyFont="1" applyFill="1" applyBorder="1"/>
    <xf numFmtId="0" fontId="57" fillId="2" borderId="0" xfId="28" applyFont="1" applyFill="1"/>
    <xf numFmtId="164" fontId="55" fillId="2" borderId="6" xfId="28" applyNumberFormat="1" applyFont="1" applyFill="1" applyBorder="1"/>
    <xf numFmtId="0" fontId="57" fillId="2" borderId="5" xfId="28" applyFont="1" applyFill="1" applyBorder="1" applyAlignment="1"/>
    <xf numFmtId="0" fontId="55" fillId="2" borderId="55" xfId="28" applyFont="1" applyFill="1" applyBorder="1" applyAlignment="1">
      <alignment horizontal="center"/>
    </xf>
    <xf numFmtId="0" fontId="55" fillId="5" borderId="56" xfId="28" applyFont="1" applyFill="1" applyBorder="1" applyAlignment="1">
      <alignment horizontal="centerContinuous"/>
    </xf>
    <xf numFmtId="0" fontId="5" fillId="5" borderId="57" xfId="28" applyFont="1" applyFill="1" applyBorder="1" applyAlignment="1">
      <alignment horizontal="centerContinuous"/>
    </xf>
    <xf numFmtId="168" fontId="55" fillId="2" borderId="55" xfId="28" applyNumberFormat="1" applyFont="1" applyFill="1" applyBorder="1" applyAlignment="1">
      <alignment horizontal="center"/>
    </xf>
    <xf numFmtId="164" fontId="55" fillId="2" borderId="6" xfId="28" applyNumberFormat="1" applyFont="1" applyFill="1" applyBorder="1" applyAlignment="1"/>
    <xf numFmtId="0" fontId="5" fillId="0" borderId="0" xfId="28" applyFont="1" applyFill="1" applyBorder="1" applyAlignment="1"/>
    <xf numFmtId="0" fontId="5" fillId="0" borderId="0" xfId="28" applyFont="1" applyAlignment="1"/>
    <xf numFmtId="0" fontId="55" fillId="2" borderId="58" xfId="28" applyFont="1" applyFill="1" applyBorder="1" applyAlignment="1">
      <alignment horizontal="center"/>
    </xf>
    <xf numFmtId="41" fontId="57" fillId="2" borderId="55" xfId="28" applyNumberFormat="1" applyFont="1" applyFill="1" applyBorder="1" applyAlignment="1"/>
    <xf numFmtId="41" fontId="61" fillId="2" borderId="55" xfId="28" applyNumberFormat="1" applyFont="1" applyFill="1" applyBorder="1" applyAlignment="1">
      <alignment horizontal="right"/>
    </xf>
    <xf numFmtId="41" fontId="55" fillId="2" borderId="55" xfId="28" applyNumberFormat="1" applyFont="1" applyFill="1" applyBorder="1" applyAlignment="1">
      <alignment horizontal="right"/>
    </xf>
    <xf numFmtId="43" fontId="55" fillId="2" borderId="55" xfId="28" applyNumberFormat="1" applyFont="1" applyFill="1" applyBorder="1" applyAlignment="1">
      <alignment horizontal="right"/>
    </xf>
    <xf numFmtId="0" fontId="57" fillId="2" borderId="0" xfId="28" applyFont="1" applyFill="1" applyBorder="1" applyAlignment="1"/>
    <xf numFmtId="0" fontId="61" fillId="2" borderId="0" xfId="28" applyFont="1" applyFill="1" applyAlignment="1">
      <alignment horizontal="right"/>
    </xf>
    <xf numFmtId="168" fontId="61" fillId="2" borderId="0" xfId="28" applyNumberFormat="1" applyFont="1" applyFill="1" applyAlignment="1">
      <alignment horizontal="right"/>
    </xf>
    <xf numFmtId="168" fontId="55" fillId="2" borderId="0" xfId="28" applyNumberFormat="1" applyFont="1" applyFill="1" applyAlignment="1">
      <alignment horizontal="right"/>
    </xf>
    <xf numFmtId="0" fontId="55" fillId="2" borderId="0" xfId="28" applyFont="1" applyFill="1" applyAlignment="1">
      <alignment horizontal="center"/>
    </xf>
    <xf numFmtId="164" fontId="55" fillId="2" borderId="0" xfId="28" applyNumberFormat="1" applyFont="1" applyFill="1" applyAlignment="1">
      <alignment horizontal="right"/>
    </xf>
    <xf numFmtId="164" fontId="57" fillId="2" borderId="6" xfId="28" applyNumberFormat="1" applyFont="1" applyFill="1" applyBorder="1"/>
    <xf numFmtId="0" fontId="61" fillId="2" borderId="5" xfId="28" applyFont="1" applyFill="1" applyBorder="1" applyAlignment="1">
      <alignment horizontal="left"/>
    </xf>
    <xf numFmtId="0" fontId="61" fillId="2" borderId="0" xfId="28" applyFont="1" applyFill="1" applyBorder="1"/>
    <xf numFmtId="0" fontId="61" fillId="2" borderId="0" xfId="28" applyFont="1" applyFill="1" applyAlignment="1">
      <alignment horizontal="center"/>
    </xf>
    <xf numFmtId="164" fontId="61" fillId="2" borderId="0" xfId="28" applyNumberFormat="1" applyFont="1" applyFill="1" applyAlignment="1">
      <alignment horizontal="right"/>
    </xf>
    <xf numFmtId="0" fontId="55" fillId="2" borderId="59" xfId="28" applyFont="1" applyFill="1" applyBorder="1" applyAlignment="1">
      <alignment horizontal="center"/>
    </xf>
    <xf numFmtId="0" fontId="63" fillId="2" borderId="0" xfId="28" applyFont="1" applyFill="1" applyBorder="1" applyAlignment="1">
      <alignment horizontal="center"/>
    </xf>
    <xf numFmtId="41" fontId="57" fillId="2" borderId="59" xfId="28" applyNumberFormat="1" applyFont="1" applyFill="1" applyBorder="1" applyAlignment="1"/>
    <xf numFmtId="0" fontId="55" fillId="2" borderId="2" xfId="28" applyFont="1" applyFill="1" applyBorder="1" applyAlignment="1">
      <alignment horizontal="center"/>
    </xf>
    <xf numFmtId="164" fontId="64" fillId="2" borderId="0" xfId="28" applyNumberFormat="1" applyFont="1" applyFill="1"/>
    <xf numFmtId="168" fontId="55" fillId="2" borderId="0" xfId="28" applyNumberFormat="1" applyFont="1" applyFill="1" applyAlignment="1">
      <alignment horizontal="left"/>
    </xf>
    <xf numFmtId="0" fontId="57" fillId="2" borderId="5" xfId="28" applyFont="1" applyFill="1" applyBorder="1" applyAlignment="1">
      <alignment horizontal="left"/>
    </xf>
    <xf numFmtId="0" fontId="56" fillId="2" borderId="1" xfId="28" applyFont="1" applyFill="1" applyBorder="1"/>
    <xf numFmtId="0" fontId="55" fillId="2" borderId="2" xfId="28" applyFont="1" applyFill="1" applyBorder="1"/>
    <xf numFmtId="164" fontId="56" fillId="2" borderId="8" xfId="28" applyNumberFormat="1" applyFont="1" applyFill="1" applyBorder="1" applyAlignment="1">
      <alignment horizontal="right"/>
    </xf>
    <xf numFmtId="49" fontId="58" fillId="3" borderId="0" xfId="28" applyNumberFormat="1" applyFont="1" applyFill="1" applyBorder="1" applyAlignment="1"/>
    <xf numFmtId="0" fontId="57" fillId="3" borderId="0" xfId="28" applyFont="1" applyFill="1" applyBorder="1" applyAlignment="1">
      <alignment horizontal="right"/>
    </xf>
    <xf numFmtId="0" fontId="57" fillId="3" borderId="53" xfId="28" applyFont="1" applyFill="1" applyBorder="1" applyAlignment="1">
      <alignment horizontal="right"/>
    </xf>
    <xf numFmtId="164" fontId="55" fillId="2" borderId="6" xfId="28" applyNumberFormat="1" applyFont="1" applyFill="1" applyBorder="1" applyAlignment="1">
      <alignment horizontal="right"/>
    </xf>
    <xf numFmtId="0" fontId="55" fillId="5" borderId="56" xfId="28" applyFont="1" applyFill="1" applyBorder="1" applyAlignment="1">
      <alignment horizontal="center"/>
    </xf>
    <xf numFmtId="168" fontId="57" fillId="2" borderId="55" xfId="28" applyNumberFormat="1" applyFont="1" applyFill="1" applyBorder="1" applyAlignment="1">
      <alignment horizontal="center"/>
    </xf>
    <xf numFmtId="3" fontId="61" fillId="2" borderId="55" xfId="28" applyNumberFormat="1" applyFont="1" applyFill="1" applyBorder="1" applyAlignment="1">
      <alignment horizontal="center"/>
    </xf>
    <xf numFmtId="164" fontId="55" fillId="2" borderId="55" xfId="28" applyNumberFormat="1" applyFont="1" applyFill="1" applyBorder="1" applyAlignment="1">
      <alignment horizontal="center"/>
    </xf>
    <xf numFmtId="0" fontId="55" fillId="2" borderId="0" xfId="28" applyFont="1" applyFill="1" applyAlignment="1">
      <alignment horizontal="right"/>
    </xf>
    <xf numFmtId="164" fontId="57" fillId="2" borderId="0" xfId="28" applyNumberFormat="1" applyFont="1" applyFill="1" applyBorder="1"/>
    <xf numFmtId="0" fontId="57" fillId="2" borderId="5" xfId="1" applyFont="1" applyFill="1" applyBorder="1" applyAlignment="1">
      <alignment horizontal="left"/>
    </xf>
    <xf numFmtId="0" fontId="5" fillId="0" borderId="0" xfId="1" applyAlignment="1">
      <alignment horizontal="center"/>
    </xf>
    <xf numFmtId="0" fontId="5" fillId="0" borderId="0" xfId="3" applyFont="1" applyFill="1" applyBorder="1" applyAlignment="1">
      <alignment horizontal="left"/>
    </xf>
    <xf numFmtId="0" fontId="5" fillId="0" borderId="0" xfId="1"/>
    <xf numFmtId="0" fontId="5" fillId="0" borderId="0" xfId="1" applyAlignment="1"/>
    <xf numFmtId="0" fontId="5" fillId="0" borderId="0" xfId="1" applyFont="1" applyAlignment="1">
      <alignment horizontal="center"/>
    </xf>
    <xf numFmtId="0" fontId="4" fillId="0" borderId="0" xfId="1" applyFont="1" applyAlignment="1">
      <alignment horizontal="left"/>
    </xf>
    <xf numFmtId="0" fontId="9" fillId="0" borderId="0" xfId="1" applyFont="1" applyAlignment="1">
      <alignment horizontal="left"/>
    </xf>
    <xf numFmtId="49" fontId="2" fillId="3" borderId="7" xfId="1" applyNumberFormat="1" applyFont="1" applyFill="1" applyBorder="1" applyAlignment="1">
      <alignment horizontal="center"/>
    </xf>
    <xf numFmtId="49" fontId="2" fillId="3" borderId="3" xfId="1" applyNumberFormat="1" applyFont="1" applyFill="1" applyBorder="1" applyAlignment="1">
      <alignment horizontal="center"/>
    </xf>
    <xf numFmtId="49" fontId="5" fillId="3" borderId="3" xfId="1" applyNumberFormat="1" applyFont="1" applyFill="1" applyBorder="1" applyAlignment="1">
      <alignment horizontal="center"/>
    </xf>
    <xf numFmtId="49" fontId="2" fillId="3" borderId="4" xfId="1" applyNumberFormat="1" applyFont="1" applyFill="1" applyBorder="1" applyAlignment="1">
      <alignment horizontal="center"/>
    </xf>
    <xf numFmtId="49" fontId="8" fillId="3" borderId="5" xfId="1" applyNumberFormat="1" applyFont="1" applyFill="1" applyBorder="1" applyAlignment="1">
      <alignment horizontal="center"/>
    </xf>
    <xf numFmtId="49" fontId="8" fillId="3" borderId="0" xfId="1" applyNumberFormat="1" applyFont="1" applyFill="1" applyBorder="1" applyAlignment="1">
      <alignment horizontal="center"/>
    </xf>
    <xf numFmtId="49" fontId="8" fillId="3" borderId="6" xfId="1" applyNumberFormat="1" applyFont="1" applyFill="1" applyBorder="1" applyAlignment="1">
      <alignment horizontal="center"/>
    </xf>
    <xf numFmtId="0" fontId="8" fillId="0" borderId="0" xfId="1" applyFont="1" applyFill="1" applyBorder="1" applyAlignment="1">
      <alignment horizontal="center"/>
    </xf>
    <xf numFmtId="49" fontId="9" fillId="3" borderId="5" xfId="1" applyNumberFormat="1" applyFont="1" applyFill="1" applyBorder="1" applyAlignment="1">
      <alignment horizontal="center" vertical="top"/>
    </xf>
    <xf numFmtId="0" fontId="5" fillId="3" borderId="0" xfId="1" applyFont="1" applyFill="1" applyBorder="1" applyAlignment="1">
      <alignment horizontal="center" vertical="top"/>
    </xf>
    <xf numFmtId="0" fontId="9" fillId="3" borderId="0" xfId="1" applyFont="1" applyFill="1" applyBorder="1" applyAlignment="1">
      <alignment horizontal="center" vertical="top"/>
    </xf>
    <xf numFmtId="164" fontId="5" fillId="3" borderId="6" xfId="1" applyNumberFormat="1" applyFont="1" applyFill="1" applyBorder="1" applyAlignment="1">
      <alignment horizontal="center" vertical="top"/>
    </xf>
    <xf numFmtId="0" fontId="5" fillId="0" borderId="0" xfId="1" applyAlignment="1">
      <alignment horizontal="center" vertical="top"/>
    </xf>
    <xf numFmtId="0" fontId="5" fillId="0" borderId="0" xfId="1" applyFont="1" applyFill="1" applyBorder="1" applyAlignment="1">
      <alignment horizontal="center" vertical="top"/>
    </xf>
    <xf numFmtId="49" fontId="9" fillId="3" borderId="1" xfId="1" applyNumberFormat="1" applyFont="1" applyFill="1" applyBorder="1" applyAlignment="1">
      <alignment horizontal="center" vertical="top"/>
    </xf>
    <xf numFmtId="0" fontId="5" fillId="3" borderId="2" xfId="1" applyFont="1" applyFill="1" applyBorder="1" applyAlignment="1">
      <alignment horizontal="center" vertical="top"/>
    </xf>
    <xf numFmtId="0" fontId="9" fillId="3" borderId="2" xfId="1" applyFont="1" applyFill="1" applyBorder="1" applyAlignment="1">
      <alignment horizontal="center" vertical="top"/>
    </xf>
    <xf numFmtId="164" fontId="5" fillId="3" borderId="8" xfId="1" applyNumberFormat="1" applyFont="1" applyFill="1" applyBorder="1" applyAlignment="1">
      <alignment horizontal="center" vertical="top"/>
    </xf>
    <xf numFmtId="0" fontId="8" fillId="0" borderId="0" xfId="1" applyFont="1" applyAlignment="1">
      <alignment horizontal="center"/>
    </xf>
    <xf numFmtId="0" fontId="5" fillId="0" borderId="0" xfId="1" applyFont="1" applyAlignment="1">
      <alignment horizontal="left"/>
    </xf>
    <xf numFmtId="0" fontId="5" fillId="4" borderId="7" xfId="1" applyFont="1" applyFill="1" applyBorder="1"/>
    <xf numFmtId="0" fontId="5" fillId="4" borderId="3" xfId="1" applyFont="1" applyFill="1" applyBorder="1"/>
    <xf numFmtId="0" fontId="5" fillId="4" borderId="3" xfId="1" applyFont="1" applyFill="1" applyBorder="1" applyAlignment="1">
      <alignment horizontal="left"/>
    </xf>
    <xf numFmtId="0" fontId="2" fillId="4" borderId="3" xfId="1" applyFont="1" applyFill="1" applyBorder="1" applyAlignment="1">
      <alignment horizontal="center"/>
    </xf>
    <xf numFmtId="0" fontId="2" fillId="4" borderId="4" xfId="1" applyFont="1" applyFill="1" applyBorder="1" applyAlignment="1">
      <alignment horizontal="center"/>
    </xf>
    <xf numFmtId="0" fontId="2" fillId="0" borderId="0" xfId="1" applyFont="1" applyAlignment="1">
      <alignment horizontal="center"/>
    </xf>
    <xf numFmtId="0" fontId="54" fillId="4" borderId="5" xfId="1" applyFont="1" applyFill="1" applyBorder="1" applyAlignment="1">
      <alignment horizontal="left"/>
    </xf>
    <xf numFmtId="0" fontId="5" fillId="4" borderId="0" xfId="1" applyFont="1" applyFill="1" applyBorder="1" applyAlignment="1">
      <alignment horizontal="left"/>
    </xf>
    <xf numFmtId="0" fontId="5" fillId="4" borderId="0" xfId="1" applyFont="1" applyFill="1" applyBorder="1"/>
    <xf numFmtId="0" fontId="2" fillId="4" borderId="0" xfId="1" applyFont="1" applyFill="1" applyBorder="1" applyAlignment="1">
      <alignment horizontal="center"/>
    </xf>
    <xf numFmtId="0" fontId="2" fillId="4" borderId="6" xfId="1" applyFont="1" applyFill="1" applyBorder="1" applyAlignment="1">
      <alignment horizontal="center"/>
    </xf>
    <xf numFmtId="0" fontId="5" fillId="4" borderId="5" xfId="1" applyFont="1" applyFill="1" applyBorder="1"/>
    <xf numFmtId="0" fontId="8" fillId="4" borderId="5" xfId="1" applyFont="1" applyFill="1" applyBorder="1" applyAlignment="1">
      <alignment horizontal="left"/>
    </xf>
    <xf numFmtId="0" fontId="8" fillId="4" borderId="0" xfId="1" applyFont="1" applyFill="1" applyBorder="1" applyAlignment="1">
      <alignment horizontal="center"/>
    </xf>
    <xf numFmtId="0" fontId="8" fillId="4" borderId="6" xfId="1" applyFont="1" applyFill="1" applyBorder="1" applyAlignment="1">
      <alignment horizontal="center"/>
    </xf>
    <xf numFmtId="0" fontId="5" fillId="4" borderId="5" xfId="1" applyFont="1" applyFill="1" applyBorder="1" applyAlignment="1">
      <alignment horizontal="left" vertical="top"/>
    </xf>
    <xf numFmtId="0" fontId="5" fillId="4" borderId="0" xfId="1" applyFont="1" applyFill="1" applyBorder="1" applyAlignment="1">
      <alignment vertical="top" wrapText="1"/>
    </xf>
    <xf numFmtId="164" fontId="5" fillId="4" borderId="0" xfId="1" applyNumberFormat="1" applyFont="1" applyFill="1" applyBorder="1" applyAlignment="1">
      <alignment horizontal="center" vertical="top" wrapText="1"/>
    </xf>
    <xf numFmtId="9" fontId="9" fillId="4" borderId="0" xfId="1" applyNumberFormat="1" applyFont="1" applyFill="1" applyBorder="1" applyAlignment="1">
      <alignment horizontal="center" vertical="top" wrapText="1"/>
    </xf>
    <xf numFmtId="164" fontId="5" fillId="4" borderId="0" xfId="1" applyNumberFormat="1" applyFill="1" applyBorder="1" applyAlignment="1">
      <alignment horizontal="center" vertical="top" wrapText="1"/>
    </xf>
    <xf numFmtId="164" fontId="5" fillId="4" borderId="6" xfId="1" applyNumberFormat="1" applyFill="1" applyBorder="1" applyAlignment="1">
      <alignment horizontal="center" vertical="top" wrapText="1"/>
    </xf>
    <xf numFmtId="164" fontId="6" fillId="4" borderId="0" xfId="1" applyNumberFormat="1" applyFont="1" applyFill="1" applyBorder="1" applyAlignment="1">
      <alignment horizontal="center" vertical="top" wrapText="1"/>
    </xf>
    <xf numFmtId="164" fontId="6" fillId="4" borderId="6" xfId="1" applyNumberFormat="1" applyFont="1" applyFill="1" applyBorder="1" applyAlignment="1">
      <alignment horizontal="center" vertical="top" wrapText="1"/>
    </xf>
    <xf numFmtId="0" fontId="2" fillId="4" borderId="1" xfId="1" applyFont="1" applyFill="1" applyBorder="1" applyAlignment="1">
      <alignment vertical="top" wrapText="1"/>
    </xf>
    <xf numFmtId="0" fontId="5" fillId="4" borderId="2" xfId="1" applyFont="1" applyFill="1" applyBorder="1" applyAlignment="1">
      <alignment vertical="top" wrapText="1"/>
    </xf>
    <xf numFmtId="164" fontId="2" fillId="4" borderId="2" xfId="1" applyNumberFormat="1" applyFont="1" applyFill="1" applyBorder="1" applyAlignment="1">
      <alignment horizontal="center" vertical="top" wrapText="1"/>
    </xf>
    <xf numFmtId="0" fontId="5" fillId="4" borderId="2" xfId="1" applyFill="1" applyBorder="1" applyAlignment="1">
      <alignment vertical="top" wrapText="1"/>
    </xf>
    <xf numFmtId="164" fontId="2" fillId="4" borderId="8" xfId="1" applyNumberFormat="1" applyFont="1" applyFill="1" applyBorder="1" applyAlignment="1">
      <alignment horizontal="center" vertical="top" wrapText="1"/>
    </xf>
    <xf numFmtId="0" fontId="4" fillId="0" borderId="0" xfId="1" applyFont="1" applyFill="1" applyBorder="1" applyAlignment="1">
      <alignment horizontal="left"/>
    </xf>
    <xf numFmtId="0" fontId="8" fillId="2" borderId="7" xfId="1" applyFont="1" applyFill="1" applyBorder="1" applyAlignment="1">
      <alignment horizontal="left"/>
    </xf>
    <xf numFmtId="0" fontId="2" fillId="2" borderId="3" xfId="1" applyFont="1" applyFill="1" applyBorder="1" applyAlignment="1">
      <alignment horizontal="left"/>
    </xf>
    <xf numFmtId="0" fontId="5" fillId="2" borderId="3" xfId="1" applyFont="1" applyFill="1" applyBorder="1"/>
    <xf numFmtId="0" fontId="5" fillId="2" borderId="3" xfId="1" applyFont="1" applyFill="1" applyBorder="1" applyAlignment="1">
      <alignment horizontal="center"/>
    </xf>
    <xf numFmtId="0" fontId="5" fillId="2" borderId="4" xfId="1" applyFont="1" applyFill="1" applyBorder="1" applyAlignment="1">
      <alignment horizontal="center"/>
    </xf>
    <xf numFmtId="0" fontId="2" fillId="2" borderId="0" xfId="1" applyFont="1" applyFill="1" applyBorder="1" applyAlignment="1">
      <alignment horizontal="left"/>
    </xf>
    <xf numFmtId="0" fontId="5" fillId="2" borderId="0" xfId="1" applyFont="1" applyFill="1" applyBorder="1"/>
    <xf numFmtId="0" fontId="5" fillId="2" borderId="0" xfId="1" applyFont="1" applyFill="1" applyBorder="1" applyAlignment="1">
      <alignment horizontal="center"/>
    </xf>
    <xf numFmtId="0" fontId="5" fillId="2" borderId="6" xfId="1" applyFont="1" applyFill="1" applyBorder="1" applyAlignment="1">
      <alignment horizontal="center"/>
    </xf>
    <xf numFmtId="0" fontId="2" fillId="2" borderId="5" xfId="1" applyFont="1" applyFill="1" applyBorder="1" applyAlignment="1">
      <alignment horizontal="left"/>
    </xf>
    <xf numFmtId="0" fontId="9" fillId="2" borderId="0" xfId="1" applyFont="1" applyFill="1" applyBorder="1"/>
    <xf numFmtId="0" fontId="5" fillId="2" borderId="5" xfId="1" applyFont="1" applyFill="1" applyBorder="1" applyAlignment="1">
      <alignment horizontal="left"/>
    </xf>
    <xf numFmtId="0" fontId="9" fillId="2" borderId="0" xfId="1" applyFont="1" applyFill="1" applyBorder="1" applyAlignment="1">
      <alignment horizontal="left"/>
    </xf>
    <xf numFmtId="0" fontId="8" fillId="2" borderId="6" xfId="1" applyFont="1" applyFill="1" applyBorder="1" applyAlignment="1">
      <alignment horizontal="center"/>
    </xf>
    <xf numFmtId="9" fontId="9" fillId="2" borderId="0" xfId="1" applyNumberFormat="1" applyFont="1" applyFill="1" applyBorder="1" applyAlignment="1">
      <alignment horizontal="left"/>
    </xf>
    <xf numFmtId="164" fontId="5" fillId="2" borderId="6" xfId="1" applyNumberFormat="1" applyFont="1" applyFill="1" applyBorder="1" applyAlignment="1">
      <alignment horizontal="center"/>
    </xf>
    <xf numFmtId="0" fontId="5" fillId="2" borderId="5" xfId="1" applyFont="1" applyFill="1" applyBorder="1"/>
    <xf numFmtId="0" fontId="5" fillId="2" borderId="0" xfId="1" applyFont="1" applyFill="1" applyBorder="1" applyAlignment="1">
      <alignment horizontal="left"/>
    </xf>
    <xf numFmtId="0" fontId="8" fillId="2" borderId="5" xfId="1" applyFont="1" applyFill="1" applyBorder="1" applyAlignment="1">
      <alignment horizontal="left"/>
    </xf>
    <xf numFmtId="0" fontId="9" fillId="2" borderId="5" xfId="1" applyFont="1" applyFill="1" applyBorder="1" applyAlignment="1">
      <alignment horizontal="left" indent="1"/>
    </xf>
    <xf numFmtId="0" fontId="54" fillId="2" borderId="0" xfId="1" applyFont="1" applyFill="1" applyBorder="1" applyAlignment="1">
      <alignment horizontal="center"/>
    </xf>
    <xf numFmtId="0" fontId="5" fillId="2" borderId="5" xfId="1" applyFont="1" applyFill="1" applyBorder="1" applyAlignment="1">
      <alignment horizontal="center"/>
    </xf>
    <xf numFmtId="168" fontId="11" fillId="2" borderId="0" xfId="1" applyNumberFormat="1" applyFont="1" applyFill="1" applyBorder="1" applyAlignment="1">
      <alignment horizontal="center"/>
    </xf>
    <xf numFmtId="0" fontId="6" fillId="2" borderId="0" xfId="1" applyFont="1" applyFill="1" applyBorder="1" applyAlignment="1">
      <alignment horizontal="left"/>
    </xf>
    <xf numFmtId="0" fontId="6" fillId="2" borderId="5" xfId="1" applyFont="1" applyFill="1" applyBorder="1" applyAlignment="1">
      <alignment horizontal="center"/>
    </xf>
    <xf numFmtId="0" fontId="6" fillId="2" borderId="0" xfId="1" applyFont="1" applyFill="1" applyBorder="1" applyAlignment="1">
      <alignment horizontal="center"/>
    </xf>
    <xf numFmtId="0" fontId="11" fillId="2" borderId="5" xfId="1" applyFont="1" applyFill="1" applyBorder="1" applyAlignment="1">
      <alignment horizontal="center"/>
    </xf>
    <xf numFmtId="168" fontId="5" fillId="2" borderId="0" xfId="1" applyNumberFormat="1" applyFont="1" applyFill="1" applyBorder="1" applyAlignment="1">
      <alignment horizontal="center"/>
    </xf>
    <xf numFmtId="168" fontId="6" fillId="2" borderId="0" xfId="1" applyNumberFormat="1" applyFont="1" applyFill="1" applyBorder="1" applyAlignment="1">
      <alignment horizontal="center"/>
    </xf>
    <xf numFmtId="0" fontId="5" fillId="2" borderId="5" xfId="1" applyFont="1" applyFill="1" applyBorder="1" applyAlignment="1">
      <alignment horizontal="left" indent="1"/>
    </xf>
    <xf numFmtId="0" fontId="11" fillId="2" borderId="5" xfId="3" applyFont="1" applyFill="1" applyBorder="1" applyAlignment="1">
      <alignment horizontal="left" indent="1"/>
    </xf>
    <xf numFmtId="8" fontId="2" fillId="2" borderId="0" xfId="1" applyNumberFormat="1" applyFont="1" applyFill="1" applyBorder="1" applyAlignment="1">
      <alignment horizontal="center"/>
    </xf>
    <xf numFmtId="0" fontId="9" fillId="2" borderId="0" xfId="1" applyFont="1" applyFill="1" applyBorder="1" applyAlignment="1">
      <alignment horizontal="left" vertical="top" wrapText="1"/>
    </xf>
    <xf numFmtId="164" fontId="9" fillId="2" borderId="6" xfId="1" applyNumberFormat="1" applyFont="1" applyFill="1" applyBorder="1" applyAlignment="1">
      <alignment horizontal="center"/>
    </xf>
    <xf numFmtId="0" fontId="9" fillId="2" borderId="5" xfId="1" applyFont="1" applyFill="1" applyBorder="1" applyAlignment="1">
      <alignment horizontal="left"/>
    </xf>
    <xf numFmtId="164" fontId="9" fillId="2" borderId="6" xfId="1" quotePrefix="1" applyNumberFormat="1" applyFont="1" applyFill="1" applyBorder="1" applyAlignment="1">
      <alignment horizontal="center"/>
    </xf>
    <xf numFmtId="0" fontId="2" fillId="2" borderId="5" xfId="1" applyFont="1" applyFill="1" applyBorder="1"/>
    <xf numFmtId="0" fontId="5" fillId="2" borderId="1" xfId="1" applyFont="1" applyFill="1" applyBorder="1"/>
    <xf numFmtId="0" fontId="5" fillId="2" borderId="2" xfId="1" applyFont="1" applyFill="1" applyBorder="1"/>
    <xf numFmtId="0" fontId="5" fillId="2" borderId="2" xfId="1" applyFont="1" applyFill="1" applyBorder="1" applyAlignment="1">
      <alignment horizontal="center"/>
    </xf>
    <xf numFmtId="0" fontId="5" fillId="2" borderId="8" xfId="1" applyFont="1" applyFill="1" applyBorder="1" applyAlignment="1">
      <alignment horizontal="center"/>
    </xf>
    <xf numFmtId="0" fontId="5" fillId="0" borderId="0" xfId="1" applyBorder="1"/>
    <xf numFmtId="0" fontId="67" fillId="0" borderId="0" xfId="1" applyFont="1"/>
    <xf numFmtId="0" fontId="55" fillId="0" borderId="0" xfId="1" applyFont="1"/>
    <xf numFmtId="0" fontId="55" fillId="0" borderId="0" xfId="3" applyFont="1" applyFill="1" applyBorder="1" applyAlignment="1">
      <alignment horizontal="center" wrapText="1"/>
    </xf>
    <xf numFmtId="0" fontId="55" fillId="0" borderId="0" xfId="3" applyFont="1"/>
    <xf numFmtId="0" fontId="56" fillId="0" borderId="0" xfId="3" applyFont="1" applyAlignment="1">
      <alignment horizontal="left"/>
    </xf>
    <xf numFmtId="0" fontId="57" fillId="0" borderId="0" xfId="3" applyFont="1" applyAlignment="1">
      <alignment horizontal="left"/>
    </xf>
    <xf numFmtId="0" fontId="56" fillId="3" borderId="7" xfId="3" applyFont="1" applyFill="1" applyBorder="1" applyAlignment="1">
      <alignment horizontal="center"/>
    </xf>
    <xf numFmtId="0" fontId="56" fillId="3" borderId="3" xfId="3" applyFont="1" applyFill="1" applyBorder="1" applyAlignment="1">
      <alignment horizontal="center"/>
    </xf>
    <xf numFmtId="0" fontId="56" fillId="3" borderId="3" xfId="3" applyFont="1" applyFill="1" applyBorder="1" applyAlignment="1">
      <alignment horizontal="center" vertical="top"/>
    </xf>
    <xf numFmtId="0" fontId="56" fillId="3" borderId="4" xfId="3" applyFont="1" applyFill="1" applyBorder="1" applyAlignment="1">
      <alignment horizontal="center"/>
    </xf>
    <xf numFmtId="0" fontId="56" fillId="0" borderId="0" xfId="3" applyFont="1" applyFill="1" applyBorder="1" applyAlignment="1">
      <alignment horizontal="center" wrapText="1"/>
    </xf>
    <xf numFmtId="0" fontId="58" fillId="3" borderId="5" xfId="3" applyFont="1" applyFill="1" applyBorder="1" applyAlignment="1">
      <alignment horizontal="center"/>
    </xf>
    <xf numFmtId="0" fontId="58" fillId="3" borderId="0" xfId="3" applyFont="1" applyFill="1" applyBorder="1" applyAlignment="1">
      <alignment horizontal="center"/>
    </xf>
    <xf numFmtId="0" fontId="58" fillId="3" borderId="0" xfId="3" applyFont="1" applyFill="1" applyBorder="1" applyAlignment="1">
      <alignment horizontal="center" vertical="top"/>
    </xf>
    <xf numFmtId="0" fontId="58" fillId="3" borderId="6" xfId="3" applyFont="1" applyFill="1" applyBorder="1" applyAlignment="1">
      <alignment horizontal="center" vertical="top"/>
    </xf>
    <xf numFmtId="0" fontId="58" fillId="0" borderId="0" xfId="3" applyFont="1" applyFill="1" applyBorder="1" applyAlignment="1">
      <alignment horizontal="center" vertical="top" wrapText="1"/>
    </xf>
    <xf numFmtId="0" fontId="57" fillId="3" borderId="5" xfId="3" applyFont="1" applyFill="1" applyBorder="1" applyAlignment="1">
      <alignment horizontal="center"/>
    </xf>
    <xf numFmtId="0" fontId="55" fillId="3" borderId="0" xfId="30" applyFont="1" applyFill="1" applyBorder="1" applyAlignment="1">
      <alignment horizontal="center" vertical="center"/>
    </xf>
    <xf numFmtId="0" fontId="57" fillId="3" borderId="0" xfId="30" applyFont="1" applyFill="1" applyBorder="1" applyAlignment="1">
      <alignment horizontal="center" vertical="center"/>
    </xf>
    <xf numFmtId="0" fontId="57" fillId="3" borderId="0" xfId="3" applyFont="1" applyFill="1" applyBorder="1" applyAlignment="1">
      <alignment horizontal="center"/>
    </xf>
    <xf numFmtId="0" fontId="55" fillId="3" borderId="0" xfId="3" applyFont="1" applyFill="1" applyBorder="1" applyAlignment="1">
      <alignment horizontal="center"/>
    </xf>
    <xf numFmtId="164" fontId="55" fillId="3" borderId="6" xfId="3" applyNumberFormat="1" applyFont="1" applyFill="1" applyBorder="1" applyAlignment="1">
      <alignment horizontal="center"/>
    </xf>
    <xf numFmtId="0" fontId="55" fillId="3" borderId="5" xfId="3" applyFont="1" applyFill="1" applyBorder="1" applyAlignment="1">
      <alignment horizontal="center"/>
    </xf>
    <xf numFmtId="0" fontId="55" fillId="3" borderId="1" xfId="3" applyFont="1" applyFill="1" applyBorder="1" applyAlignment="1">
      <alignment horizontal="center"/>
    </xf>
    <xf numFmtId="0" fontId="55" fillId="3" borderId="2" xfId="30" applyFont="1" applyFill="1" applyBorder="1" applyAlignment="1">
      <alignment horizontal="center" vertical="center"/>
    </xf>
    <xf numFmtId="0" fontId="55" fillId="3" borderId="2" xfId="3" applyFont="1" applyFill="1" applyBorder="1" applyAlignment="1">
      <alignment horizontal="center"/>
    </xf>
    <xf numFmtId="164" fontId="55" fillId="3" borderId="8" xfId="3" applyNumberFormat="1" applyFont="1" applyFill="1" applyBorder="1" applyAlignment="1">
      <alignment horizontal="center"/>
    </xf>
    <xf numFmtId="0" fontId="58" fillId="0" borderId="0" xfId="3" applyFont="1" applyAlignment="1">
      <alignment horizontal="center"/>
    </xf>
    <xf numFmtId="0" fontId="57" fillId="0" borderId="0" xfId="1" applyFont="1" applyFill="1" applyBorder="1" applyAlignment="1">
      <alignment horizontal="center" vertical="center"/>
    </xf>
    <xf numFmtId="0" fontId="55" fillId="0" borderId="0" xfId="30" applyFont="1" applyFill="1" applyBorder="1" applyAlignment="1">
      <alignment horizontal="center" vertical="center"/>
    </xf>
    <xf numFmtId="0" fontId="57" fillId="0" borderId="0" xfId="30" applyFont="1" applyFill="1" applyBorder="1" applyAlignment="1">
      <alignment horizontal="center" vertical="center"/>
    </xf>
    <xf numFmtId="0" fontId="57" fillId="0" borderId="0" xfId="1" applyFont="1" applyFill="1" applyBorder="1" applyAlignment="1">
      <alignment horizontal="center" wrapText="1"/>
    </xf>
    <xf numFmtId="0" fontId="55" fillId="0" borderId="0" xfId="1" applyFont="1" applyFill="1" applyBorder="1" applyAlignment="1">
      <alignment horizontal="center"/>
    </xf>
    <xf numFmtId="164" fontId="55" fillId="0" borderId="0" xfId="1" applyNumberFormat="1" applyFont="1" applyFill="1" applyBorder="1" applyAlignment="1">
      <alignment horizontal="center"/>
    </xf>
    <xf numFmtId="0" fontId="55" fillId="0" borderId="0" xfId="3" applyFont="1" applyAlignment="1">
      <alignment horizontal="left"/>
    </xf>
    <xf numFmtId="0" fontId="55" fillId="4" borderId="7" xfId="3" applyFont="1" applyFill="1" applyBorder="1" applyAlignment="1">
      <alignment horizontal="left"/>
    </xf>
    <xf numFmtId="0" fontId="55" fillId="4" borderId="3" xfId="3" applyFont="1" applyFill="1" applyBorder="1" applyAlignment="1">
      <alignment horizontal="left"/>
    </xf>
    <xf numFmtId="0" fontId="55" fillId="4" borderId="3" xfId="3" applyFont="1" applyFill="1" applyBorder="1"/>
    <xf numFmtId="0" fontId="56" fillId="4" borderId="3" xfId="30" applyFont="1" applyFill="1" applyBorder="1" applyAlignment="1">
      <alignment horizontal="center"/>
    </xf>
    <xf numFmtId="0" fontId="56" fillId="4" borderId="4" xfId="30" applyFont="1" applyFill="1" applyBorder="1" applyAlignment="1">
      <alignment horizontal="center"/>
    </xf>
    <xf numFmtId="0" fontId="55" fillId="0" borderId="0" xfId="30" applyFont="1"/>
    <xf numFmtId="0" fontId="55" fillId="4" borderId="5" xfId="3" applyFont="1" applyFill="1" applyBorder="1"/>
    <xf numFmtId="0" fontId="55" fillId="4" borderId="0" xfId="3" applyFont="1" applyFill="1" applyBorder="1"/>
    <xf numFmtId="0" fontId="56" fillId="4" borderId="0" xfId="30" applyFont="1" applyFill="1" applyBorder="1" applyAlignment="1">
      <alignment horizontal="center"/>
    </xf>
    <xf numFmtId="0" fontId="56" fillId="4" borderId="6" xfId="30" applyFont="1" applyFill="1" applyBorder="1" applyAlignment="1">
      <alignment horizontal="center"/>
    </xf>
    <xf numFmtId="0" fontId="58" fillId="4" borderId="5" xfId="3" applyFont="1" applyFill="1" applyBorder="1" applyAlignment="1">
      <alignment horizontal="left"/>
    </xf>
    <xf numFmtId="0" fontId="58" fillId="4" borderId="0" xfId="3" applyFont="1" applyFill="1" applyBorder="1" applyAlignment="1">
      <alignment horizontal="center"/>
    </xf>
    <xf numFmtId="0" fontId="58" fillId="4" borderId="0" xfId="30" applyFont="1" applyFill="1" applyBorder="1" applyAlignment="1">
      <alignment horizontal="center"/>
    </xf>
    <xf numFmtId="0" fontId="58" fillId="4" borderId="6" xfId="30" applyFont="1" applyFill="1" applyBorder="1" applyAlignment="1">
      <alignment horizontal="center"/>
    </xf>
    <xf numFmtId="0" fontId="55" fillId="4" borderId="5" xfId="3" applyFont="1" applyFill="1" applyBorder="1" applyAlignment="1">
      <alignment horizontal="left"/>
    </xf>
    <xf numFmtId="164" fontId="55" fillId="4" borderId="0" xfId="3" applyNumberFormat="1" applyFont="1" applyFill="1" applyBorder="1" applyAlignment="1">
      <alignment horizontal="center"/>
    </xf>
    <xf numFmtId="164" fontId="68" fillId="4" borderId="0" xfId="30" applyNumberFormat="1" applyFont="1" applyFill="1" applyBorder="1" applyAlignment="1">
      <alignment horizontal="center"/>
    </xf>
    <xf numFmtId="164" fontId="68" fillId="4" borderId="6" xfId="30" applyNumberFormat="1" applyFont="1" applyFill="1" applyBorder="1" applyAlignment="1">
      <alignment horizontal="center"/>
    </xf>
    <xf numFmtId="164" fontId="59" fillId="4" borderId="0" xfId="3" applyNumberFormat="1" applyFont="1" applyFill="1" applyBorder="1" applyAlignment="1">
      <alignment horizontal="center"/>
    </xf>
    <xf numFmtId="164" fontId="59" fillId="4" borderId="0" xfId="30" applyNumberFormat="1" applyFont="1" applyFill="1" applyBorder="1" applyAlignment="1">
      <alignment horizontal="center"/>
    </xf>
    <xf numFmtId="164" fontId="59" fillId="4" borderId="6" xfId="30" applyNumberFormat="1" applyFont="1" applyFill="1" applyBorder="1" applyAlignment="1">
      <alignment horizontal="center"/>
    </xf>
    <xf numFmtId="0" fontId="56" fillId="4" borderId="1" xfId="3" applyFont="1" applyFill="1" applyBorder="1"/>
    <xf numFmtId="0" fontId="55" fillId="4" borderId="2" xfId="3" applyFont="1" applyFill="1" applyBorder="1"/>
    <xf numFmtId="164" fontId="56" fillId="4" borderId="2" xfId="3" applyNumberFormat="1" applyFont="1" applyFill="1" applyBorder="1" applyAlignment="1">
      <alignment horizontal="center"/>
    </xf>
    <xf numFmtId="0" fontId="69" fillId="4" borderId="2" xfId="30" applyFont="1" applyFill="1" applyBorder="1"/>
    <xf numFmtId="164" fontId="56" fillId="4" borderId="2" xfId="30" applyNumberFormat="1" applyFont="1" applyFill="1" applyBorder="1" applyAlignment="1">
      <alignment horizontal="center"/>
    </xf>
    <xf numFmtId="164" fontId="56" fillId="4" borderId="8" xfId="30" applyNumberFormat="1" applyFont="1" applyFill="1" applyBorder="1" applyAlignment="1">
      <alignment horizontal="center"/>
    </xf>
    <xf numFmtId="0" fontId="56" fillId="0" borderId="0" xfId="3" applyFont="1" applyFill="1" applyBorder="1" applyAlignment="1">
      <alignment horizontal="left"/>
    </xf>
    <xf numFmtId="0" fontId="58" fillId="2" borderId="7" xfId="3" applyFont="1" applyFill="1" applyBorder="1" applyAlignment="1">
      <alignment horizontal="left"/>
    </xf>
    <xf numFmtId="0" fontId="56" fillId="2" borderId="3" xfId="3" applyFont="1" applyFill="1" applyBorder="1" applyAlignment="1">
      <alignment horizontal="left"/>
    </xf>
    <xf numFmtId="0" fontId="55" fillId="2" borderId="3" xfId="3" applyFont="1" applyFill="1" applyBorder="1"/>
    <xf numFmtId="0" fontId="55" fillId="2" borderId="4" xfId="3" applyFont="1" applyFill="1" applyBorder="1"/>
    <xf numFmtId="0" fontId="70" fillId="14" borderId="0" xfId="3" applyFont="1" applyFill="1" applyBorder="1"/>
    <xf numFmtId="0" fontId="55" fillId="14" borderId="0" xfId="3" applyFont="1" applyFill="1" applyBorder="1" applyAlignment="1">
      <alignment vertical="center" wrapText="1"/>
    </xf>
    <xf numFmtId="0" fontId="55" fillId="14" borderId="6" xfId="3" applyFont="1" applyFill="1" applyBorder="1" applyAlignment="1">
      <alignment vertical="center" wrapText="1"/>
    </xf>
    <xf numFmtId="0" fontId="56" fillId="2" borderId="5" xfId="3" applyFont="1" applyFill="1" applyBorder="1" applyAlignment="1">
      <alignment horizontal="left"/>
    </xf>
    <xf numFmtId="0" fontId="56" fillId="2" borderId="0" xfId="3" applyFont="1" applyFill="1" applyBorder="1" applyAlignment="1">
      <alignment horizontal="left"/>
    </xf>
    <xf numFmtId="0" fontId="57" fillId="2" borderId="0" xfId="3" applyFont="1" applyFill="1" applyBorder="1"/>
    <xf numFmtId="0" fontId="55" fillId="2" borderId="0" xfId="3" applyFont="1" applyFill="1" applyBorder="1"/>
    <xf numFmtId="0" fontId="55" fillId="2" borderId="6" xfId="3" applyFont="1" applyFill="1" applyBorder="1"/>
    <xf numFmtId="0" fontId="57" fillId="2" borderId="0" xfId="3" applyFont="1" applyFill="1" applyBorder="1" applyAlignment="1">
      <alignment horizontal="left"/>
    </xf>
    <xf numFmtId="9" fontId="57" fillId="2" borderId="0" xfId="3" applyNumberFormat="1" applyFont="1" applyFill="1" applyBorder="1" applyAlignment="1">
      <alignment horizontal="left"/>
    </xf>
    <xf numFmtId="0" fontId="55" fillId="2" borderId="0" xfId="3" applyFont="1" applyFill="1"/>
    <xf numFmtId="0" fontId="58" fillId="2" borderId="6" xfId="3" applyFont="1" applyFill="1" applyBorder="1" applyAlignment="1">
      <alignment horizontal="right"/>
    </xf>
    <xf numFmtId="0" fontId="55" fillId="2" borderId="5" xfId="3" applyFont="1" applyFill="1" applyBorder="1"/>
    <xf numFmtId="0" fontId="55" fillId="2" borderId="0" xfId="3" applyFont="1" applyFill="1" applyBorder="1" applyAlignment="1">
      <alignment horizontal="left"/>
    </xf>
    <xf numFmtId="0" fontId="59" fillId="2" borderId="6" xfId="3" applyFont="1" applyFill="1" applyBorder="1"/>
    <xf numFmtId="0" fontId="58" fillId="2" borderId="5" xfId="3" applyFont="1" applyFill="1" applyBorder="1" applyAlignment="1">
      <alignment horizontal="left"/>
    </xf>
    <xf numFmtId="164" fontId="57" fillId="2" borderId="6" xfId="3" applyNumberFormat="1" applyFont="1" applyFill="1" applyBorder="1" applyAlignment="1">
      <alignment horizontal="right"/>
    </xf>
    <xf numFmtId="0" fontId="57" fillId="2" borderId="5" xfId="3" applyFont="1" applyFill="1" applyBorder="1" applyAlignment="1">
      <alignment horizontal="left"/>
    </xf>
    <xf numFmtId="0" fontId="57" fillId="2" borderId="0" xfId="3" applyFont="1" applyFill="1" applyBorder="1" applyAlignment="1"/>
    <xf numFmtId="0" fontId="57" fillId="2" borderId="0" xfId="3" applyFont="1" applyFill="1" applyAlignment="1"/>
    <xf numFmtId="164" fontId="55" fillId="2" borderId="6" xfId="3" applyNumberFormat="1" applyFont="1" applyFill="1" applyBorder="1"/>
    <xf numFmtId="0" fontId="57" fillId="2" borderId="5" xfId="3" applyFont="1" applyFill="1" applyBorder="1"/>
    <xf numFmtId="0" fontId="55" fillId="2" borderId="0" xfId="3" applyFont="1" applyFill="1" applyAlignment="1">
      <alignment horizontal="right"/>
    </xf>
    <xf numFmtId="168" fontId="55" fillId="2" borderId="0" xfId="3" applyNumberFormat="1" applyFont="1" applyFill="1" applyAlignment="1">
      <alignment horizontal="right"/>
    </xf>
    <xf numFmtId="0" fontId="55" fillId="2" borderId="0" xfId="3" applyFont="1" applyFill="1" applyAlignment="1">
      <alignment horizontal="center"/>
    </xf>
    <xf numFmtId="164" fontId="55" fillId="2" borderId="0" xfId="3" applyNumberFormat="1" applyFont="1" applyFill="1" applyAlignment="1">
      <alignment horizontal="right"/>
    </xf>
    <xf numFmtId="164" fontId="57" fillId="2" borderId="6" xfId="3" applyNumberFormat="1" applyFont="1" applyFill="1" applyBorder="1"/>
    <xf numFmtId="0" fontId="61" fillId="2" borderId="5" xfId="3" applyFont="1" applyFill="1" applyBorder="1" applyAlignment="1">
      <alignment horizontal="left"/>
    </xf>
    <xf numFmtId="164" fontId="71" fillId="2" borderId="0" xfId="3" applyNumberFormat="1" applyFont="1" applyFill="1" applyAlignment="1">
      <alignment horizontal="left"/>
    </xf>
    <xf numFmtId="0" fontId="56" fillId="2" borderId="1" xfId="3" applyFont="1" applyFill="1" applyBorder="1"/>
    <xf numFmtId="0" fontId="55" fillId="2" borderId="2" xfId="3" applyFont="1" applyFill="1" applyBorder="1"/>
    <xf numFmtId="164" fontId="56" fillId="2" borderId="8" xfId="3" applyNumberFormat="1" applyFont="1" applyFill="1" applyBorder="1" applyAlignment="1">
      <alignment horizontal="right"/>
    </xf>
    <xf numFmtId="0" fontId="66" fillId="2" borderId="0" xfId="1" applyFont="1" applyFill="1" applyBorder="1" applyAlignment="1">
      <alignment horizontal="center"/>
    </xf>
    <xf numFmtId="168" fontId="72" fillId="2" borderId="0" xfId="1" applyNumberFormat="1" applyFont="1" applyFill="1" applyBorder="1" applyAlignment="1">
      <alignment horizontal="center"/>
    </xf>
    <xf numFmtId="0" fontId="73" fillId="0" borderId="0" xfId="1" applyFont="1"/>
    <xf numFmtId="0" fontId="5" fillId="0" borderId="0" xfId="30" applyFont="1"/>
    <xf numFmtId="0" fontId="5" fillId="0" borderId="0" xfId="3" applyFont="1" applyFill="1" applyBorder="1" applyAlignment="1">
      <alignment horizontal="center" wrapText="1"/>
    </xf>
    <xf numFmtId="0" fontId="2" fillId="0" borderId="0" xfId="3" applyFont="1" applyAlignment="1">
      <alignment horizontal="left"/>
    </xf>
    <xf numFmtId="0" fontId="2" fillId="3" borderId="7" xfId="3" applyFont="1" applyFill="1" applyBorder="1" applyAlignment="1">
      <alignment horizontal="center"/>
    </xf>
    <xf numFmtId="0" fontId="2" fillId="3" borderId="3" xfId="3" applyFont="1" applyFill="1" applyBorder="1" applyAlignment="1">
      <alignment horizontal="center"/>
    </xf>
    <xf numFmtId="0" fontId="2" fillId="3" borderId="3" xfId="3" applyFont="1" applyFill="1" applyBorder="1" applyAlignment="1">
      <alignment horizontal="center" vertical="top" wrapText="1"/>
    </xf>
    <xf numFmtId="0" fontId="2" fillId="3" borderId="4" xfId="3" applyFont="1" applyFill="1" applyBorder="1" applyAlignment="1">
      <alignment horizontal="center" wrapText="1"/>
    </xf>
    <xf numFmtId="0" fontId="2" fillId="0" borderId="0" xfId="3" applyFont="1" applyFill="1" applyBorder="1" applyAlignment="1">
      <alignment horizontal="center" wrapText="1"/>
    </xf>
    <xf numFmtId="0" fontId="8" fillId="3" borderId="5" xfId="3" applyFont="1" applyFill="1" applyBorder="1" applyAlignment="1">
      <alignment horizontal="center"/>
    </xf>
    <xf numFmtId="0" fontId="8" fillId="3" borderId="0" xfId="3" applyFont="1" applyFill="1" applyBorder="1" applyAlignment="1">
      <alignment horizontal="center"/>
    </xf>
    <xf numFmtId="0" fontId="8" fillId="3" borderId="0" xfId="3" applyFont="1" applyFill="1" applyBorder="1" applyAlignment="1">
      <alignment horizontal="center" vertical="top" wrapText="1"/>
    </xf>
    <xf numFmtId="0" fontId="8" fillId="3" borderId="6" xfId="3" applyFont="1" applyFill="1" applyBorder="1" applyAlignment="1">
      <alignment horizontal="center" vertical="top" wrapText="1"/>
    </xf>
    <xf numFmtId="0" fontId="8" fillId="0" borderId="0" xfId="3" applyFont="1" applyFill="1" applyBorder="1" applyAlignment="1">
      <alignment horizontal="center" vertical="top" wrapText="1"/>
    </xf>
    <xf numFmtId="0" fontId="5" fillId="3" borderId="0" xfId="30" applyFont="1" applyFill="1" applyBorder="1" applyAlignment="1">
      <alignment horizontal="center" vertical="center"/>
    </xf>
    <xf numFmtId="0" fontId="9" fillId="3" borderId="0" xfId="30" applyFont="1" applyFill="1" applyBorder="1" applyAlignment="1">
      <alignment horizontal="center" vertical="center"/>
    </xf>
    <xf numFmtId="0" fontId="9" fillId="3" borderId="0" xfId="3" applyFont="1" applyFill="1" applyBorder="1" applyAlignment="1">
      <alignment horizontal="center"/>
    </xf>
    <xf numFmtId="0" fontId="5" fillId="0" borderId="0" xfId="30" applyFont="1" applyAlignment="1">
      <alignment vertical="top"/>
    </xf>
    <xf numFmtId="0" fontId="5" fillId="3" borderId="2" xfId="30" applyFont="1" applyFill="1" applyBorder="1" applyAlignment="1">
      <alignment horizontal="center" vertical="center"/>
    </xf>
    <xf numFmtId="0" fontId="9" fillId="3" borderId="2" xfId="30" applyFont="1" applyFill="1" applyBorder="1" applyAlignment="1">
      <alignment horizontal="center" vertical="center"/>
    </xf>
    <xf numFmtId="0" fontId="9" fillId="0" borderId="0" xfId="1" applyFont="1" applyFill="1" applyBorder="1" applyAlignment="1">
      <alignment horizontal="center" vertical="center"/>
    </xf>
    <xf numFmtId="0" fontId="5" fillId="0" borderId="0" xfId="30" applyFont="1" applyFill="1" applyBorder="1" applyAlignment="1">
      <alignment horizontal="center" vertical="center"/>
    </xf>
    <xf numFmtId="0" fontId="9" fillId="0" borderId="0" xfId="30" applyFont="1" applyFill="1" applyBorder="1" applyAlignment="1">
      <alignment horizontal="center" vertical="center"/>
    </xf>
    <xf numFmtId="0" fontId="9" fillId="0" borderId="0" xfId="1" applyFont="1" applyFill="1" applyBorder="1" applyAlignment="1">
      <alignment horizontal="center" wrapText="1"/>
    </xf>
    <xf numFmtId="164" fontId="5" fillId="0" borderId="0" xfId="1" applyNumberFormat="1" applyFont="1" applyFill="1" applyBorder="1" applyAlignment="1">
      <alignment horizontal="center"/>
    </xf>
    <xf numFmtId="0" fontId="5" fillId="0" borderId="0" xfId="3" applyFont="1" applyAlignment="1">
      <alignment horizontal="left"/>
    </xf>
    <xf numFmtId="0" fontId="2" fillId="4" borderId="3" xfId="30" applyFont="1" applyFill="1" applyBorder="1" applyAlignment="1">
      <alignment horizontal="center"/>
    </xf>
    <xf numFmtId="0" fontId="2" fillId="4" borderId="4" xfId="30" applyFont="1" applyFill="1" applyBorder="1" applyAlignment="1">
      <alignment horizontal="center"/>
    </xf>
    <xf numFmtId="0" fontId="2" fillId="4" borderId="0" xfId="30" applyFont="1" applyFill="1" applyBorder="1" applyAlignment="1">
      <alignment horizontal="center"/>
    </xf>
    <xf numFmtId="0" fontId="2" fillId="4" borderId="6" xfId="30" applyFont="1" applyFill="1" applyBorder="1" applyAlignment="1">
      <alignment horizontal="center"/>
    </xf>
    <xf numFmtId="0" fontId="8" fillId="4" borderId="5" xfId="3" applyFont="1" applyFill="1" applyBorder="1" applyAlignment="1">
      <alignment horizontal="left"/>
    </xf>
    <xf numFmtId="0" fontId="8" fillId="4" borderId="0" xfId="30" applyFont="1" applyFill="1" applyBorder="1" applyAlignment="1">
      <alignment horizontal="center"/>
    </xf>
    <xf numFmtId="0" fontId="8" fillId="4" borderId="6" xfId="30" applyFont="1" applyFill="1" applyBorder="1" applyAlignment="1">
      <alignment horizontal="center"/>
    </xf>
    <xf numFmtId="164" fontId="74" fillId="4" borderId="0" xfId="30" applyNumberFormat="1" applyFont="1" applyFill="1" applyBorder="1" applyAlignment="1">
      <alignment horizontal="center"/>
    </xf>
    <xf numFmtId="164" fontId="74" fillId="4" borderId="6" xfId="30" applyNumberFormat="1" applyFont="1" applyFill="1" applyBorder="1" applyAlignment="1">
      <alignment horizontal="center"/>
    </xf>
    <xf numFmtId="164" fontId="6" fillId="4" borderId="0" xfId="30" applyNumberFormat="1" applyFont="1" applyFill="1" applyBorder="1" applyAlignment="1">
      <alignment horizontal="center"/>
    </xf>
    <xf numFmtId="164" fontId="6" fillId="4" borderId="6" xfId="30" applyNumberFormat="1" applyFont="1" applyFill="1" applyBorder="1" applyAlignment="1">
      <alignment horizontal="center"/>
    </xf>
    <xf numFmtId="0" fontId="2" fillId="4" borderId="1" xfId="3" applyFont="1" applyFill="1" applyBorder="1"/>
    <xf numFmtId="0" fontId="75" fillId="4" borderId="2" xfId="30" applyFont="1" applyFill="1" applyBorder="1"/>
    <xf numFmtId="164" fontId="2" fillId="4" borderId="2" xfId="30" applyNumberFormat="1" applyFont="1" applyFill="1" applyBorder="1" applyAlignment="1">
      <alignment horizontal="center"/>
    </xf>
    <xf numFmtId="164" fontId="2" fillId="4" borderId="8" xfId="30" applyNumberFormat="1" applyFont="1" applyFill="1" applyBorder="1" applyAlignment="1">
      <alignment horizontal="center"/>
    </xf>
    <xf numFmtId="0" fontId="5" fillId="0" borderId="0" xfId="30" applyFont="1" applyAlignment="1">
      <alignment wrapText="1"/>
    </xf>
    <xf numFmtId="0" fontId="2" fillId="0" borderId="0" xfId="1" applyFont="1" applyFill="1" applyBorder="1" applyAlignment="1">
      <alignment horizontal="left"/>
    </xf>
    <xf numFmtId="0" fontId="76" fillId="14" borderId="0" xfId="3" applyFont="1" applyFill="1"/>
    <xf numFmtId="0" fontId="9" fillId="2" borderId="0" xfId="1" applyFont="1" applyFill="1" applyBorder="1" applyAlignment="1">
      <alignment horizontal="left" wrapText="1"/>
    </xf>
    <xf numFmtId="0" fontId="5" fillId="14" borderId="0" xfId="1" applyFont="1" applyFill="1"/>
    <xf numFmtId="0" fontId="9" fillId="2" borderId="6" xfId="1" applyFont="1" applyFill="1" applyBorder="1" applyAlignment="1">
      <alignment horizontal="right" wrapText="1"/>
    </xf>
    <xf numFmtId="0" fontId="5" fillId="2" borderId="6" xfId="1" applyFont="1" applyFill="1" applyBorder="1" applyAlignment="1">
      <alignment horizontal="right"/>
    </xf>
    <xf numFmtId="0" fontId="8" fillId="2" borderId="6" xfId="1" applyFont="1" applyFill="1" applyBorder="1" applyAlignment="1">
      <alignment horizontal="right"/>
    </xf>
    <xf numFmtId="0" fontId="6" fillId="2" borderId="6" xfId="1" applyFont="1" applyFill="1" applyBorder="1" applyAlignment="1">
      <alignment horizontal="right"/>
    </xf>
    <xf numFmtId="164" fontId="5" fillId="2" borderId="6" xfId="1" applyNumberFormat="1" applyFont="1" applyFill="1" applyBorder="1" applyAlignment="1">
      <alignment horizontal="right"/>
    </xf>
    <xf numFmtId="168" fontId="9" fillId="2" borderId="0" xfId="1" applyNumberFormat="1" applyFont="1" applyFill="1" applyBorder="1" applyAlignment="1">
      <alignment horizontal="center"/>
    </xf>
    <xf numFmtId="0" fontId="77" fillId="0" borderId="0" xfId="1" applyFont="1" applyAlignment="1">
      <alignment horizontal="center"/>
    </xf>
    <xf numFmtId="1" fontId="6" fillId="2" borderId="0" xfId="1" applyNumberFormat="1" applyFont="1" applyFill="1" applyBorder="1" applyAlignment="1">
      <alignment horizontal="center"/>
    </xf>
    <xf numFmtId="164" fontId="5" fillId="2" borderId="0" xfId="1" applyNumberFormat="1" applyFont="1" applyFill="1" applyBorder="1"/>
    <xf numFmtId="1" fontId="9" fillId="2" borderId="0" xfId="1" applyNumberFormat="1" applyFont="1" applyFill="1" applyBorder="1" applyAlignment="1">
      <alignment horizontal="center"/>
    </xf>
    <xf numFmtId="41" fontId="77" fillId="0" borderId="0" xfId="1" applyNumberFormat="1" applyFont="1"/>
    <xf numFmtId="0" fontId="5" fillId="2" borderId="5" xfId="1" applyFont="1" applyFill="1" applyBorder="1" applyAlignment="1">
      <alignment horizontal="left" indent="2"/>
    </xf>
    <xf numFmtId="168" fontId="9" fillId="2" borderId="0" xfId="1" applyNumberFormat="1" applyFont="1" applyFill="1" applyBorder="1" applyAlignment="1">
      <alignment horizontal="left"/>
    </xf>
    <xf numFmtId="164" fontId="9" fillId="2" borderId="6" xfId="1" applyNumberFormat="1" applyFont="1" applyFill="1" applyBorder="1" applyAlignment="1">
      <alignment horizontal="right"/>
    </xf>
    <xf numFmtId="0" fontId="5" fillId="0" borderId="0" xfId="1" applyFont="1" applyAlignment="1"/>
    <xf numFmtId="164" fontId="9" fillId="2" borderId="6" xfId="1" quotePrefix="1" applyNumberFormat="1" applyFont="1" applyFill="1" applyBorder="1" applyAlignment="1">
      <alignment horizontal="right"/>
    </xf>
    <xf numFmtId="0" fontId="5" fillId="0" borderId="0" xfId="1" applyFont="1" applyBorder="1"/>
    <xf numFmtId="0" fontId="9" fillId="3" borderId="2" xfId="3" applyFont="1" applyFill="1" applyBorder="1" applyAlignment="1">
      <alignment horizontal="center"/>
    </xf>
    <xf numFmtId="0" fontId="2" fillId="0" borderId="0" xfId="0" applyFont="1" applyAlignment="1">
      <alignment horizontal="right"/>
    </xf>
    <xf numFmtId="164" fontId="0" fillId="4" borderId="0" xfId="0" applyNumberFormat="1" applyFill="1" applyBorder="1"/>
    <xf numFmtId="164" fontId="0" fillId="4" borderId="6" xfId="0" applyNumberFormat="1" applyFill="1" applyBorder="1"/>
    <xf numFmtId="164" fontId="6" fillId="4" borderId="0" xfId="0" applyNumberFormat="1" applyFont="1" applyFill="1" applyBorder="1"/>
    <xf numFmtId="164" fontId="6" fillId="4" borderId="6" xfId="0" applyNumberFormat="1" applyFont="1" applyFill="1" applyBorder="1"/>
    <xf numFmtId="0" fontId="0" fillId="4" borderId="2" xfId="0" quotePrefix="1" applyFill="1" applyBorder="1"/>
    <xf numFmtId="164" fontId="2" fillId="4" borderId="2" xfId="0" applyNumberFormat="1" applyFont="1" applyFill="1" applyBorder="1"/>
    <xf numFmtId="164" fontId="2" fillId="4" borderId="8" xfId="0" applyNumberFormat="1" applyFont="1" applyFill="1" applyBorder="1"/>
    <xf numFmtId="0" fontId="22" fillId="2" borderId="5" xfId="0" applyFont="1" applyFill="1" applyBorder="1" applyAlignment="1">
      <alignment horizontal="left"/>
    </xf>
    <xf numFmtId="0" fontId="73" fillId="2" borderId="0" xfId="0" applyFont="1" applyFill="1" applyBorder="1"/>
    <xf numFmtId="0" fontId="22" fillId="2" borderId="0" xfId="0" applyFont="1" applyFill="1" applyBorder="1" applyAlignment="1">
      <alignment horizontal="left"/>
    </xf>
    <xf numFmtId="1" fontId="9" fillId="2" borderId="0" xfId="0" applyNumberFormat="1" applyFont="1" applyFill="1" applyBorder="1" applyAlignment="1">
      <alignment horizontal="left"/>
    </xf>
    <xf numFmtId="0" fontId="5" fillId="2" borderId="0" xfId="0" quotePrefix="1" applyFont="1" applyFill="1"/>
    <xf numFmtId="169" fontId="9" fillId="2" borderId="6" xfId="0" applyNumberFormat="1" applyFont="1" applyFill="1" applyBorder="1"/>
    <xf numFmtId="0" fontId="6" fillId="2" borderId="0" xfId="0" applyFont="1" applyFill="1" applyBorder="1" applyAlignment="1">
      <alignment horizontal="center"/>
    </xf>
    <xf numFmtId="0" fontId="22" fillId="2" borderId="0" xfId="0" applyFont="1" applyFill="1" applyAlignment="1">
      <alignment horizontal="center"/>
    </xf>
    <xf numFmtId="2" fontId="5" fillId="2" borderId="0" xfId="0" applyNumberFormat="1" applyFont="1" applyFill="1" applyBorder="1" applyAlignment="1">
      <alignment horizontal="center"/>
    </xf>
    <xf numFmtId="166" fontId="5" fillId="2" borderId="0" xfId="0" applyNumberFormat="1" applyFont="1" applyFill="1" applyBorder="1" applyAlignment="1">
      <alignment horizontal="center"/>
    </xf>
    <xf numFmtId="164" fontId="5" fillId="2" borderId="0" xfId="0" applyNumberFormat="1" applyFont="1" applyFill="1" applyBorder="1" applyAlignment="1">
      <alignment horizontal="center"/>
    </xf>
    <xf numFmtId="0" fontId="9" fillId="2" borderId="5" xfId="0" quotePrefix="1" applyFont="1" applyFill="1" applyBorder="1"/>
    <xf numFmtId="164" fontId="9" fillId="2" borderId="0" xfId="0" applyNumberFormat="1" applyFont="1" applyFill="1"/>
    <xf numFmtId="0" fontId="6" fillId="2" borderId="5" xfId="0" applyFont="1" applyFill="1" applyBorder="1" applyAlignment="1">
      <alignment horizontal="left"/>
    </xf>
    <xf numFmtId="2" fontId="97" fillId="2" borderId="5" xfId="0" applyNumberFormat="1" applyFont="1" applyFill="1" applyBorder="1" applyAlignment="1">
      <alignment horizontal="left"/>
    </xf>
    <xf numFmtId="2" fontId="5" fillId="2" borderId="0" xfId="0" applyNumberFormat="1" applyFont="1" applyFill="1" applyBorder="1" applyAlignment="1">
      <alignment horizontal="left"/>
    </xf>
    <xf numFmtId="0" fontId="22" fillId="2" borderId="5" xfId="0" applyFont="1" applyFill="1" applyBorder="1" applyAlignment="1">
      <alignment horizontal="left" wrapText="1"/>
    </xf>
    <xf numFmtId="0" fontId="22" fillId="2" borderId="0" xfId="0" applyFont="1" applyFill="1" applyBorder="1" applyAlignment="1">
      <alignment horizontal="left" wrapText="1"/>
    </xf>
    <xf numFmtId="0" fontId="22" fillId="2" borderId="6" xfId="0" applyFont="1" applyFill="1" applyBorder="1" applyAlignment="1">
      <alignment horizontal="left" wrapText="1"/>
    </xf>
    <xf numFmtId="164" fontId="9" fillId="2" borderId="0" xfId="0" applyNumberFormat="1" applyFont="1" applyFill="1" applyBorder="1"/>
    <xf numFmtId="164" fontId="5" fillId="2" borderId="0" xfId="0" quotePrefix="1" applyNumberFormat="1" applyFont="1" applyFill="1" applyBorder="1"/>
    <xf numFmtId="169" fontId="9" fillId="2" borderId="6" xfId="0" quotePrefix="1" applyNumberFormat="1" applyFont="1" applyFill="1" applyBorder="1"/>
    <xf numFmtId="169" fontId="2" fillId="2" borderId="6" xfId="0" applyNumberFormat="1" applyFont="1" applyFill="1" applyBorder="1"/>
    <xf numFmtId="0" fontId="5" fillId="2" borderId="5" xfId="0" quotePrefix="1" applyFont="1" applyFill="1" applyBorder="1"/>
    <xf numFmtId="164" fontId="22" fillId="2" borderId="0" xfId="0" applyNumberFormat="1" applyFont="1" applyFill="1" applyAlignment="1">
      <alignment horizontal="center"/>
    </xf>
    <xf numFmtId="0" fontId="22" fillId="2" borderId="5" xfId="0" applyFont="1" applyFill="1" applyBorder="1"/>
    <xf numFmtId="0" fontId="22" fillId="2" borderId="0" xfId="0" applyFont="1" applyFill="1"/>
    <xf numFmtId="49" fontId="22" fillId="2" borderId="5" xfId="0" applyNumberFormat="1" applyFont="1" applyFill="1" applyBorder="1"/>
    <xf numFmtId="49" fontId="22" fillId="2" borderId="0" xfId="0" applyNumberFormat="1" applyFont="1" applyFill="1" applyAlignment="1">
      <alignment horizontal="center"/>
    </xf>
    <xf numFmtId="4" fontId="5" fillId="2" borderId="0" xfId="0" applyNumberFormat="1" applyFont="1" applyFill="1" applyBorder="1"/>
    <xf numFmtId="49" fontId="5" fillId="2" borderId="5" xfId="0" applyNumberFormat="1" applyFont="1" applyFill="1" applyBorder="1"/>
    <xf numFmtId="0" fontId="21" fillId="2" borderId="5" xfId="0" applyFont="1" applyFill="1" applyBorder="1" applyAlignment="1">
      <alignment horizontal="left"/>
    </xf>
    <xf numFmtId="0" fontId="98" fillId="2" borderId="0" xfId="0" applyFont="1" applyFill="1" applyBorder="1"/>
    <xf numFmtId="0" fontId="98" fillId="2" borderId="0" xfId="0" applyFont="1" applyFill="1" applyBorder="1" applyAlignment="1">
      <alignment horizontal="center"/>
    </xf>
    <xf numFmtId="164" fontId="21" fillId="2" borderId="0" xfId="0" applyNumberFormat="1" applyFont="1" applyFill="1" applyBorder="1" applyAlignment="1">
      <alignment horizontal="center"/>
    </xf>
    <xf numFmtId="0" fontId="21" fillId="2" borderId="0" xfId="0" applyFont="1" applyFill="1" applyBorder="1" applyAlignment="1">
      <alignment horizontal="center"/>
    </xf>
    <xf numFmtId="0" fontId="21" fillId="2" borderId="0" xfId="0" applyFont="1" applyFill="1" applyBorder="1"/>
    <xf numFmtId="164" fontId="98" fillId="2" borderId="6" xfId="0" applyNumberFormat="1" applyFont="1" applyFill="1" applyBorder="1"/>
    <xf numFmtId="0" fontId="21" fillId="0" borderId="0" xfId="0" applyFont="1"/>
    <xf numFmtId="43" fontId="5" fillId="0" borderId="0" xfId="0" applyNumberFormat="1" applyFont="1"/>
    <xf numFmtId="6" fontId="28" fillId="9" borderId="9" xfId="0" applyNumberFormat="1" applyFont="1" applyFill="1" applyBorder="1"/>
    <xf numFmtId="170" fontId="28" fillId="9" borderId="69" xfId="2" applyNumberFormat="1" applyFont="1" applyFill="1" applyBorder="1"/>
    <xf numFmtId="7" fontId="5" fillId="0" borderId="0" xfId="0" applyNumberFormat="1" applyFont="1"/>
    <xf numFmtId="171" fontId="28" fillId="9" borderId="9" xfId="0" applyNumberFormat="1" applyFont="1" applyFill="1" applyBorder="1"/>
    <xf numFmtId="164" fontId="28" fillId="9" borderId="69" xfId="0" applyNumberFormat="1" applyFont="1" applyFill="1" applyBorder="1"/>
    <xf numFmtId="0" fontId="33" fillId="2" borderId="5" xfId="0" applyFont="1" applyFill="1" applyBorder="1"/>
    <xf numFmtId="164" fontId="5" fillId="2" borderId="0" xfId="0" applyNumberFormat="1" applyFont="1" applyFill="1" applyAlignment="1">
      <alignment horizontal="center"/>
    </xf>
    <xf numFmtId="0" fontId="32" fillId="0" borderId="0" xfId="0" applyFont="1"/>
    <xf numFmtId="0" fontId="74" fillId="0" borderId="0" xfId="0" applyFont="1" applyFill="1" applyAlignment="1">
      <alignment horizontal="center"/>
    </xf>
    <xf numFmtId="0" fontId="74" fillId="0" borderId="0" xfId="0" applyFont="1" applyFill="1" applyBorder="1" applyAlignment="1">
      <alignment horizontal="center"/>
    </xf>
    <xf numFmtId="0" fontId="2" fillId="3" borderId="4" xfId="0" applyFont="1" applyFill="1" applyBorder="1" applyAlignment="1">
      <alignment horizontal="center"/>
    </xf>
    <xf numFmtId="0" fontId="8" fillId="3" borderId="6" xfId="0" applyFont="1" applyFill="1" applyBorder="1" applyAlignment="1">
      <alignment horizontal="center"/>
    </xf>
    <xf numFmtId="164" fontId="5" fillId="3" borderId="0" xfId="0" applyNumberFormat="1" applyFont="1" applyFill="1" applyBorder="1" applyAlignment="1">
      <alignment horizontal="center"/>
    </xf>
    <xf numFmtId="0" fontId="5" fillId="3" borderId="6" xfId="0" applyFont="1" applyFill="1" applyBorder="1" applyAlignment="1">
      <alignment horizontal="center"/>
    </xf>
    <xf numFmtId="164" fontId="5" fillId="3" borderId="2" xfId="0" applyNumberFormat="1" applyFont="1" applyFill="1" applyBorder="1" applyAlignment="1">
      <alignment horizontal="center"/>
    </xf>
    <xf numFmtId="0" fontId="5" fillId="3" borderId="8" xfId="0" applyFont="1" applyFill="1" applyBorder="1" applyAlignment="1">
      <alignment horizontal="center"/>
    </xf>
    <xf numFmtId="0" fontId="54" fillId="0" borderId="0" xfId="0" applyFont="1"/>
    <xf numFmtId="164" fontId="9" fillId="2" borderId="0" xfId="0" applyNumberFormat="1" applyFont="1" applyFill="1" applyAlignment="1">
      <alignment horizontal="center"/>
    </xf>
    <xf numFmtId="164" fontId="35" fillId="2" borderId="0" xfId="0" applyNumberFormat="1" applyFont="1" applyFill="1" applyAlignment="1">
      <alignment horizontal="center"/>
    </xf>
    <xf numFmtId="0" fontId="5" fillId="2" borderId="5" xfId="0" applyFont="1" applyFill="1" applyBorder="1" applyAlignment="1"/>
    <xf numFmtId="6" fontId="5" fillId="2" borderId="0" xfId="0" applyNumberFormat="1" applyFont="1" applyFill="1"/>
    <xf numFmtId="0" fontId="9" fillId="0" borderId="0" xfId="0" applyFont="1"/>
    <xf numFmtId="0" fontId="9" fillId="2" borderId="0" xfId="0" applyFont="1" applyFill="1" applyBorder="1" applyAlignment="1">
      <alignment horizontal="left" vertical="top"/>
    </xf>
    <xf numFmtId="0" fontId="5" fillId="2" borderId="5" xfId="0" applyFont="1" applyFill="1" applyBorder="1" applyAlignment="1">
      <alignment vertical="top"/>
    </xf>
    <xf numFmtId="168" fontId="9" fillId="2" borderId="0" xfId="0" applyNumberFormat="1" applyFont="1" applyFill="1" applyBorder="1" applyAlignment="1">
      <alignment horizontal="left" vertical="top"/>
    </xf>
    <xf numFmtId="164" fontId="5" fillId="2" borderId="0" xfId="0" applyNumberFormat="1" applyFont="1" applyFill="1" applyAlignment="1">
      <alignment horizontal="left"/>
    </xf>
    <xf numFmtId="3" fontId="35" fillId="2" borderId="0" xfId="0" applyNumberFormat="1" applyFont="1" applyFill="1" applyBorder="1" applyAlignment="1">
      <alignment horizontal="left"/>
    </xf>
    <xf numFmtId="168" fontId="5" fillId="2" borderId="0" xfId="0" applyNumberFormat="1" applyFont="1" applyFill="1" applyBorder="1" applyAlignment="1">
      <alignment horizontal="left"/>
    </xf>
    <xf numFmtId="0" fontId="54" fillId="2" borderId="0" xfId="0" applyFont="1" applyFill="1" applyBorder="1"/>
    <xf numFmtId="164" fontId="5" fillId="2" borderId="0" xfId="0" applyNumberFormat="1" applyFont="1" applyFill="1" applyBorder="1" applyAlignment="1">
      <alignment horizontal="left"/>
    </xf>
    <xf numFmtId="0" fontId="9" fillId="2" borderId="0" xfId="0" applyFont="1" applyFill="1" applyBorder="1" applyAlignment="1">
      <alignment horizontal="center" vertical="top"/>
    </xf>
    <xf numFmtId="0" fontId="28" fillId="9" borderId="9" xfId="9" applyFont="1" applyFill="1" applyBorder="1" applyAlignment="1">
      <alignment horizontal="left"/>
    </xf>
    <xf numFmtId="0" fontId="28" fillId="9" borderId="9" xfId="9" applyFont="1" applyFill="1" applyBorder="1"/>
    <xf numFmtId="164" fontId="28" fillId="9" borderId="9" xfId="9" applyNumberFormat="1" applyFont="1" applyFill="1" applyBorder="1"/>
    <xf numFmtId="0" fontId="100" fillId="0" borderId="9" xfId="0" applyFont="1" applyBorder="1" applyAlignment="1">
      <alignment horizontal="left"/>
    </xf>
    <xf numFmtId="0" fontId="100" fillId="0" borderId="9" xfId="0" applyFont="1" applyBorder="1"/>
    <xf numFmtId="164" fontId="100" fillId="0" borderId="0" xfId="0" applyNumberFormat="1" applyFont="1"/>
    <xf numFmtId="1" fontId="100" fillId="32" borderId="9" xfId="89" applyNumberFormat="1" applyFont="1" applyFill="1" applyBorder="1"/>
    <xf numFmtId="0" fontId="100" fillId="32" borderId="9" xfId="89" applyFont="1" applyFill="1" applyBorder="1" applyAlignment="1">
      <alignment horizontal="left"/>
    </xf>
    <xf numFmtId="0" fontId="100" fillId="32" borderId="9" xfId="89" applyFont="1" applyFill="1" applyBorder="1"/>
    <xf numFmtId="164" fontId="100" fillId="32" borderId="9" xfId="89" applyNumberFormat="1" applyFont="1" applyFill="1" applyBorder="1"/>
    <xf numFmtId="43" fontId="28" fillId="9" borderId="9" xfId="2" applyNumberFormat="1" applyFont="1" applyFill="1" applyBorder="1"/>
    <xf numFmtId="0" fontId="28" fillId="33" borderId="9" xfId="0" applyFont="1" applyFill="1" applyBorder="1" applyAlignment="1">
      <alignment horizontal="left"/>
    </xf>
    <xf numFmtId="0" fontId="28" fillId="33" borderId="9" xfId="0" applyFont="1" applyFill="1" applyBorder="1"/>
    <xf numFmtId="6" fontId="28" fillId="33" borderId="9" xfId="0" applyNumberFormat="1" applyFont="1" applyFill="1" applyBorder="1"/>
    <xf numFmtId="164" fontId="28" fillId="33" borderId="9" xfId="0" applyNumberFormat="1" applyFont="1" applyFill="1" applyBorder="1"/>
    <xf numFmtId="43" fontId="28" fillId="33" borderId="9" xfId="2" applyNumberFormat="1" applyFont="1" applyFill="1" applyBorder="1"/>
    <xf numFmtId="4" fontId="28" fillId="9" borderId="9" xfId="2" applyNumberFormat="1" applyFont="1" applyFill="1" applyBorder="1"/>
    <xf numFmtId="0" fontId="28" fillId="0" borderId="0" xfId="72" applyFont="1" applyFill="1" applyBorder="1" applyProtection="1">
      <protection locked="0"/>
    </xf>
    <xf numFmtId="0" fontId="28" fillId="0" borderId="0" xfId="72" applyFont="1" applyFill="1" applyBorder="1" applyAlignment="1" applyProtection="1">
      <alignment horizontal="center"/>
      <protection locked="0"/>
    </xf>
    <xf numFmtId="0" fontId="28" fillId="0" borderId="0" xfId="72" applyFont="1" applyFill="1" applyProtection="1">
      <protection locked="0"/>
    </xf>
    <xf numFmtId="0" fontId="28" fillId="9" borderId="9" xfId="72" applyFont="1" applyFill="1" applyBorder="1" applyAlignment="1" applyProtection="1">
      <alignment horizontal="left"/>
      <protection locked="0"/>
    </xf>
    <xf numFmtId="0" fontId="28" fillId="9" borderId="9" xfId="72" applyFont="1" applyFill="1" applyBorder="1" applyAlignment="1" applyProtection="1">
      <protection locked="0"/>
    </xf>
    <xf numFmtId="0" fontId="28" fillId="0" borderId="0" xfId="72" applyFont="1" applyFill="1" applyBorder="1" applyAlignment="1" applyProtection="1">
      <protection locked="0"/>
    </xf>
    <xf numFmtId="0" fontId="28" fillId="9" borderId="9" xfId="72" applyFont="1" applyFill="1" applyBorder="1" applyProtection="1">
      <protection locked="0"/>
    </xf>
    <xf numFmtId="0" fontId="5" fillId="0" borderId="0" xfId="72" applyFont="1" applyFill="1"/>
    <xf numFmtId="0" fontId="5" fillId="0" borderId="0" xfId="72" applyFont="1" applyFill="1" applyBorder="1"/>
    <xf numFmtId="0" fontId="5" fillId="0" borderId="0" xfId="72" applyFont="1" applyFill="1" applyBorder="1" applyAlignment="1">
      <alignment horizontal="center"/>
    </xf>
    <xf numFmtId="0" fontId="1" fillId="0" borderId="0" xfId="72"/>
    <xf numFmtId="0" fontId="5" fillId="0" borderId="3" xfId="72" applyFont="1" applyFill="1" applyBorder="1"/>
    <xf numFmtId="0" fontId="5" fillId="0" borderId="0" xfId="72" applyFont="1" applyFill="1" applyBorder="1" applyAlignment="1">
      <alignment horizontal="left"/>
    </xf>
    <xf numFmtId="0" fontId="28" fillId="9" borderId="9" xfId="72" applyFont="1" applyFill="1" applyBorder="1" applyAlignment="1">
      <alignment horizontal="left"/>
    </xf>
    <xf numFmtId="0" fontId="28" fillId="9" borderId="9" xfId="72" applyFont="1" applyFill="1" applyBorder="1"/>
    <xf numFmtId="164" fontId="28" fillId="9" borderId="9" xfId="72" applyNumberFormat="1" applyFont="1" applyFill="1" applyBorder="1"/>
    <xf numFmtId="39" fontId="28" fillId="9" borderId="9" xfId="90" applyNumberFormat="1" applyFont="1" applyFill="1" applyBorder="1" applyProtection="1">
      <protection locked="0"/>
    </xf>
    <xf numFmtId="37" fontId="28" fillId="9" borderId="9" xfId="90" applyNumberFormat="1" applyFont="1" applyFill="1" applyBorder="1" applyAlignment="1" applyProtection="1">
      <alignment horizontal="left"/>
      <protection locked="0"/>
    </xf>
    <xf numFmtId="0" fontId="101" fillId="9" borderId="0" xfId="0" applyFont="1" applyFill="1" applyAlignment="1">
      <alignment wrapText="1"/>
    </xf>
    <xf numFmtId="9" fontId="28" fillId="9" borderId="9" xfId="72" applyNumberFormat="1" applyFont="1" applyFill="1" applyBorder="1"/>
    <xf numFmtId="170" fontId="28" fillId="9" borderId="9" xfId="90" applyNumberFormat="1" applyFont="1" applyFill="1" applyBorder="1"/>
    <xf numFmtId="6" fontId="5" fillId="0" borderId="0" xfId="72" applyNumberFormat="1" applyFont="1"/>
    <xf numFmtId="8" fontId="5" fillId="0" borderId="0" xfId="72" applyNumberFormat="1" applyFont="1"/>
    <xf numFmtId="0" fontId="102" fillId="9" borderId="9" xfId="0" applyFont="1" applyFill="1" applyBorder="1"/>
    <xf numFmtId="164" fontId="102" fillId="9" borderId="9" xfId="0" applyNumberFormat="1" applyFont="1" applyFill="1" applyBorder="1"/>
    <xf numFmtId="0" fontId="102" fillId="9" borderId="9" xfId="0" applyFont="1" applyFill="1" applyBorder="1" applyAlignment="1">
      <alignment horizontal="left"/>
    </xf>
    <xf numFmtId="0" fontId="28" fillId="9" borderId="9" xfId="0" quotePrefix="1" applyFont="1" applyFill="1" applyBorder="1"/>
    <xf numFmtId="0" fontId="74" fillId="0" borderId="0" xfId="0" applyFont="1" applyAlignment="1">
      <alignment horizontal="center"/>
    </xf>
    <xf numFmtId="0" fontId="74" fillId="0" borderId="0" xfId="0" applyFont="1"/>
    <xf numFmtId="0" fontId="0" fillId="0" borderId="0" xfId="0" applyAlignment="1">
      <alignment horizontal="center"/>
    </xf>
    <xf numFmtId="0" fontId="9" fillId="0" borderId="0" xfId="0" applyFont="1" applyFill="1" applyBorder="1" applyAlignment="1">
      <alignment horizontal="left"/>
    </xf>
    <xf numFmtId="0" fontId="35" fillId="2" borderId="0" xfId="0" applyFont="1" applyFill="1" applyBorder="1" applyAlignment="1">
      <alignment horizontal="left"/>
    </xf>
    <xf numFmtId="0" fontId="2" fillId="2" borderId="5" xfId="0" applyFont="1" applyFill="1" applyBorder="1" applyAlignment="1"/>
    <xf numFmtId="0" fontId="2" fillId="2" borderId="0" xfId="0" applyFont="1" applyFill="1" applyBorder="1"/>
    <xf numFmtId="164" fontId="2" fillId="2" borderId="0" xfId="0" applyNumberFormat="1" applyFont="1" applyFill="1" applyBorder="1"/>
    <xf numFmtId="0" fontId="106" fillId="9" borderId="9" xfId="0" applyFont="1" applyFill="1" applyBorder="1" applyAlignment="1">
      <alignment horizontal="left"/>
    </xf>
    <xf numFmtId="0" fontId="107" fillId="9" borderId="0" xfId="89" applyFont="1" applyFill="1"/>
    <xf numFmtId="6" fontId="106" fillId="9" borderId="9" xfId="0" applyNumberFormat="1" applyFont="1" applyFill="1" applyBorder="1"/>
    <xf numFmtId="164" fontId="106" fillId="9" borderId="9" xfId="0" applyNumberFormat="1" applyFont="1" applyFill="1" applyBorder="1"/>
    <xf numFmtId="170" fontId="106" fillId="9" borderId="9" xfId="2" applyNumberFormat="1" applyFont="1" applyFill="1" applyBorder="1"/>
    <xf numFmtId="0" fontId="106" fillId="9" borderId="9" xfId="0" applyFont="1" applyFill="1" applyBorder="1"/>
    <xf numFmtId="0" fontId="108" fillId="9" borderId="9" xfId="0" applyFont="1" applyFill="1" applyBorder="1"/>
    <xf numFmtId="164" fontId="108" fillId="9" borderId="9" xfId="0" applyNumberFormat="1" applyFont="1" applyFill="1" applyBorder="1"/>
    <xf numFmtId="0" fontId="2" fillId="0" borderId="0" xfId="0" applyFont="1" applyAlignment="1">
      <alignment horizontal="left"/>
    </xf>
    <xf numFmtId="49" fontId="9" fillId="3" borderId="0" xfId="0" applyNumberFormat="1" applyFont="1" applyFill="1" applyBorder="1" applyAlignment="1">
      <alignment horizontal="center"/>
    </xf>
    <xf numFmtId="49" fontId="9" fillId="3" borderId="2" xfId="0" applyNumberFormat="1" applyFont="1" applyFill="1" applyBorder="1" applyAlignment="1">
      <alignment horizontal="center"/>
    </xf>
    <xf numFmtId="174" fontId="21" fillId="0" borderId="0" xfId="91" applyFont="1" applyBorder="1" applyAlignment="1" applyProtection="1">
      <alignment horizontal="left"/>
    </xf>
    <xf numFmtId="174" fontId="21" fillId="0" borderId="0" xfId="91" applyFont="1" applyBorder="1" applyAlignment="1" applyProtection="1">
      <alignment horizontal="center"/>
    </xf>
    <xf numFmtId="0" fontId="2" fillId="10" borderId="15" xfId="0" applyFont="1" applyFill="1" applyBorder="1" applyAlignment="1">
      <alignment horizontal="center" wrapText="1"/>
    </xf>
    <xf numFmtId="0" fontId="2" fillId="10" borderId="16" xfId="0" applyFont="1" applyFill="1" applyBorder="1" applyAlignment="1">
      <alignment horizontal="center" wrapText="1"/>
    </xf>
    <xf numFmtId="0" fontId="2" fillId="10" borderId="17" xfId="0" applyFont="1" applyFill="1" applyBorder="1" applyAlignment="1">
      <alignment horizontal="center" wrapText="1"/>
    </xf>
    <xf numFmtId="0" fontId="2" fillId="10" borderId="18" xfId="0" applyFont="1" applyFill="1" applyBorder="1" applyAlignment="1">
      <alignment horizontal="center" wrapText="1"/>
    </xf>
    <xf numFmtId="0" fontId="2" fillId="10" borderId="0" xfId="0" applyFont="1" applyFill="1" applyAlignment="1">
      <alignment horizontal="center" wrapText="1"/>
    </xf>
    <xf numFmtId="0" fontId="2" fillId="10" borderId="19" xfId="0" applyFont="1" applyFill="1" applyBorder="1" applyAlignment="1">
      <alignment horizontal="center" wrapText="1"/>
    </xf>
    <xf numFmtId="0" fontId="8" fillId="10" borderId="18" xfId="0" applyFont="1" applyFill="1" applyBorder="1" applyAlignment="1">
      <alignment horizontal="center" wrapText="1"/>
    </xf>
    <xf numFmtId="0" fontId="8" fillId="10" borderId="0" xfId="0" applyFont="1" applyFill="1" applyAlignment="1">
      <alignment horizontal="center" wrapText="1"/>
    </xf>
    <xf numFmtId="0" fontId="8" fillId="10" borderId="19" xfId="0" applyFont="1" applyFill="1" applyBorder="1" applyAlignment="1">
      <alignment horizontal="center" wrapText="1"/>
    </xf>
    <xf numFmtId="8" fontId="9" fillId="10" borderId="18" xfId="0" applyNumberFormat="1" applyFont="1" applyFill="1" applyBorder="1" applyAlignment="1">
      <alignment horizontal="center" wrapText="1"/>
    </xf>
    <xf numFmtId="8" fontId="5" fillId="10" borderId="0" xfId="0" applyNumberFormat="1" applyFont="1" applyFill="1" applyAlignment="1">
      <alignment horizontal="center" wrapText="1"/>
    </xf>
    <xf numFmtId="0" fontId="5" fillId="10" borderId="19" xfId="0" applyFont="1" applyFill="1" applyBorder="1" applyAlignment="1">
      <alignment horizontal="center" wrapText="1"/>
    </xf>
    <xf numFmtId="0" fontId="5" fillId="10" borderId="0" xfId="0" applyFont="1" applyFill="1" applyAlignment="1">
      <alignment horizontal="center" wrapText="1"/>
    </xf>
    <xf numFmtId="8" fontId="5" fillId="10" borderId="19" xfId="0" applyNumberFormat="1" applyFont="1" applyFill="1" applyBorder="1" applyAlignment="1">
      <alignment horizontal="center" wrapText="1"/>
    </xf>
    <xf numFmtId="5" fontId="21" fillId="0" borderId="0" xfId="91" applyNumberFormat="1" applyFont="1" applyBorder="1" applyAlignment="1" applyProtection="1">
      <alignment horizontal="center"/>
    </xf>
    <xf numFmtId="0" fontId="5" fillId="10" borderId="18" xfId="0" applyFont="1" applyFill="1" applyBorder="1" applyAlignment="1">
      <alignment horizontal="center" wrapText="1"/>
    </xf>
    <xf numFmtId="0" fontId="6" fillId="10" borderId="18" xfId="0" applyFont="1" applyFill="1" applyBorder="1" applyAlignment="1">
      <alignment horizontal="center" wrapText="1"/>
    </xf>
    <xf numFmtId="0" fontId="6" fillId="10" borderId="0" xfId="0" applyFont="1" applyFill="1" applyAlignment="1">
      <alignment horizontal="center" wrapText="1"/>
    </xf>
    <xf numFmtId="0" fontId="6" fillId="10" borderId="19" xfId="0" applyFont="1" applyFill="1" applyBorder="1" applyAlignment="1">
      <alignment horizontal="center" wrapText="1"/>
    </xf>
    <xf numFmtId="8" fontId="5" fillId="10" borderId="52" xfId="0" applyNumberFormat="1" applyFont="1" applyFill="1" applyBorder="1" applyAlignment="1">
      <alignment horizontal="center" wrapText="1"/>
    </xf>
    <xf numFmtId="8" fontId="5" fillId="10" borderId="53" xfId="0" applyNumberFormat="1" applyFont="1" applyFill="1" applyBorder="1" applyAlignment="1">
      <alignment horizontal="center" wrapText="1"/>
    </xf>
    <xf numFmtId="8" fontId="5" fillId="10" borderId="54" xfId="0" applyNumberFormat="1" applyFont="1" applyFill="1" applyBorder="1" applyAlignment="1">
      <alignment horizontal="center" wrapText="1"/>
    </xf>
    <xf numFmtId="8" fontId="5" fillId="0" borderId="0" xfId="0" applyNumberFormat="1" applyFont="1" applyAlignment="1">
      <alignment wrapText="1"/>
    </xf>
    <xf numFmtId="4" fontId="9" fillId="0" borderId="0" xfId="0" applyNumberFormat="1" applyFont="1" applyAlignment="1">
      <alignment wrapText="1"/>
    </xf>
    <xf numFmtId="9" fontId="9" fillId="0" borderId="0" xfId="0" applyNumberFormat="1" applyFont="1" applyAlignment="1">
      <alignment horizontal="right" wrapText="1"/>
    </xf>
    <xf numFmtId="8" fontId="2" fillId="0" borderId="0" xfId="0" applyNumberFormat="1" applyFont="1" applyAlignment="1">
      <alignment wrapText="1"/>
    </xf>
    <xf numFmtId="0" fontId="54" fillId="2" borderId="0" xfId="0" applyFont="1" applyFill="1" applyBorder="1" applyAlignment="1">
      <alignment horizontal="left" vertical="top"/>
    </xf>
    <xf numFmtId="0" fontId="54" fillId="2" borderId="0" xfId="0" applyFont="1" applyFill="1" applyBorder="1" applyAlignment="1">
      <alignment horizontal="center" vertical="top"/>
    </xf>
    <xf numFmtId="168" fontId="54" fillId="2" borderId="0" xfId="0" applyNumberFormat="1" applyFont="1" applyFill="1" applyBorder="1"/>
    <xf numFmtId="174" fontId="5" fillId="0" borderId="0" xfId="91" applyFont="1" applyAlignment="1" applyProtection="1">
      <alignment horizontal="left"/>
    </xf>
    <xf numFmtId="174" fontId="21" fillId="2" borderId="5" xfId="91" applyFont="1" applyFill="1" applyBorder="1" applyAlignment="1" applyProtection="1">
      <alignment horizontal="left"/>
    </xf>
    <xf numFmtId="174" fontId="5" fillId="0" borderId="0" xfId="91" applyFont="1" applyAlignment="1" applyProtection="1">
      <alignment horizontal="center"/>
    </xf>
    <xf numFmtId="44" fontId="5" fillId="0" borderId="66" xfId="10" applyFont="1" applyBorder="1" applyProtection="1"/>
    <xf numFmtId="164" fontId="9" fillId="2" borderId="0" xfId="0" applyNumberFormat="1" applyFont="1" applyFill="1" applyBorder="1" applyAlignment="1">
      <alignment horizontal="left"/>
    </xf>
    <xf numFmtId="44" fontId="5" fillId="0" borderId="0" xfId="10" applyFont="1" applyBorder="1" applyProtection="1"/>
    <xf numFmtId="168" fontId="9" fillId="2" borderId="0" xfId="0" applyNumberFormat="1" applyFont="1" applyFill="1" applyBorder="1" applyAlignment="1">
      <alignment horizontal="left"/>
    </xf>
    <xf numFmtId="3" fontId="9" fillId="2" borderId="0" xfId="0" applyNumberFormat="1" applyFont="1" applyFill="1" applyBorder="1" applyAlignment="1">
      <alignment horizontal="left"/>
    </xf>
    <xf numFmtId="0" fontId="5" fillId="2" borderId="5" xfId="0" quotePrefix="1" applyFont="1" applyFill="1" applyBorder="1" applyAlignment="1">
      <alignment horizontal="left"/>
    </xf>
    <xf numFmtId="174" fontId="5" fillId="2" borderId="5" xfId="91" applyFont="1" applyFill="1" applyBorder="1" applyAlignment="1" applyProtection="1">
      <alignment horizontal="left"/>
    </xf>
    <xf numFmtId="164" fontId="35" fillId="2" borderId="0" xfId="0" applyNumberFormat="1" applyFont="1" applyFill="1" applyBorder="1" applyAlignment="1">
      <alignment horizontal="left"/>
    </xf>
    <xf numFmtId="166" fontId="28" fillId="9" borderId="9" xfId="0" applyNumberFormat="1" applyFont="1" applyFill="1" applyBorder="1"/>
    <xf numFmtId="166" fontId="28" fillId="9" borderId="9" xfId="0" applyNumberFormat="1" applyFont="1" applyFill="1" applyBorder="1" applyAlignment="1">
      <alignment horizontal="center"/>
    </xf>
    <xf numFmtId="175" fontId="28" fillId="9" borderId="9" xfId="2" applyNumberFormat="1" applyFont="1" applyFill="1" applyBorder="1" applyAlignment="1">
      <alignment horizontal="center"/>
    </xf>
    <xf numFmtId="166" fontId="28" fillId="9" borderId="9" xfId="0" applyNumberFormat="1" applyFont="1" applyFill="1" applyBorder="1" applyAlignment="1">
      <alignment horizontal="left"/>
    </xf>
    <xf numFmtId="9" fontId="28" fillId="9" borderId="9" xfId="6" applyFont="1" applyFill="1" applyBorder="1"/>
    <xf numFmtId="7" fontId="28" fillId="9" borderId="9" xfId="5" applyNumberFormat="1" applyFont="1" applyFill="1" applyBorder="1"/>
    <xf numFmtId="166" fontId="102" fillId="9" borderId="9" xfId="0" applyNumberFormat="1" applyFont="1" applyFill="1" applyBorder="1"/>
    <xf numFmtId="166" fontId="102" fillId="9" borderId="9" xfId="0" applyNumberFormat="1" applyFont="1" applyFill="1" applyBorder="1" applyAlignment="1">
      <alignment horizontal="left"/>
    </xf>
    <xf numFmtId="175" fontId="102" fillId="9" borderId="9" xfId="2" applyNumberFormat="1" applyFont="1" applyFill="1" applyBorder="1" applyAlignment="1">
      <alignment horizontal="center"/>
    </xf>
    <xf numFmtId="0" fontId="28" fillId="9" borderId="9" xfId="0" applyFont="1" applyFill="1" applyBorder="1" applyAlignment="1">
      <alignment horizontal="center"/>
    </xf>
    <xf numFmtId="44" fontId="28" fillId="9" borderId="9" xfId="5" applyFont="1" applyFill="1" applyBorder="1" applyAlignment="1">
      <alignment horizontal="left"/>
    </xf>
    <xf numFmtId="175" fontId="28" fillId="9" borderId="9" xfId="2" applyNumberFormat="1" applyFont="1" applyFill="1" applyBorder="1"/>
    <xf numFmtId="44" fontId="102" fillId="9" borderId="9" xfId="5" applyFont="1" applyFill="1" applyBorder="1"/>
    <xf numFmtId="0" fontId="102" fillId="0" borderId="0" xfId="0" applyFont="1"/>
    <xf numFmtId="0" fontId="40" fillId="3" borderId="25" xfId="0" applyNumberFormat="1" applyFont="1" applyFill="1" applyBorder="1" applyAlignment="1">
      <alignment horizontal="center" vertical="center"/>
    </xf>
    <xf numFmtId="0" fontId="40" fillId="3" borderId="27" xfId="0" applyNumberFormat="1" applyFont="1" applyFill="1" applyBorder="1" applyAlignment="1">
      <alignment horizontal="center" vertical="center"/>
    </xf>
    <xf numFmtId="166" fontId="37" fillId="11" borderId="9" xfId="0" applyNumberFormat="1" applyFont="1" applyFill="1" applyBorder="1" applyAlignment="1">
      <alignment horizontal="center" vertical="center"/>
    </xf>
    <xf numFmtId="0" fontId="37" fillId="11" borderId="25" xfId="0" applyFont="1" applyFill="1" applyBorder="1" applyAlignment="1">
      <alignment vertical="center"/>
    </xf>
    <xf numFmtId="0" fontId="37" fillId="11" borderId="12" xfId="0" applyFont="1" applyFill="1" applyBorder="1" applyAlignment="1">
      <alignment vertical="center"/>
    </xf>
    <xf numFmtId="0" fontId="73" fillId="2" borderId="0" xfId="9" applyFont="1" applyFill="1" applyBorder="1"/>
    <xf numFmtId="2" fontId="5" fillId="2" borderId="5" xfId="9" applyNumberFormat="1" applyFont="1" applyFill="1" applyBorder="1" applyAlignment="1">
      <alignment horizontal="left"/>
    </xf>
    <xf numFmtId="0" fontId="9" fillId="3" borderId="0" xfId="9" applyFont="1" applyFill="1" applyBorder="1" applyAlignment="1">
      <alignment horizontal="center" vertical="center" wrapText="1"/>
    </xf>
    <xf numFmtId="2" fontId="3" fillId="2" borderId="5" xfId="9" applyNumberFormat="1" applyFont="1" applyFill="1" applyBorder="1" applyAlignment="1">
      <alignment horizontal="left"/>
    </xf>
    <xf numFmtId="2" fontId="5" fillId="0" borderId="0" xfId="0" applyNumberFormat="1" applyFont="1"/>
    <xf numFmtId="2" fontId="5" fillId="0" borderId="0" xfId="0" applyNumberFormat="1" applyFont="1" applyFill="1"/>
    <xf numFmtId="2" fontId="28" fillId="0" borderId="0" xfId="0" applyNumberFormat="1" applyFont="1" applyFill="1" applyProtection="1">
      <protection locked="0"/>
    </xf>
    <xf numFmtId="2" fontId="28" fillId="0" borderId="0" xfId="0" applyNumberFormat="1" applyFont="1" applyFill="1" applyBorder="1" applyAlignment="1" applyProtection="1">
      <protection locked="0"/>
    </xf>
    <xf numFmtId="2" fontId="28" fillId="0" borderId="0" xfId="0" applyNumberFormat="1" applyFont="1" applyFill="1" applyBorder="1" applyProtection="1">
      <protection locked="0"/>
    </xf>
    <xf numFmtId="2" fontId="28" fillId="9" borderId="9" xfId="0" applyNumberFormat="1" applyFont="1" applyFill="1" applyBorder="1" applyAlignment="1" applyProtection="1">
      <alignment horizontal="left"/>
      <protection locked="0"/>
    </xf>
    <xf numFmtId="2" fontId="5" fillId="0" borderId="0" xfId="0" applyNumberFormat="1" applyFont="1" applyFill="1" applyBorder="1"/>
    <xf numFmtId="2" fontId="27" fillId="7" borderId="9" xfId="7" applyNumberFormat="1" applyFont="1" applyBorder="1"/>
    <xf numFmtId="44" fontId="28" fillId="9" borderId="9" xfId="5" applyFont="1" applyFill="1" applyBorder="1"/>
    <xf numFmtId="2" fontId="28" fillId="9" borderId="9" xfId="2" applyNumberFormat="1" applyFont="1" applyFill="1" applyBorder="1"/>
    <xf numFmtId="6" fontId="102" fillId="9" borderId="9" xfId="0" applyNumberFormat="1" applyFont="1" applyFill="1" applyBorder="1"/>
    <xf numFmtId="2" fontId="102" fillId="9" borderId="9" xfId="2" applyNumberFormat="1" applyFont="1" applyFill="1" applyBorder="1"/>
    <xf numFmtId="0" fontId="15" fillId="7" borderId="9" xfId="7" applyFont="1" applyBorder="1" applyAlignment="1">
      <alignment horizontal="left"/>
    </xf>
    <xf numFmtId="0" fontId="0" fillId="0" borderId="0" xfId="0" applyFill="1"/>
    <xf numFmtId="2" fontId="5" fillId="2" borderId="5" xfId="0" applyNumberFormat="1" applyFont="1" applyFill="1" applyBorder="1" applyAlignment="1">
      <alignment horizontal="left"/>
    </xf>
    <xf numFmtId="0" fontId="54" fillId="2" borderId="5" xfId="0" applyFont="1" applyFill="1" applyBorder="1"/>
    <xf numFmtId="0" fontId="3" fillId="2" borderId="0" xfId="0" applyFont="1" applyFill="1"/>
    <xf numFmtId="0" fontId="22" fillId="2" borderId="0" xfId="0" applyFont="1" applyFill="1" applyBorder="1" applyAlignment="1">
      <alignment horizontal="center"/>
    </xf>
    <xf numFmtId="39" fontId="22" fillId="2" borderId="0" xfId="0" applyNumberFormat="1" applyFont="1" applyFill="1" applyBorder="1" applyAlignment="1">
      <alignment horizontal="center"/>
    </xf>
    <xf numFmtId="49" fontId="22" fillId="2" borderId="0" xfId="0" applyNumberFormat="1" applyFont="1" applyFill="1" applyBorder="1" applyAlignment="1">
      <alignment horizontal="center"/>
    </xf>
    <xf numFmtId="2" fontId="22" fillId="2" borderId="0" xfId="0" applyNumberFormat="1" applyFont="1" applyFill="1" applyBorder="1" applyAlignment="1">
      <alignment horizontal="center"/>
    </xf>
    <xf numFmtId="0" fontId="0" fillId="0" borderId="0" xfId="0" applyAlignment="1">
      <alignment horizontal="right"/>
    </xf>
    <xf numFmtId="0" fontId="33" fillId="2" borderId="0" xfId="0" applyFont="1" applyFill="1" applyBorder="1" applyAlignment="1">
      <alignment horizontal="center"/>
    </xf>
    <xf numFmtId="39" fontId="33" fillId="2" borderId="0" xfId="0" applyNumberFormat="1" applyFont="1" applyFill="1" applyBorder="1" applyAlignment="1">
      <alignment horizontal="center"/>
    </xf>
    <xf numFmtId="49" fontId="33" fillId="2" borderId="0" xfId="0" applyNumberFormat="1" applyFont="1" applyFill="1" applyBorder="1" applyAlignment="1">
      <alignment horizontal="center"/>
    </xf>
    <xf numFmtId="2" fontId="33" fillId="2" borderId="0" xfId="0" applyNumberFormat="1" applyFont="1" applyFill="1" applyBorder="1" applyAlignment="1">
      <alignment horizontal="center"/>
    </xf>
    <xf numFmtId="2" fontId="3" fillId="2" borderId="5" xfId="0" applyNumberFormat="1" applyFont="1" applyFill="1" applyBorder="1" applyAlignment="1">
      <alignment horizontal="left"/>
    </xf>
    <xf numFmtId="49" fontId="33" fillId="2" borderId="5" xfId="0" applyNumberFormat="1" applyFont="1" applyFill="1" applyBorder="1"/>
    <xf numFmtId="49" fontId="5" fillId="2" borderId="0" xfId="0" applyNumberFormat="1" applyFont="1" applyFill="1" applyBorder="1" applyAlignment="1">
      <alignment horizontal="center"/>
    </xf>
    <xf numFmtId="49" fontId="3" fillId="2" borderId="5" xfId="0" applyNumberFormat="1" applyFont="1" applyFill="1" applyBorder="1"/>
    <xf numFmtId="0" fontId="22" fillId="2" borderId="0" xfId="0" applyNumberFormat="1" applyFont="1" applyFill="1" applyAlignment="1">
      <alignment horizontal="center"/>
    </xf>
    <xf numFmtId="2" fontId="22" fillId="2" borderId="0" xfId="0" applyNumberFormat="1" applyFont="1" applyFill="1" applyAlignment="1">
      <alignment horizontal="center"/>
    </xf>
    <xf numFmtId="169" fontId="2" fillId="2" borderId="8" xfId="18" applyNumberFormat="1" applyFont="1" applyFill="1" applyBorder="1"/>
    <xf numFmtId="0" fontId="9" fillId="3" borderId="5" xfId="0" applyFont="1" applyFill="1" applyBorder="1" applyAlignment="1">
      <alignment horizontal="center" vertical="center"/>
    </xf>
    <xf numFmtId="0" fontId="5" fillId="3" borderId="0" xfId="0" applyFont="1" applyFill="1" applyBorder="1" applyAlignment="1">
      <alignment horizontal="center" vertical="center"/>
    </xf>
    <xf numFmtId="0" fontId="9" fillId="3" borderId="0" xfId="0" applyFont="1" applyFill="1" applyBorder="1" applyAlignment="1">
      <alignment horizontal="center" vertical="center" wrapText="1"/>
    </xf>
    <xf numFmtId="164" fontId="5" fillId="3" borderId="6" xfId="0" applyNumberFormat="1" applyFont="1" applyFill="1" applyBorder="1" applyAlignment="1">
      <alignment horizontal="center" vertical="center"/>
    </xf>
    <xf numFmtId="0" fontId="9"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9" fillId="3" borderId="2" xfId="0" applyFont="1" applyFill="1" applyBorder="1" applyAlignment="1">
      <alignment horizontal="center" vertical="center" wrapText="1"/>
    </xf>
    <xf numFmtId="164" fontId="5" fillId="3" borderId="8" xfId="0" applyNumberFormat="1" applyFont="1" applyFill="1" applyBorder="1" applyAlignment="1">
      <alignment horizontal="center" vertical="center"/>
    </xf>
    <xf numFmtId="49" fontId="9" fillId="2" borderId="5" xfId="0" applyNumberFormat="1" applyFont="1" applyFill="1" applyBorder="1" applyAlignment="1">
      <alignment horizontal="left"/>
    </xf>
    <xf numFmtId="0" fontId="9" fillId="2" borderId="0" xfId="0" applyFont="1" applyFill="1" applyBorder="1" applyAlignment="1">
      <alignment horizontal="right" wrapText="1"/>
    </xf>
    <xf numFmtId="0" fontId="9"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2" xfId="0" applyFont="1" applyFill="1" applyBorder="1" applyAlignment="1">
      <alignment horizontal="center" vertical="center"/>
    </xf>
    <xf numFmtId="0" fontId="9" fillId="3" borderId="2" xfId="0" applyFont="1" applyFill="1" applyBorder="1" applyAlignment="1">
      <alignment horizontal="left" vertical="center" wrapText="1"/>
    </xf>
    <xf numFmtId="1" fontId="9" fillId="2" borderId="0" xfId="0" applyNumberFormat="1" applyFont="1" applyFill="1" applyAlignment="1">
      <alignment horizontal="left"/>
    </xf>
    <xf numFmtId="49" fontId="3" fillId="2" borderId="0" xfId="0" applyNumberFormat="1" applyFont="1" applyFill="1" applyBorder="1" applyAlignment="1">
      <alignment horizontal="center"/>
    </xf>
    <xf numFmtId="164" fontId="5" fillId="2" borderId="5" xfId="0" applyNumberFormat="1" applyFont="1" applyFill="1" applyBorder="1"/>
    <xf numFmtId="164" fontId="3" fillId="2" borderId="5" xfId="0" applyNumberFormat="1" applyFont="1" applyFill="1" applyBorder="1"/>
    <xf numFmtId="49" fontId="33" fillId="2" borderId="0" xfId="0" applyNumberFormat="1" applyFont="1" applyFill="1" applyBorder="1"/>
    <xf numFmtId="164" fontId="21" fillId="2" borderId="5" xfId="0" applyNumberFormat="1" applyFont="1" applyFill="1" applyBorder="1"/>
    <xf numFmtId="164" fontId="5" fillId="2" borderId="5" xfId="0" applyNumberFormat="1" applyFont="1" applyFill="1" applyBorder="1" applyAlignment="1">
      <alignment horizontal="left"/>
    </xf>
    <xf numFmtId="0" fontId="4" fillId="0" borderId="2" xfId="0" applyFont="1" applyFill="1" applyBorder="1" applyAlignment="1">
      <alignment horizontal="left"/>
    </xf>
    <xf numFmtId="0" fontId="8" fillId="2" borderId="0" xfId="0" applyFont="1" applyFill="1" applyBorder="1" applyAlignment="1">
      <alignment horizontal="left"/>
    </xf>
    <xf numFmtId="49" fontId="21" fillId="2" borderId="5" xfId="0" applyNumberFormat="1" applyFont="1" applyFill="1" applyBorder="1"/>
    <xf numFmtId="0" fontId="40" fillId="3" borderId="28" xfId="0" applyFont="1" applyFill="1" applyBorder="1" applyAlignment="1">
      <alignment horizontal="center" vertical="center"/>
    </xf>
    <xf numFmtId="0" fontId="37" fillId="11" borderId="9" xfId="0" applyNumberFormat="1" applyFont="1" applyFill="1" applyBorder="1" applyAlignment="1">
      <alignment horizontal="center" vertical="center"/>
    </xf>
    <xf numFmtId="0" fontId="37" fillId="11" borderId="0" xfId="0" applyFont="1" applyFill="1" applyBorder="1" applyAlignment="1">
      <alignment horizontal="center" vertical="center"/>
    </xf>
    <xf numFmtId="164" fontId="37" fillId="6" borderId="71" xfId="0" applyNumberFormat="1" applyFont="1" applyFill="1" applyBorder="1" applyAlignment="1">
      <alignment horizontal="center" vertical="center"/>
    </xf>
    <xf numFmtId="0" fontId="37" fillId="11" borderId="71" xfId="0" applyFont="1" applyFill="1" applyBorder="1" applyAlignment="1">
      <alignment horizontal="center" vertical="center"/>
    </xf>
    <xf numFmtId="164" fontId="37" fillId="11" borderId="72" xfId="0" applyNumberFormat="1" applyFont="1" applyFill="1" applyBorder="1" applyAlignment="1">
      <alignment horizontal="center" vertical="center"/>
    </xf>
    <xf numFmtId="164" fontId="37" fillId="11" borderId="19" xfId="0" applyNumberFormat="1" applyFont="1" applyFill="1" applyBorder="1" applyAlignment="1">
      <alignment horizontal="center" vertical="center"/>
    </xf>
    <xf numFmtId="176" fontId="5" fillId="2" borderId="0" xfId="0" applyNumberFormat="1" applyFont="1" applyFill="1" applyBorder="1" applyAlignment="1">
      <alignment horizontal="center"/>
    </xf>
    <xf numFmtId="7" fontId="5" fillId="2" borderId="0" xfId="10" applyNumberFormat="1" applyFont="1" applyFill="1" applyBorder="1"/>
    <xf numFmtId="0" fontId="113" fillId="34" borderId="0" xfId="3" applyNumberFormat="1" applyFont="1" applyFill="1" applyAlignment="1">
      <alignment horizontal="centerContinuous"/>
    </xf>
    <xf numFmtId="44" fontId="117" fillId="35" borderId="0" xfId="10" applyFont="1" applyFill="1" applyBorder="1"/>
    <xf numFmtId="0" fontId="118" fillId="35" borderId="6" xfId="3" applyFont="1" applyFill="1" applyBorder="1"/>
    <xf numFmtId="44" fontId="120" fillId="36" borderId="0" xfId="10" applyFont="1" applyFill="1"/>
    <xf numFmtId="0" fontId="3" fillId="36" borderId="0" xfId="3" applyFont="1" applyFill="1"/>
    <xf numFmtId="44" fontId="120" fillId="37" borderId="0" xfId="10" applyFont="1" applyFill="1" applyBorder="1"/>
    <xf numFmtId="0" fontId="3" fillId="37" borderId="6" xfId="3" applyFont="1" applyFill="1" applyBorder="1"/>
    <xf numFmtId="44" fontId="120" fillId="38" borderId="0" xfId="10" applyFont="1" applyFill="1" applyBorder="1"/>
    <xf numFmtId="0" fontId="3" fillId="38" borderId="6" xfId="3" applyFont="1" applyFill="1" applyBorder="1"/>
    <xf numFmtId="44" fontId="117" fillId="39" borderId="0" xfId="10" applyFont="1" applyFill="1"/>
    <xf numFmtId="10" fontId="5" fillId="0" borderId="0" xfId="3" applyNumberFormat="1"/>
    <xf numFmtId="0" fontId="117" fillId="40" borderId="0" xfId="3" applyFont="1" applyFill="1"/>
    <xf numFmtId="0" fontId="123" fillId="41" borderId="0" xfId="3" applyFont="1" applyFill="1" applyAlignment="1">
      <alignment horizontal="center" wrapText="1"/>
    </xf>
    <xf numFmtId="0" fontId="124" fillId="0" borderId="0" xfId="3" applyFont="1" applyFill="1" applyAlignment="1">
      <alignment horizontal="center" wrapText="1"/>
    </xf>
    <xf numFmtId="0" fontId="54" fillId="0" borderId="0" xfId="3" applyFont="1"/>
    <xf numFmtId="0" fontId="3" fillId="34" borderId="0" xfId="3" applyFont="1" applyFill="1" applyAlignment="1">
      <alignment horizontal="centerContinuous"/>
    </xf>
    <xf numFmtId="0" fontId="117" fillId="34" borderId="0" xfId="3" applyFont="1" applyFill="1" applyAlignment="1">
      <alignment horizontal="left" vertical="top"/>
    </xf>
    <xf numFmtId="44" fontId="118" fillId="12" borderId="0" xfId="10" applyFont="1" applyFill="1"/>
    <xf numFmtId="0" fontId="122" fillId="12" borderId="0" xfId="3" applyFont="1" applyFill="1" applyAlignment="1">
      <alignment horizontal="center" wrapText="1"/>
    </xf>
    <xf numFmtId="44" fontId="118" fillId="35" borderId="0" xfId="10" applyFont="1" applyFill="1" applyBorder="1"/>
    <xf numFmtId="0" fontId="117" fillId="35" borderId="6" xfId="3" applyFont="1" applyFill="1" applyBorder="1"/>
    <xf numFmtId="44" fontId="3" fillId="36" borderId="0" xfId="10" applyFont="1" applyFill="1"/>
    <xf numFmtId="0" fontId="120" fillId="36" borderId="0" xfId="3" applyFont="1" applyFill="1"/>
    <xf numFmtId="44" fontId="3" fillId="37" borderId="0" xfId="10" applyFont="1" applyFill="1" applyBorder="1"/>
    <xf numFmtId="0" fontId="120" fillId="37" borderId="6" xfId="3" applyFont="1" applyFill="1" applyBorder="1"/>
    <xf numFmtId="44" fontId="3" fillId="38" borderId="0" xfId="10" applyFont="1" applyFill="1" applyBorder="1"/>
    <xf numFmtId="0" fontId="120" fillId="38" borderId="6" xfId="3" applyFont="1" applyFill="1" applyBorder="1"/>
    <xf numFmtId="44" fontId="3" fillId="42" borderId="0" xfId="10" applyFont="1" applyFill="1"/>
    <xf numFmtId="0" fontId="56" fillId="42" borderId="0" xfId="3" applyFont="1" applyFill="1" applyAlignment="1">
      <alignment horizontal="center" wrapText="1"/>
    </xf>
    <xf numFmtId="0" fontId="120" fillId="0" borderId="0" xfId="3" applyFont="1" applyBorder="1" applyAlignment="1">
      <alignment horizontal="center" vertical="center"/>
    </xf>
    <xf numFmtId="0" fontId="120" fillId="0" borderId="0" xfId="3" applyFont="1" applyBorder="1" applyAlignment="1">
      <alignment horizontal="center" vertical="center" wrapText="1"/>
    </xf>
    <xf numFmtId="44" fontId="120" fillId="0" borderId="0" xfId="10" applyFont="1" applyBorder="1" applyAlignment="1">
      <alignment horizontal="center" vertical="center" wrapText="1"/>
    </xf>
    <xf numFmtId="0" fontId="120" fillId="0" borderId="5" xfId="3" applyFont="1" applyBorder="1" applyAlignment="1">
      <alignment horizontal="center" vertical="center" wrapText="1"/>
    </xf>
    <xf numFmtId="44" fontId="120" fillId="0" borderId="0" xfId="10" applyFont="1" applyBorder="1" applyAlignment="1">
      <alignment horizontal="center" vertical="center"/>
    </xf>
    <xf numFmtId="0" fontId="120" fillId="0" borderId="6" xfId="3" applyFont="1" applyBorder="1" applyAlignment="1">
      <alignment horizontal="center" vertical="center"/>
    </xf>
    <xf numFmtId="0" fontId="9" fillId="0" borderId="0" xfId="3" applyFont="1"/>
    <xf numFmtId="0" fontId="120" fillId="2" borderId="2" xfId="3" applyFont="1" applyFill="1" applyBorder="1" applyAlignment="1">
      <alignment horizontal="centerContinuous" vertical="center"/>
    </xf>
    <xf numFmtId="0" fontId="3" fillId="2" borderId="2" xfId="3" applyFont="1" applyFill="1" applyBorder="1" applyAlignment="1">
      <alignment horizontal="centerContinuous" vertical="center"/>
    </xf>
    <xf numFmtId="44" fontId="3" fillId="2" borderId="2" xfId="10" applyFont="1" applyFill="1" applyBorder="1" applyAlignment="1">
      <alignment horizontal="centerContinuous" vertical="center"/>
    </xf>
    <xf numFmtId="0" fontId="3" fillId="2" borderId="1" xfId="3" applyFont="1" applyFill="1" applyBorder="1" applyAlignment="1">
      <alignment horizontal="centerContinuous" vertical="center"/>
    </xf>
    <xf numFmtId="0" fontId="3" fillId="2" borderId="8" xfId="3" applyFont="1" applyFill="1" applyBorder="1" applyAlignment="1">
      <alignment horizontal="centerContinuous" vertical="center"/>
    </xf>
    <xf numFmtId="44" fontId="3" fillId="0" borderId="0" xfId="3" applyNumberFormat="1" applyFont="1"/>
    <xf numFmtId="0" fontId="128" fillId="0" borderId="0" xfId="3" applyFont="1" applyFill="1"/>
    <xf numFmtId="49" fontId="3" fillId="0" borderId="0" xfId="3" applyNumberFormat="1" applyFont="1" applyFill="1" applyBorder="1" applyAlignment="1">
      <alignment horizontal="left"/>
    </xf>
    <xf numFmtId="49" fontId="3" fillId="0" borderId="0" xfId="3" applyNumberFormat="1" applyFont="1" applyFill="1" applyBorder="1" applyAlignment="1">
      <alignment horizontal="center" vertical="top"/>
    </xf>
    <xf numFmtId="44" fontId="3" fillId="0" borderId="0" xfId="3" applyNumberFormat="1" applyFont="1" applyFill="1" applyBorder="1" applyAlignment="1">
      <alignment horizontal="right"/>
    </xf>
    <xf numFmtId="49" fontId="3" fillId="0" borderId="5" xfId="3" applyNumberFormat="1" applyFont="1" applyBorder="1" applyAlignment="1">
      <alignment horizontal="center" vertical="center"/>
    </xf>
    <xf numFmtId="44" fontId="3" fillId="0" borderId="0" xfId="10" applyFont="1" applyBorder="1" applyAlignment="1">
      <alignment horizontal="center"/>
    </xf>
    <xf numFmtId="49" fontId="3" fillId="0" borderId="6" xfId="3" applyNumberFormat="1" applyFont="1" applyBorder="1" applyAlignment="1">
      <alignment horizontal="left" vertical="center"/>
    </xf>
    <xf numFmtId="49" fontId="3" fillId="0" borderId="0" xfId="3" applyNumberFormat="1" applyFont="1" applyBorder="1" applyAlignment="1">
      <alignment horizontal="center" vertical="center"/>
    </xf>
    <xf numFmtId="44" fontId="3" fillId="0" borderId="0" xfId="10" applyFont="1" applyAlignment="1">
      <alignment horizontal="center"/>
    </xf>
    <xf numFmtId="49" fontId="3" fillId="0" borderId="0" xfId="3" applyNumberFormat="1" applyFont="1" applyBorder="1" applyAlignment="1">
      <alignment horizontal="left" vertical="center"/>
    </xf>
    <xf numFmtId="44" fontId="5" fillId="0" borderId="0" xfId="3" applyNumberFormat="1"/>
    <xf numFmtId="44" fontId="5" fillId="0" borderId="0" xfId="3" applyNumberFormat="1" applyFont="1" applyFill="1" applyBorder="1" applyAlignment="1">
      <alignment horizontal="right"/>
    </xf>
    <xf numFmtId="0" fontId="128" fillId="0" borderId="0" xfId="3" applyFont="1"/>
    <xf numFmtId="0" fontId="9" fillId="0" borderId="0" xfId="3" quotePrefix="1" applyFont="1"/>
    <xf numFmtId="49" fontId="3" fillId="0" borderId="0" xfId="3" applyNumberFormat="1" applyFont="1" applyFill="1" applyBorder="1" applyAlignment="1">
      <alignment horizontal="center" vertical="center"/>
    </xf>
    <xf numFmtId="0" fontId="5" fillId="0" borderId="73" xfId="3" applyBorder="1"/>
    <xf numFmtId="0" fontId="5" fillId="0" borderId="74" xfId="3" applyBorder="1"/>
    <xf numFmtId="0" fontId="129" fillId="0" borderId="74" xfId="3" applyFont="1" applyBorder="1"/>
    <xf numFmtId="0" fontId="5" fillId="0" borderId="75" xfId="3" applyBorder="1"/>
    <xf numFmtId="49" fontId="3" fillId="0" borderId="0" xfId="3" applyNumberFormat="1" applyFont="1" applyFill="1" applyBorder="1" applyAlignment="1">
      <alignment horizontal="left" vertical="center"/>
    </xf>
    <xf numFmtId="44" fontId="3" fillId="0" borderId="0" xfId="10" applyFont="1" applyFill="1" applyAlignment="1">
      <alignment horizontal="center"/>
    </xf>
    <xf numFmtId="44" fontId="3" fillId="0" borderId="0" xfId="10" applyFont="1" applyBorder="1"/>
    <xf numFmtId="44" fontId="3" fillId="0" borderId="0" xfId="10" applyFont="1"/>
    <xf numFmtId="44" fontId="5" fillId="0" borderId="0" xfId="3" applyNumberFormat="1" applyFont="1" applyFill="1"/>
    <xf numFmtId="44" fontId="128" fillId="0" borderId="0" xfId="3" quotePrefix="1" applyNumberFormat="1" applyFont="1" applyFill="1" applyAlignment="1"/>
    <xf numFmtId="0" fontId="5" fillId="0" borderId="15" xfId="3" applyBorder="1"/>
    <xf numFmtId="0" fontId="5" fillId="0" borderId="16" xfId="3" applyBorder="1"/>
    <xf numFmtId="0" fontId="124" fillId="0" borderId="16" xfId="3" applyFont="1" applyBorder="1"/>
    <xf numFmtId="0" fontId="2" fillId="0" borderId="16" xfId="3" applyFont="1" applyBorder="1"/>
    <xf numFmtId="0" fontId="2" fillId="0" borderId="0" xfId="3" applyFont="1" applyBorder="1" applyAlignment="1">
      <alignment horizontal="center"/>
    </xf>
    <xf numFmtId="0" fontId="2" fillId="0" borderId="17" xfId="3" applyFont="1" applyBorder="1" applyAlignment="1">
      <alignment horizontal="center"/>
    </xf>
    <xf numFmtId="0" fontId="3" fillId="0" borderId="0" xfId="3" applyFont="1" applyFill="1" applyBorder="1" applyAlignment="1">
      <alignment horizontal="left" vertical="center"/>
    </xf>
    <xf numFmtId="0" fontId="3" fillId="0" borderId="0" xfId="3" applyFont="1" applyFill="1" applyBorder="1" applyAlignment="1">
      <alignment horizontal="center" vertical="center"/>
    </xf>
    <xf numFmtId="0" fontId="3" fillId="0" borderId="5" xfId="3" applyFont="1" applyBorder="1" applyAlignment="1">
      <alignment horizontal="center" vertical="center"/>
    </xf>
    <xf numFmtId="0" fontId="3" fillId="0" borderId="0" xfId="3" applyFont="1" applyBorder="1" applyAlignment="1">
      <alignment horizontal="center" vertical="center"/>
    </xf>
    <xf numFmtId="0" fontId="5" fillId="0" borderId="18" xfId="3" applyBorder="1"/>
    <xf numFmtId="0" fontId="5" fillId="0" borderId="0" xfId="3" applyBorder="1"/>
    <xf numFmtId="0" fontId="124" fillId="0" borderId="0" xfId="3" applyFont="1" applyBorder="1"/>
    <xf numFmtId="0" fontId="2" fillId="0" borderId="0" xfId="3" applyFont="1" applyBorder="1"/>
    <xf numFmtId="0" fontId="2" fillId="0" borderId="19" xfId="3" applyFont="1" applyBorder="1" applyAlignment="1">
      <alignment horizontal="center"/>
    </xf>
    <xf numFmtId="0" fontId="5" fillId="0" borderId="18" xfId="3" applyBorder="1" applyAlignment="1">
      <alignment horizontal="right"/>
    </xf>
    <xf numFmtId="0" fontId="3" fillId="0" borderId="0" xfId="3" applyFont="1" applyBorder="1" applyAlignment="1">
      <alignment horizontal="center"/>
    </xf>
    <xf numFmtId="0" fontId="3" fillId="0" borderId="0" xfId="3" applyFont="1" applyFill="1" applyBorder="1" applyAlignment="1">
      <alignment horizontal="center"/>
    </xf>
    <xf numFmtId="0" fontId="0" fillId="0" borderId="18" xfId="23" applyNumberFormat="1" applyFont="1" applyBorder="1"/>
    <xf numFmtId="0" fontId="5" fillId="0" borderId="0" xfId="3" applyFont="1" applyBorder="1"/>
    <xf numFmtId="164" fontId="128" fillId="10" borderId="0" xfId="3" applyNumberFormat="1" applyFont="1" applyFill="1" applyBorder="1"/>
    <xf numFmtId="164" fontId="2" fillId="0" borderId="0" xfId="3" applyNumberFormat="1" applyFont="1" applyBorder="1"/>
    <xf numFmtId="164" fontId="124" fillId="0" borderId="19" xfId="3" applyNumberFormat="1" applyFont="1" applyBorder="1"/>
    <xf numFmtId="0" fontId="5" fillId="0" borderId="0" xfId="3" applyNumberFormat="1"/>
    <xf numFmtId="44" fontId="128" fillId="0" borderId="0" xfId="3" applyNumberFormat="1" applyFont="1" applyFill="1" applyAlignment="1"/>
    <xf numFmtId="0" fontId="3" fillId="0" borderId="5" xfId="3" applyFont="1" applyFill="1" applyBorder="1" applyAlignment="1">
      <alignment horizontal="center" vertical="center"/>
    </xf>
    <xf numFmtId="44" fontId="3" fillId="0" borderId="0" xfId="10" applyFont="1" applyFill="1" applyBorder="1"/>
    <xf numFmtId="0" fontId="3" fillId="0" borderId="6" xfId="3" applyFont="1" applyFill="1" applyBorder="1" applyAlignment="1">
      <alignment horizontal="left" vertical="center"/>
    </xf>
    <xf numFmtId="164" fontId="128" fillId="10" borderId="0" xfId="3" applyNumberFormat="1" applyFont="1" applyFill="1" applyBorder="1" applyAlignment="1">
      <alignment horizontal="center"/>
    </xf>
    <xf numFmtId="164" fontId="124" fillId="0" borderId="76" xfId="3" applyNumberFormat="1" applyFont="1" applyBorder="1"/>
    <xf numFmtId="0" fontId="128" fillId="10" borderId="0" xfId="3" applyFont="1" applyFill="1" applyBorder="1"/>
    <xf numFmtId="0" fontId="3" fillId="0" borderId="0" xfId="3" quotePrefix="1" applyFont="1" applyFill="1" applyBorder="1" applyAlignment="1">
      <alignment horizontal="center" vertical="center"/>
    </xf>
    <xf numFmtId="0" fontId="3" fillId="0" borderId="5" xfId="3" quotePrefix="1" applyFont="1" applyBorder="1" applyAlignment="1">
      <alignment horizontal="center" vertical="center"/>
    </xf>
    <xf numFmtId="0" fontId="3" fillId="0" borderId="6" xfId="3" applyFont="1" applyBorder="1" applyAlignment="1">
      <alignment horizontal="left" vertical="center"/>
    </xf>
    <xf numFmtId="0" fontId="3" fillId="0" borderId="0" xfId="3" quotePrefix="1" applyFont="1" applyBorder="1" applyAlignment="1">
      <alignment horizontal="center" vertical="center"/>
    </xf>
    <xf numFmtId="0" fontId="3" fillId="0" borderId="0" xfId="3" applyFont="1" applyBorder="1" applyAlignment="1">
      <alignment horizontal="left" vertical="center"/>
    </xf>
    <xf numFmtId="0" fontId="128" fillId="0" borderId="0" xfId="3" applyFont="1" applyBorder="1"/>
    <xf numFmtId="0" fontId="5" fillId="0" borderId="19" xfId="3" applyBorder="1"/>
    <xf numFmtId="164" fontId="128" fillId="10" borderId="0" xfId="3" applyNumberFormat="1" applyFont="1" applyFill="1" applyBorder="1" applyAlignment="1">
      <alignment horizontal="right"/>
    </xf>
    <xf numFmtId="164" fontId="5" fillId="10" borderId="0" xfId="3" applyNumberFormat="1" applyFill="1" applyBorder="1" applyAlignment="1">
      <alignment horizontal="right"/>
    </xf>
    <xf numFmtId="164" fontId="5" fillId="0" borderId="0" xfId="3" applyNumberFormat="1" applyFont="1" applyBorder="1"/>
    <xf numFmtId="164" fontId="5" fillId="10" borderId="0" xfId="3" applyNumberFormat="1" applyFill="1" applyBorder="1"/>
    <xf numFmtId="0" fontId="5" fillId="0" borderId="52" xfId="3" applyBorder="1"/>
    <xf numFmtId="0" fontId="5" fillId="0" borderId="53" xfId="3" applyBorder="1"/>
    <xf numFmtId="164" fontId="128" fillId="10" borderId="53" xfId="3" applyNumberFormat="1" applyFont="1" applyFill="1" applyBorder="1"/>
    <xf numFmtId="164" fontId="128" fillId="10" borderId="53" xfId="3" applyNumberFormat="1" applyFont="1" applyFill="1" applyBorder="1" applyAlignment="1">
      <alignment horizontal="right"/>
    </xf>
    <xf numFmtId="164" fontId="2" fillId="0" borderId="53" xfId="3" applyNumberFormat="1" applyFont="1" applyBorder="1"/>
    <xf numFmtId="164" fontId="5" fillId="0" borderId="53" xfId="3" applyNumberFormat="1" applyFont="1" applyBorder="1"/>
    <xf numFmtId="0" fontId="5" fillId="0" borderId="54" xfId="3" applyBorder="1"/>
    <xf numFmtId="164" fontId="5" fillId="0" borderId="0" xfId="3" applyNumberFormat="1"/>
    <xf numFmtId="164" fontId="5" fillId="0" borderId="0" xfId="3" quotePrefix="1" applyNumberFormat="1" applyFont="1" applyFill="1" applyBorder="1"/>
    <xf numFmtId="49" fontId="130" fillId="0" borderId="5" xfId="3" applyNumberFormat="1" applyFont="1" applyBorder="1" applyAlignment="1">
      <alignment horizontal="center" vertical="center"/>
    </xf>
    <xf numFmtId="44" fontId="130" fillId="0" borderId="0" xfId="10" applyFont="1" applyBorder="1" applyAlignment="1">
      <alignment horizontal="center"/>
    </xf>
    <xf numFmtId="49" fontId="130" fillId="0" borderId="6" xfId="3" applyNumberFormat="1" applyFont="1" applyBorder="1" applyAlignment="1">
      <alignment horizontal="left" vertical="center"/>
    </xf>
    <xf numFmtId="49" fontId="130" fillId="0" borderId="0" xfId="3" applyNumberFormat="1" applyFont="1" applyBorder="1" applyAlignment="1">
      <alignment horizontal="center" vertical="center"/>
    </xf>
    <xf numFmtId="44" fontId="130" fillId="0" borderId="0" xfId="10" applyFont="1" applyAlignment="1">
      <alignment horizontal="center"/>
    </xf>
    <xf numFmtId="49" fontId="130" fillId="0" borderId="0" xfId="3" applyNumberFormat="1" applyFont="1" applyBorder="1" applyAlignment="1">
      <alignment horizontal="left" vertical="center"/>
    </xf>
    <xf numFmtId="44" fontId="54" fillId="0" borderId="0" xfId="3" applyNumberFormat="1" applyFont="1"/>
    <xf numFmtId="10" fontId="54" fillId="0" borderId="0" xfId="3" applyNumberFormat="1" applyFont="1"/>
    <xf numFmtId="44" fontId="130" fillId="0" borderId="0" xfId="3" applyNumberFormat="1" applyFont="1"/>
    <xf numFmtId="44" fontId="54" fillId="0" borderId="0" xfId="3" applyNumberFormat="1" applyFont="1" applyFill="1"/>
    <xf numFmtId="44" fontId="128" fillId="0" borderId="0" xfId="3" applyNumberFormat="1" applyFont="1" applyFill="1"/>
    <xf numFmtId="44" fontId="3" fillId="43" borderId="0" xfId="10" applyFont="1" applyFill="1" applyBorder="1"/>
    <xf numFmtId="49" fontId="3" fillId="43" borderId="6" xfId="3" applyNumberFormat="1" applyFont="1" applyFill="1" applyBorder="1" applyAlignment="1">
      <alignment horizontal="left" vertical="center"/>
    </xf>
    <xf numFmtId="0" fontId="5" fillId="0" borderId="17" xfId="3" applyBorder="1"/>
    <xf numFmtId="0" fontId="3" fillId="0" borderId="0" xfId="3" applyFont="1" applyFill="1" applyBorder="1" applyAlignment="1">
      <alignment horizontal="left" vertical="center" wrapText="1"/>
    </xf>
    <xf numFmtId="0" fontId="128" fillId="0" borderId="18" xfId="3" applyFont="1" applyBorder="1"/>
    <xf numFmtId="164" fontId="2" fillId="0" borderId="19" xfId="3" applyNumberFormat="1" applyFont="1" applyBorder="1"/>
    <xf numFmtId="0" fontId="3" fillId="0" borderId="0" xfId="3" applyFont="1" applyFill="1"/>
    <xf numFmtId="0" fontId="3" fillId="0" borderId="0" xfId="3" applyFont="1" applyFill="1" applyAlignment="1">
      <alignment horizontal="center"/>
    </xf>
    <xf numFmtId="0" fontId="3" fillId="0" borderId="6" xfId="3" applyFont="1" applyBorder="1" applyAlignment="1">
      <alignment horizontal="left"/>
    </xf>
    <xf numFmtId="0" fontId="3" fillId="0" borderId="0" xfId="3" applyFont="1" applyAlignment="1">
      <alignment horizontal="center"/>
    </xf>
    <xf numFmtId="0" fontId="3" fillId="0" borderId="0" xfId="3" applyFont="1" applyAlignment="1">
      <alignment horizontal="left"/>
    </xf>
    <xf numFmtId="0" fontId="5" fillId="0" borderId="18" xfId="3" applyFont="1" applyFill="1" applyBorder="1"/>
    <xf numFmtId="0" fontId="5" fillId="0" borderId="0" xfId="3" applyFont="1" applyBorder="1" applyAlignment="1">
      <alignment horizontal="right"/>
    </xf>
    <xf numFmtId="164" fontId="5" fillId="0" borderId="0" xfId="3" applyNumberFormat="1" applyBorder="1"/>
    <xf numFmtId="0" fontId="2" fillId="0" borderId="0" xfId="3" applyFont="1" applyAlignment="1">
      <alignment horizontal="center"/>
    </xf>
    <xf numFmtId="164" fontId="128" fillId="0" borderId="0" xfId="3" applyNumberFormat="1" applyFont="1" applyBorder="1"/>
    <xf numFmtId="0" fontId="5" fillId="0" borderId="0" xfId="3" quotePrefix="1"/>
    <xf numFmtId="0" fontId="21" fillId="0" borderId="18" xfId="3" applyFont="1" applyBorder="1"/>
    <xf numFmtId="44" fontId="3" fillId="43" borderId="0" xfId="10" applyFont="1" applyFill="1" applyBorder="1" applyAlignment="1">
      <alignment horizontal="center"/>
    </xf>
    <xf numFmtId="0" fontId="97" fillId="0" borderId="53" xfId="3" applyFont="1" applyBorder="1" applyAlignment="1">
      <alignment horizontal="left"/>
    </xf>
    <xf numFmtId="0" fontId="21" fillId="0" borderId="53" xfId="3" applyFont="1" applyBorder="1"/>
    <xf numFmtId="0" fontId="97" fillId="0" borderId="53" xfId="3" applyFont="1" applyBorder="1"/>
    <xf numFmtId="0" fontId="3" fillId="0" borderId="53" xfId="3" applyFont="1" applyBorder="1"/>
    <xf numFmtId="0" fontId="3" fillId="0" borderId="5" xfId="3" quotePrefix="1" applyFont="1" applyFill="1" applyBorder="1" applyAlignment="1">
      <alignment horizontal="center" vertical="center"/>
    </xf>
    <xf numFmtId="44" fontId="3" fillId="0" borderId="0" xfId="10" applyFont="1" applyFill="1"/>
    <xf numFmtId="0" fontId="5" fillId="0" borderId="0" xfId="3" applyAlignment="1">
      <alignment horizontal="right"/>
    </xf>
    <xf numFmtId="0" fontId="3" fillId="0" borderId="6" xfId="3" applyFont="1" applyBorder="1"/>
    <xf numFmtId="0" fontId="129" fillId="0" borderId="0" xfId="3" applyFont="1"/>
    <xf numFmtId="0" fontId="2" fillId="0" borderId="0" xfId="3" applyFont="1" applyBorder="1" applyAlignment="1">
      <alignment horizontal="right"/>
    </xf>
    <xf numFmtId="0" fontId="2" fillId="0" borderId="19" xfId="3" applyFont="1" applyBorder="1"/>
    <xf numFmtId="0" fontId="5" fillId="0" borderId="0" xfId="3" quotePrefix="1" applyFill="1" applyBorder="1" applyAlignment="1">
      <alignment horizontal="right"/>
    </xf>
    <xf numFmtId="164" fontId="128" fillId="0" borderId="76" xfId="3" applyNumberFormat="1" applyFont="1" applyBorder="1"/>
    <xf numFmtId="49" fontId="3" fillId="0" borderId="5" xfId="3" applyNumberFormat="1" applyFont="1" applyFill="1" applyBorder="1" applyAlignment="1">
      <alignment horizontal="center" vertical="center"/>
    </xf>
    <xf numFmtId="49" fontId="3" fillId="0" borderId="6" xfId="3" applyNumberFormat="1" applyFont="1" applyFill="1" applyBorder="1" applyAlignment="1">
      <alignment horizontal="left" vertical="center"/>
    </xf>
    <xf numFmtId="0" fontId="21" fillId="0" borderId="0" xfId="3" applyFont="1" applyBorder="1"/>
    <xf numFmtId="0" fontId="5" fillId="0" borderId="18" xfId="3" quotePrefix="1" applyFill="1" applyBorder="1" applyAlignment="1">
      <alignment horizontal="right"/>
    </xf>
    <xf numFmtId="0" fontId="5" fillId="0" borderId="0" xfId="3" applyFill="1" applyBorder="1" applyAlignment="1"/>
    <xf numFmtId="0" fontId="5" fillId="0" borderId="0" xfId="3" applyAlignment="1">
      <alignment wrapText="1"/>
    </xf>
    <xf numFmtId="9" fontId="5" fillId="0" borderId="0" xfId="3" applyNumberFormat="1"/>
    <xf numFmtId="17" fontId="5" fillId="0" borderId="52" xfId="3" applyNumberFormat="1" applyBorder="1"/>
    <xf numFmtId="0" fontId="131" fillId="0" borderId="74" xfId="3" applyFont="1" applyBorder="1"/>
    <xf numFmtId="0" fontId="9" fillId="0" borderId="18" xfId="3" applyFont="1" applyBorder="1"/>
    <xf numFmtId="0" fontId="9" fillId="0" borderId="0" xfId="3" applyFont="1" applyBorder="1"/>
    <xf numFmtId="0" fontId="5" fillId="0" borderId="0" xfId="3" applyBorder="1" applyAlignment="1">
      <alignment horizontal="right"/>
    </xf>
    <xf numFmtId="0" fontId="2" fillId="0" borderId="0" xfId="3" applyFont="1" applyBorder="1" applyAlignment="1"/>
    <xf numFmtId="44" fontId="128" fillId="0" borderId="0" xfId="10" applyFont="1" applyFill="1" applyBorder="1"/>
    <xf numFmtId="0" fontId="5" fillId="0" borderId="0" xfId="3" applyFont="1" applyBorder="1" applyAlignment="1">
      <alignment horizontal="center"/>
    </xf>
    <xf numFmtId="44" fontId="128" fillId="10" borderId="0" xfId="10" applyFont="1" applyFill="1" applyBorder="1"/>
    <xf numFmtId="0" fontId="5" fillId="0" borderId="77" xfId="3" applyBorder="1"/>
    <xf numFmtId="0" fontId="5" fillId="0" borderId="78" xfId="3" applyBorder="1"/>
    <xf numFmtId="0" fontId="21" fillId="0" borderId="0" xfId="3" applyFont="1" applyBorder="1" applyAlignment="1">
      <alignment horizontal="center"/>
    </xf>
    <xf numFmtId="44" fontId="128" fillId="10" borderId="0" xfId="10" applyFont="1" applyFill="1" applyBorder="1" applyAlignment="1">
      <alignment horizontal="center"/>
    </xf>
    <xf numFmtId="0" fontId="9" fillId="0" borderId="52" xfId="3" applyFont="1" applyBorder="1"/>
    <xf numFmtId="0" fontId="9" fillId="0" borderId="53" xfId="3" applyFont="1" applyBorder="1"/>
    <xf numFmtId="0" fontId="5" fillId="0" borderId="53" xfId="3" applyFont="1" applyBorder="1" applyAlignment="1">
      <alignment horizontal="right"/>
    </xf>
    <xf numFmtId="0" fontId="5" fillId="0" borderId="53" xfId="3" applyBorder="1" applyAlignment="1">
      <alignment horizontal="center"/>
    </xf>
    <xf numFmtId="44" fontId="128" fillId="10" borderId="53" xfId="10" applyFont="1" applyFill="1" applyBorder="1"/>
    <xf numFmtId="164" fontId="124" fillId="0" borderId="54" xfId="3" applyNumberFormat="1" applyFont="1" applyBorder="1"/>
    <xf numFmtId="0" fontId="5" fillId="0" borderId="0" xfId="3" applyFont="1" applyFill="1" applyBorder="1" applyAlignment="1">
      <alignment horizontal="right"/>
    </xf>
    <xf numFmtId="0" fontId="3" fillId="0" borderId="5" xfId="3" applyFont="1" applyBorder="1" applyAlignment="1">
      <alignment horizontal="center"/>
    </xf>
    <xf numFmtId="42" fontId="3" fillId="43" borderId="0" xfId="10" applyNumberFormat="1" applyFont="1" applyFill="1" applyBorder="1"/>
    <xf numFmtId="44" fontId="3" fillId="43" borderId="0" xfId="10" applyNumberFormat="1" applyFont="1" applyFill="1" applyBorder="1"/>
    <xf numFmtId="44" fontId="3" fillId="0" borderId="0" xfId="10" applyNumberFormat="1" applyFont="1" applyFill="1" applyBorder="1"/>
    <xf numFmtId="0" fontId="130" fillId="0" borderId="5" xfId="3" quotePrefix="1" applyFont="1" applyBorder="1" applyAlignment="1">
      <alignment horizontal="center" vertical="center"/>
    </xf>
    <xf numFmtId="44" fontId="130" fillId="0" borderId="0" xfId="10" applyFont="1" applyBorder="1"/>
    <xf numFmtId="0" fontId="130" fillId="0" borderId="6" xfId="3" applyFont="1" applyBorder="1" applyAlignment="1">
      <alignment horizontal="left" vertical="center"/>
    </xf>
    <xf numFmtId="0" fontId="130" fillId="0" borderId="0" xfId="3" quotePrefix="1" applyFont="1" applyBorder="1" applyAlignment="1">
      <alignment horizontal="center" vertical="center"/>
    </xf>
    <xf numFmtId="44" fontId="130" fillId="0" borderId="0" xfId="10" applyFont="1"/>
    <xf numFmtId="0" fontId="130" fillId="0" borderId="0" xfId="3" applyFont="1" applyBorder="1" applyAlignment="1">
      <alignment horizontal="center" vertical="center"/>
    </xf>
    <xf numFmtId="0" fontId="130" fillId="0" borderId="0" xfId="3" applyFont="1" applyBorder="1" applyAlignment="1">
      <alignment horizontal="left" vertical="center"/>
    </xf>
    <xf numFmtId="44" fontId="3" fillId="0" borderId="0" xfId="10" applyNumberFormat="1" applyFont="1" applyFill="1" applyAlignment="1">
      <alignment horizontal="right"/>
    </xf>
    <xf numFmtId="49" fontId="3" fillId="0" borderId="0" xfId="3" applyNumberFormat="1" applyFont="1" applyFill="1" applyAlignment="1">
      <alignment horizontal="left"/>
    </xf>
    <xf numFmtId="44" fontId="3" fillId="0" borderId="0" xfId="10" applyNumberFormat="1" applyFont="1" applyAlignment="1">
      <alignment horizontal="center"/>
    </xf>
    <xf numFmtId="44" fontId="3" fillId="44" borderId="0" xfId="10" applyFont="1" applyFill="1" applyAlignment="1">
      <alignment horizontal="center"/>
    </xf>
    <xf numFmtId="49" fontId="3" fillId="0" borderId="0" xfId="3" applyNumberFormat="1" applyFont="1" applyFill="1" applyBorder="1" applyAlignment="1">
      <alignment horizontal="center"/>
    </xf>
    <xf numFmtId="0" fontId="3" fillId="0" borderId="0" xfId="3" applyFont="1" applyFill="1" applyAlignment="1">
      <alignment horizontal="left"/>
    </xf>
    <xf numFmtId="44" fontId="3" fillId="0" borderId="0" xfId="10" applyFont="1" applyFill="1" applyBorder="1" applyAlignment="1">
      <alignment horizontal="center"/>
    </xf>
    <xf numFmtId="0" fontId="3" fillId="0" borderId="0" xfId="3" applyFont="1" applyFill="1" applyBorder="1" applyAlignment="1">
      <alignment horizontal="center" vertical="top"/>
    </xf>
    <xf numFmtId="0" fontId="3" fillId="43" borderId="6" xfId="3" applyFont="1" applyFill="1" applyBorder="1" applyAlignment="1">
      <alignment horizontal="left" vertical="center"/>
    </xf>
    <xf numFmtId="0" fontId="130" fillId="0" borderId="5" xfId="3" applyFont="1" applyBorder="1" applyAlignment="1">
      <alignment horizontal="center" vertical="center"/>
    </xf>
    <xf numFmtId="0" fontId="130" fillId="0" borderId="6" xfId="3" applyFont="1" applyBorder="1" applyAlignment="1">
      <alignment horizontal="left"/>
    </xf>
    <xf numFmtId="0" fontId="130" fillId="0" borderId="0" xfId="3" applyFont="1" applyAlignment="1">
      <alignment horizontal="center"/>
    </xf>
    <xf numFmtId="0" fontId="130" fillId="0" borderId="0" xfId="3" applyFont="1" applyAlignment="1">
      <alignment horizontal="left"/>
    </xf>
    <xf numFmtId="44" fontId="5" fillId="0" borderId="0" xfId="3" applyNumberFormat="1" applyFont="1" applyFill="1" applyAlignment="1">
      <alignment horizontal="right"/>
    </xf>
    <xf numFmtId="44" fontId="3" fillId="45" borderId="0" xfId="10" applyFont="1" applyFill="1" applyAlignment="1">
      <alignment horizontal="center"/>
    </xf>
    <xf numFmtId="44" fontId="3" fillId="33" borderId="0" xfId="10" applyFont="1" applyFill="1" applyAlignment="1">
      <alignment horizontal="center"/>
    </xf>
    <xf numFmtId="44" fontId="3" fillId="46" borderId="0" xfId="10" applyFont="1" applyFill="1" applyAlignment="1">
      <alignment horizontal="center"/>
    </xf>
    <xf numFmtId="0" fontId="131" fillId="0" borderId="74" xfId="3" applyFont="1" applyBorder="1" applyAlignment="1">
      <alignment horizontal="center"/>
    </xf>
    <xf numFmtId="0" fontId="2" fillId="0" borderId="17" xfId="3" applyFont="1" applyBorder="1"/>
    <xf numFmtId="0" fontId="120" fillId="0" borderId="0" xfId="3" applyFont="1" applyBorder="1" applyAlignment="1">
      <alignment horizontal="center"/>
    </xf>
    <xf numFmtId="0" fontId="120" fillId="0" borderId="19" xfId="3" applyFont="1" applyBorder="1" applyAlignment="1">
      <alignment horizontal="center"/>
    </xf>
    <xf numFmtId="0" fontId="5" fillId="0" borderId="18" xfId="3" applyFont="1" applyBorder="1"/>
    <xf numFmtId="0" fontId="5" fillId="0" borderId="0" xfId="3" applyNumberFormat="1" applyBorder="1"/>
    <xf numFmtId="164" fontId="5" fillId="0" borderId="19" xfId="3" applyNumberFormat="1" applyBorder="1"/>
    <xf numFmtId="0" fontId="2" fillId="0" borderId="75" xfId="3" applyFont="1" applyBorder="1"/>
    <xf numFmtId="0" fontId="3" fillId="0" borderId="18" xfId="3" applyFont="1" applyFill="1" applyBorder="1" applyAlignment="1">
      <alignment horizontal="left" vertical="center"/>
    </xf>
    <xf numFmtId="44" fontId="0" fillId="0" borderId="0" xfId="10" applyFont="1" applyBorder="1"/>
    <xf numFmtId="44" fontId="2" fillId="0" borderId="19" xfId="3" applyNumberFormat="1" applyFont="1" applyBorder="1"/>
    <xf numFmtId="164" fontId="5" fillId="0" borderId="0" xfId="3" applyNumberFormat="1" applyFont="1" applyBorder="1" applyAlignment="1">
      <alignment horizontal="right"/>
    </xf>
    <xf numFmtId="0" fontId="2" fillId="0" borderId="53" xfId="3" applyFont="1" applyBorder="1" applyAlignment="1">
      <alignment horizontal="center"/>
    </xf>
    <xf numFmtId="44" fontId="2" fillId="0" borderId="54" xfId="3" applyNumberFormat="1" applyFont="1" applyBorder="1"/>
    <xf numFmtId="44" fontId="2" fillId="0" borderId="0" xfId="3" applyNumberFormat="1" applyFont="1" applyBorder="1"/>
    <xf numFmtId="44" fontId="0" fillId="0" borderId="0" xfId="10" applyFont="1"/>
    <xf numFmtId="0" fontId="3" fillId="0" borderId="52" xfId="3" applyFont="1" applyFill="1" applyBorder="1" applyAlignment="1">
      <alignment horizontal="left" vertical="center"/>
    </xf>
    <xf numFmtId="44" fontId="0" fillId="0" borderId="53" xfId="10" applyFont="1" applyBorder="1"/>
    <xf numFmtId="164" fontId="3" fillId="0" borderId="0" xfId="10" applyNumberFormat="1" applyFont="1" applyFill="1" applyAlignment="1">
      <alignment horizontal="center"/>
    </xf>
    <xf numFmtId="44" fontId="5" fillId="0" borderId="0" xfId="10" applyNumberFormat="1" applyFont="1" applyFill="1" applyBorder="1" applyAlignment="1">
      <alignment horizontal="right"/>
    </xf>
    <xf numFmtId="44" fontId="3" fillId="0" borderId="0" xfId="10" applyFont="1" applyFill="1" applyBorder="1" applyAlignment="1">
      <alignment vertical="top"/>
    </xf>
    <xf numFmtId="44" fontId="3" fillId="0" borderId="0" xfId="10" applyFont="1" applyFill="1" applyAlignment="1">
      <alignment vertical="top"/>
    </xf>
    <xf numFmtId="42" fontId="3" fillId="0" borderId="0" xfId="10" applyNumberFormat="1" applyFont="1" applyFill="1" applyBorder="1" applyAlignment="1">
      <alignment vertical="top"/>
    </xf>
    <xf numFmtId="44" fontId="130" fillId="0" borderId="0" xfId="10" applyFont="1" applyFill="1" applyBorder="1" applyAlignment="1">
      <alignment vertical="top"/>
    </xf>
    <xf numFmtId="44" fontId="130" fillId="0" borderId="0" xfId="10" applyFont="1" applyFill="1" applyAlignment="1">
      <alignment vertical="top"/>
    </xf>
    <xf numFmtId="42" fontId="130" fillId="0" borderId="0" xfId="10" applyNumberFormat="1" applyFont="1" applyFill="1" applyBorder="1" applyAlignment="1">
      <alignment vertical="top"/>
    </xf>
    <xf numFmtId="0" fontId="130" fillId="0" borderId="5" xfId="3" applyFont="1" applyFill="1" applyBorder="1" applyAlignment="1">
      <alignment horizontal="center" vertical="center"/>
    </xf>
    <xf numFmtId="0" fontId="130" fillId="0" borderId="6" xfId="3" applyFont="1" applyFill="1" applyBorder="1" applyAlignment="1">
      <alignment horizontal="left" vertical="center"/>
    </xf>
    <xf numFmtId="0" fontId="130" fillId="0" borderId="0" xfId="3" applyFont="1" applyFill="1" applyBorder="1" applyAlignment="1">
      <alignment horizontal="center" vertical="center"/>
    </xf>
    <xf numFmtId="0" fontId="130" fillId="0" borderId="0" xfId="3" applyFont="1" applyFill="1" applyBorder="1" applyAlignment="1">
      <alignment horizontal="left" vertical="center"/>
    </xf>
    <xf numFmtId="0" fontId="54" fillId="0" borderId="0" xfId="3" applyFont="1" applyFill="1"/>
    <xf numFmtId="10" fontId="54" fillId="0" borderId="0" xfId="3" applyNumberFormat="1" applyFont="1" applyFill="1"/>
    <xf numFmtId="49" fontId="3" fillId="0" borderId="0" xfId="3" applyNumberFormat="1" applyFont="1" applyFill="1" applyBorder="1" applyAlignment="1">
      <alignment horizontal="left" vertical="center" wrapText="1"/>
    </xf>
    <xf numFmtId="49" fontId="3" fillId="0" borderId="0" xfId="3" applyNumberFormat="1" applyFont="1" applyFill="1" applyBorder="1" applyAlignment="1">
      <alignment horizontal="center" vertical="center" wrapText="1"/>
    </xf>
    <xf numFmtId="44" fontId="3" fillId="0" borderId="0" xfId="10" applyFont="1" applyFill="1" applyAlignment="1">
      <alignment horizontal="center" wrapText="1"/>
    </xf>
    <xf numFmtId="49" fontId="3" fillId="0" borderId="5" xfId="3" applyNumberFormat="1" applyFont="1" applyBorder="1" applyAlignment="1">
      <alignment horizontal="center" vertical="center" wrapText="1"/>
    </xf>
    <xf numFmtId="44" fontId="3" fillId="0" borderId="0" xfId="10" applyFont="1" applyBorder="1" applyAlignment="1">
      <alignment wrapText="1"/>
    </xf>
    <xf numFmtId="49" fontId="3" fillId="0" borderId="6" xfId="3" applyNumberFormat="1" applyFont="1" applyBorder="1" applyAlignment="1">
      <alignment horizontal="left" vertical="center" wrapText="1"/>
    </xf>
    <xf numFmtId="49" fontId="3" fillId="0" borderId="0" xfId="3" applyNumberFormat="1" applyFont="1" applyBorder="1" applyAlignment="1">
      <alignment horizontal="center" vertical="center" wrapText="1"/>
    </xf>
    <xf numFmtId="44" fontId="3" fillId="0" borderId="0" xfId="10" applyFont="1" applyAlignment="1">
      <alignment wrapText="1"/>
    </xf>
    <xf numFmtId="49" fontId="3" fillId="0" borderId="0" xfId="3" applyNumberFormat="1" applyFont="1" applyBorder="1" applyAlignment="1">
      <alignment horizontal="left" vertical="center" wrapText="1"/>
    </xf>
    <xf numFmtId="44" fontId="5" fillId="0" borderId="0" xfId="3" applyNumberFormat="1" applyAlignment="1">
      <alignment wrapText="1"/>
    </xf>
    <xf numFmtId="10" fontId="5" fillId="0" borderId="0" xfId="3" applyNumberFormat="1" applyAlignment="1">
      <alignment wrapText="1"/>
    </xf>
    <xf numFmtId="44" fontId="3" fillId="0" borderId="0" xfId="3" applyNumberFormat="1" applyFont="1" applyAlignment="1">
      <alignment wrapText="1"/>
    </xf>
    <xf numFmtId="44" fontId="5" fillId="0" borderId="0" xfId="3" applyNumberFormat="1" applyFont="1" applyFill="1" applyAlignment="1">
      <alignment wrapText="1"/>
    </xf>
    <xf numFmtId="44" fontId="128" fillId="0" borderId="0" xfId="3" applyNumberFormat="1" applyFont="1" applyFill="1" applyAlignment="1">
      <alignment wrapText="1"/>
    </xf>
    <xf numFmtId="0" fontId="54" fillId="0" borderId="0" xfId="3" applyFont="1" applyAlignment="1">
      <alignment wrapText="1"/>
    </xf>
    <xf numFmtId="0" fontId="9" fillId="0" borderId="0" xfId="3" applyFont="1" applyAlignment="1">
      <alignment wrapText="1"/>
    </xf>
    <xf numFmtId="49" fontId="130" fillId="0" borderId="5" xfId="3" applyNumberFormat="1" applyFont="1" applyBorder="1" applyAlignment="1">
      <alignment horizontal="center" vertical="center" wrapText="1"/>
    </xf>
    <xf numFmtId="44" fontId="130" fillId="0" borderId="0" xfId="10" applyFont="1" applyBorder="1" applyAlignment="1">
      <alignment wrapText="1"/>
    </xf>
    <xf numFmtId="49" fontId="130" fillId="0" borderId="6" xfId="3" applyNumberFormat="1" applyFont="1" applyBorder="1" applyAlignment="1">
      <alignment horizontal="left" vertical="center" wrapText="1"/>
    </xf>
    <xf numFmtId="49" fontId="130" fillId="0" borderId="0" xfId="3" applyNumberFormat="1" applyFont="1" applyBorder="1" applyAlignment="1">
      <alignment horizontal="center" vertical="center" wrapText="1"/>
    </xf>
    <xf numFmtId="44" fontId="130" fillId="0" borderId="0" xfId="10" applyFont="1" applyAlignment="1">
      <alignment wrapText="1"/>
    </xf>
    <xf numFmtId="49" fontId="130" fillId="0" borderId="0" xfId="3" applyNumberFormat="1" applyFont="1" applyBorder="1" applyAlignment="1">
      <alignment horizontal="left" vertical="center" wrapText="1"/>
    </xf>
    <xf numFmtId="44" fontId="54" fillId="0" borderId="0" xfId="3" applyNumberFormat="1" applyFont="1" applyAlignment="1">
      <alignment wrapText="1"/>
    </xf>
    <xf numFmtId="10" fontId="54" fillId="0" borderId="0" xfId="3" applyNumberFormat="1" applyFont="1" applyAlignment="1">
      <alignment wrapText="1"/>
    </xf>
    <xf numFmtId="44" fontId="130" fillId="0" borderId="0" xfId="3" applyNumberFormat="1" applyFont="1" applyAlignment="1">
      <alignment wrapText="1"/>
    </xf>
    <xf numFmtId="44" fontId="54" fillId="0" borderId="0" xfId="3" applyNumberFormat="1" applyFont="1" applyFill="1" applyAlignment="1">
      <alignment wrapText="1"/>
    </xf>
    <xf numFmtId="0" fontId="54" fillId="0" borderId="0" xfId="3" applyFont="1" applyAlignment="1"/>
    <xf numFmtId="49" fontId="130" fillId="0" borderId="5" xfId="3" applyNumberFormat="1" applyFont="1" applyFill="1" applyBorder="1" applyAlignment="1">
      <alignment horizontal="center" vertical="center" wrapText="1"/>
    </xf>
    <xf numFmtId="44" fontId="130" fillId="0" borderId="0" xfId="10" applyFont="1" applyFill="1" applyBorder="1" applyAlignment="1">
      <alignment wrapText="1"/>
    </xf>
    <xf numFmtId="49" fontId="130" fillId="0" borderId="6" xfId="3" applyNumberFormat="1" applyFont="1" applyFill="1" applyBorder="1" applyAlignment="1">
      <alignment horizontal="left" vertical="center" wrapText="1"/>
    </xf>
    <xf numFmtId="49" fontId="130" fillId="0" borderId="0" xfId="3" applyNumberFormat="1" applyFont="1" applyFill="1" applyBorder="1" applyAlignment="1">
      <alignment horizontal="center" vertical="center" wrapText="1"/>
    </xf>
    <xf numFmtId="44" fontId="130" fillId="0" borderId="0" xfId="10" applyFont="1" applyFill="1" applyAlignment="1">
      <alignment wrapText="1"/>
    </xf>
    <xf numFmtId="49" fontId="130" fillId="0" borderId="0" xfId="3" applyNumberFormat="1" applyFont="1" applyFill="1" applyBorder="1" applyAlignment="1">
      <alignment horizontal="left" vertical="center" wrapText="1"/>
    </xf>
    <xf numFmtId="0" fontId="54" fillId="0" borderId="0" xfId="3" applyFont="1" applyFill="1" applyAlignment="1">
      <alignment wrapText="1"/>
    </xf>
    <xf numFmtId="10" fontId="54" fillId="0" borderId="0" xfId="3" applyNumberFormat="1" applyFont="1" applyFill="1" applyAlignment="1">
      <alignment wrapText="1"/>
    </xf>
    <xf numFmtId="44" fontId="130" fillId="0" borderId="0" xfId="3" applyNumberFormat="1" applyFont="1" applyFill="1" applyAlignment="1">
      <alignment wrapText="1"/>
    </xf>
    <xf numFmtId="0" fontId="128" fillId="0" borderId="0" xfId="3" applyFont="1" applyAlignment="1"/>
    <xf numFmtId="42" fontId="3" fillId="0" borderId="0" xfId="10" applyNumberFormat="1" applyFont="1" applyBorder="1"/>
    <xf numFmtId="49" fontId="3" fillId="0" borderId="6" xfId="3" applyNumberFormat="1" applyFont="1" applyBorder="1" applyAlignment="1">
      <alignment horizontal="left"/>
    </xf>
    <xf numFmtId="49" fontId="3" fillId="0" borderId="0" xfId="3" applyNumberFormat="1" applyFont="1" applyAlignment="1">
      <alignment horizontal="center"/>
    </xf>
    <xf numFmtId="49" fontId="3" fillId="0" borderId="0" xfId="3" applyNumberFormat="1" applyFont="1" applyAlignment="1">
      <alignment horizontal="left"/>
    </xf>
    <xf numFmtId="49" fontId="3" fillId="44" borderId="0" xfId="3" applyNumberFormat="1" applyFont="1" applyFill="1" applyBorder="1" applyAlignment="1">
      <alignment horizontal="left" vertical="center"/>
    </xf>
    <xf numFmtId="49" fontId="3" fillId="44" borderId="0" xfId="3" applyNumberFormat="1" applyFont="1" applyFill="1" applyBorder="1" applyAlignment="1">
      <alignment horizontal="center" vertical="center"/>
    </xf>
    <xf numFmtId="0" fontId="124" fillId="0" borderId="70" xfId="3" applyFont="1" applyBorder="1" applyAlignment="1">
      <alignment horizontal="center"/>
    </xf>
    <xf numFmtId="0" fontId="124" fillId="0" borderId="81" xfId="3" applyFont="1" applyBorder="1" applyAlignment="1">
      <alignment horizontal="center"/>
    </xf>
    <xf numFmtId="0" fontId="3" fillId="44" borderId="0" xfId="3" applyFont="1" applyFill="1" applyAlignment="1">
      <alignment horizontal="left"/>
    </xf>
    <xf numFmtId="44" fontId="3" fillId="44" borderId="0" xfId="10" applyFont="1" applyFill="1"/>
    <xf numFmtId="0" fontId="125" fillId="0" borderId="8" xfId="3" applyFont="1" applyBorder="1" applyAlignment="1">
      <alignment horizontal="center" vertical="center" wrapText="1"/>
    </xf>
    <xf numFmtId="0" fontId="125" fillId="0" borderId="40" xfId="3" applyFont="1" applyBorder="1" applyAlignment="1">
      <alignment horizontal="center" vertical="center" wrapText="1"/>
    </xf>
    <xf numFmtId="0" fontId="3" fillId="44" borderId="0" xfId="3" applyFont="1" applyFill="1" applyBorder="1" applyAlignment="1">
      <alignment horizontal="left" vertical="center"/>
    </xf>
    <xf numFmtId="0" fontId="3" fillId="44" borderId="0" xfId="3" applyFont="1" applyFill="1" applyBorder="1" applyAlignment="1">
      <alignment horizontal="center" vertical="center"/>
    </xf>
    <xf numFmtId="0" fontId="2" fillId="47" borderId="82" xfId="3" applyFont="1" applyFill="1" applyBorder="1"/>
    <xf numFmtId="0" fontId="2" fillId="47" borderId="69" xfId="3" applyFont="1" applyFill="1" applyBorder="1" applyAlignment="1">
      <alignment horizontal="center" vertical="center" wrapText="1"/>
    </xf>
    <xf numFmtId="0" fontId="2" fillId="47" borderId="83" xfId="3" applyFont="1" applyFill="1" applyBorder="1" applyAlignment="1">
      <alignment horizontal="center" vertical="center" wrapText="1"/>
    </xf>
    <xf numFmtId="0" fontId="3" fillId="44" borderId="0" xfId="3" applyFont="1" applyFill="1"/>
    <xf numFmtId="0" fontId="2" fillId="0" borderId="25" xfId="3" applyFont="1" applyBorder="1"/>
    <xf numFmtId="168" fontId="128" fillId="0" borderId="69" xfId="3" applyNumberFormat="1" applyFont="1" applyBorder="1" applyAlignment="1">
      <alignment horizontal="center"/>
    </xf>
    <xf numFmtId="168" fontId="128" fillId="0" borderId="69" xfId="3" applyNumberFormat="1" applyFont="1" applyFill="1" applyBorder="1" applyAlignment="1">
      <alignment horizontal="center" vertical="center"/>
    </xf>
    <xf numFmtId="168" fontId="128" fillId="0" borderId="83" xfId="3" applyNumberFormat="1" applyFont="1" applyBorder="1" applyAlignment="1">
      <alignment horizontal="center" vertical="center"/>
    </xf>
    <xf numFmtId="0" fontId="2" fillId="48" borderId="25" xfId="3" applyFont="1" applyFill="1" applyBorder="1"/>
    <xf numFmtId="168" fontId="124" fillId="48" borderId="84" xfId="3" applyNumberFormat="1" applyFont="1" applyFill="1" applyBorder="1" applyAlignment="1">
      <alignment horizontal="center"/>
    </xf>
    <xf numFmtId="168" fontId="124" fillId="48" borderId="84" xfId="3" applyNumberFormat="1" applyFont="1" applyFill="1" applyBorder="1" applyAlignment="1">
      <alignment horizontal="center" vertical="center"/>
    </xf>
    <xf numFmtId="168" fontId="124" fillId="48" borderId="39" xfId="3" applyNumberFormat="1" applyFont="1" applyFill="1" applyBorder="1" applyAlignment="1">
      <alignment horizontal="center" vertical="center"/>
    </xf>
    <xf numFmtId="168" fontId="124" fillId="48" borderId="69" xfId="3" applyNumberFormat="1" applyFont="1" applyFill="1" applyBorder="1" applyAlignment="1">
      <alignment horizontal="center"/>
    </xf>
    <xf numFmtId="168" fontId="124" fillId="48" borderId="69" xfId="3" applyNumberFormat="1" applyFont="1" applyFill="1" applyBorder="1" applyAlignment="1">
      <alignment horizontal="center" vertical="center"/>
    </xf>
    <xf numFmtId="168" fontId="124" fillId="48" borderId="83" xfId="3" applyNumberFormat="1" applyFont="1" applyFill="1" applyBorder="1" applyAlignment="1">
      <alignment horizontal="center" vertical="center"/>
    </xf>
    <xf numFmtId="168" fontId="124" fillId="48" borderId="13" xfId="3" applyNumberFormat="1" applyFont="1" applyFill="1" applyBorder="1" applyAlignment="1">
      <alignment horizontal="center"/>
    </xf>
    <xf numFmtId="168" fontId="124" fillId="48" borderId="13" xfId="3" applyNumberFormat="1" applyFont="1" applyFill="1" applyBorder="1" applyAlignment="1">
      <alignment horizontal="center" vertical="center"/>
    </xf>
    <xf numFmtId="168" fontId="124" fillId="48" borderId="40" xfId="3" applyNumberFormat="1" applyFont="1" applyFill="1" applyBorder="1" applyAlignment="1">
      <alignment horizontal="center" vertical="center"/>
    </xf>
    <xf numFmtId="0" fontId="2" fillId="47" borderId="25" xfId="3" applyFont="1" applyFill="1" applyBorder="1"/>
    <xf numFmtId="168" fontId="128" fillId="47" borderId="69" xfId="3" applyNumberFormat="1" applyFont="1" applyFill="1" applyBorder="1" applyAlignment="1">
      <alignment horizontal="center"/>
    </xf>
    <xf numFmtId="168" fontId="128" fillId="47" borderId="69" xfId="3" applyNumberFormat="1" applyFont="1" applyFill="1" applyBorder="1" applyAlignment="1">
      <alignment horizontal="center" vertical="center"/>
    </xf>
    <xf numFmtId="168" fontId="128" fillId="47" borderId="83" xfId="3" applyNumberFormat="1" applyFont="1" applyFill="1" applyBorder="1" applyAlignment="1">
      <alignment horizontal="center" vertical="center"/>
    </xf>
    <xf numFmtId="168" fontId="128" fillId="0" borderId="69" xfId="3" applyNumberFormat="1" applyFont="1" applyBorder="1" applyAlignment="1">
      <alignment horizontal="center" vertical="center"/>
    </xf>
    <xf numFmtId="0" fontId="2" fillId="0" borderId="25" xfId="3" applyFont="1" applyFill="1" applyBorder="1"/>
    <xf numFmtId="164" fontId="3" fillId="0" borderId="0" xfId="3" applyNumberFormat="1" applyFont="1" applyFill="1" applyBorder="1" applyAlignment="1">
      <alignment horizontal="center" vertical="center" wrapText="1"/>
    </xf>
    <xf numFmtId="164" fontId="118" fillId="0" borderId="0" xfId="3" applyNumberFormat="1" applyFont="1" applyFill="1" applyBorder="1" applyAlignment="1">
      <alignment horizontal="center" vertical="center" wrapText="1"/>
    </xf>
    <xf numFmtId="0" fontId="118" fillId="0" borderId="0" xfId="3" applyFont="1" applyFill="1" applyBorder="1" applyAlignment="1">
      <alignment horizontal="center" vertical="center" wrapText="1"/>
    </xf>
    <xf numFmtId="0" fontId="5" fillId="0" borderId="0" xfId="3" applyFill="1" applyBorder="1" applyAlignment="1">
      <alignment horizontal="center" vertical="center"/>
    </xf>
    <xf numFmtId="164" fontId="3" fillId="0" borderId="0" xfId="3" applyNumberFormat="1" applyFont="1" applyFill="1" applyBorder="1"/>
    <xf numFmtId="164" fontId="118" fillId="0" borderId="0" xfId="3" applyNumberFormat="1" applyFont="1" applyFill="1" applyBorder="1"/>
    <xf numFmtId="0" fontId="118" fillId="0" borderId="0" xfId="3" applyFont="1" applyFill="1" applyBorder="1" applyAlignment="1">
      <alignment horizontal="center"/>
    </xf>
    <xf numFmtId="0" fontId="3" fillId="33" borderId="0" xfId="3" applyFont="1" applyFill="1" applyAlignment="1">
      <alignment horizontal="left"/>
    </xf>
    <xf numFmtId="168" fontId="128" fillId="0" borderId="83" xfId="3" applyNumberFormat="1" applyFont="1" applyFill="1" applyBorder="1" applyAlignment="1">
      <alignment horizontal="center" vertical="center"/>
    </xf>
    <xf numFmtId="164" fontId="3" fillId="0" borderId="0" xfId="3" applyNumberFormat="1" applyFont="1" applyFill="1" applyBorder="1" applyAlignment="1">
      <alignment horizontal="right"/>
    </xf>
    <xf numFmtId="0" fontId="3" fillId="0" borderId="0" xfId="3" applyFont="1" applyFill="1" applyAlignment="1">
      <alignment horizontal="center" vertical="center"/>
    </xf>
    <xf numFmtId="44" fontId="3" fillId="0" borderId="0" xfId="10" applyFont="1" applyFill="1" applyAlignment="1">
      <alignment horizontal="center" vertical="center"/>
    </xf>
    <xf numFmtId="164" fontId="3" fillId="0" borderId="0" xfId="3" applyNumberFormat="1" applyFont="1" applyFill="1" applyBorder="1" applyAlignment="1">
      <alignment horizontal="center" vertical="center"/>
    </xf>
    <xf numFmtId="164" fontId="118" fillId="0" borderId="0" xfId="3" applyNumberFormat="1" applyFont="1" applyFill="1" applyBorder="1" applyAlignment="1">
      <alignment horizontal="center" vertical="center"/>
    </xf>
    <xf numFmtId="0" fontId="118" fillId="0" borderId="0" xfId="3" applyFont="1" applyFill="1" applyBorder="1" applyAlignment="1">
      <alignment horizontal="center" vertical="center"/>
    </xf>
    <xf numFmtId="0" fontId="5" fillId="0" borderId="0" xfId="3" applyAlignment="1">
      <alignment horizontal="center" vertical="center"/>
    </xf>
    <xf numFmtId="44" fontId="3" fillId="0" borderId="0" xfId="10" applyFont="1" applyAlignment="1">
      <alignment horizontal="center" vertical="center"/>
    </xf>
    <xf numFmtId="0" fontId="3" fillId="0" borderId="0" xfId="3" applyFont="1" applyAlignment="1">
      <alignment horizontal="center" vertical="center"/>
    </xf>
    <xf numFmtId="10" fontId="5" fillId="0" borderId="0" xfId="3" applyNumberFormat="1" applyAlignment="1">
      <alignment horizontal="center" vertical="center"/>
    </xf>
    <xf numFmtId="0" fontId="5" fillId="0" borderId="0" xfId="3" applyFont="1" applyFill="1" applyAlignment="1">
      <alignment horizontal="center" vertical="center"/>
    </xf>
    <xf numFmtId="0" fontId="128" fillId="0" borderId="0" xfId="3" applyFont="1" applyFill="1" applyAlignment="1">
      <alignment horizontal="center" vertical="center"/>
    </xf>
    <xf numFmtId="0" fontId="54" fillId="0" borderId="0" xfId="3" applyFont="1" applyAlignment="1">
      <alignment horizontal="center" vertical="center"/>
    </xf>
    <xf numFmtId="0" fontId="2" fillId="0" borderId="25" xfId="3" applyFont="1" applyFill="1" applyBorder="1" applyAlignment="1">
      <alignment horizontal="center" vertical="center"/>
    </xf>
    <xf numFmtId="0" fontId="0" fillId="44" borderId="0" xfId="0" applyFill="1"/>
    <xf numFmtId="49" fontId="3" fillId="44" borderId="0" xfId="0" applyNumberFormat="1" applyFont="1" applyFill="1" applyBorder="1" applyAlignment="1">
      <alignment horizontal="center" vertical="center"/>
    </xf>
    <xf numFmtId="44" fontId="3" fillId="44" borderId="0" xfId="16" applyFont="1" applyFill="1" applyAlignment="1">
      <alignment horizontal="center"/>
    </xf>
    <xf numFmtId="0" fontId="5" fillId="44" borderId="0" xfId="0" applyFont="1" applyFill="1"/>
    <xf numFmtId="49" fontId="3" fillId="44" borderId="0" xfId="0" applyNumberFormat="1" applyFont="1" applyFill="1" applyBorder="1" applyAlignment="1">
      <alignment horizontal="center" vertical="center" wrapText="1"/>
    </xf>
    <xf numFmtId="0" fontId="3" fillId="0" borderId="0" xfId="3" applyFont="1" applyFill="1" applyBorder="1"/>
    <xf numFmtId="164" fontId="118" fillId="0" borderId="0" xfId="3" applyNumberFormat="1" applyFont="1" applyFill="1" applyBorder="1" applyAlignment="1">
      <alignment horizontal="right"/>
    </xf>
    <xf numFmtId="44" fontId="3" fillId="0" borderId="0" xfId="10" applyNumberFormat="1" applyFont="1" applyFill="1"/>
    <xf numFmtId="0" fontId="2" fillId="43" borderId="25" xfId="3" applyFont="1" applyFill="1" applyBorder="1"/>
    <xf numFmtId="168" fontId="124" fillId="43" borderId="9" xfId="3" applyNumberFormat="1" applyFont="1" applyFill="1" applyBorder="1" applyAlignment="1">
      <alignment horizontal="center"/>
    </xf>
    <xf numFmtId="168" fontId="124" fillId="43" borderId="9" xfId="3" applyNumberFormat="1" applyFont="1" applyFill="1" applyBorder="1" applyAlignment="1">
      <alignment horizontal="center" vertical="center"/>
    </xf>
    <xf numFmtId="168" fontId="124" fillId="43" borderId="26" xfId="3" applyNumberFormat="1" applyFont="1" applyFill="1" applyBorder="1" applyAlignment="1">
      <alignment horizontal="center" vertical="center"/>
    </xf>
    <xf numFmtId="0" fontId="2" fillId="31" borderId="25" xfId="3" applyFont="1" applyFill="1" applyBorder="1"/>
    <xf numFmtId="168" fontId="124" fillId="31" borderId="9" xfId="3" applyNumberFormat="1" applyFont="1" applyFill="1" applyBorder="1" applyAlignment="1">
      <alignment horizontal="center"/>
    </xf>
    <xf numFmtId="168" fontId="124" fillId="31" borderId="9" xfId="3" applyNumberFormat="1" applyFont="1" applyFill="1" applyBorder="1" applyAlignment="1">
      <alignment horizontal="center" vertical="center"/>
    </xf>
    <xf numFmtId="168" fontId="124" fillId="31" borderId="26" xfId="3" applyNumberFormat="1" applyFont="1" applyFill="1" applyBorder="1" applyAlignment="1">
      <alignment horizontal="center" vertical="center"/>
    </xf>
    <xf numFmtId="164" fontId="3" fillId="0" borderId="0" xfId="10" applyNumberFormat="1" applyFont="1" applyFill="1" applyBorder="1" applyAlignment="1">
      <alignment horizontal="right"/>
    </xf>
    <xf numFmtId="0" fontId="5" fillId="0" borderId="0" xfId="3" applyFill="1"/>
    <xf numFmtId="10" fontId="5" fillId="0" borderId="0" xfId="3" applyNumberFormat="1" applyFill="1"/>
    <xf numFmtId="4" fontId="3" fillId="0" borderId="0" xfId="10" applyNumberFormat="1" applyFont="1" applyFill="1" applyAlignment="1">
      <alignment horizontal="center"/>
    </xf>
    <xf numFmtId="164" fontId="3" fillId="0" borderId="0" xfId="3" applyNumberFormat="1" applyFont="1" applyFill="1"/>
    <xf numFmtId="164" fontId="118" fillId="0" borderId="0" xfId="3" applyNumberFormat="1" applyFont="1" applyFill="1"/>
    <xf numFmtId="0" fontId="133" fillId="0" borderId="0" xfId="3" applyFont="1" applyFill="1" applyAlignment="1">
      <alignment horizontal="center"/>
    </xf>
    <xf numFmtId="49" fontId="3" fillId="0" borderId="0" xfId="3" applyNumberFormat="1" applyFont="1" applyFill="1" applyAlignment="1">
      <alignment horizontal="center"/>
    </xf>
    <xf numFmtId="4" fontId="3" fillId="0" borderId="0" xfId="10" quotePrefix="1" applyNumberFormat="1" applyFont="1" applyFill="1" applyAlignment="1">
      <alignment horizontal="center"/>
    </xf>
    <xf numFmtId="0" fontId="2" fillId="0" borderId="27" xfId="3" applyFont="1" applyFill="1" applyBorder="1"/>
    <xf numFmtId="168" fontId="128" fillId="0" borderId="85" xfId="3" applyNumberFormat="1" applyFont="1" applyBorder="1" applyAlignment="1">
      <alignment horizontal="center"/>
    </xf>
    <xf numFmtId="168" fontId="128" fillId="0" borderId="85" xfId="3" applyNumberFormat="1" applyFont="1" applyFill="1" applyBorder="1" applyAlignment="1">
      <alignment horizontal="center" vertical="center"/>
    </xf>
    <xf numFmtId="168" fontId="128" fillId="0" borderId="86" xfId="3" applyNumberFormat="1" applyFont="1" applyFill="1" applyBorder="1" applyAlignment="1">
      <alignment horizontal="center" vertical="center"/>
    </xf>
    <xf numFmtId="0" fontId="128" fillId="0" borderId="0" xfId="3" applyFont="1" applyAlignment="1">
      <alignment horizontal="center"/>
    </xf>
    <xf numFmtId="0" fontId="124" fillId="0" borderId="0" xfId="3" applyFont="1"/>
    <xf numFmtId="0" fontId="124" fillId="0" borderId="0" xfId="3" applyFont="1" applyAlignment="1">
      <alignment horizontal="right"/>
    </xf>
    <xf numFmtId="164" fontId="124" fillId="0" borderId="0" xfId="3" applyNumberFormat="1" applyFont="1"/>
    <xf numFmtId="0" fontId="128" fillId="0" borderId="0" xfId="3" applyFont="1" applyAlignment="1">
      <alignment horizontal="right"/>
    </xf>
    <xf numFmtId="164" fontId="5" fillId="0" borderId="0" xfId="0" applyNumberFormat="1" applyFont="1" applyFill="1" applyBorder="1"/>
    <xf numFmtId="0" fontId="135" fillId="9" borderId="9" xfId="0" applyFont="1" applyFill="1" applyBorder="1" applyProtection="1">
      <protection locked="0"/>
    </xf>
    <xf numFmtId="0" fontId="11" fillId="2" borderId="5" xfId="0" applyFont="1" applyFill="1" applyBorder="1" applyAlignment="1">
      <alignment horizontal="left"/>
    </xf>
    <xf numFmtId="0" fontId="0" fillId="2" borderId="5" xfId="0" applyFill="1" applyBorder="1" applyAlignment="1">
      <alignment horizontal="left"/>
    </xf>
    <xf numFmtId="0" fontId="0" fillId="2" borderId="0" xfId="0" applyFill="1" applyAlignment="1">
      <alignment horizontal="left"/>
    </xf>
    <xf numFmtId="49" fontId="5" fillId="2" borderId="0" xfId="0" applyNumberFormat="1" applyFont="1" applyFill="1" applyBorder="1" applyAlignment="1">
      <alignment horizontal="left"/>
    </xf>
    <xf numFmtId="49" fontId="5" fillId="2" borderId="0" xfId="0" applyNumberFormat="1" applyFont="1" applyFill="1" applyAlignment="1">
      <alignment horizontal="left"/>
    </xf>
    <xf numFmtId="49" fontId="6" fillId="2" borderId="0" xfId="0" applyNumberFormat="1" applyFont="1" applyFill="1" applyBorder="1" applyAlignment="1">
      <alignment horizontal="center"/>
    </xf>
    <xf numFmtId="3" fontId="14" fillId="2" borderId="0" xfId="0" applyNumberFormat="1" applyFont="1" applyFill="1" applyAlignment="1">
      <alignment horizontal="center"/>
    </xf>
    <xf numFmtId="49" fontId="54" fillId="2" borderId="0" xfId="0" applyNumberFormat="1" applyFont="1" applyFill="1" applyBorder="1" applyAlignment="1">
      <alignment horizontal="center"/>
    </xf>
    <xf numFmtId="3" fontId="9" fillId="2" borderId="0" xfId="0" applyNumberFormat="1" applyFont="1" applyFill="1" applyAlignment="1">
      <alignment horizontal="center"/>
    </xf>
    <xf numFmtId="3" fontId="0" fillId="2" borderId="0" xfId="0" applyNumberFormat="1" applyFill="1" applyAlignment="1">
      <alignment horizontal="center"/>
    </xf>
    <xf numFmtId="168" fontId="0" fillId="2" borderId="0" xfId="0" applyNumberFormat="1" applyFill="1" applyAlignment="1">
      <alignment horizontal="center"/>
    </xf>
    <xf numFmtId="3" fontId="35" fillId="2" borderId="0" xfId="0" applyNumberFormat="1" applyFont="1" applyFill="1" applyAlignment="1">
      <alignment horizontal="center"/>
    </xf>
    <xf numFmtId="164" fontId="14" fillId="2" borderId="0" xfId="0" applyNumberFormat="1" applyFont="1" applyFill="1" applyAlignment="1">
      <alignment horizontal="center"/>
    </xf>
    <xf numFmtId="168" fontId="14" fillId="2" borderId="0" xfId="0" applyNumberFormat="1" applyFont="1" applyFill="1" applyAlignment="1">
      <alignment horizontal="center"/>
    </xf>
    <xf numFmtId="0" fontId="0" fillId="2" borderId="0" xfId="0" applyFill="1" applyAlignment="1">
      <alignment horizontal="center"/>
    </xf>
    <xf numFmtId="3" fontId="9" fillId="2" borderId="5" xfId="0" applyNumberFormat="1" applyFont="1" applyFill="1" applyBorder="1"/>
    <xf numFmtId="3" fontId="9" fillId="2" borderId="0" xfId="0" applyNumberFormat="1" applyFont="1" applyFill="1" applyBorder="1" applyAlignment="1">
      <alignment horizontal="center"/>
    </xf>
    <xf numFmtId="49" fontId="9" fillId="2" borderId="0" xfId="0" applyNumberFormat="1" applyFont="1" applyFill="1" applyAlignment="1">
      <alignment horizontal="left"/>
    </xf>
    <xf numFmtId="0" fontId="9" fillId="2" borderId="5" xfId="0" quotePrefix="1" applyFont="1" applyFill="1" applyBorder="1" applyAlignment="1">
      <alignment horizontal="left"/>
    </xf>
    <xf numFmtId="164" fontId="5" fillId="2" borderId="8" xfId="0" applyNumberFormat="1" applyFont="1" applyFill="1" applyBorder="1"/>
    <xf numFmtId="0" fontId="5" fillId="4" borderId="4" xfId="0" applyFont="1" applyFill="1" applyBorder="1" applyAlignment="1">
      <alignment horizontal="center"/>
    </xf>
    <xf numFmtId="164" fontId="5" fillId="4" borderId="6" xfId="0" applyNumberFormat="1" applyFont="1" applyFill="1" applyBorder="1" applyAlignment="1">
      <alignment horizontal="center"/>
    </xf>
    <xf numFmtId="0" fontId="6" fillId="2" borderId="5" xfId="0" applyFont="1" applyFill="1" applyBorder="1"/>
    <xf numFmtId="0" fontId="9" fillId="2" borderId="0" xfId="0" applyFont="1" applyFill="1" applyAlignment="1">
      <alignment horizontal="right"/>
    </xf>
    <xf numFmtId="0" fontId="9" fillId="2" borderId="0" xfId="0" applyFont="1" applyFill="1" applyAlignment="1">
      <alignment horizontal="left"/>
    </xf>
    <xf numFmtId="164" fontId="9" fillId="2" borderId="0" xfId="0" applyNumberFormat="1" applyFont="1" applyFill="1" applyAlignment="1">
      <alignment horizontal="right"/>
    </xf>
    <xf numFmtId="8" fontId="5" fillId="2" borderId="0" xfId="0" applyNumberFormat="1" applyFont="1" applyFill="1" applyBorder="1"/>
    <xf numFmtId="168" fontId="9" fillId="2" borderId="0" xfId="0" applyNumberFormat="1" applyFont="1" applyFill="1" applyBorder="1" applyAlignment="1">
      <alignment horizontal="right" vertical="top"/>
    </xf>
    <xf numFmtId="4" fontId="9" fillId="2" borderId="0" xfId="0" applyNumberFormat="1" applyFont="1" applyFill="1"/>
    <xf numFmtId="164" fontId="0" fillId="2" borderId="0" xfId="0" applyNumberFormat="1" applyFill="1" applyAlignment="1">
      <alignment horizontal="right"/>
    </xf>
    <xf numFmtId="164" fontId="5" fillId="2" borderId="0" xfId="0" applyNumberFormat="1" applyFont="1" applyFill="1"/>
    <xf numFmtId="168" fontId="9" fillId="2" borderId="0" xfId="0" applyNumberFormat="1" applyFont="1" applyFill="1" applyBorder="1" applyAlignment="1">
      <alignment horizontal="center" vertical="top"/>
    </xf>
    <xf numFmtId="4" fontId="35" fillId="2" borderId="0" xfId="0" applyNumberFormat="1" applyFont="1" applyFill="1" applyBorder="1" applyAlignment="1">
      <alignment horizontal="center"/>
    </xf>
    <xf numFmtId="0" fontId="35" fillId="2" borderId="0" xfId="0" applyFont="1" applyFill="1" applyBorder="1" applyAlignment="1">
      <alignment horizontal="center"/>
    </xf>
    <xf numFmtId="0" fontId="5" fillId="2" borderId="0" xfId="0" applyFont="1" applyFill="1" applyBorder="1" applyAlignment="1">
      <alignment horizontal="center" vertical="top"/>
    </xf>
    <xf numFmtId="0" fontId="9" fillId="2" borderId="0" xfId="0" applyFont="1" applyFill="1" applyBorder="1" applyAlignment="1">
      <alignment horizontal="center"/>
    </xf>
    <xf numFmtId="4" fontId="5" fillId="2" borderId="0" xfId="0" quotePrefix="1" applyNumberFormat="1" applyFont="1" applyFill="1" applyBorder="1" applyAlignment="1">
      <alignment horizontal="center"/>
    </xf>
    <xf numFmtId="168" fontId="5" fillId="2" borderId="0" xfId="0" applyNumberFormat="1" applyFont="1" applyFill="1" applyAlignment="1">
      <alignment horizontal="center"/>
    </xf>
    <xf numFmtId="44" fontId="5" fillId="2" borderId="0" xfId="0" applyNumberFormat="1" applyFont="1" applyFill="1" applyBorder="1" applyAlignment="1">
      <alignment horizontal="center"/>
    </xf>
    <xf numFmtId="0" fontId="22" fillId="2" borderId="5" xfId="3" applyFont="1" applyFill="1" applyBorder="1" applyAlignment="1">
      <alignment horizontal="left"/>
    </xf>
    <xf numFmtId="0" fontId="22" fillId="2" borderId="0" xfId="3" applyFont="1" applyFill="1" applyBorder="1" applyAlignment="1">
      <alignment horizontal="left"/>
    </xf>
    <xf numFmtId="0" fontId="5" fillId="2" borderId="5" xfId="3" quotePrefix="1" applyFont="1" applyFill="1" applyBorder="1"/>
    <xf numFmtId="0" fontId="9" fillId="2" borderId="5" xfId="3" quotePrefix="1" applyFont="1" applyFill="1" applyBorder="1"/>
    <xf numFmtId="164" fontId="9" fillId="2" borderId="0" xfId="3" applyNumberFormat="1" applyFont="1" applyFill="1"/>
    <xf numFmtId="4" fontId="5" fillId="2" borderId="0" xfId="3" applyNumberFormat="1" applyFont="1" applyFill="1" applyBorder="1"/>
    <xf numFmtId="49" fontId="22" fillId="2" borderId="0" xfId="3" applyNumberFormat="1" applyFont="1" applyFill="1" applyAlignment="1">
      <alignment horizontal="center"/>
    </xf>
    <xf numFmtId="0" fontId="73" fillId="2" borderId="0" xfId="3" applyFont="1" applyFill="1" applyBorder="1"/>
    <xf numFmtId="2" fontId="5" fillId="2" borderId="5" xfId="3" applyNumberFormat="1" applyFont="1" applyFill="1" applyBorder="1" applyAlignment="1">
      <alignment horizontal="left"/>
    </xf>
    <xf numFmtId="2" fontId="97" fillId="2" borderId="5" xfId="3" applyNumberFormat="1" applyFont="1" applyFill="1" applyBorder="1" applyAlignment="1">
      <alignment horizontal="left"/>
    </xf>
    <xf numFmtId="0" fontId="9" fillId="3" borderId="0" xfId="3" applyFont="1" applyFill="1" applyBorder="1" applyAlignment="1">
      <alignment horizontal="left" vertical="center" wrapText="1"/>
    </xf>
    <xf numFmtId="0" fontId="9" fillId="3" borderId="2" xfId="3" applyFont="1" applyFill="1" applyBorder="1" applyAlignment="1">
      <alignment horizontal="left" vertical="center" wrapText="1"/>
    </xf>
    <xf numFmtId="0" fontId="5" fillId="2" borderId="0" xfId="3" applyFill="1"/>
    <xf numFmtId="1" fontId="9" fillId="2" borderId="0" xfId="3" applyNumberFormat="1" applyFont="1" applyFill="1" applyAlignment="1">
      <alignment horizontal="left"/>
    </xf>
    <xf numFmtId="49" fontId="33" fillId="2" borderId="5" xfId="3" applyNumberFormat="1" applyFont="1" applyFill="1" applyBorder="1"/>
    <xf numFmtId="49" fontId="3" fillId="2" borderId="0" xfId="3" applyNumberFormat="1" applyFont="1" applyFill="1" applyBorder="1" applyAlignment="1">
      <alignment horizontal="center"/>
    </xf>
    <xf numFmtId="164" fontId="5" fillId="2" borderId="5" xfId="3" applyNumberFormat="1" applyFont="1" applyFill="1" applyBorder="1"/>
    <xf numFmtId="164" fontId="3" fillId="2" borderId="5" xfId="3" applyNumberFormat="1" applyFont="1" applyFill="1" applyBorder="1"/>
    <xf numFmtId="49" fontId="33" fillId="2" borderId="0" xfId="3" applyNumberFormat="1" applyFont="1" applyFill="1" applyBorder="1"/>
    <xf numFmtId="164" fontId="21" fillId="2" borderId="5" xfId="3" applyNumberFormat="1" applyFont="1" applyFill="1" applyBorder="1"/>
    <xf numFmtId="49" fontId="3" fillId="2" borderId="5" xfId="3" applyNumberFormat="1" applyFont="1" applyFill="1" applyBorder="1"/>
    <xf numFmtId="0" fontId="33" fillId="2" borderId="5" xfId="3" applyFont="1" applyFill="1" applyBorder="1"/>
    <xf numFmtId="2" fontId="3" fillId="2" borderId="5" xfId="3" applyNumberFormat="1" applyFont="1" applyFill="1" applyBorder="1" applyAlignment="1">
      <alignment horizontal="left"/>
    </xf>
    <xf numFmtId="164" fontId="5" fillId="2" borderId="5" xfId="3" applyNumberFormat="1" applyFont="1" applyFill="1" applyBorder="1" applyAlignment="1">
      <alignment horizontal="left"/>
    </xf>
    <xf numFmtId="0" fontId="28" fillId="9" borderId="9" xfId="3" applyFont="1" applyFill="1" applyBorder="1" applyProtection="1">
      <protection locked="0"/>
    </xf>
    <xf numFmtId="0" fontId="28" fillId="0" borderId="0" xfId="3" applyFont="1" applyFill="1" applyBorder="1" applyProtection="1">
      <protection locked="0"/>
    </xf>
    <xf numFmtId="0" fontId="28" fillId="0" borderId="0" xfId="3" applyFont="1" applyFill="1" applyBorder="1" applyAlignment="1" applyProtection="1">
      <alignment horizontal="center"/>
      <protection locked="0"/>
    </xf>
    <xf numFmtId="0" fontId="28" fillId="0" borderId="0" xfId="3" applyFont="1" applyFill="1" applyProtection="1">
      <protection locked="0"/>
    </xf>
    <xf numFmtId="0" fontId="28" fillId="9" borderId="9" xfId="3" applyFont="1" applyFill="1" applyBorder="1" applyAlignment="1" applyProtection="1">
      <alignment horizontal="left"/>
      <protection locked="0"/>
    </xf>
    <xf numFmtId="0" fontId="28" fillId="9" borderId="9" xfId="3" applyFont="1" applyFill="1" applyBorder="1" applyAlignment="1" applyProtection="1">
      <protection locked="0"/>
    </xf>
    <xf numFmtId="0" fontId="28" fillId="0" borderId="0" xfId="3" applyFont="1" applyFill="1" applyBorder="1" applyAlignment="1" applyProtection="1">
      <protection locked="0"/>
    </xf>
    <xf numFmtId="0" fontId="5" fillId="0" borderId="3" xfId="3" applyFont="1" applyFill="1" applyBorder="1"/>
    <xf numFmtId="0" fontId="30" fillId="0" borderId="9" xfId="3" applyFont="1" applyFill="1" applyBorder="1" applyAlignment="1" applyProtection="1">
      <alignment horizontal="left" vertical="center"/>
    </xf>
    <xf numFmtId="0" fontId="30" fillId="0" borderId="9" xfId="3" applyFont="1" applyFill="1" applyBorder="1" applyAlignment="1" applyProtection="1">
      <alignment vertical="center"/>
    </xf>
    <xf numFmtId="171" fontId="30" fillId="0" borderId="9" xfId="3" applyNumberFormat="1" applyFont="1" applyFill="1" applyBorder="1" applyAlignment="1" applyProtection="1">
      <alignment horizontal="right" vertical="center"/>
    </xf>
    <xf numFmtId="0" fontId="28" fillId="9" borderId="9" xfId="3" applyFont="1" applyFill="1" applyBorder="1" applyAlignment="1">
      <alignment horizontal="left"/>
    </xf>
    <xf numFmtId="0" fontId="28" fillId="9" borderId="9" xfId="3" applyFont="1" applyFill="1" applyBorder="1"/>
    <xf numFmtId="164" fontId="28" fillId="9" borderId="9" xfId="3" applyNumberFormat="1" applyFont="1" applyFill="1" applyBorder="1"/>
    <xf numFmtId="6" fontId="28" fillId="9" borderId="9" xfId="3" applyNumberFormat="1" applyFont="1" applyFill="1" applyBorder="1"/>
    <xf numFmtId="0" fontId="30" fillId="0" borderId="9" xfId="3" applyFont="1" applyBorder="1" applyAlignment="1">
      <alignment horizontal="left"/>
    </xf>
    <xf numFmtId="0" fontId="30" fillId="0" borderId="9" xfId="3" applyFont="1" applyBorder="1"/>
    <xf numFmtId="2" fontId="30" fillId="0" borderId="9" xfId="3" applyNumberFormat="1" applyFont="1" applyBorder="1"/>
    <xf numFmtId="170" fontId="30" fillId="9" borderId="9" xfId="2" applyNumberFormat="1" applyFont="1" applyFill="1" applyBorder="1"/>
    <xf numFmtId="0" fontId="31" fillId="0" borderId="9" xfId="3" applyFont="1" applyFill="1" applyBorder="1" applyAlignment="1" applyProtection="1">
      <alignment horizontal="left" vertical="center"/>
    </xf>
    <xf numFmtId="0" fontId="31" fillId="0" borderId="9" xfId="3" applyFont="1" applyFill="1" applyBorder="1" applyAlignment="1" applyProtection="1">
      <alignment vertical="center"/>
    </xf>
    <xf numFmtId="171" fontId="31" fillId="0" borderId="9" xfId="3" applyNumberFormat="1" applyFont="1" applyFill="1" applyBorder="1" applyAlignment="1" applyProtection="1">
      <alignment horizontal="right" vertical="center"/>
    </xf>
    <xf numFmtId="0" fontId="102" fillId="9" borderId="9" xfId="3" applyFont="1" applyFill="1" applyBorder="1" applyAlignment="1">
      <alignment horizontal="left"/>
    </xf>
    <xf numFmtId="0" fontId="102" fillId="9" borderId="9" xfId="3" applyFont="1" applyFill="1" applyBorder="1"/>
    <xf numFmtId="164" fontId="102" fillId="9" borderId="9" xfId="3" applyNumberFormat="1" applyFont="1" applyFill="1" applyBorder="1"/>
    <xf numFmtId="170" fontId="102" fillId="9" borderId="9" xfId="2" applyNumberFormat="1" applyFont="1" applyFill="1" applyBorder="1"/>
    <xf numFmtId="9" fontId="28" fillId="9" borderId="9" xfId="3" applyNumberFormat="1" applyFont="1" applyFill="1" applyBorder="1"/>
    <xf numFmtId="170" fontId="136" fillId="9" borderId="9" xfId="2" applyNumberFormat="1" applyFont="1" applyFill="1" applyBorder="1"/>
    <xf numFmtId="164" fontId="30" fillId="9" borderId="9" xfId="3" applyNumberFormat="1" applyFont="1" applyFill="1" applyBorder="1"/>
    <xf numFmtId="0" fontId="22" fillId="2" borderId="5" xfId="0" applyFont="1" applyFill="1" applyBorder="1" applyAlignment="1">
      <alignment horizontal="left" wrapText="1"/>
    </xf>
    <xf numFmtId="0" fontId="22" fillId="2" borderId="0" xfId="0" applyFont="1" applyFill="1" applyBorder="1" applyAlignment="1">
      <alignment horizontal="left" wrapText="1"/>
    </xf>
    <xf numFmtId="0" fontId="22" fillId="2" borderId="6" xfId="0" applyFont="1" applyFill="1" applyBorder="1" applyAlignment="1">
      <alignment horizontal="left" wrapText="1"/>
    </xf>
    <xf numFmtId="0" fontId="5" fillId="2" borderId="5" xfId="0" applyFont="1" applyFill="1" applyBorder="1" applyAlignment="1">
      <alignment horizontal="left"/>
    </xf>
    <xf numFmtId="0" fontId="5" fillId="2" borderId="0" xfId="0" applyFont="1" applyFill="1" applyBorder="1" applyAlignment="1">
      <alignment horizontal="left"/>
    </xf>
    <xf numFmtId="44" fontId="15" fillId="7" borderId="9" xfId="10" applyFont="1" applyFill="1" applyBorder="1" applyAlignment="1">
      <alignment horizontal="left"/>
    </xf>
    <xf numFmtId="0" fontId="106" fillId="9" borderId="9" xfId="0" applyFont="1" applyFill="1" applyBorder="1" applyAlignment="1">
      <alignment horizontal="left" vertical="center"/>
    </xf>
    <xf numFmtId="0" fontId="102" fillId="9" borderId="9" xfId="0" applyFont="1" applyFill="1" applyBorder="1" applyAlignment="1">
      <alignment horizontal="left" vertical="center" wrapText="1"/>
    </xf>
    <xf numFmtId="44" fontId="15" fillId="7" borderId="9" xfId="10" applyFont="1" applyFill="1" applyBorder="1" applyAlignment="1"/>
    <xf numFmtId="0" fontId="106" fillId="49" borderId="9" xfId="0" applyFont="1" applyFill="1" applyBorder="1" applyAlignment="1">
      <alignment horizontal="left" vertical="center"/>
    </xf>
    <xf numFmtId="0" fontId="102" fillId="49" borderId="12" xfId="0" applyFont="1" applyFill="1" applyBorder="1" applyAlignment="1">
      <alignment horizontal="left" vertical="center"/>
    </xf>
    <xf numFmtId="0" fontId="106" fillId="49" borderId="12" xfId="0" applyFont="1" applyFill="1" applyBorder="1" applyAlignment="1">
      <alignment horizontal="left" vertical="center"/>
    </xf>
    <xf numFmtId="0" fontId="121" fillId="38" borderId="5" xfId="3" applyFont="1" applyFill="1" applyBorder="1" applyAlignment="1">
      <alignment horizontal="center" vertical="center"/>
    </xf>
    <xf numFmtId="0" fontId="114" fillId="12" borderId="5" xfId="3" applyFont="1" applyFill="1" applyBorder="1" applyAlignment="1">
      <alignment horizontal="center" vertical="center"/>
    </xf>
    <xf numFmtId="44" fontId="115" fillId="12" borderId="0" xfId="10" applyFont="1" applyFill="1" applyAlignment="1">
      <alignment horizontal="left" wrapText="1"/>
    </xf>
    <xf numFmtId="0" fontId="116" fillId="12" borderId="6" xfId="3" applyFont="1" applyFill="1" applyBorder="1" applyAlignment="1"/>
    <xf numFmtId="0" fontId="116" fillId="12" borderId="0" xfId="3" applyFont="1" applyFill="1" applyAlignment="1"/>
    <xf numFmtId="0" fontId="114" fillId="35" borderId="5" xfId="3" applyFont="1" applyFill="1" applyBorder="1" applyAlignment="1">
      <alignment horizontal="center" vertical="center"/>
    </xf>
    <xf numFmtId="0" fontId="119" fillId="36" borderId="0" xfId="3" applyFont="1" applyFill="1" applyAlignment="1">
      <alignment horizontal="center" vertical="center"/>
    </xf>
    <xf numFmtId="0" fontId="119" fillId="37" borderId="5" xfId="3" applyFont="1" applyFill="1" applyBorder="1" applyAlignment="1">
      <alignment horizontal="center" vertical="center"/>
    </xf>
    <xf numFmtId="0" fontId="5" fillId="0" borderId="0" xfId="3" applyAlignment="1">
      <alignment horizontal="center" vertical="center" wrapText="1"/>
    </xf>
    <xf numFmtId="0" fontId="122" fillId="39" borderId="0" xfId="3" applyFont="1" applyFill="1" applyAlignment="1">
      <alignment horizontal="center" wrapText="1"/>
    </xf>
    <xf numFmtId="0" fontId="123" fillId="39" borderId="0" xfId="3" applyFont="1" applyFill="1" applyAlignment="1">
      <alignment horizontal="center" wrapText="1"/>
    </xf>
    <xf numFmtId="0" fontId="119" fillId="42" borderId="5" xfId="3" applyFont="1" applyFill="1" applyBorder="1" applyAlignment="1">
      <alignment horizontal="center" vertical="center"/>
    </xf>
    <xf numFmtId="44" fontId="116" fillId="42" borderId="0" xfId="10" applyFont="1" applyFill="1" applyAlignment="1">
      <alignment horizontal="left" wrapText="1"/>
    </xf>
    <xf numFmtId="0" fontId="116" fillId="42" borderId="6" xfId="3" applyFont="1" applyFill="1" applyBorder="1" applyAlignment="1"/>
    <xf numFmtId="0" fontId="116" fillId="42" borderId="0" xfId="3" applyFont="1" applyFill="1" applyAlignment="1"/>
    <xf numFmtId="0" fontId="122" fillId="40" borderId="0" xfId="3" applyFont="1" applyFill="1" applyAlignment="1">
      <alignment horizontal="center" wrapText="1"/>
    </xf>
    <xf numFmtId="0" fontId="5" fillId="0" borderId="0" xfId="3" applyAlignment="1">
      <alignment horizontal="center"/>
    </xf>
    <xf numFmtId="0" fontId="122" fillId="41" borderId="0" xfId="3" applyFont="1" applyFill="1" applyAlignment="1">
      <alignment horizontal="center" wrapText="1"/>
    </xf>
    <xf numFmtId="0" fontId="5" fillId="0" borderId="0" xfId="3" applyAlignment="1">
      <alignment horizontal="center" wrapText="1"/>
    </xf>
    <xf numFmtId="0" fontId="125" fillId="0" borderId="0" xfId="3" applyFont="1" applyAlignment="1">
      <alignment wrapText="1"/>
    </xf>
    <xf numFmtId="0" fontId="128" fillId="0" borderId="0" xfId="3" applyFont="1" applyAlignment="1">
      <alignment wrapText="1"/>
    </xf>
    <xf numFmtId="0" fontId="126" fillId="0" borderId="0" xfId="3" applyFont="1" applyAlignment="1">
      <alignment wrapText="1"/>
    </xf>
    <xf numFmtId="0" fontId="5" fillId="0" borderId="0" xfId="3" applyAlignment="1">
      <alignment wrapText="1"/>
    </xf>
    <xf numFmtId="0" fontId="110" fillId="0" borderId="0" xfId="3" applyFont="1" applyAlignment="1">
      <alignment wrapText="1"/>
    </xf>
    <xf numFmtId="0" fontId="5" fillId="0" borderId="0" xfId="3" applyAlignment="1"/>
    <xf numFmtId="0" fontId="120" fillId="0" borderId="16" xfId="3" applyFont="1" applyBorder="1" applyAlignment="1">
      <alignment wrapText="1"/>
    </xf>
    <xf numFmtId="49" fontId="3" fillId="0" borderId="6" xfId="3" applyNumberFormat="1" applyFont="1" applyFill="1" applyBorder="1" applyAlignment="1">
      <alignment horizontal="left" vertical="center" wrapText="1"/>
    </xf>
    <xf numFmtId="0" fontId="124" fillId="0" borderId="79" xfId="3" applyFont="1" applyBorder="1" applyAlignment="1">
      <alignment horizontal="center" vertical="center"/>
    </xf>
    <xf numFmtId="0" fontId="124" fillId="0" borderId="82" xfId="3" applyFont="1" applyBorder="1" applyAlignment="1">
      <alignment horizontal="center" vertical="center"/>
    </xf>
    <xf numFmtId="0" fontId="124" fillId="0" borderId="80" xfId="3" applyFont="1" applyBorder="1" applyAlignment="1">
      <alignment horizontal="center" vertical="center" wrapText="1"/>
    </xf>
    <xf numFmtId="0" fontId="124" fillId="0" borderId="13" xfId="3" applyFont="1" applyBorder="1" applyAlignment="1">
      <alignment horizontal="center" vertical="center" wrapText="1"/>
    </xf>
    <xf numFmtId="0" fontId="9" fillId="2" borderId="5" xfId="0" applyFont="1" applyFill="1" applyBorder="1" applyAlignment="1">
      <alignment horizontal="left" wrapText="1"/>
    </xf>
    <xf numFmtId="0" fontId="0" fillId="0" borderId="0" xfId="0" applyAlignment="1">
      <alignment wrapText="1"/>
    </xf>
    <xf numFmtId="0" fontId="0" fillId="0" borderId="6" xfId="0" applyBorder="1" applyAlignment="1">
      <alignment wrapText="1"/>
    </xf>
    <xf numFmtId="0" fontId="20" fillId="2" borderId="5" xfId="0" applyFont="1" applyFill="1" applyBorder="1" applyAlignment="1" applyProtection="1">
      <alignment horizontal="right"/>
    </xf>
    <xf numFmtId="0" fontId="21" fillId="0" borderId="0" xfId="0" applyFont="1" applyAlignment="1">
      <alignment horizontal="right"/>
    </xf>
    <xf numFmtId="0" fontId="20" fillId="2" borderId="5" xfId="0" applyFont="1" applyFill="1" applyBorder="1" applyAlignment="1" applyProtection="1">
      <alignment horizontal="right" wrapText="1"/>
    </xf>
    <xf numFmtId="0" fontId="21" fillId="0" borderId="0" xfId="0" applyFont="1" applyAlignment="1">
      <alignment horizontal="right" wrapText="1"/>
    </xf>
    <xf numFmtId="0" fontId="3" fillId="2" borderId="5" xfId="0" applyFont="1" applyFill="1" applyBorder="1" applyAlignment="1">
      <alignment horizontal="right"/>
    </xf>
    <xf numFmtId="0" fontId="0" fillId="0" borderId="0" xfId="0" applyAlignment="1"/>
    <xf numFmtId="0" fontId="0" fillId="0" borderId="0" xfId="0" applyBorder="1" applyAlignment="1">
      <alignment wrapText="1"/>
    </xf>
    <xf numFmtId="0" fontId="3" fillId="0" borderId="0" xfId="0" applyFont="1" applyAlignment="1">
      <alignment horizontal="right"/>
    </xf>
    <xf numFmtId="0" fontId="11" fillId="2" borderId="0" xfId="0" applyFont="1" applyFill="1" applyBorder="1" applyAlignment="1">
      <alignment horizontal="left" wrapText="1"/>
    </xf>
    <xf numFmtId="0" fontId="5" fillId="0" borderId="0" xfId="0" applyFont="1" applyAlignment="1">
      <alignment wrapText="1"/>
    </xf>
    <xf numFmtId="0" fontId="12" fillId="2" borderId="9" xfId="0" applyFont="1" applyFill="1" applyBorder="1" applyAlignment="1">
      <alignment vertical="top" wrapText="1"/>
    </xf>
    <xf numFmtId="0" fontId="3" fillId="0" borderId="9" xfId="0" applyFont="1" applyBorder="1" applyAlignment="1">
      <alignment vertical="top" wrapText="1"/>
    </xf>
    <xf numFmtId="0" fontId="9" fillId="2" borderId="0" xfId="0" applyFont="1" applyFill="1" applyBorder="1" applyAlignment="1">
      <alignment wrapText="1"/>
    </xf>
    <xf numFmtId="0" fontId="5" fillId="2" borderId="5" xfId="0" applyFont="1" applyFill="1" applyBorder="1" applyAlignment="1">
      <alignment horizontal="left" wrapText="1"/>
    </xf>
    <xf numFmtId="0" fontId="5" fillId="2" borderId="0" xfId="0" applyFont="1" applyFill="1" applyBorder="1" applyAlignment="1">
      <alignment horizontal="left" wrapText="1"/>
    </xf>
    <xf numFmtId="0" fontId="5" fillId="0" borderId="5" xfId="0" applyFont="1" applyBorder="1" applyAlignment="1">
      <alignment horizontal="left" wrapText="1"/>
    </xf>
    <xf numFmtId="0" fontId="5" fillId="0" borderId="0" xfId="0" applyFont="1" applyBorder="1" applyAlignment="1">
      <alignment horizontal="left" wrapText="1"/>
    </xf>
    <xf numFmtId="0" fontId="5" fillId="0" borderId="6" xfId="0" applyFont="1" applyBorder="1" applyAlignment="1">
      <alignment horizontal="left" wrapText="1"/>
    </xf>
    <xf numFmtId="0" fontId="12" fillId="2" borderId="9" xfId="3" applyFont="1" applyFill="1" applyBorder="1" applyAlignment="1">
      <alignment vertical="top" wrapText="1"/>
    </xf>
    <xf numFmtId="0" fontId="3" fillId="0" borderId="9" xfId="3" applyFont="1" applyBorder="1" applyAlignment="1">
      <alignment vertical="top" wrapText="1"/>
    </xf>
    <xf numFmtId="0" fontId="11" fillId="2" borderId="0" xfId="3" applyFont="1" applyFill="1" applyBorder="1" applyAlignment="1">
      <alignment horizontal="left" wrapText="1"/>
    </xf>
    <xf numFmtId="0" fontId="5" fillId="0" borderId="0" xfId="3" applyFont="1" applyAlignment="1">
      <alignment wrapText="1"/>
    </xf>
    <xf numFmtId="0" fontId="9" fillId="2" borderId="0" xfId="3" applyFont="1" applyFill="1" applyBorder="1" applyAlignment="1">
      <alignment wrapText="1"/>
    </xf>
    <xf numFmtId="0" fontId="5" fillId="0" borderId="0" xfId="3" applyBorder="1" applyAlignment="1">
      <alignment wrapText="1"/>
    </xf>
    <xf numFmtId="0" fontId="5" fillId="2" borderId="5" xfId="3" applyFont="1" applyFill="1" applyBorder="1" applyAlignment="1">
      <alignment horizontal="left" wrapText="1"/>
    </xf>
    <xf numFmtId="0" fontId="5" fillId="2" borderId="0" xfId="3" applyFont="1" applyFill="1" applyBorder="1" applyAlignment="1">
      <alignment horizontal="left" wrapText="1"/>
    </xf>
    <xf numFmtId="0" fontId="9" fillId="2" borderId="5" xfId="3" applyFont="1" applyFill="1" applyBorder="1" applyAlignment="1">
      <alignment horizontal="left" wrapText="1"/>
    </xf>
    <xf numFmtId="0" fontId="5" fillId="2" borderId="5" xfId="3" applyFont="1" applyFill="1" applyBorder="1" applyAlignment="1">
      <alignment horizontal="left" vertical="top" wrapText="1"/>
    </xf>
    <xf numFmtId="0" fontId="5" fillId="0" borderId="0" xfId="3" applyFont="1" applyAlignment="1">
      <alignment vertical="top" wrapText="1"/>
    </xf>
    <xf numFmtId="0" fontId="12" fillId="2" borderId="9" xfId="8" applyFont="1" applyFill="1" applyBorder="1" applyAlignment="1">
      <alignment vertical="top" wrapText="1"/>
    </xf>
    <xf numFmtId="0" fontId="3" fillId="0" borderId="9" xfId="8" applyFont="1" applyBorder="1" applyAlignment="1">
      <alignment vertical="top" wrapText="1"/>
    </xf>
    <xf numFmtId="0" fontId="11" fillId="2" borderId="0" xfId="8" applyFont="1" applyFill="1" applyBorder="1" applyAlignment="1">
      <alignment horizontal="left" wrapText="1"/>
    </xf>
    <xf numFmtId="0" fontId="5" fillId="0" borderId="0" xfId="8" applyFont="1" applyAlignment="1">
      <alignment wrapText="1"/>
    </xf>
    <xf numFmtId="0" fontId="9" fillId="2" borderId="0" xfId="8" applyFont="1" applyFill="1" applyBorder="1" applyAlignment="1">
      <alignment wrapText="1"/>
    </xf>
    <xf numFmtId="0" fontId="14" fillId="0" borderId="0" xfId="8" applyBorder="1" applyAlignment="1">
      <alignment wrapText="1"/>
    </xf>
    <xf numFmtId="0" fontId="5" fillId="2" borderId="5" xfId="8" applyFont="1" applyFill="1" applyBorder="1" applyAlignment="1">
      <alignment horizontal="left" wrapText="1"/>
    </xf>
    <xf numFmtId="0" fontId="5" fillId="2" borderId="0" xfId="8" applyFont="1" applyFill="1" applyBorder="1" applyAlignment="1">
      <alignment horizontal="left" wrapText="1"/>
    </xf>
    <xf numFmtId="0" fontId="9" fillId="2" borderId="5" xfId="8" applyFont="1" applyFill="1" applyBorder="1" applyAlignment="1">
      <alignment horizontal="left" wrapText="1"/>
    </xf>
    <xf numFmtId="0" fontId="14" fillId="0" borderId="0" xfId="8" applyAlignment="1">
      <alignment wrapText="1"/>
    </xf>
    <xf numFmtId="0" fontId="5" fillId="5" borderId="0" xfId="0" applyFont="1" applyFill="1" applyBorder="1" applyAlignment="1">
      <alignment vertical="center" shrinkToFit="1"/>
    </xf>
    <xf numFmtId="0" fontId="0" fillId="5" borderId="0" xfId="0" applyFill="1" applyBorder="1" applyAlignment="1">
      <alignment vertical="center"/>
    </xf>
    <xf numFmtId="0" fontId="0" fillId="0" borderId="9" xfId="0" applyBorder="1" applyAlignment="1"/>
    <xf numFmtId="0" fontId="2" fillId="5" borderId="9" xfId="0" applyFont="1" applyFill="1" applyBorder="1" applyAlignment="1">
      <alignment horizontal="left" vertical="center"/>
    </xf>
    <xf numFmtId="0" fontId="0" fillId="5" borderId="9" xfId="0" applyFill="1" applyBorder="1" applyAlignment="1">
      <alignment horizontal="left" vertical="center"/>
    </xf>
    <xf numFmtId="0" fontId="0" fillId="5" borderId="9" xfId="0" applyFill="1" applyBorder="1" applyAlignment="1">
      <alignment vertical="center"/>
    </xf>
    <xf numFmtId="0" fontId="5" fillId="5" borderId="5" xfId="0" quotePrefix="1" applyFont="1" applyFill="1" applyBorder="1" applyAlignment="1">
      <alignment vertical="center" wrapText="1"/>
    </xf>
    <xf numFmtId="0" fontId="5" fillId="5" borderId="1" xfId="0" quotePrefix="1" applyFont="1" applyFill="1" applyBorder="1" applyAlignment="1">
      <alignment vertical="center" wrapText="1"/>
    </xf>
    <xf numFmtId="0" fontId="0" fillId="5" borderId="2" xfId="0" applyFill="1" applyBorder="1" applyAlignment="1">
      <alignment vertical="center"/>
    </xf>
    <xf numFmtId="0" fontId="9" fillId="2" borderId="0" xfId="0" applyFont="1" applyFill="1" applyBorder="1" applyAlignment="1">
      <alignment horizontal="left" wrapText="1"/>
    </xf>
    <xf numFmtId="0" fontId="5" fillId="5" borderId="5" xfId="0" applyFont="1" applyFill="1" applyBorder="1" applyAlignment="1">
      <alignment horizontal="left" vertical="center" wrapText="1"/>
    </xf>
    <xf numFmtId="0" fontId="5" fillId="5" borderId="0" xfId="0" applyFont="1" applyFill="1" applyBorder="1" applyAlignment="1">
      <alignment horizontal="left" vertical="center" wrapText="1"/>
    </xf>
    <xf numFmtId="0" fontId="5" fillId="5" borderId="5" xfId="0" applyFont="1" applyFill="1" applyBorder="1" applyAlignment="1">
      <alignment vertical="center" wrapText="1"/>
    </xf>
    <xf numFmtId="0" fontId="5" fillId="5" borderId="0" xfId="0" applyFont="1" applyFill="1" applyBorder="1" applyAlignment="1">
      <alignment vertical="center"/>
    </xf>
    <xf numFmtId="0" fontId="24" fillId="2" borderId="0" xfId="0" applyFont="1" applyFill="1" applyBorder="1" applyAlignment="1">
      <alignment horizontal="left" wrapText="1"/>
    </xf>
    <xf numFmtId="0" fontId="21" fillId="0" borderId="0" xfId="0" applyFont="1" applyAlignment="1">
      <alignment wrapText="1"/>
    </xf>
    <xf numFmtId="0" fontId="2" fillId="0" borderId="0" xfId="0" applyFont="1" applyAlignment="1">
      <alignment horizontal="left"/>
    </xf>
    <xf numFmtId="0" fontId="5" fillId="0" borderId="0" xfId="0" applyFont="1" applyAlignment="1">
      <alignment horizontal="left"/>
    </xf>
    <xf numFmtId="0" fontId="9" fillId="2" borderId="0" xfId="0" applyFont="1" applyFill="1" applyBorder="1" applyAlignment="1">
      <alignment horizontal="right" wrapText="1"/>
    </xf>
    <xf numFmtId="0" fontId="22" fillId="2" borderId="5" xfId="0" applyFont="1" applyFill="1" applyBorder="1" applyAlignment="1">
      <alignment horizontal="left" wrapText="1"/>
    </xf>
    <xf numFmtId="0" fontId="22" fillId="2" borderId="0" xfId="0" applyFont="1" applyFill="1" applyBorder="1" applyAlignment="1">
      <alignment horizontal="left" wrapText="1"/>
    </xf>
    <xf numFmtId="0" fontId="22" fillId="2" borderId="6" xfId="0" applyFont="1" applyFill="1" applyBorder="1" applyAlignment="1">
      <alignment horizontal="left" wrapText="1"/>
    </xf>
    <xf numFmtId="0" fontId="5" fillId="2" borderId="5" xfId="0" applyFont="1" applyFill="1" applyBorder="1" applyAlignment="1">
      <alignment horizontal="left"/>
    </xf>
    <xf numFmtId="0" fontId="5" fillId="2" borderId="0" xfId="0" applyFont="1" applyFill="1" applyBorder="1" applyAlignment="1">
      <alignment horizontal="left"/>
    </xf>
    <xf numFmtId="0" fontId="28" fillId="9" borderId="10" xfId="0" applyFont="1" applyFill="1" applyBorder="1" applyAlignment="1" applyProtection="1">
      <alignment horizontal="left" wrapText="1"/>
      <protection locked="0"/>
    </xf>
    <xf numFmtId="0" fontId="28" fillId="9" borderId="11" xfId="0" applyFont="1" applyFill="1" applyBorder="1" applyAlignment="1" applyProtection="1">
      <alignment horizontal="left" wrapText="1"/>
      <protection locked="0"/>
    </xf>
    <xf numFmtId="0" fontId="28" fillId="9" borderId="12" xfId="0" applyFont="1" applyFill="1" applyBorder="1" applyAlignment="1" applyProtection="1">
      <alignment horizontal="left" wrapText="1"/>
      <protection locked="0"/>
    </xf>
    <xf numFmtId="0" fontId="28" fillId="9" borderId="10" xfId="1" applyFont="1" applyFill="1" applyBorder="1" applyAlignment="1" applyProtection="1">
      <alignment horizontal="left" wrapText="1"/>
      <protection locked="0"/>
    </xf>
    <xf numFmtId="0" fontId="28" fillId="9" borderId="11" xfId="1" applyFont="1" applyFill="1" applyBorder="1" applyAlignment="1" applyProtection="1">
      <alignment horizontal="left" wrapText="1"/>
      <protection locked="0"/>
    </xf>
    <xf numFmtId="0" fontId="28" fillId="9" borderId="12" xfId="1" applyFont="1" applyFill="1" applyBorder="1" applyAlignment="1" applyProtection="1">
      <alignment horizontal="left" wrapText="1"/>
      <protection locked="0"/>
    </xf>
    <xf numFmtId="0" fontId="2" fillId="0" borderId="0" xfId="9" applyFont="1" applyAlignment="1">
      <alignment horizontal="left"/>
    </xf>
    <xf numFmtId="0" fontId="5" fillId="0" borderId="0" xfId="9" applyFont="1" applyAlignment="1">
      <alignment horizontal="left"/>
    </xf>
    <xf numFmtId="0" fontId="9" fillId="2" borderId="0" xfId="9" applyFont="1" applyFill="1" applyBorder="1" applyAlignment="1">
      <alignment horizontal="right" wrapText="1"/>
    </xf>
    <xf numFmtId="0" fontId="22" fillId="2" borderId="5" xfId="9" applyFont="1" applyFill="1" applyBorder="1" applyAlignment="1">
      <alignment horizontal="left" wrapText="1"/>
    </xf>
    <xf numFmtId="0" fontId="22" fillId="2" borderId="0" xfId="9" applyFont="1" applyFill="1" applyBorder="1" applyAlignment="1">
      <alignment horizontal="left" wrapText="1"/>
    </xf>
    <xf numFmtId="0" fontId="22" fillId="2" borderId="6" xfId="9" applyFont="1" applyFill="1" applyBorder="1" applyAlignment="1">
      <alignment horizontal="left" wrapText="1"/>
    </xf>
    <xf numFmtId="0" fontId="5" fillId="2" borderId="5" xfId="9" applyFont="1" applyFill="1" applyBorder="1" applyAlignment="1">
      <alignment horizontal="left"/>
    </xf>
    <xf numFmtId="0" fontId="5" fillId="2" borderId="0" xfId="9" applyFont="1" applyFill="1" applyBorder="1" applyAlignment="1">
      <alignment horizontal="left"/>
    </xf>
    <xf numFmtId="0" fontId="22" fillId="2" borderId="5" xfId="0" applyNumberFormat="1" applyFont="1" applyFill="1" applyBorder="1" applyAlignment="1">
      <alignment horizontal="left" wrapText="1"/>
    </xf>
    <xf numFmtId="0" fontId="0" fillId="2" borderId="0" xfId="0" applyFill="1" applyAlignment="1">
      <alignment wrapText="1"/>
    </xf>
    <xf numFmtId="0" fontId="0" fillId="2" borderId="6" xfId="0" applyFill="1" applyBorder="1" applyAlignment="1">
      <alignment wrapText="1"/>
    </xf>
    <xf numFmtId="0" fontId="0" fillId="2" borderId="5" xfId="0" applyFill="1" applyBorder="1" applyAlignment="1">
      <alignment wrapText="1"/>
    </xf>
    <xf numFmtId="0" fontId="36" fillId="10" borderId="15" xfId="0" applyFont="1" applyFill="1" applyBorder="1" applyAlignment="1">
      <alignment horizontal="center" vertical="center" wrapText="1"/>
    </xf>
    <xf numFmtId="0" fontId="36" fillId="10" borderId="16" xfId="0" applyFont="1" applyFill="1" applyBorder="1" applyAlignment="1">
      <alignment horizontal="center" vertical="center" wrapText="1"/>
    </xf>
    <xf numFmtId="0" fontId="37" fillId="0" borderId="16" xfId="0" applyFont="1" applyBorder="1" applyAlignment="1">
      <alignment vertical="center" wrapText="1"/>
    </xf>
    <xf numFmtId="0" fontId="37" fillId="0" borderId="17" xfId="0" applyFont="1" applyBorder="1" applyAlignment="1">
      <alignment vertical="center" wrapText="1"/>
    </xf>
    <xf numFmtId="0" fontId="36" fillId="10" borderId="18" xfId="0" applyFont="1" applyFill="1" applyBorder="1" applyAlignment="1">
      <alignment horizontal="center" vertical="center"/>
    </xf>
    <xf numFmtId="0" fontId="36" fillId="10" borderId="0" xfId="0" applyFont="1" applyFill="1" applyBorder="1" applyAlignment="1">
      <alignment horizontal="center" vertical="center"/>
    </xf>
    <xf numFmtId="0" fontId="37" fillId="0" borderId="0" xfId="0" applyFont="1" applyBorder="1" applyAlignment="1">
      <alignment vertical="center"/>
    </xf>
    <xf numFmtId="0" fontId="37" fillId="0" borderId="19" xfId="0" applyFont="1" applyBorder="1" applyAlignment="1">
      <alignment vertical="center"/>
    </xf>
    <xf numFmtId="0" fontId="38" fillId="11" borderId="20" xfId="0" applyFont="1" applyFill="1" applyBorder="1" applyAlignment="1">
      <alignment horizontal="left" vertical="center"/>
    </xf>
    <xf numFmtId="0" fontId="38" fillId="11" borderId="21" xfId="0" applyFont="1" applyFill="1" applyBorder="1" applyAlignment="1">
      <alignment horizontal="left" vertical="center"/>
    </xf>
    <xf numFmtId="0" fontId="39" fillId="11" borderId="21" xfId="0" applyFont="1" applyFill="1" applyBorder="1" applyAlignment="1">
      <alignment horizontal="left" vertical="center"/>
    </xf>
    <xf numFmtId="0" fontId="38" fillId="3" borderId="23" xfId="0" applyFont="1" applyFill="1" applyBorder="1" applyAlignment="1">
      <alignment horizontal="center" vertical="center" wrapText="1"/>
    </xf>
    <xf numFmtId="0" fontId="39" fillId="4" borderId="25" xfId="0" applyFont="1" applyFill="1" applyBorder="1"/>
    <xf numFmtId="0" fontId="39" fillId="4" borderId="9" xfId="0" applyFont="1" applyFill="1" applyBorder="1"/>
    <xf numFmtId="0" fontId="40" fillId="3" borderId="9" xfId="0" applyNumberFormat="1" applyFont="1" applyFill="1" applyBorder="1" applyAlignment="1">
      <alignment horizontal="center" vertical="center" wrapText="1"/>
    </xf>
    <xf numFmtId="49" fontId="40" fillId="3" borderId="9" xfId="0" applyNumberFormat="1" applyFont="1" applyFill="1" applyBorder="1" applyAlignment="1">
      <alignment horizontal="center" vertical="center" wrapText="1"/>
    </xf>
    <xf numFmtId="49" fontId="40" fillId="3" borderId="28" xfId="0" applyNumberFormat="1" applyFont="1" applyFill="1" applyBorder="1" applyAlignment="1">
      <alignment horizontal="center" vertical="center" wrapText="1"/>
    </xf>
    <xf numFmtId="0" fontId="38" fillId="11" borderId="18" xfId="0" applyFont="1" applyFill="1" applyBorder="1" applyAlignment="1">
      <alignment horizontal="left" vertical="center"/>
    </xf>
    <xf numFmtId="0" fontId="38" fillId="11" borderId="0" xfId="0" applyFont="1" applyFill="1" applyBorder="1" applyAlignment="1">
      <alignment horizontal="left" vertical="center"/>
    </xf>
    <xf numFmtId="0" fontId="39" fillId="11" borderId="0" xfId="0" applyFont="1" applyFill="1" applyBorder="1" applyAlignment="1">
      <alignment horizontal="left" vertical="center"/>
    </xf>
    <xf numFmtId="0" fontId="38" fillId="4" borderId="22" xfId="0" applyFont="1" applyFill="1" applyBorder="1" applyAlignment="1">
      <alignment horizontal="center" vertical="center" wrapText="1"/>
    </xf>
    <xf numFmtId="0" fontId="38" fillId="4" borderId="23" xfId="0" applyFont="1" applyFill="1" applyBorder="1" applyAlignment="1">
      <alignment horizontal="center" vertical="center" wrapText="1"/>
    </xf>
    <xf numFmtId="0" fontId="38" fillId="2" borderId="35" xfId="0" applyFont="1" applyFill="1" applyBorder="1" applyAlignment="1">
      <alignment horizontal="right" vertical="center"/>
    </xf>
    <xf numFmtId="0" fontId="38" fillId="2" borderId="2" xfId="0" applyFont="1" applyFill="1" applyBorder="1" applyAlignment="1">
      <alignment horizontal="right" vertical="center"/>
    </xf>
    <xf numFmtId="0" fontId="38" fillId="2" borderId="8" xfId="0" applyFont="1" applyFill="1" applyBorder="1" applyAlignment="1">
      <alignment horizontal="right" vertical="center"/>
    </xf>
    <xf numFmtId="49" fontId="47" fillId="11" borderId="10" xfId="0" applyNumberFormat="1" applyFont="1" applyFill="1" applyBorder="1" applyAlignment="1">
      <alignment horizontal="left" vertical="center"/>
    </xf>
    <xf numFmtId="49" fontId="48" fillId="0" borderId="11" xfId="0" applyNumberFormat="1" applyFont="1" applyBorder="1" applyAlignment="1">
      <alignment horizontal="left" vertical="center"/>
    </xf>
    <xf numFmtId="49" fontId="48" fillId="0" borderId="36" xfId="0" applyNumberFormat="1" applyFont="1" applyBorder="1" applyAlignment="1">
      <alignment horizontal="left" vertical="center"/>
    </xf>
    <xf numFmtId="0" fontId="38" fillId="2" borderId="37" xfId="0" applyFont="1" applyFill="1" applyBorder="1" applyAlignment="1">
      <alignment horizontal="center" vertical="center"/>
    </xf>
    <xf numFmtId="0" fontId="38" fillId="2" borderId="11" xfId="0" applyFont="1" applyFill="1" applyBorder="1" applyAlignment="1">
      <alignment horizontal="center" vertical="center"/>
    </xf>
    <xf numFmtId="0" fontId="38" fillId="2" borderId="36" xfId="0" applyFont="1" applyFill="1" applyBorder="1" applyAlignment="1">
      <alignment horizontal="center" vertical="center"/>
    </xf>
    <xf numFmtId="0" fontId="42" fillId="11" borderId="37" xfId="0" applyFont="1" applyFill="1" applyBorder="1" applyAlignment="1">
      <alignment vertical="center" wrapText="1"/>
    </xf>
    <xf numFmtId="0" fontId="42" fillId="11" borderId="11" xfId="0" applyFont="1" applyFill="1" applyBorder="1" applyAlignment="1">
      <alignment vertical="center" wrapText="1"/>
    </xf>
    <xf numFmtId="0" fontId="42" fillId="11" borderId="36" xfId="0" applyFont="1" applyFill="1" applyBorder="1" applyAlignment="1">
      <alignment vertical="center" wrapText="1"/>
    </xf>
    <xf numFmtId="0" fontId="37" fillId="0" borderId="11" xfId="0" applyFont="1" applyBorder="1" applyAlignment="1">
      <alignment vertical="center" wrapText="1"/>
    </xf>
    <xf numFmtId="0" fontId="37" fillId="0" borderId="36" xfId="0" applyFont="1" applyBorder="1" applyAlignment="1">
      <alignment vertical="center" wrapText="1"/>
    </xf>
    <xf numFmtId="0" fontId="38" fillId="4" borderId="27" xfId="0" applyFont="1" applyFill="1" applyBorder="1" applyAlignment="1">
      <alignment horizontal="center"/>
    </xf>
    <xf numFmtId="0" fontId="38" fillId="4" borderId="28" xfId="0" applyFont="1" applyFill="1" applyBorder="1" applyAlignment="1">
      <alignment horizontal="center"/>
    </xf>
    <xf numFmtId="0" fontId="38" fillId="2" borderId="30" xfId="0" applyFont="1" applyFill="1" applyBorder="1" applyAlignment="1">
      <alignment horizontal="right" vertical="center"/>
    </xf>
    <xf numFmtId="0" fontId="38" fillId="2" borderId="31" xfId="0" applyFont="1" applyFill="1" applyBorder="1" applyAlignment="1">
      <alignment horizontal="right" vertical="center"/>
    </xf>
    <xf numFmtId="0" fontId="38" fillId="2" borderId="32" xfId="0" applyFont="1" applyFill="1" applyBorder="1" applyAlignment="1">
      <alignment horizontal="right" vertical="center"/>
    </xf>
    <xf numFmtId="49" fontId="47" fillId="11" borderId="33" xfId="0" applyNumberFormat="1" applyFont="1" applyFill="1" applyBorder="1" applyAlignment="1">
      <alignment horizontal="left" vertical="center"/>
    </xf>
    <xf numFmtId="49" fontId="48" fillId="0" borderId="31" xfId="0" applyNumberFormat="1" applyFont="1" applyBorder="1" applyAlignment="1">
      <alignment horizontal="left" vertical="center"/>
    </xf>
    <xf numFmtId="49" fontId="48" fillId="0" borderId="34" xfId="0" applyNumberFormat="1" applyFont="1" applyBorder="1" applyAlignment="1">
      <alignment horizontal="left" vertical="center"/>
    </xf>
    <xf numFmtId="0" fontId="38" fillId="10" borderId="35" xfId="0" applyFont="1" applyFill="1" applyBorder="1" applyAlignment="1">
      <alignment horizontal="center" vertical="center"/>
    </xf>
    <xf numFmtId="0" fontId="38" fillId="10" borderId="2" xfId="0" applyFont="1" applyFill="1" applyBorder="1" applyAlignment="1">
      <alignment horizontal="center" vertical="center"/>
    </xf>
    <xf numFmtId="0" fontId="38" fillId="10" borderId="41" xfId="0" applyFont="1" applyFill="1" applyBorder="1" applyAlignment="1">
      <alignment horizontal="center" vertical="center"/>
    </xf>
    <xf numFmtId="0" fontId="38" fillId="2" borderId="37" xfId="0" applyFont="1" applyFill="1" applyBorder="1" applyAlignment="1">
      <alignment horizontal="left" vertical="center" wrapText="1"/>
    </xf>
    <xf numFmtId="0" fontId="38" fillId="2" borderId="11" xfId="0" applyFont="1" applyFill="1" applyBorder="1" applyAlignment="1">
      <alignment horizontal="left" vertical="center" wrapText="1"/>
    </xf>
    <xf numFmtId="0" fontId="38" fillId="2" borderId="12" xfId="0" applyFont="1" applyFill="1" applyBorder="1" applyAlignment="1">
      <alignment horizontal="left" vertical="center" wrapText="1"/>
    </xf>
    <xf numFmtId="0" fontId="37" fillId="11" borderId="42" xfId="0" applyFont="1" applyFill="1" applyBorder="1" applyAlignment="1">
      <alignment vertical="center" wrapText="1"/>
    </xf>
    <xf numFmtId="0" fontId="37" fillId="11" borderId="43" xfId="0" applyFont="1" applyFill="1" applyBorder="1" applyAlignment="1">
      <alignment vertical="center" wrapText="1"/>
    </xf>
    <xf numFmtId="0" fontId="37" fillId="11" borderId="44" xfId="0" applyFont="1" applyFill="1" applyBorder="1" applyAlignment="1">
      <alignment vertical="center" wrapText="1"/>
    </xf>
    <xf numFmtId="0" fontId="38" fillId="2" borderId="45" xfId="0" applyFont="1" applyFill="1" applyBorder="1" applyAlignment="1">
      <alignment vertical="center"/>
    </xf>
    <xf numFmtId="0" fontId="38" fillId="2" borderId="46" xfId="0" applyFont="1" applyFill="1" applyBorder="1" applyAlignment="1">
      <alignment vertical="center"/>
    </xf>
    <xf numFmtId="0" fontId="37" fillId="2" borderId="46" xfId="0" applyFont="1" applyFill="1" applyBorder="1" applyAlignment="1">
      <alignment vertical="center"/>
    </xf>
    <xf numFmtId="0" fontId="37" fillId="2" borderId="47" xfId="0" applyFont="1" applyFill="1" applyBorder="1" applyAlignment="1">
      <alignment vertical="center"/>
    </xf>
    <xf numFmtId="0" fontId="38" fillId="2" borderId="38" xfId="0" applyFont="1" applyFill="1" applyBorder="1" applyAlignment="1">
      <alignment horizontal="right" vertical="center"/>
    </xf>
    <xf numFmtId="0" fontId="38" fillId="2" borderId="3" xfId="0" applyFont="1" applyFill="1" applyBorder="1" applyAlignment="1">
      <alignment horizontal="right" vertical="center"/>
    </xf>
    <xf numFmtId="0" fontId="38" fillId="2" borderId="4" xfId="0" applyFont="1" applyFill="1" applyBorder="1" applyAlignment="1">
      <alignment horizontal="right" vertical="center"/>
    </xf>
    <xf numFmtId="0" fontId="37" fillId="11" borderId="7" xfId="0" applyFont="1" applyFill="1" applyBorder="1" applyAlignment="1"/>
    <xf numFmtId="0" fontId="37" fillId="11" borderId="3" xfId="0" applyFont="1" applyFill="1" applyBorder="1" applyAlignment="1"/>
    <xf numFmtId="0" fontId="37" fillId="11" borderId="50" xfId="0" applyFont="1" applyFill="1" applyBorder="1" applyAlignment="1"/>
    <xf numFmtId="0" fontId="38" fillId="2" borderId="37" xfId="0" applyFont="1" applyFill="1" applyBorder="1" applyAlignment="1">
      <alignment horizontal="right"/>
    </xf>
    <xf numFmtId="0" fontId="38" fillId="2" borderId="11" xfId="0" applyFont="1" applyFill="1" applyBorder="1" applyAlignment="1">
      <alignment horizontal="right"/>
    </xf>
    <xf numFmtId="0" fontId="37" fillId="0" borderId="11" xfId="0" applyFont="1" applyBorder="1" applyAlignment="1">
      <alignment horizontal="right"/>
    </xf>
    <xf numFmtId="0" fontId="37" fillId="0" borderId="12" xfId="0" applyFont="1" applyBorder="1" applyAlignment="1">
      <alignment horizontal="right"/>
    </xf>
    <xf numFmtId="0" fontId="38" fillId="2" borderId="37" xfId="0" applyFont="1" applyFill="1" applyBorder="1" applyAlignment="1">
      <alignment horizontal="right" vertical="center"/>
    </xf>
    <xf numFmtId="0" fontId="38" fillId="2" borderId="11" xfId="0" applyFont="1" applyFill="1" applyBorder="1" applyAlignment="1">
      <alignment horizontal="right" vertical="center"/>
    </xf>
    <xf numFmtId="0" fontId="37" fillId="2" borderId="11" xfId="0" applyFont="1" applyFill="1" applyBorder="1" applyAlignment="1">
      <alignment vertical="center"/>
    </xf>
    <xf numFmtId="0" fontId="37" fillId="2" borderId="12" xfId="0" applyFont="1" applyFill="1" applyBorder="1" applyAlignment="1">
      <alignment vertical="center"/>
    </xf>
    <xf numFmtId="0" fontId="37" fillId="2" borderId="3" xfId="0" applyFont="1" applyFill="1" applyBorder="1" applyAlignment="1">
      <alignment vertical="center"/>
    </xf>
    <xf numFmtId="0" fontId="37" fillId="2" borderId="4" xfId="0" applyFont="1" applyFill="1" applyBorder="1" applyAlignment="1">
      <alignment vertical="center"/>
    </xf>
    <xf numFmtId="0" fontId="47" fillId="11" borderId="39" xfId="0" applyFont="1" applyFill="1" applyBorder="1" applyAlignment="1">
      <alignment horizontal="center" vertical="center"/>
    </xf>
    <xf numFmtId="0" fontId="37" fillId="0" borderId="40" xfId="0" applyFont="1" applyBorder="1" applyAlignment="1">
      <alignment vertical="center"/>
    </xf>
    <xf numFmtId="0" fontId="49" fillId="2" borderId="35" xfId="0" applyFont="1" applyFill="1" applyBorder="1" applyAlignment="1">
      <alignment horizontal="right" vertical="center"/>
    </xf>
    <xf numFmtId="0" fontId="49" fillId="2" borderId="2" xfId="0" applyFont="1" applyFill="1" applyBorder="1" applyAlignment="1">
      <alignment horizontal="right" vertical="center"/>
    </xf>
    <xf numFmtId="0" fontId="49" fillId="2" borderId="8" xfId="0" applyFont="1" applyFill="1" applyBorder="1" applyAlignment="1">
      <alignment horizontal="right" vertical="center"/>
    </xf>
    <xf numFmtId="0" fontId="50" fillId="2" borderId="37" xfId="0" applyFont="1" applyFill="1" applyBorder="1" applyAlignment="1">
      <alignment horizontal="right"/>
    </xf>
    <xf numFmtId="0" fontId="50" fillId="2" borderId="11" xfId="0" applyFont="1" applyFill="1" applyBorder="1" applyAlignment="1">
      <alignment horizontal="right"/>
    </xf>
    <xf numFmtId="0" fontId="50" fillId="2" borderId="12" xfId="0" applyFont="1" applyFill="1" applyBorder="1" applyAlignment="1">
      <alignment horizontal="right"/>
    </xf>
    <xf numFmtId="0" fontId="50" fillId="2" borderId="10" xfId="0" applyFont="1" applyFill="1" applyBorder="1" applyAlignment="1">
      <alignment horizontal="right" vertical="center"/>
    </xf>
    <xf numFmtId="0" fontId="50" fillId="2" borderId="11" xfId="0" applyFont="1" applyFill="1" applyBorder="1" applyAlignment="1">
      <alignment horizontal="right" vertical="center"/>
    </xf>
    <xf numFmtId="0" fontId="50" fillId="2" borderId="12" xfId="0" applyFont="1" applyFill="1" applyBorder="1" applyAlignment="1">
      <alignment horizontal="right" vertical="center"/>
    </xf>
    <xf numFmtId="0" fontId="0" fillId="0" borderId="35" xfId="0" applyBorder="1" applyAlignment="1">
      <alignment horizontal="right" vertical="center"/>
    </xf>
    <xf numFmtId="0" fontId="0" fillId="0" borderId="2" xfId="0" applyBorder="1" applyAlignment="1">
      <alignment horizontal="right" vertical="center"/>
    </xf>
    <xf numFmtId="0" fontId="0" fillId="0" borderId="8" xfId="0" applyBorder="1" applyAlignment="1">
      <alignment horizontal="right" vertical="center"/>
    </xf>
    <xf numFmtId="0" fontId="37" fillId="11" borderId="7" xfId="0" applyFont="1" applyFill="1" applyBorder="1" applyAlignment="1">
      <alignment wrapText="1"/>
    </xf>
    <xf numFmtId="0" fontId="37" fillId="11" borderId="3" xfId="0" applyFont="1" applyFill="1" applyBorder="1" applyAlignment="1">
      <alignment wrapText="1"/>
    </xf>
    <xf numFmtId="0" fontId="37" fillId="11" borderId="50" xfId="0" applyFont="1" applyFill="1" applyBorder="1" applyAlignment="1">
      <alignment wrapText="1"/>
    </xf>
    <xf numFmtId="0" fontId="37" fillId="0" borderId="1" xfId="0" applyFont="1" applyBorder="1" applyAlignment="1">
      <alignment wrapText="1"/>
    </xf>
    <xf numFmtId="0" fontId="37" fillId="0" borderId="2" xfId="0" applyFont="1" applyBorder="1" applyAlignment="1">
      <alignment wrapText="1"/>
    </xf>
    <xf numFmtId="0" fontId="37" fillId="0" borderId="41" xfId="0" applyFont="1" applyBorder="1" applyAlignment="1">
      <alignment wrapText="1"/>
    </xf>
    <xf numFmtId="0" fontId="37" fillId="11" borderId="42" xfId="0" applyFont="1" applyFill="1" applyBorder="1" applyAlignment="1">
      <alignment vertical="center"/>
    </xf>
    <xf numFmtId="0" fontId="37" fillId="11" borderId="43" xfId="0" applyFont="1" applyFill="1" applyBorder="1" applyAlignment="1">
      <alignment vertical="center"/>
    </xf>
    <xf numFmtId="0" fontId="37" fillId="11" borderId="44" xfId="0" applyFont="1" applyFill="1" applyBorder="1" applyAlignment="1">
      <alignment vertical="center"/>
    </xf>
    <xf numFmtId="0" fontId="0" fillId="0" borderId="18" xfId="0" applyBorder="1" applyAlignment="1">
      <alignment horizontal="right" vertical="center"/>
    </xf>
    <xf numFmtId="0" fontId="0" fillId="0" borderId="0" xfId="0" applyAlignment="1">
      <alignment horizontal="right" vertical="center"/>
    </xf>
    <xf numFmtId="0" fontId="0" fillId="0" borderId="6" xfId="0" applyBorder="1" applyAlignment="1">
      <alignment horizontal="right" vertical="center"/>
    </xf>
    <xf numFmtId="0" fontId="37" fillId="13" borderId="7" xfId="0" applyFont="1" applyFill="1" applyBorder="1" applyAlignment="1">
      <alignment wrapText="1"/>
    </xf>
    <xf numFmtId="0" fontId="37" fillId="13" borderId="3" xfId="0" applyFont="1" applyFill="1" applyBorder="1" applyAlignment="1">
      <alignment wrapText="1"/>
    </xf>
    <xf numFmtId="0" fontId="37" fillId="13" borderId="50" xfId="0" applyFont="1" applyFill="1" applyBorder="1" applyAlignment="1">
      <alignment wrapText="1"/>
    </xf>
    <xf numFmtId="0" fontId="37" fillId="13" borderId="5" xfId="0" applyFont="1" applyFill="1" applyBorder="1" applyAlignment="1">
      <alignment wrapText="1"/>
    </xf>
    <xf numFmtId="0" fontId="37" fillId="13" borderId="0" xfId="0" applyFont="1" applyFill="1" applyBorder="1" applyAlignment="1">
      <alignment wrapText="1"/>
    </xf>
    <xf numFmtId="0" fontId="37" fillId="13" borderId="19" xfId="0" applyFont="1" applyFill="1" applyBorder="1" applyAlignment="1">
      <alignment wrapText="1"/>
    </xf>
    <xf numFmtId="0" fontId="39" fillId="11" borderId="27" xfId="0" applyFont="1" applyFill="1" applyBorder="1" applyAlignment="1">
      <alignment vertical="center" wrapText="1"/>
    </xf>
    <xf numFmtId="0" fontId="39" fillId="11" borderId="51" xfId="0" applyFont="1" applyFill="1" applyBorder="1" applyAlignment="1">
      <alignment vertical="center" wrapText="1"/>
    </xf>
    <xf numFmtId="0" fontId="39" fillId="11" borderId="28" xfId="0" applyFont="1" applyFill="1" applyBorder="1" applyAlignment="1">
      <alignment vertical="center" wrapText="1"/>
    </xf>
    <xf numFmtId="0" fontId="39" fillId="11" borderId="29" xfId="0" applyFont="1" applyFill="1" applyBorder="1" applyAlignment="1">
      <alignment vertical="center" wrapText="1"/>
    </xf>
    <xf numFmtId="0" fontId="38" fillId="2" borderId="12" xfId="0" applyFont="1" applyFill="1" applyBorder="1" applyAlignment="1">
      <alignment horizontal="right"/>
    </xf>
    <xf numFmtId="0" fontId="38" fillId="2" borderId="9" xfId="0" applyFont="1" applyFill="1" applyBorder="1" applyAlignment="1">
      <alignment horizontal="right" vertical="center"/>
    </xf>
    <xf numFmtId="0" fontId="38" fillId="2" borderId="9" xfId="0" applyFont="1" applyFill="1" applyBorder="1" applyAlignment="1">
      <alignment horizontal="right" vertical="center" wrapText="1"/>
    </xf>
    <xf numFmtId="0" fontId="37" fillId="2" borderId="9" xfId="0" applyFont="1" applyFill="1" applyBorder="1" applyAlignment="1">
      <alignment wrapText="1"/>
    </xf>
    <xf numFmtId="164" fontId="39" fillId="2" borderId="26" xfId="0" applyNumberFormat="1" applyFont="1" applyFill="1" applyBorder="1" applyAlignment="1">
      <alignment horizontal="center" vertical="center" wrapText="1"/>
    </xf>
    <xf numFmtId="0" fontId="39" fillId="2" borderId="26" xfId="0" applyFont="1" applyFill="1" applyBorder="1" applyAlignment="1">
      <alignment horizontal="center" vertical="center" wrapText="1"/>
    </xf>
    <xf numFmtId="0" fontId="2" fillId="0" borderId="0" xfId="3" applyFont="1" applyAlignment="1">
      <alignment horizontal="left"/>
    </xf>
    <xf numFmtId="0" fontId="5" fillId="0" borderId="0" xfId="3" applyFont="1" applyAlignment="1">
      <alignment horizontal="left"/>
    </xf>
    <xf numFmtId="0" fontId="22" fillId="2" borderId="5" xfId="3" applyNumberFormat="1" applyFont="1" applyFill="1" applyBorder="1" applyAlignment="1">
      <alignment horizontal="left" wrapText="1"/>
    </xf>
    <xf numFmtId="0" fontId="22" fillId="2" borderId="0" xfId="3" applyNumberFormat="1" applyFont="1" applyFill="1" applyBorder="1" applyAlignment="1">
      <alignment horizontal="left" wrapText="1"/>
    </xf>
    <xf numFmtId="0" fontId="22" fillId="2" borderId="6" xfId="3" applyNumberFormat="1" applyFont="1" applyFill="1" applyBorder="1" applyAlignment="1">
      <alignment horizontal="left" wrapText="1"/>
    </xf>
    <xf numFmtId="0" fontId="9" fillId="2" borderId="0" xfId="3" applyFont="1" applyFill="1" applyBorder="1" applyAlignment="1">
      <alignment horizontal="right" wrapText="1"/>
    </xf>
    <xf numFmtId="0" fontId="22" fillId="2" borderId="5" xfId="3" applyFont="1" applyFill="1" applyBorder="1" applyAlignment="1">
      <alignment horizontal="left" wrapText="1"/>
    </xf>
    <xf numFmtId="0" fontId="22" fillId="2" borderId="0" xfId="3" applyFont="1" applyFill="1" applyBorder="1" applyAlignment="1">
      <alignment horizontal="left" wrapText="1"/>
    </xf>
    <xf numFmtId="0" fontId="22" fillId="2" borderId="6" xfId="3" applyFont="1" applyFill="1" applyBorder="1" applyAlignment="1">
      <alignment horizontal="left" wrapText="1"/>
    </xf>
    <xf numFmtId="0" fontId="5" fillId="2" borderId="5" xfId="3" applyFont="1" applyFill="1" applyBorder="1" applyAlignment="1">
      <alignment horizontal="left"/>
    </xf>
    <xf numFmtId="0" fontId="5" fillId="2" borderId="0" xfId="3" applyFont="1" applyFill="1" applyBorder="1" applyAlignment="1">
      <alignment horizontal="left"/>
    </xf>
    <xf numFmtId="0" fontId="9" fillId="2" borderId="5" xfId="0" applyFont="1" applyFill="1" applyBorder="1" applyAlignment="1">
      <alignment horizontal="left" vertical="top" wrapText="1"/>
    </xf>
    <xf numFmtId="0" fontId="9" fillId="2" borderId="0" xfId="0" applyFont="1" applyFill="1" applyBorder="1" applyAlignment="1">
      <alignment horizontal="left" vertical="top" wrapText="1"/>
    </xf>
    <xf numFmtId="0" fontId="9" fillId="2" borderId="6" xfId="0" applyFont="1" applyFill="1" applyBorder="1" applyAlignment="1">
      <alignment horizontal="left" vertical="top" wrapText="1"/>
    </xf>
    <xf numFmtId="0" fontId="9" fillId="2" borderId="5" xfId="0" applyFont="1" applyFill="1" applyBorder="1" applyAlignment="1">
      <alignment wrapText="1"/>
    </xf>
    <xf numFmtId="0" fontId="9" fillId="2" borderId="6" xfId="0" applyFont="1" applyFill="1" applyBorder="1" applyAlignment="1">
      <alignment wrapText="1"/>
    </xf>
    <xf numFmtId="0" fontId="57" fillId="2" borderId="5" xfId="1" applyFont="1" applyFill="1" applyBorder="1" applyAlignment="1">
      <alignment horizontal="left" vertical="top" wrapText="1"/>
    </xf>
    <xf numFmtId="0" fontId="9" fillId="2" borderId="0" xfId="1" applyFont="1" applyFill="1" applyBorder="1" applyAlignment="1">
      <alignment horizontal="left" vertical="top" wrapText="1"/>
    </xf>
    <xf numFmtId="0" fontId="9" fillId="2" borderId="6" xfId="1" applyFont="1" applyFill="1" applyBorder="1" applyAlignment="1">
      <alignment horizontal="left" vertical="top" wrapText="1"/>
    </xf>
    <xf numFmtId="0" fontId="57" fillId="2" borderId="5" xfId="28" applyFont="1" applyFill="1" applyBorder="1" applyAlignment="1">
      <alignment horizontal="left" vertical="top" wrapText="1"/>
    </xf>
    <xf numFmtId="0" fontId="57" fillId="2" borderId="0" xfId="28" applyFont="1" applyFill="1" applyBorder="1" applyAlignment="1">
      <alignment horizontal="left" vertical="top" wrapText="1"/>
    </xf>
    <xf numFmtId="0" fontId="57" fillId="2" borderId="6" xfId="28" applyFont="1" applyFill="1" applyBorder="1" applyAlignment="1">
      <alignment horizontal="left" vertical="top" wrapText="1"/>
    </xf>
    <xf numFmtId="0" fontId="57" fillId="2" borderId="5" xfId="28" applyFont="1" applyFill="1" applyBorder="1" applyAlignment="1"/>
    <xf numFmtId="0" fontId="5" fillId="0" borderId="0" xfId="28" applyAlignment="1"/>
    <xf numFmtId="0" fontId="9" fillId="2" borderId="5" xfId="1" applyFont="1" applyFill="1" applyBorder="1" applyAlignment="1">
      <alignment vertical="center" wrapText="1"/>
    </xf>
    <xf numFmtId="37" fontId="65" fillId="0" borderId="0" xfId="29" applyAlignment="1">
      <alignment vertical="center" wrapText="1"/>
    </xf>
    <xf numFmtId="37" fontId="65" fillId="0" borderId="6" xfId="29" applyBorder="1" applyAlignment="1">
      <alignment vertical="center" wrapText="1"/>
    </xf>
    <xf numFmtId="0" fontId="5" fillId="2" borderId="5" xfId="3" applyFont="1" applyFill="1" applyBorder="1" applyAlignment="1">
      <alignment horizontal="left" vertical="center" wrapText="1"/>
    </xf>
    <xf numFmtId="0" fontId="57" fillId="14" borderId="5" xfId="3" applyFont="1" applyFill="1" applyBorder="1" applyAlignment="1">
      <alignment vertical="top" wrapText="1"/>
    </xf>
    <xf numFmtId="0" fontId="57" fillId="14" borderId="0" xfId="3" applyFont="1" applyFill="1" applyBorder="1" applyAlignment="1">
      <alignment vertical="top" wrapText="1"/>
    </xf>
    <xf numFmtId="0" fontId="57" fillId="14" borderId="6" xfId="3" applyFont="1" applyFill="1" applyBorder="1" applyAlignment="1">
      <alignment vertical="top" wrapText="1"/>
    </xf>
    <xf numFmtId="0" fontId="57" fillId="2" borderId="5" xfId="3" applyFont="1" applyFill="1" applyBorder="1" applyAlignment="1">
      <alignment horizontal="left"/>
    </xf>
    <xf numFmtId="0" fontId="57" fillId="2" borderId="0" xfId="3" applyFont="1" applyFill="1" applyBorder="1" applyAlignment="1">
      <alignment horizontal="left"/>
    </xf>
    <xf numFmtId="0" fontId="5" fillId="2" borderId="5" xfId="1" applyFont="1" applyFill="1" applyBorder="1" applyAlignment="1">
      <alignment horizontal="left" vertical="top" wrapText="1"/>
    </xf>
    <xf numFmtId="0" fontId="9" fillId="2" borderId="5" xfId="1" applyFont="1" applyFill="1" applyBorder="1" applyAlignment="1">
      <alignment horizontal="left" vertical="top" wrapText="1"/>
    </xf>
    <xf numFmtId="0" fontId="9" fillId="2" borderId="6" xfId="0" applyFont="1" applyFill="1" applyBorder="1" applyAlignment="1">
      <alignment horizontal="left" wrapText="1"/>
    </xf>
    <xf numFmtId="0" fontId="9" fillId="2" borderId="5" xfId="0" quotePrefix="1" applyFont="1" applyFill="1" applyBorder="1" applyAlignment="1">
      <alignment horizontal="left" wrapText="1"/>
    </xf>
    <xf numFmtId="0" fontId="9" fillId="0" borderId="0" xfId="0" applyFont="1" applyAlignment="1">
      <alignment wrapText="1"/>
    </xf>
    <xf numFmtId="0" fontId="38" fillId="2" borderId="15" xfId="0" applyFont="1" applyFill="1" applyBorder="1" applyAlignment="1">
      <alignment horizontal="right" vertical="center"/>
    </xf>
    <xf numFmtId="0" fontId="38" fillId="2" borderId="16" xfId="0" applyFont="1" applyFill="1" applyBorder="1" applyAlignment="1">
      <alignment horizontal="right" vertical="center"/>
    </xf>
    <xf numFmtId="0" fontId="38" fillId="2" borderId="70" xfId="0" applyFont="1" applyFill="1" applyBorder="1" applyAlignment="1">
      <alignment horizontal="right" vertical="center"/>
    </xf>
    <xf numFmtId="0" fontId="38" fillId="2" borderId="12" xfId="0" applyFont="1" applyFill="1" applyBorder="1" applyAlignment="1">
      <alignment horizontal="right" vertical="center"/>
    </xf>
    <xf numFmtId="0" fontId="37" fillId="11" borderId="37" xfId="0" applyFont="1" applyFill="1" applyBorder="1" applyAlignment="1">
      <alignment vertical="center" wrapText="1"/>
    </xf>
    <xf numFmtId="0" fontId="37" fillId="11" borderId="11" xfId="0" applyFont="1" applyFill="1" applyBorder="1" applyAlignment="1">
      <alignment vertical="center" wrapText="1"/>
    </xf>
    <xf numFmtId="0" fontId="37" fillId="11" borderId="12" xfId="0" applyFont="1" applyFill="1" applyBorder="1" applyAlignment="1">
      <alignment vertical="center" wrapText="1"/>
    </xf>
    <xf numFmtId="0" fontId="37" fillId="11" borderId="37" xfId="0" applyFont="1" applyFill="1" applyBorder="1" applyAlignment="1">
      <alignment vertical="center"/>
    </xf>
    <xf numFmtId="0" fontId="37" fillId="11" borderId="11" xfId="0" applyFont="1" applyFill="1" applyBorder="1" applyAlignment="1">
      <alignment vertical="center"/>
    </xf>
    <xf numFmtId="0" fontId="37" fillId="11" borderId="12" xfId="0" applyFont="1" applyFill="1" applyBorder="1" applyAlignment="1">
      <alignment vertical="center"/>
    </xf>
    <xf numFmtId="0" fontId="38" fillId="2" borderId="18" xfId="0" applyFont="1" applyFill="1" applyBorder="1" applyAlignment="1">
      <alignment horizontal="right" vertical="center"/>
    </xf>
    <xf numFmtId="0" fontId="38" fillId="2" borderId="0" xfId="0" applyFont="1" applyFill="1" applyBorder="1" applyAlignment="1">
      <alignment horizontal="right" vertical="center"/>
    </xf>
    <xf numFmtId="0" fontId="38" fillId="2" borderId="6" xfId="0" applyFont="1" applyFill="1" applyBorder="1" applyAlignment="1">
      <alignment horizontal="right" vertical="center"/>
    </xf>
    <xf numFmtId="0" fontId="37" fillId="11" borderId="5" xfId="0" applyFont="1" applyFill="1" applyBorder="1" applyAlignment="1">
      <alignment wrapText="1"/>
    </xf>
    <xf numFmtId="0" fontId="37" fillId="11" borderId="0" xfId="0" applyFont="1" applyFill="1" applyBorder="1" applyAlignment="1">
      <alignment wrapText="1"/>
    </xf>
    <xf numFmtId="0" fontId="37" fillId="11" borderId="19" xfId="0" applyFont="1" applyFill="1" applyBorder="1" applyAlignment="1">
      <alignment wrapText="1"/>
    </xf>
    <xf numFmtId="0" fontId="28" fillId="9" borderId="10" xfId="72" applyFont="1" applyFill="1" applyBorder="1" applyAlignment="1" applyProtection="1">
      <alignment horizontal="left" wrapText="1"/>
      <protection locked="0"/>
    </xf>
    <xf numFmtId="0" fontId="28" fillId="9" borderId="11" xfId="72" applyFont="1" applyFill="1" applyBorder="1" applyAlignment="1" applyProtection="1">
      <alignment horizontal="left" wrapText="1"/>
      <protection locked="0"/>
    </xf>
    <xf numFmtId="0" fontId="28" fillId="9" borderId="12" xfId="72" applyFont="1" applyFill="1" applyBorder="1" applyAlignment="1" applyProtection="1">
      <alignment horizontal="left" wrapText="1"/>
      <protection locked="0"/>
    </xf>
    <xf numFmtId="0" fontId="11" fillId="9" borderId="10" xfId="72" applyFont="1" applyFill="1" applyBorder="1" applyAlignment="1" applyProtection="1">
      <alignment horizontal="left" wrapText="1"/>
      <protection locked="0"/>
    </xf>
    <xf numFmtId="0" fontId="28" fillId="9" borderId="10" xfId="0" applyFont="1" applyFill="1" applyBorder="1" applyAlignment="1" applyProtection="1">
      <alignment horizontal="left" vertical="center" wrapText="1"/>
      <protection locked="0"/>
    </xf>
    <xf numFmtId="0" fontId="28" fillId="9" borderId="11" xfId="0" applyFont="1" applyFill="1" applyBorder="1" applyAlignment="1" applyProtection="1">
      <alignment horizontal="left" vertical="center" wrapText="1"/>
      <protection locked="0"/>
    </xf>
    <xf numFmtId="0" fontId="28" fillId="9" borderId="12" xfId="0" applyFont="1" applyFill="1" applyBorder="1" applyAlignment="1" applyProtection="1">
      <alignment horizontal="left" vertical="center" wrapText="1"/>
      <protection locked="0"/>
    </xf>
    <xf numFmtId="0" fontId="11" fillId="2" borderId="5" xfId="0" applyFont="1" applyFill="1" applyBorder="1" applyAlignment="1">
      <alignment wrapText="1"/>
    </xf>
    <xf numFmtId="0" fontId="11" fillId="2" borderId="0" xfId="0" applyFont="1" applyFill="1" applyBorder="1" applyAlignment="1">
      <alignment wrapText="1"/>
    </xf>
    <xf numFmtId="0" fontId="11" fillId="2" borderId="6" xfId="0" applyFont="1" applyFill="1" applyBorder="1" applyAlignment="1">
      <alignment wrapText="1"/>
    </xf>
    <xf numFmtId="0" fontId="5" fillId="0" borderId="16" xfId="0" applyFont="1" applyBorder="1" applyAlignment="1">
      <alignment wrapText="1"/>
    </xf>
    <xf numFmtId="0" fontId="2" fillId="0" borderId="0" xfId="0" applyFont="1" applyAlignment="1">
      <alignment wrapText="1"/>
    </xf>
    <xf numFmtId="0" fontId="5" fillId="2" borderId="6" xfId="0" applyFont="1" applyFill="1" applyBorder="1" applyAlignment="1">
      <alignment horizontal="left"/>
    </xf>
    <xf numFmtId="0" fontId="102" fillId="2" borderId="0" xfId="0" applyFont="1" applyFill="1" applyBorder="1" applyAlignment="1">
      <alignment horizontal="center" wrapText="1"/>
    </xf>
    <xf numFmtId="0" fontId="106" fillId="9" borderId="11" xfId="0" applyFont="1" applyFill="1" applyBorder="1" applyAlignment="1" applyProtection="1">
      <alignment horizontal="left" wrapText="1"/>
      <protection locked="0"/>
    </xf>
    <xf numFmtId="0" fontId="106" fillId="9" borderId="12" xfId="0" applyFont="1" applyFill="1" applyBorder="1" applyAlignment="1" applyProtection="1">
      <alignment horizontal="left" wrapText="1"/>
      <protection locked="0"/>
    </xf>
    <xf numFmtId="0" fontId="22" fillId="2" borderId="5" xfId="0" applyNumberFormat="1" applyFont="1" applyFill="1" applyBorder="1" applyAlignment="1">
      <alignment horizontal="left" vertical="top" wrapText="1"/>
    </xf>
    <xf numFmtId="0" fontId="0" fillId="2" borderId="0" xfId="0" applyFill="1" applyAlignment="1">
      <alignment vertical="top" wrapText="1"/>
    </xf>
    <xf numFmtId="0" fontId="0" fillId="2" borderId="6" xfId="0" applyFill="1" applyBorder="1" applyAlignment="1">
      <alignment vertical="top" wrapText="1"/>
    </xf>
    <xf numFmtId="0" fontId="0" fillId="2" borderId="5" xfId="0" applyFill="1" applyBorder="1" applyAlignment="1">
      <alignment vertical="top" wrapText="1"/>
    </xf>
    <xf numFmtId="0" fontId="44" fillId="11" borderId="18" xfId="0" applyFont="1" applyFill="1" applyBorder="1" applyAlignment="1">
      <alignment horizontal="left" vertical="center"/>
    </xf>
    <xf numFmtId="0" fontId="44" fillId="11" borderId="0" xfId="0" applyFont="1" applyFill="1" applyBorder="1" applyAlignment="1">
      <alignment horizontal="left" vertical="center"/>
    </xf>
    <xf numFmtId="0" fontId="46" fillId="11" borderId="0" xfId="0" applyFont="1" applyFill="1" applyBorder="1" applyAlignment="1">
      <alignment horizontal="left" vertical="center"/>
    </xf>
    <xf numFmtId="0" fontId="2" fillId="2" borderId="5" xfId="9" applyFont="1" applyFill="1" applyBorder="1" applyAlignment="1">
      <alignment wrapText="1"/>
    </xf>
    <xf numFmtId="0" fontId="5" fillId="0" borderId="0" xfId="9" applyAlignment="1">
      <alignment wrapText="1"/>
    </xf>
    <xf numFmtId="0" fontId="5" fillId="0" borderId="6" xfId="9" applyBorder="1" applyAlignment="1">
      <alignment wrapText="1"/>
    </xf>
    <xf numFmtId="0" fontId="5" fillId="0" borderId="5" xfId="9" applyBorder="1" applyAlignment="1">
      <alignment wrapText="1"/>
    </xf>
    <xf numFmtId="0" fontId="28" fillId="9" borderId="10" xfId="3" applyFont="1" applyFill="1" applyBorder="1" applyAlignment="1" applyProtection="1">
      <alignment horizontal="left" wrapText="1"/>
      <protection locked="0"/>
    </xf>
    <xf numFmtId="0" fontId="28" fillId="9" borderId="11" xfId="3" applyFont="1" applyFill="1" applyBorder="1" applyAlignment="1" applyProtection="1">
      <alignment horizontal="left" wrapText="1"/>
      <protection locked="0"/>
    </xf>
    <xf numFmtId="0" fontId="28" fillId="9" borderId="12" xfId="3" applyFont="1" applyFill="1" applyBorder="1" applyAlignment="1" applyProtection="1">
      <alignment horizontal="left" wrapText="1"/>
      <protection locked="0"/>
    </xf>
    <xf numFmtId="0" fontId="30" fillId="9" borderId="10" xfId="3" applyFont="1" applyFill="1" applyBorder="1" applyAlignment="1" applyProtection="1">
      <alignment horizontal="left" wrapText="1"/>
      <protection locked="0"/>
    </xf>
    <xf numFmtId="0" fontId="30" fillId="9" borderId="11" xfId="3" applyFont="1" applyFill="1" applyBorder="1" applyAlignment="1" applyProtection="1">
      <alignment horizontal="left" wrapText="1"/>
      <protection locked="0"/>
    </xf>
    <xf numFmtId="0" fontId="30" fillId="9" borderId="12" xfId="3" applyFont="1" applyFill="1" applyBorder="1" applyAlignment="1" applyProtection="1">
      <alignment horizontal="left" wrapText="1"/>
      <protection locked="0"/>
    </xf>
    <xf numFmtId="0" fontId="12" fillId="2" borderId="10" xfId="0" applyFont="1" applyFill="1" applyBorder="1" applyAlignment="1">
      <alignment vertical="top" wrapText="1"/>
    </xf>
    <xf numFmtId="0" fontId="12" fillId="2" borderId="11" xfId="0" applyFont="1" applyFill="1" applyBorder="1" applyAlignment="1">
      <alignment vertical="top" wrapText="1"/>
    </xf>
    <xf numFmtId="0" fontId="12" fillId="2" borderId="12" xfId="0" applyFont="1" applyFill="1" applyBorder="1" applyAlignment="1">
      <alignment vertical="top" wrapText="1"/>
    </xf>
    <xf numFmtId="0" fontId="3" fillId="0" borderId="11" xfId="0" applyFont="1" applyBorder="1" applyAlignment="1">
      <alignment vertical="top" wrapText="1"/>
    </xf>
    <xf numFmtId="0" fontId="3" fillId="0" borderId="12" xfId="0" applyFont="1" applyBorder="1" applyAlignment="1">
      <alignment vertical="top" wrapText="1"/>
    </xf>
    <xf numFmtId="0" fontId="9" fillId="3" borderId="0" xfId="0" applyFont="1" applyFill="1" applyAlignment="1">
      <alignment horizontal="center"/>
    </xf>
  </cellXfs>
  <cellStyles count="94">
    <cellStyle name="20% - Accent1 2" xfId="31"/>
    <cellStyle name="20% - Accent2 2" xfId="32"/>
    <cellStyle name="20% - Accent3 2" xfId="33"/>
    <cellStyle name="20% - Accent4 2" xfId="34"/>
    <cellStyle name="20% - Accent5 2" xfId="35"/>
    <cellStyle name="20% - Accent6 2" xfId="36"/>
    <cellStyle name="40% - Accent1 2" xfId="37"/>
    <cellStyle name="40% - Accent2 2" xfId="38"/>
    <cellStyle name="40% - Accent3 2" xfId="39"/>
    <cellStyle name="40% - Accent4 2" xfId="40"/>
    <cellStyle name="40% - Accent5 2" xfId="41"/>
    <cellStyle name="40% - Accent6 2" xfId="42"/>
    <cellStyle name="60% - Accent1 2" xfId="43"/>
    <cellStyle name="60% - Accent2 2" xfId="44"/>
    <cellStyle name="60% - Accent3 2" xfId="45"/>
    <cellStyle name="60% - Accent4 2" xfId="46"/>
    <cellStyle name="60% - Accent5 2" xfId="47"/>
    <cellStyle name="60% - Accent6 2" xfId="48"/>
    <cellStyle name="Accent1 2" xfId="49"/>
    <cellStyle name="Accent2 2" xfId="50"/>
    <cellStyle name="Accent3 2" xfId="51"/>
    <cellStyle name="Accent4 2" xfId="52"/>
    <cellStyle name="Accent5 2" xfId="53"/>
    <cellStyle name="Accent6 2" xfId="54"/>
    <cellStyle name="Bad 2" xfId="55"/>
    <cellStyle name="Calculation 2" xfId="56"/>
    <cellStyle name="Calculation 2 2" xfId="57"/>
    <cellStyle name="Check Cell 2" xfId="58"/>
    <cellStyle name="Comma 2" xfId="2"/>
    <cellStyle name="Comma 2 2" xfId="90"/>
    <cellStyle name="Comma 3" xfId="93"/>
    <cellStyle name="Currency" xfId="5" builtinId="4"/>
    <cellStyle name="Currency 2" xfId="10"/>
    <cellStyle name="Currency 2 2" xfId="11"/>
    <cellStyle name="Currency 2 2 2" xfId="12"/>
    <cellStyle name="Currency 2 3" xfId="13"/>
    <cellStyle name="Currency 2 4" xfId="14"/>
    <cellStyle name="Currency 3" xfId="15"/>
    <cellStyle name="Currency 3 2" xfId="16"/>
    <cellStyle name="Currency 4" xfId="17"/>
    <cellStyle name="Currency 4 2" xfId="18"/>
    <cellStyle name="Currency 5" xfId="19"/>
    <cellStyle name="Date" xfId="59"/>
    <cellStyle name="draft" xfId="60"/>
    <cellStyle name="Explanatory Text 2" xfId="61"/>
    <cellStyle name="Followed Hyperlink_Installation Cost-Corrugated PE  PVC  HDPE-Pipe" xfId="92"/>
    <cellStyle name="Good" xfId="7" builtinId="26"/>
    <cellStyle name="Good 2" xfId="62"/>
    <cellStyle name="Heading 1 2" xfId="63"/>
    <cellStyle name="Heading 2 2" xfId="64"/>
    <cellStyle name="Heading 3 2" xfId="65"/>
    <cellStyle name="Heading 4 2" xfId="66"/>
    <cellStyle name="Hyperlink" xfId="4" builtinId="8"/>
    <cellStyle name="Hyperlink 2" xfId="20"/>
    <cellStyle name="Hyperlink 3" xfId="27"/>
    <cellStyle name="Input 2" xfId="67"/>
    <cellStyle name="Input 2 2" xfId="68"/>
    <cellStyle name="Linked Cell 2" xfId="69"/>
    <cellStyle name="Neutral 2" xfId="70"/>
    <cellStyle name="Normal" xfId="0" builtinId="0"/>
    <cellStyle name="Normal 2" xfId="3"/>
    <cellStyle name="Normal 2 2" xfId="8"/>
    <cellStyle name="Normal 2 2 2" xfId="9"/>
    <cellStyle name="Normal 2 3" xfId="86"/>
    <cellStyle name="Normal 3" xfId="1"/>
    <cellStyle name="Normal 3 2" xfId="71"/>
    <cellStyle name="Normal 3 3" xfId="87"/>
    <cellStyle name="Normal 3 4" xfId="89"/>
    <cellStyle name="Normal 4" xfId="21"/>
    <cellStyle name="Normal 4 2" xfId="72"/>
    <cellStyle name="Normal 4 3" xfId="88"/>
    <cellStyle name="Normal 5" xfId="29"/>
    <cellStyle name="Normal 5 2" xfId="30"/>
    <cellStyle name="Normal 6" xfId="28"/>
    <cellStyle name="Normal 6 2" xfId="73"/>
    <cellStyle name="Normal 7" xfId="74"/>
    <cellStyle name="Normal_PipeCostGC" xfId="91"/>
    <cellStyle name="Note 2" xfId="75"/>
    <cellStyle name="Note 2 2" xfId="76"/>
    <cellStyle name="Notes" xfId="77"/>
    <cellStyle name="Output 2" xfId="78"/>
    <cellStyle name="Output 2 2" xfId="79"/>
    <cellStyle name="Percent" xfId="6" builtinId="5"/>
    <cellStyle name="Percent 2" xfId="22"/>
    <cellStyle name="Percent 2 2" xfId="23"/>
    <cellStyle name="Percent 2 2 2" xfId="24"/>
    <cellStyle name="Percent 2 3" xfId="25"/>
    <cellStyle name="Percent 2 4" xfId="26"/>
    <cellStyle name="Percent 3" xfId="80"/>
    <cellStyle name="Title 2" xfId="81"/>
    <cellStyle name="Total 2" xfId="82"/>
    <cellStyle name="Total 2 2" xfId="83"/>
    <cellStyle name="Units" xfId="84"/>
    <cellStyle name="Warning Text 2" xfId="85"/>
  </cellStyles>
  <dxfs count="2">
    <dxf>
      <font>
        <color rgb="FFFF0000"/>
      </font>
      <fill>
        <patternFill>
          <bgColor rgb="FFFFFF00"/>
        </patternFill>
      </fill>
    </dxf>
    <dxf>
      <font>
        <color rgb="FFFF0000"/>
      </font>
      <fill>
        <patternFill>
          <bgColor rgb="FFFFFF00"/>
        </patternFill>
      </fill>
    </dxf>
  </dxfs>
  <tableStyles count="0" defaultTableStyle="TableStyleMedium9" defaultPivotStyle="PivotStyleLight16"/>
  <colors>
    <mruColors>
      <color rgb="FF0000FF"/>
    </mruColors>
  </colors>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sharedStrings" Target="sharedStrings.xml"/><Relationship Id="rId303" Type="http://schemas.openxmlformats.org/officeDocument/2006/relationships/customXml" Target="../customXml/item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externalLink" Target="externalLinks/externalLink16.xml"/><Relationship Id="rId289" Type="http://schemas.openxmlformats.org/officeDocument/2006/relationships/externalLink" Target="externalLinks/externalLink3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externalLink" Target="externalLinks/externalLink6.xml"/><Relationship Id="rId279" Type="http://schemas.openxmlformats.org/officeDocument/2006/relationships/externalLink" Target="externalLinks/externalLink27.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externalLink" Target="externalLinks/externalLink38.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externalLink" Target="externalLinks/externalLink17.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externalLink" Target="externalLinks/externalLink28.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externalLink" Target="externalLinks/externalLink7.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externalLink" Target="externalLinks/externalLink18.xml"/><Relationship Id="rId291" Type="http://schemas.openxmlformats.org/officeDocument/2006/relationships/externalLink" Target="externalLinks/externalLink3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8.xml"/><Relationship Id="rId281" Type="http://schemas.openxmlformats.org/officeDocument/2006/relationships/externalLink" Target="externalLinks/externalLink2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 Type="http://schemas.openxmlformats.org/officeDocument/2006/relationships/worksheet" Target="worksheets/sheet2.xml"/><Relationship Id="rId29" Type="http://schemas.openxmlformats.org/officeDocument/2006/relationships/worksheet" Target="worksheets/sheet29.xml"/><Relationship Id="rId250" Type="http://schemas.openxmlformats.org/officeDocument/2006/relationships/worksheet" Target="worksheets/sheet250.xml"/><Relationship Id="rId255" Type="http://schemas.openxmlformats.org/officeDocument/2006/relationships/externalLink" Target="externalLinks/externalLink3.xml"/><Relationship Id="rId271" Type="http://schemas.openxmlformats.org/officeDocument/2006/relationships/externalLink" Target="externalLinks/externalLink19.xml"/><Relationship Id="rId276" Type="http://schemas.openxmlformats.org/officeDocument/2006/relationships/externalLink" Target="externalLinks/externalLink24.xml"/><Relationship Id="rId292" Type="http://schemas.openxmlformats.org/officeDocument/2006/relationships/externalLink" Target="externalLinks/externalLink40.xml"/><Relationship Id="rId297" Type="http://schemas.openxmlformats.org/officeDocument/2006/relationships/theme" Target="theme/theme1.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externalLink" Target="externalLinks/externalLink9.xml"/><Relationship Id="rId266" Type="http://schemas.openxmlformats.org/officeDocument/2006/relationships/externalLink" Target="externalLinks/externalLink14.xml"/><Relationship Id="rId287" Type="http://schemas.openxmlformats.org/officeDocument/2006/relationships/externalLink" Target="externalLinks/externalLink35.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externalLink" Target="externalLinks/externalLink3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externalLink" Target="externalLinks/externalLink4.xml"/><Relationship Id="rId277" Type="http://schemas.openxmlformats.org/officeDocument/2006/relationships/externalLink" Target="externalLinks/externalLink25.xml"/><Relationship Id="rId298"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externalLink" Target="externalLinks/externalLink20.xml"/><Relationship Id="rId293" Type="http://schemas.openxmlformats.org/officeDocument/2006/relationships/externalLink" Target="externalLinks/externalLink41.xml"/><Relationship Id="rId302"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externalLink" Target="externalLinks/externalLink15.xml"/><Relationship Id="rId288" Type="http://schemas.openxmlformats.org/officeDocument/2006/relationships/externalLink" Target="externalLinks/externalLink36.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externalLink" Target="externalLinks/externalLink10.xml"/><Relationship Id="rId283" Type="http://schemas.openxmlformats.org/officeDocument/2006/relationships/externalLink" Target="externalLinks/externalLink3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externalLink" Target="externalLinks/externalLink5.xml"/><Relationship Id="rId278" Type="http://schemas.openxmlformats.org/officeDocument/2006/relationships/externalLink" Target="externalLinks/externalLink26.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externalLink" Target="externalLinks/externalLink21.xml"/><Relationship Id="rId294" Type="http://schemas.openxmlformats.org/officeDocument/2006/relationships/externalLink" Target="externalLinks/externalLink42.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externalLink" Target="externalLinks/externalLink11.xml"/><Relationship Id="rId284" Type="http://schemas.openxmlformats.org/officeDocument/2006/relationships/externalLink" Target="externalLinks/externalLink32.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externalLink" Target="externalLinks/externalLink1.xml"/><Relationship Id="rId274" Type="http://schemas.openxmlformats.org/officeDocument/2006/relationships/externalLink" Target="externalLinks/externalLink22.xml"/><Relationship Id="rId295" Type="http://schemas.openxmlformats.org/officeDocument/2006/relationships/externalLink" Target="externalLinks/externalLink4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externalLink" Target="externalLinks/externalLink12.xml"/><Relationship Id="rId285" Type="http://schemas.openxmlformats.org/officeDocument/2006/relationships/externalLink" Target="externalLinks/externalLink3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externalLink" Target="externalLinks/externalLink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externalLink" Target="externalLinks/externalLink23.xml"/><Relationship Id="rId296" Type="http://schemas.openxmlformats.org/officeDocument/2006/relationships/externalLink" Target="externalLinks/externalLink44.xml"/><Relationship Id="rId300" Type="http://schemas.openxmlformats.org/officeDocument/2006/relationships/calcChain" Target="calcChain.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13.xml"/><Relationship Id="rId286" Type="http://schemas.openxmlformats.org/officeDocument/2006/relationships/externalLink" Target="externalLinks/externalLink34.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s>
</file>

<file path=xl/drawings/drawing1.xml><?xml version="1.0" encoding="utf-8"?>
<xdr:wsDr xmlns:xdr="http://schemas.openxmlformats.org/drawingml/2006/spreadsheetDrawing" xmlns:a="http://schemas.openxmlformats.org/drawingml/2006/main">
  <xdr:twoCellAnchor>
    <xdr:from>
      <xdr:col>42</xdr:col>
      <xdr:colOff>0</xdr:colOff>
      <xdr:row>83</xdr:row>
      <xdr:rowOff>0</xdr:rowOff>
    </xdr:from>
    <xdr:to>
      <xdr:col>43</xdr:col>
      <xdr:colOff>361950</xdr:colOff>
      <xdr:row>92</xdr:row>
      <xdr:rowOff>142875</xdr:rowOff>
    </xdr:to>
    <xdr:sp macro="" textlink="">
      <xdr:nvSpPr>
        <xdr:cNvPr id="2" name="AutoShape 12"/>
        <xdr:cNvSpPr>
          <a:spLocks/>
        </xdr:cNvSpPr>
      </xdr:nvSpPr>
      <xdr:spPr bwMode="auto">
        <a:xfrm>
          <a:off x="4838700" y="14287500"/>
          <a:ext cx="0" cy="1619250"/>
        </a:xfrm>
        <a:prstGeom prst="rightBrace">
          <a:avLst>
            <a:gd name="adj1" fmla="val -2147483648"/>
            <a:gd name="adj2" fmla="val 45389"/>
          </a:avLst>
        </a:prstGeom>
        <a:noFill/>
        <a:ln w="9525">
          <a:solidFill>
            <a:srgbClr val="000000"/>
          </a:solidFill>
          <a:round/>
          <a:headEnd/>
          <a:tailEnd/>
        </a:ln>
      </xdr:spPr>
    </xdr:sp>
    <xdr:clientData/>
  </xdr:twoCellAnchor>
  <xdr:twoCellAnchor>
    <xdr:from>
      <xdr:col>33</xdr:col>
      <xdr:colOff>552450</xdr:colOff>
      <xdr:row>67</xdr:row>
      <xdr:rowOff>133350</xdr:rowOff>
    </xdr:from>
    <xdr:to>
      <xdr:col>41</xdr:col>
      <xdr:colOff>152400</xdr:colOff>
      <xdr:row>94</xdr:row>
      <xdr:rowOff>57150</xdr:rowOff>
    </xdr:to>
    <xdr:sp macro="" textlink="">
      <xdr:nvSpPr>
        <xdr:cNvPr id="3" name="Line 13"/>
        <xdr:cNvSpPr>
          <a:spLocks noChangeShapeType="1"/>
        </xdr:cNvSpPr>
      </xdr:nvSpPr>
      <xdr:spPr bwMode="auto">
        <a:xfrm flipH="1" flipV="1">
          <a:off x="4838700" y="11772900"/>
          <a:ext cx="0" cy="4371975"/>
        </a:xfrm>
        <a:prstGeom prst="line">
          <a:avLst/>
        </a:prstGeom>
        <a:noFill/>
        <a:ln w="9525">
          <a:solidFill>
            <a:srgbClr val="000000"/>
          </a:solidFill>
          <a:round/>
          <a:headEnd/>
          <a:tailEnd type="triangle" w="med" len="med"/>
        </a:ln>
      </xdr:spPr>
    </xdr:sp>
    <xdr:clientData/>
  </xdr:twoCellAnchor>
  <xdr:twoCellAnchor>
    <xdr:from>
      <xdr:col>33</xdr:col>
      <xdr:colOff>581025</xdr:colOff>
      <xdr:row>67</xdr:row>
      <xdr:rowOff>0</xdr:rowOff>
    </xdr:from>
    <xdr:to>
      <xdr:col>41</xdr:col>
      <xdr:colOff>142875</xdr:colOff>
      <xdr:row>93</xdr:row>
      <xdr:rowOff>19050</xdr:rowOff>
    </xdr:to>
    <xdr:sp macro="" textlink="">
      <xdr:nvSpPr>
        <xdr:cNvPr id="4" name="Line 14"/>
        <xdr:cNvSpPr>
          <a:spLocks noChangeShapeType="1"/>
        </xdr:cNvSpPr>
      </xdr:nvSpPr>
      <xdr:spPr bwMode="auto">
        <a:xfrm flipH="1" flipV="1">
          <a:off x="4838700" y="11639550"/>
          <a:ext cx="0" cy="4305300"/>
        </a:xfrm>
        <a:prstGeom prst="line">
          <a:avLst/>
        </a:prstGeom>
        <a:noFill/>
        <a:ln w="9525">
          <a:solidFill>
            <a:srgbClr val="000000"/>
          </a:solidFill>
          <a:round/>
          <a:headEnd/>
          <a:tailEnd type="triangle" w="med" len="med"/>
        </a:ln>
      </xdr:spPr>
    </xdr:sp>
    <xdr:clientData/>
  </xdr:twoCellAnchor>
  <xdr:twoCellAnchor>
    <xdr:from>
      <xdr:col>33</xdr:col>
      <xdr:colOff>561975</xdr:colOff>
      <xdr:row>65</xdr:row>
      <xdr:rowOff>123825</xdr:rowOff>
    </xdr:from>
    <xdr:to>
      <xdr:col>44</xdr:col>
      <xdr:colOff>152400</xdr:colOff>
      <xdr:row>87</xdr:row>
      <xdr:rowOff>57150</xdr:rowOff>
    </xdr:to>
    <xdr:sp macro="" textlink="">
      <xdr:nvSpPr>
        <xdr:cNvPr id="5" name="Line 15"/>
        <xdr:cNvSpPr>
          <a:spLocks noChangeShapeType="1"/>
        </xdr:cNvSpPr>
      </xdr:nvSpPr>
      <xdr:spPr bwMode="auto">
        <a:xfrm flipH="1" flipV="1">
          <a:off x="4838700" y="11439525"/>
          <a:ext cx="0" cy="3562350"/>
        </a:xfrm>
        <a:prstGeom prst="line">
          <a:avLst/>
        </a:prstGeom>
        <a:noFill/>
        <a:ln w="9525">
          <a:solidFill>
            <a:srgbClr val="000000"/>
          </a:solidFill>
          <a:round/>
          <a:headEnd/>
          <a:tailEnd type="triangle" w="med" len="me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1171575</xdr:colOff>
      <xdr:row>25</xdr:row>
      <xdr:rowOff>0</xdr:rowOff>
    </xdr:from>
    <xdr:to>
      <xdr:col>3</xdr:col>
      <xdr:colOff>1409700</xdr:colOff>
      <xdr:row>25</xdr:row>
      <xdr:rowOff>0</xdr:rowOff>
    </xdr:to>
    <xdr:sp macro="" textlink="">
      <xdr:nvSpPr>
        <xdr:cNvPr id="2" name="Text Box 2"/>
        <xdr:cNvSpPr txBox="1">
          <a:spLocks noChangeArrowheads="1"/>
        </xdr:cNvSpPr>
      </xdr:nvSpPr>
      <xdr:spPr bwMode="auto">
        <a:xfrm>
          <a:off x="3514725" y="4124325"/>
          <a:ext cx="238125" cy="0"/>
        </a:xfrm>
        <a:prstGeom prst="rect">
          <a:avLst/>
        </a:prstGeom>
        <a:solidFill>
          <a:srgbClr val="CCFFCC"/>
        </a:solidFill>
        <a:ln w="9525">
          <a:noFill/>
          <a:miter lim="800000"/>
          <a:headEnd/>
          <a:tailEnd/>
        </a:ln>
      </xdr:spPr>
      <xdr:txBody>
        <a:bodyPr vertOverflow="clip" wrap="square" lIns="0" tIns="0" rIns="0" bIns="0" anchor="t" upright="1"/>
        <a:lstStyle/>
        <a:p>
          <a:pPr algn="ctr" rtl="0">
            <a:defRPr sz="1000"/>
          </a:pPr>
          <a:r>
            <a:rPr lang="en-US" sz="2400" b="0" i="0" u="none" strike="noStrike" baseline="0">
              <a:solidFill>
                <a:srgbClr val="000000"/>
              </a:solidFill>
              <a:latin typeface="Arial"/>
              <a:cs typeface="Arial"/>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RangesListWorkbook_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Y_2011_Cost_Development_Fin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P313kyFY20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ervice_Center/NRCS/ECS/Pymnt%20Sched%20Data/FY%202011/KY_2011_Cost_Development_Final.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ervice_Center/NRCS/ECS/Pymnt%20Sched%20Data/FY%202011/P315kyFY20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ervice_Center/NRCS/ECS/Pymnt%20Sched%20Data/FY%202011/P317kyFY2011.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P327kyFY2012_rev.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ervice_Center/NRCS/ECS/Pymnt%20Sched%20Data/2010/P328orgKY_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rganics/2012_ORG_scenarios_Payment_Sch/P328kyORGFY201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KY_2012_Cost_Development_DRAFT_June2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P329kyFY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rcs.sc.egov.usda.gov/NRCS%20VT%20State%20Office/NRCS%20-%20FY2007/Resource%20%20Staff/Costlist_Agronomic/VT2008_Agronomic_Costli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P654kyFY2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ervice_Center/NRCS/ECS/Pymnt%20Sched%20Data/FY%202011/KY_2011_Cost_Development.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P359kyFY20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P362kyFY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P378kyFY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P380kyFY2012_rev.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P381kyFY20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P386kyFY2012_rev.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P390kyFY2012.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P410kyFY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Temporary%20Directory%201%20for%20VermontCostEstimator.zip\RangesListWorkbook_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P412kyFY201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P422kyFY201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P468kyFY201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P574kyFY201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P575kyFY20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P578kyFY2012.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P580kyFY201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P612kyFY2012.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ervice_Center/NRCS/ECS/Pymnt%20Sched%20Data/2010/P635KY_20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635kyFY201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rcs.sc.egov.usda.gov/Costs/Cost%20Tool/2008%20Cost%20Tool/Cost%20Tool%20June2008%20work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P638kyFY2012.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ervice_Center/NRCS/ECS/Pymnt%20Sched%20Data/2010/P642KY_20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643kyFY2012_rev.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P643kyFY2011_rev10_22.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647kyFY2012_re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Barbara.McWhorter\Local%20Settings\Temporary%20Internet%20Files\Content.Outlook\WWMRHA8G\314AppalachianFY12BrushMgt_wFoliarSpra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nrcs.sc.egov.usda.gov/st/cost/FY12RegionalPaymentSchedules/Appalachian/528AppalachainFY12PerscribedGrazingFinal%20after%20Q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rcs.sc.egov.usda.gov/st/cost/FY12RegionalPaymentSchedules/Appalachian/561AppalachianFY12HeavyUseAreaProtection_Ver3%20after%20QA%20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rcs.sc.egov.usda.gov/st/cost/FY12RegionalPaymentSchedules/Delta%20States/614DeltaStatesFY12WaterFacility.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nrcs.sc.egov.usda.gov/st/cost/FY12RegionalPaymentSchedules/Appalachian/314AppalachianFY12BrushMgt%20after%20Q%20%20A%20Review%20Version%205%2010042011%20Final.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Counties"/>
      <sheetName val="CntyTwnZIPFIPS"/>
      <sheetName val="FIPS_FO"/>
      <sheetName val="Categories"/>
      <sheetName val="Cost Estimate"/>
      <sheetName val="AllItems"/>
      <sheetName val="AllItemsSortByItem#"/>
      <sheetName val="LocalItems"/>
      <sheetName val="RSMeansMod"/>
      <sheetName val="RSMeansRaw"/>
      <sheetName val="LocFactors"/>
      <sheetName val="Assembly Items"/>
      <sheetName val="CostRulesItems"/>
      <sheetName val="Labor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6">
          <cell r="B6" t="str">
            <v>C.I.P. concrete forms, slab on grade, edge, wood, to 6" high, 4 use, includes erecting, bracing, stripping and cleaning</v>
          </cell>
          <cell r="C6" t="str">
            <v>L.F.</v>
          </cell>
          <cell r="D6">
            <v>200</v>
          </cell>
          <cell r="E6">
            <v>2.41</v>
          </cell>
        </row>
        <row r="7">
          <cell r="B7" t="str">
            <v>Welded wire fabric, sheets, 6 x 6 - W2.1 x W2.1 (8 x 8) 30 lb. per C.S.F., A185</v>
          </cell>
          <cell r="C7" t="str">
            <v>C.S.F.</v>
          </cell>
          <cell r="D7">
            <v>25</v>
          </cell>
          <cell r="E7">
            <v>54.5</v>
          </cell>
        </row>
        <row r="8">
          <cell r="B8" t="str">
            <v>Structural concrete, ready mix, normal weight, 3000 psi, includes material only</v>
          </cell>
          <cell r="C8" t="str">
            <v>C.Y.</v>
          </cell>
          <cell r="D8">
            <v>30.9</v>
          </cell>
          <cell r="E8">
            <v>89</v>
          </cell>
        </row>
        <row r="9">
          <cell r="B9" t="str">
            <v>Structural concrete, placing, slab on grade, direct chute, 4" thick, includes vibrating, excludes material</v>
          </cell>
          <cell r="C9" t="str">
            <v>C.Y.</v>
          </cell>
          <cell r="D9">
            <v>30.9</v>
          </cell>
          <cell r="E9">
            <v>16.399999999999999</v>
          </cell>
        </row>
        <row r="10">
          <cell r="B10" t="str">
            <v>Concrete finishing, floors, monolithic, screed finish</v>
          </cell>
          <cell r="C10" t="str">
            <v>S.F.</v>
          </cell>
          <cell r="D10">
            <v>2500</v>
          </cell>
          <cell r="E10">
            <v>0.37</v>
          </cell>
        </row>
        <row r="11">
          <cell r="B11" t="str">
            <v>Curing, sprayed membrane compound</v>
          </cell>
          <cell r="C11" t="str">
            <v>C.S.F.</v>
          </cell>
          <cell r="D11">
            <v>25</v>
          </cell>
          <cell r="E11">
            <v>11.65</v>
          </cell>
        </row>
        <row r="12">
          <cell r="B12" t="str">
            <v>Saw cutting, concrete slabs, mesh reinforcing, per inch of depth to 3" deep</v>
          </cell>
          <cell r="C12" t="str">
            <v>L.F.</v>
          </cell>
          <cell r="D12">
            <v>200</v>
          </cell>
          <cell r="E12">
            <v>1.1000000000000001</v>
          </cell>
        </row>
        <row r="13">
          <cell r="A13" t="str">
            <v>A033090</v>
          </cell>
          <cell r="B13" t="str">
            <v>Slab, Concrete,  4", 3000psi, WWF, Curing cmpd., saw 10' o.c.</v>
          </cell>
          <cell r="C13" t="str">
            <v>C.Y.</v>
          </cell>
          <cell r="E13">
            <v>211.81856400000004</v>
          </cell>
          <cell r="F13">
            <v>31</v>
          </cell>
          <cell r="G13" t="str">
            <v>2.9.10</v>
          </cell>
          <cell r="H13" t="str">
            <v>Concrete</v>
          </cell>
          <cell r="I13" t="str">
            <v>RSMeans</v>
          </cell>
        </row>
        <row r="16">
          <cell r="B16" t="str">
            <v>C.I.P. concrete forms, slab on grade, edge, wood, to 6" high, 4 use, includes erecting, bracing, stripping and cleaning</v>
          </cell>
          <cell r="C16" t="str">
            <v>L.F.</v>
          </cell>
          <cell r="D16">
            <v>200</v>
          </cell>
          <cell r="E16">
            <v>2.41</v>
          </cell>
        </row>
        <row r="17">
          <cell r="B17" t="str">
            <v>Welded wire fabric, sheets, 6 x 6 - W2.1 x W2.1 (8 x 8) 30 lb. per C.S.F., A185</v>
          </cell>
          <cell r="C17" t="str">
            <v>C.S.F.</v>
          </cell>
          <cell r="D17">
            <v>0</v>
          </cell>
          <cell r="E17">
            <v>54.5</v>
          </cell>
        </row>
        <row r="18">
          <cell r="B18" t="str">
            <v>Structural concrete, ready mix, normal weight, 3000 psi, includes material only</v>
          </cell>
          <cell r="C18" t="str">
            <v>C.Y.</v>
          </cell>
          <cell r="D18">
            <v>30.9</v>
          </cell>
          <cell r="E18">
            <v>89</v>
          </cell>
        </row>
        <row r="19">
          <cell r="B19" t="str">
            <v>Structural concrete, placing, slab on grade, direct chute, 4" thick, includes vibrating, excludes material</v>
          </cell>
          <cell r="C19" t="str">
            <v>C.Y.</v>
          </cell>
          <cell r="D19">
            <v>30.9</v>
          </cell>
          <cell r="E19">
            <v>16.399999999999999</v>
          </cell>
        </row>
        <row r="20">
          <cell r="B20" t="str">
            <v>Concrete finishing, floors, monolithic, screed finish</v>
          </cell>
          <cell r="C20" t="str">
            <v>S.F.</v>
          </cell>
          <cell r="D20">
            <v>2500</v>
          </cell>
          <cell r="E20">
            <v>0.37</v>
          </cell>
        </row>
        <row r="21">
          <cell r="B21" t="str">
            <v>Curing, sprayed membrane compound</v>
          </cell>
          <cell r="C21" t="str">
            <v>C.S.F.</v>
          </cell>
          <cell r="D21">
            <v>25</v>
          </cell>
          <cell r="E21">
            <v>11.65</v>
          </cell>
        </row>
        <row r="22">
          <cell r="B22" t="str">
            <v>Saw cutting, concrete slabs, mesh reinforcing, per inch of depth to 3" deep</v>
          </cell>
          <cell r="C22" t="str">
            <v>L.F.</v>
          </cell>
          <cell r="D22">
            <v>200</v>
          </cell>
          <cell r="E22">
            <v>1.1000000000000001</v>
          </cell>
        </row>
        <row r="23">
          <cell r="A23" t="str">
            <v>A033091</v>
          </cell>
          <cell r="B23" t="str">
            <v>Slab, Concrete,  4", 3000psi, Curing cmpd., saw 10' o.c.</v>
          </cell>
          <cell r="C23" t="str">
            <v>C.Y.</v>
          </cell>
          <cell r="E23">
            <v>167.673564</v>
          </cell>
          <cell r="F23">
            <v>31</v>
          </cell>
          <cell r="G23" t="str">
            <v>2.9.4</v>
          </cell>
          <cell r="H23" t="str">
            <v>Concrete</v>
          </cell>
          <cell r="I23" t="str">
            <v>RSMeans</v>
          </cell>
        </row>
        <row r="26">
          <cell r="B26" t="str">
            <v>C.I.P. concrete forms, slab on grade, edge, wood, to 6" high, 4 use, includes erecting, bracing, stripping and cleaning</v>
          </cell>
          <cell r="C26" t="str">
            <v>L.F.</v>
          </cell>
          <cell r="D26">
            <v>200</v>
          </cell>
          <cell r="E26">
            <v>2.41</v>
          </cell>
        </row>
        <row r="27">
          <cell r="B27" t="str">
            <v>Reinforcing steel, in place, slab on grade, #3 to #7, A615, grade 60, incl access. Labor</v>
          </cell>
          <cell r="C27" t="str">
            <v>Ton</v>
          </cell>
          <cell r="D27">
            <v>1.1000000000000001</v>
          </cell>
          <cell r="E27">
            <v>1550</v>
          </cell>
        </row>
        <row r="28">
          <cell r="B28" t="str">
            <v>Structural concrete, ready mix, normal weight, 3000 psi, includes material only</v>
          </cell>
          <cell r="C28" t="str">
            <v>C.Y.</v>
          </cell>
          <cell r="D28">
            <v>30.9</v>
          </cell>
          <cell r="E28">
            <v>89</v>
          </cell>
        </row>
        <row r="29">
          <cell r="B29" t="str">
            <v>Structural concrete, placing, slab on grade, direct chute, 4" thick, includes vibrating, excludes material</v>
          </cell>
          <cell r="C29" t="str">
            <v>C.Y.</v>
          </cell>
          <cell r="D29">
            <v>30.9</v>
          </cell>
          <cell r="E29">
            <v>16.399999999999999</v>
          </cell>
        </row>
        <row r="30">
          <cell r="B30" t="str">
            <v>Concrete finishing, floors, monolithic, screed finish</v>
          </cell>
          <cell r="C30" t="str">
            <v>S.F.</v>
          </cell>
          <cell r="D30">
            <v>2500</v>
          </cell>
          <cell r="E30">
            <v>0.37</v>
          </cell>
        </row>
        <row r="31">
          <cell r="B31" t="str">
            <v>Curing, sprayed membrane compound</v>
          </cell>
          <cell r="C31" t="str">
            <v>C.S.F.</v>
          </cell>
          <cell r="D31">
            <v>25</v>
          </cell>
          <cell r="E31">
            <v>11.65</v>
          </cell>
        </row>
        <row r="32">
          <cell r="B32" t="str">
            <v>High chairs, for reinforcing steel, individual, no plates, plastic, to 3" high, includes material only</v>
          </cell>
          <cell r="C32" t="str">
            <v>C</v>
          </cell>
          <cell r="D32">
            <v>2.9</v>
          </cell>
          <cell r="E32">
            <v>94.5</v>
          </cell>
        </row>
        <row r="33">
          <cell r="B33" t="str">
            <v>High chairs, for reinforcing steel, individual, no plates, to 5" high, for plates, add, includes material only</v>
          </cell>
          <cell r="C33" t="str">
            <v>C</v>
          </cell>
          <cell r="D33">
            <v>2.9</v>
          </cell>
          <cell r="E33">
            <v>310</v>
          </cell>
        </row>
        <row r="34">
          <cell r="A34" t="str">
            <v>A033092</v>
          </cell>
          <cell r="B34" t="str">
            <v>Slab, Concrete, 5", 3000psi, Curing cmpd., #4@18" e.w.</v>
          </cell>
          <cell r="C34" t="str">
            <v>C.Y.</v>
          </cell>
          <cell r="E34">
            <v>253.79438400000004</v>
          </cell>
          <cell r="F34">
            <v>31</v>
          </cell>
          <cell r="G34" t="str">
            <v>2.9.11</v>
          </cell>
          <cell r="H34" t="str">
            <v>Concrete</v>
          </cell>
          <cell r="I34" t="str">
            <v>RSMeans</v>
          </cell>
        </row>
        <row r="37">
          <cell r="B37" t="str">
            <v>Structural concrete, ready mix, normal weight, 3000 psi, includes material only</v>
          </cell>
          <cell r="C37" t="str">
            <v>C.Y.</v>
          </cell>
          <cell r="D37">
            <v>1</v>
          </cell>
          <cell r="E37">
            <v>89</v>
          </cell>
        </row>
        <row r="38">
          <cell r="B38" t="str">
            <v>Structural concrete, placing, spread footing, direct chute, under 1 C.Y., includes vibrating, excludes material</v>
          </cell>
          <cell r="C38" t="str">
            <v>C.Y.</v>
          </cell>
          <cell r="D38">
            <v>1</v>
          </cell>
          <cell r="E38">
            <v>33</v>
          </cell>
        </row>
        <row r="39">
          <cell r="B39" t="str">
            <v>Concrete finishing, floors, monolithic, screed finish</v>
          </cell>
          <cell r="C39" t="str">
            <v>S.F.</v>
          </cell>
          <cell r="D39">
            <v>25</v>
          </cell>
          <cell r="E39">
            <v>0.37</v>
          </cell>
        </row>
        <row r="40">
          <cell r="A40" t="str">
            <v>A030110</v>
          </cell>
          <cell r="B40" t="str">
            <v>Unreinforced Concrete</v>
          </cell>
          <cell r="C40" t="str">
            <v>C.Y.</v>
          </cell>
          <cell r="E40">
            <v>131.25</v>
          </cell>
          <cell r="F40">
            <v>31</v>
          </cell>
          <cell r="G40" t="str">
            <v>2.5.0</v>
          </cell>
          <cell r="H40" t="str">
            <v>Concrete</v>
          </cell>
          <cell r="I40" t="str">
            <v>RSMeans</v>
          </cell>
        </row>
        <row r="43">
          <cell r="B43" t="str">
            <v>High chairs, for reinforcing steel, individual, no plates, plain, to 3" high, includes material only</v>
          </cell>
          <cell r="C43" t="str">
            <v>C</v>
          </cell>
          <cell r="D43">
            <v>6.7000000000000002E-3</v>
          </cell>
          <cell r="E43">
            <v>71</v>
          </cell>
        </row>
        <row r="44">
          <cell r="B44" t="str">
            <v>Reinforcing steel, in place, footings, #4 to #7, A615, grade 60, incl access. Labor</v>
          </cell>
          <cell r="C44" t="str">
            <v>Ton</v>
          </cell>
          <cell r="D44">
            <v>1E-3</v>
          </cell>
          <cell r="E44">
            <v>1600</v>
          </cell>
        </row>
        <row r="45">
          <cell r="B45" t="str">
            <v>Reinforcing steel, in place, dowels, deformed, 2' long, #4, A615, grade 60</v>
          </cell>
          <cell r="C45" t="str">
            <v>Ea.</v>
          </cell>
          <cell r="D45">
            <v>0</v>
          </cell>
          <cell r="E45">
            <v>2.35</v>
          </cell>
        </row>
        <row r="46">
          <cell r="B46" t="str">
            <v>Reinforcing steel, in place, dowels, deformed, A615, grade 60, longer and heavier, add</v>
          </cell>
          <cell r="C46" t="str">
            <v>Lb.</v>
          </cell>
          <cell r="D46">
            <v>1.78</v>
          </cell>
          <cell r="E46">
            <v>1.6</v>
          </cell>
        </row>
        <row r="47">
          <cell r="B47" t="str">
            <v>C.I.P. concrete forms, walls, modular prefabricated plywood, to 8' high, 4 use per month, includes erecting, bracing, stripping and cleaning</v>
          </cell>
          <cell r="C47" t="str">
            <v>SFCA</v>
          </cell>
          <cell r="D47">
            <v>2</v>
          </cell>
          <cell r="E47">
            <v>2.14</v>
          </cell>
        </row>
        <row r="48">
          <cell r="B48" t="str">
            <v>Structural concrete, ready mix, normal weight, 3000 psi, includes material only</v>
          </cell>
          <cell r="C48" t="str">
            <v>C.Y.</v>
          </cell>
          <cell r="D48">
            <v>3.3000000000000002E-2</v>
          </cell>
          <cell r="E48">
            <v>89</v>
          </cell>
        </row>
        <row r="49">
          <cell r="B49" t="str">
            <v>Curing, sprayed membrane compound</v>
          </cell>
          <cell r="C49" t="str">
            <v>C.S.F.</v>
          </cell>
          <cell r="D49">
            <v>2.6700000000000002E-2</v>
          </cell>
          <cell r="E49">
            <v>11.65</v>
          </cell>
        </row>
        <row r="50">
          <cell r="A50" t="str">
            <v>A033130</v>
          </cell>
          <cell r="B50" t="str">
            <v>Curb, Concrete, 6"x12"h, 3000psi, #4 @ 12" E.W., Curing compd. (LF)</v>
          </cell>
          <cell r="C50" t="str">
            <v>L.F.</v>
          </cell>
          <cell r="E50">
            <v>12.451755000000002</v>
          </cell>
          <cell r="F50">
            <v>31</v>
          </cell>
          <cell r="G50" t="str">
            <v>2.9.2</v>
          </cell>
          <cell r="H50" t="str">
            <v>Concrete</v>
          </cell>
          <cell r="I50" t="str">
            <v>RSMeans</v>
          </cell>
        </row>
        <row r="53">
          <cell r="B53" t="str">
            <v>High chairs, for reinforcing steel, individual, no plates, plain, to 3" high, includes material only</v>
          </cell>
          <cell r="C53" t="str">
            <v>C</v>
          </cell>
          <cell r="D53">
            <v>6.7000000000000002E-3</v>
          </cell>
          <cell r="E53">
            <v>71</v>
          </cell>
        </row>
        <row r="54">
          <cell r="B54" t="str">
            <v>Reinforcing steel, in place, footings, #4 to #7, A615, grade 60, incl access. Labor</v>
          </cell>
          <cell r="C54" t="str">
            <v>Ton</v>
          </cell>
          <cell r="D54">
            <v>1E-3</v>
          </cell>
          <cell r="E54">
            <v>1600</v>
          </cell>
        </row>
        <row r="55">
          <cell r="B55" t="str">
            <v>Reinforcing steel, in place, dowels, deformed, 2' long, #4, A615, grade 60</v>
          </cell>
          <cell r="C55" t="str">
            <v>Ea.</v>
          </cell>
          <cell r="D55">
            <v>0</v>
          </cell>
          <cell r="E55">
            <v>2.35</v>
          </cell>
        </row>
        <row r="56">
          <cell r="B56" t="str">
            <v>Reinforcing steel, in place, dowels, deformed, A615, grade 60, longer and heavier, add</v>
          </cell>
          <cell r="C56" t="str">
            <v>Lb.</v>
          </cell>
          <cell r="D56">
            <v>1.78</v>
          </cell>
          <cell r="E56">
            <v>1.6</v>
          </cell>
        </row>
        <row r="57">
          <cell r="B57" t="str">
            <v>C.I.P. concrete forms, walls, modular prefabricated plywood, to 8' high, 4 use per month, includes erecting, bracing, stripping and cleaning</v>
          </cell>
          <cell r="C57" t="str">
            <v>SFCA</v>
          </cell>
          <cell r="D57">
            <v>2</v>
          </cell>
          <cell r="E57">
            <v>2.14</v>
          </cell>
        </row>
        <row r="58">
          <cell r="B58" t="str">
            <v>Structural concrete, ready mix, normal weight, 3000 psi, includes material only</v>
          </cell>
          <cell r="C58" t="str">
            <v>C.Y.</v>
          </cell>
          <cell r="D58">
            <v>3.9E-2</v>
          </cell>
          <cell r="E58">
            <v>89</v>
          </cell>
        </row>
        <row r="59">
          <cell r="B59" t="str">
            <v>Curing, sprayed membrane compound</v>
          </cell>
          <cell r="C59" t="str">
            <v>C.S.F.</v>
          </cell>
          <cell r="D59">
            <v>2.6700000000000002E-2</v>
          </cell>
          <cell r="E59">
            <v>11.65</v>
          </cell>
        </row>
        <row r="60">
          <cell r="A60" t="str">
            <v>A033131</v>
          </cell>
          <cell r="B60" t="str">
            <v>Curb, Concrete, 8"x12"h, 3000psi, #4 @ 12" E.W., Curing compd. (LF)</v>
          </cell>
          <cell r="C60" t="str">
            <v>L.F.</v>
          </cell>
          <cell r="E60">
            <v>12.985755000000001</v>
          </cell>
          <cell r="F60">
            <v>31</v>
          </cell>
          <cell r="G60" t="str">
            <v>2.9.3</v>
          </cell>
          <cell r="H60" t="str">
            <v>Concrete</v>
          </cell>
          <cell r="I60" t="str">
            <v>RSMeans</v>
          </cell>
        </row>
        <row r="61">
          <cell r="A61" t="str">
            <v>A033132</v>
          </cell>
          <cell r="B61" t="str">
            <v>Curb, Concrete, Speed Bump, 3000psi, #4 @ 12" E.W., Curing compd. (LF)</v>
          </cell>
          <cell r="C61" t="str">
            <v>L.F.</v>
          </cell>
          <cell r="E61">
            <v>12.985755000000001</v>
          </cell>
          <cell r="F61">
            <v>31</v>
          </cell>
          <cell r="G61" t="str">
            <v>2.9.6</v>
          </cell>
          <cell r="H61" t="str">
            <v>Concrete</v>
          </cell>
          <cell r="I61" t="str">
            <v>RSMeans</v>
          </cell>
        </row>
        <row r="64">
          <cell r="B64" t="str">
            <v>High chairs, for reinforcing steel, individual, no plates, plain, to 3" high, includes material only</v>
          </cell>
          <cell r="C64" t="str">
            <v>C</v>
          </cell>
          <cell r="D64">
            <v>6.7000000000000002E-3</v>
          </cell>
          <cell r="E64">
            <v>71</v>
          </cell>
        </row>
        <row r="65">
          <cell r="B65" t="str">
            <v>Reinforcing steel, in place, footings, #4 to #7, A615, grade 60, incl access. Labor</v>
          </cell>
          <cell r="C65" t="str">
            <v>Ton</v>
          </cell>
          <cell r="D65">
            <v>1.2999999999999999E-3</v>
          </cell>
          <cell r="E65">
            <v>1600</v>
          </cell>
        </row>
        <row r="66">
          <cell r="B66" t="str">
            <v>Reinforcing steel, in place, dowels, deformed, 2' long, #4, A615, grade 60</v>
          </cell>
          <cell r="C66" t="str">
            <v>Ea.</v>
          </cell>
          <cell r="D66">
            <v>0</v>
          </cell>
          <cell r="E66">
            <v>2.35</v>
          </cell>
        </row>
        <row r="67">
          <cell r="B67" t="str">
            <v>Reinforcing steel, in place, dowels, deformed, A615, grade 60, longer and heavier, add</v>
          </cell>
          <cell r="C67" t="str">
            <v>Lb.</v>
          </cell>
          <cell r="D67">
            <v>2.4500000000000002</v>
          </cell>
          <cell r="E67">
            <v>1.6</v>
          </cell>
        </row>
        <row r="68">
          <cell r="B68" t="str">
            <v>C.I.P. concrete forms, walls, modular prefabricated plywood, to 8' high, 4 use per month, includes erecting, bracing, stripping and cleaning</v>
          </cell>
          <cell r="C68" t="str">
            <v>SFCA</v>
          </cell>
          <cell r="D68">
            <v>4</v>
          </cell>
          <cell r="E68">
            <v>2.14</v>
          </cell>
        </row>
        <row r="69">
          <cell r="B69" t="str">
            <v>Structural concrete, ready mix, normal weight, 3000 psi, includes material only</v>
          </cell>
          <cell r="C69" t="str">
            <v>C.Y.</v>
          </cell>
          <cell r="D69">
            <v>5.0999999999999997E-2</v>
          </cell>
          <cell r="E69">
            <v>89</v>
          </cell>
        </row>
        <row r="70">
          <cell r="B70" t="str">
            <v>Curing, sprayed membrane compound</v>
          </cell>
          <cell r="C70" t="str">
            <v>C.S.F.</v>
          </cell>
          <cell r="D70">
            <v>4.4999999999999998E-2</v>
          </cell>
          <cell r="E70">
            <v>11.65</v>
          </cell>
        </row>
        <row r="71">
          <cell r="A71" t="str">
            <v>A033133</v>
          </cell>
          <cell r="B71" t="str">
            <v>Curb, Concrete, 6"x24"h, 3000psi, #4 @ 12" E.W., Curing compd. (LF)</v>
          </cell>
          <cell r="C71" t="str">
            <v>L.F.</v>
          </cell>
          <cell r="E71">
            <v>20.098949999999999</v>
          </cell>
          <cell r="F71">
            <v>31</v>
          </cell>
          <cell r="G71" t="str">
            <v>2.9.1</v>
          </cell>
          <cell r="H71" t="str">
            <v>Concrete</v>
          </cell>
          <cell r="I71" t="str">
            <v>RSMeans</v>
          </cell>
        </row>
        <row r="74">
          <cell r="B74" t="str">
            <v>High chairs, for reinforcing steel, individual, no plates, plain, to 3" high, includes material only</v>
          </cell>
          <cell r="C74" t="str">
            <v>C</v>
          </cell>
          <cell r="D74">
            <v>6.7000000000000002E-3</v>
          </cell>
          <cell r="E74">
            <v>71</v>
          </cell>
        </row>
        <row r="75">
          <cell r="B75" t="str">
            <v>Reinforcing steel, in place, footings, #4 to #7, A615, grade 60, incl access. Labor</v>
          </cell>
          <cell r="C75" t="str">
            <v>Ton</v>
          </cell>
          <cell r="D75">
            <v>1.2999999999999999E-3</v>
          </cell>
          <cell r="E75">
            <v>1600</v>
          </cell>
        </row>
        <row r="76">
          <cell r="B76" t="str">
            <v>Reinforcing steel, in place, dowels, deformed, 2' long, #4, A615, grade 60</v>
          </cell>
          <cell r="C76" t="str">
            <v>Ea.</v>
          </cell>
          <cell r="D76">
            <v>0</v>
          </cell>
          <cell r="E76">
            <v>2.35</v>
          </cell>
        </row>
        <row r="77">
          <cell r="B77" t="str">
            <v>Reinforcing steel, in place, dowels, deformed, A615, grade 60, longer and heavier, add</v>
          </cell>
          <cell r="C77" t="str">
            <v>Lb.</v>
          </cell>
          <cell r="D77">
            <v>2.4500000000000002</v>
          </cell>
          <cell r="E77">
            <v>1.6</v>
          </cell>
        </row>
        <row r="78">
          <cell r="B78" t="str">
            <v>C.I.P. concrete forms, walls, modular prefabricated plywood, to 8' high, 4 use per month, includes erecting, bracing, stripping and cleaning</v>
          </cell>
          <cell r="C78" t="str">
            <v>SFCA</v>
          </cell>
          <cell r="D78">
            <v>4</v>
          </cell>
          <cell r="E78">
            <v>2.14</v>
          </cell>
        </row>
        <row r="79">
          <cell r="B79" t="str">
            <v>Structural concrete, ready mix, normal weight, 3000 psi, includes material only</v>
          </cell>
          <cell r="C79" t="str">
            <v>C.Y.</v>
          </cell>
          <cell r="D79">
            <v>6.4000000000000001E-2</v>
          </cell>
          <cell r="E79">
            <v>89</v>
          </cell>
        </row>
        <row r="80">
          <cell r="B80" t="str">
            <v>Curing, sprayed membrane compound</v>
          </cell>
          <cell r="C80" t="str">
            <v>C.S.F.</v>
          </cell>
          <cell r="D80">
            <v>4.7E-2</v>
          </cell>
          <cell r="E80">
            <v>11.65</v>
          </cell>
        </row>
        <row r="81">
          <cell r="A81" t="str">
            <v>A033134</v>
          </cell>
          <cell r="B81" t="str">
            <v>Curb, Concrete, 8"x24"h, 3000psi, #4 @ 12" E.W., Curing compd. (LF)</v>
          </cell>
          <cell r="C81" t="str">
            <v>L.F.</v>
          </cell>
          <cell r="E81">
            <v>21.279250000000001</v>
          </cell>
          <cell r="F81">
            <v>31</v>
          </cell>
          <cell r="G81" t="str">
            <v>2.9.5</v>
          </cell>
          <cell r="H81" t="str">
            <v>Concrete</v>
          </cell>
          <cell r="I81" t="str">
            <v>RSMeans</v>
          </cell>
        </row>
        <row r="84">
          <cell r="B84" t="str">
            <v>C.I.P. concrete forms, footing, continuous wall, plywood, 4 use, includes erecting, bracing, stripping and cleaning</v>
          </cell>
          <cell r="C84" t="str">
            <v>SFCA</v>
          </cell>
          <cell r="D84">
            <v>8.75</v>
          </cell>
          <cell r="E84">
            <v>3.45</v>
          </cell>
        </row>
        <row r="85">
          <cell r="B85" t="str">
            <v>C.I.P. concrete forms, footing, keyway, tapered wood, 2" x 4", 4 use, includes erecting, bracing, stripping and cleaning</v>
          </cell>
          <cell r="C85" t="str">
            <v>L.F.</v>
          </cell>
          <cell r="D85">
            <v>5.26</v>
          </cell>
          <cell r="E85">
            <v>0.88</v>
          </cell>
        </row>
        <row r="86">
          <cell r="B86" t="str">
            <v>C.I.P. concrete forms, footing, for keyway hung from supports, add</v>
          </cell>
          <cell r="C86" t="str">
            <v>L.F.</v>
          </cell>
          <cell r="D86">
            <v>5.26</v>
          </cell>
          <cell r="E86">
            <v>3.26</v>
          </cell>
        </row>
        <row r="87">
          <cell r="B87" t="str">
            <v>High chairs, for reinforcing steel, individual, no plates, plain, 5" high, includes material only</v>
          </cell>
          <cell r="C87" t="str">
            <v>C</v>
          </cell>
          <cell r="D87">
            <v>3.5000000000000003E-2</v>
          </cell>
          <cell r="E87">
            <v>109</v>
          </cell>
        </row>
        <row r="88">
          <cell r="B88" t="str">
            <v>High chairs, for reinforcing steel, individual, no plates, to 5" high, for plates, add, includes material only</v>
          </cell>
          <cell r="C88" t="str">
            <v>C</v>
          </cell>
          <cell r="D88">
            <v>3.5000000000000003E-2</v>
          </cell>
          <cell r="E88">
            <v>310</v>
          </cell>
        </row>
        <row r="89">
          <cell r="B89" t="str">
            <v>Reinforcing steel, in place, footings, #4 to #7, A615, grade 60, incl access. Labor</v>
          </cell>
          <cell r="C89" t="str">
            <v>Ton</v>
          </cell>
          <cell r="D89">
            <v>3.9899999999999998E-2</v>
          </cell>
          <cell r="E89">
            <v>1600</v>
          </cell>
        </row>
        <row r="90">
          <cell r="B90" t="str">
            <v>Reinforcing steel, in place, dowels, deformed, A615, grade 60, longer and heavier, add</v>
          </cell>
          <cell r="C90" t="str">
            <v>Lb.</v>
          </cell>
          <cell r="D90">
            <v>48</v>
          </cell>
          <cell r="E90">
            <v>1.6</v>
          </cell>
        </row>
        <row r="91">
          <cell r="B91" t="str">
            <v>Structural concrete, ready mix, normal weight, 3000 psi, includes material only</v>
          </cell>
          <cell r="C91" t="str">
            <v>C.Y.</v>
          </cell>
          <cell r="D91">
            <v>1</v>
          </cell>
          <cell r="E91">
            <v>89</v>
          </cell>
        </row>
        <row r="92">
          <cell r="B92" t="str">
            <v>Structural concrete, placing, continuous footing, shallow, direct chute, includes vibrating, excludes material</v>
          </cell>
          <cell r="C92" t="str">
            <v>C.Y.</v>
          </cell>
          <cell r="D92">
            <v>1</v>
          </cell>
          <cell r="E92">
            <v>15.05</v>
          </cell>
        </row>
        <row r="93">
          <cell r="B93" t="str">
            <v>Curing, sprayed membrane compound</v>
          </cell>
          <cell r="C93" t="str">
            <v>C.S.F.</v>
          </cell>
          <cell r="D93">
            <v>0.81</v>
          </cell>
          <cell r="E93">
            <v>11.65</v>
          </cell>
        </row>
        <row r="94">
          <cell r="A94" t="str">
            <v>A033070</v>
          </cell>
          <cell r="B94" t="str">
            <v>Concrete Footing, 10" thick, &gt; 3' wide, reinforced, #4 &amp; #5</v>
          </cell>
          <cell r="C94" t="str">
            <v>C.Y.</v>
          </cell>
          <cell r="E94">
            <v>320.75540000000007</v>
          </cell>
          <cell r="F94">
            <v>31</v>
          </cell>
          <cell r="G94" t="str">
            <v>2.11.1</v>
          </cell>
          <cell r="H94" t="str">
            <v>Conc_Walls</v>
          </cell>
          <cell r="I94" t="str">
            <v>RSMeans</v>
          </cell>
        </row>
        <row r="97">
          <cell r="B97" t="str">
            <v>C.I.P. concrete forms, footing, continuous wall, plywood, 4 use, includes erecting, bracing, stripping and cleaning</v>
          </cell>
          <cell r="C97" t="str">
            <v>SFCA</v>
          </cell>
          <cell r="D97">
            <v>27</v>
          </cell>
          <cell r="E97">
            <v>3.45</v>
          </cell>
        </row>
        <row r="98">
          <cell r="B98" t="str">
            <v>C.I.P. concrete forms, footing, keyway, tapered wood, 2" x 4", 4 use, includes erecting, bracing, stripping and cleaning</v>
          </cell>
          <cell r="C98" t="str">
            <v>L.F.</v>
          </cell>
          <cell r="D98">
            <v>16.2</v>
          </cell>
          <cell r="E98">
            <v>0.88</v>
          </cell>
        </row>
        <row r="99">
          <cell r="B99" t="str">
            <v>C.I.P. concrete forms, footing, for keyway hung from supports, add</v>
          </cell>
          <cell r="C99" t="str">
            <v>L.F.</v>
          </cell>
          <cell r="D99">
            <v>16.2</v>
          </cell>
          <cell r="E99">
            <v>3.26</v>
          </cell>
        </row>
        <row r="100">
          <cell r="B100" t="str">
            <v>High chairs, for reinforcing steel, individual, no plates, plain, 5" high, includes material only</v>
          </cell>
          <cell r="C100" t="str">
            <v>C</v>
          </cell>
          <cell r="D100">
            <v>0</v>
          </cell>
          <cell r="E100">
            <v>109</v>
          </cell>
        </row>
        <row r="101">
          <cell r="B101" t="str">
            <v>High chairs, for reinforcing steel, individual, no plates, to 5" high, for plates, add, includes material only</v>
          </cell>
          <cell r="C101" t="str">
            <v>C</v>
          </cell>
          <cell r="D101">
            <v>0</v>
          </cell>
          <cell r="E101">
            <v>310</v>
          </cell>
        </row>
        <row r="102">
          <cell r="B102" t="str">
            <v>Reinforcing steel, in place, footings, #4 to #7, A615, grade 60, incl access. Labor</v>
          </cell>
          <cell r="C102" t="str">
            <v>Ton</v>
          </cell>
          <cell r="D102">
            <v>2.0400000000000001E-2</v>
          </cell>
          <cell r="E102">
            <v>1600</v>
          </cell>
        </row>
        <row r="103">
          <cell r="B103" t="str">
            <v>Reinforcing steel, in place, dowels, deformed, 2' long, #4, A615, grade 60</v>
          </cell>
          <cell r="C103" t="str">
            <v>Ea.</v>
          </cell>
          <cell r="D103">
            <v>17.2</v>
          </cell>
          <cell r="E103">
            <v>2.35</v>
          </cell>
        </row>
        <row r="104">
          <cell r="B104" t="str">
            <v>Structural concrete, ready mix, normal weight, 3000 psi, includes material only</v>
          </cell>
          <cell r="C104" t="str">
            <v>C.Y.</v>
          </cell>
          <cell r="D104">
            <v>1</v>
          </cell>
          <cell r="E104">
            <v>89</v>
          </cell>
        </row>
        <row r="105">
          <cell r="B105" t="str">
            <v>Structural concrete, placing, continuous footing, shallow, direct chute, includes vibrating, excludes material</v>
          </cell>
          <cell r="C105" t="str">
            <v>C.Y.</v>
          </cell>
          <cell r="D105">
            <v>1</v>
          </cell>
          <cell r="E105">
            <v>15.05</v>
          </cell>
        </row>
        <row r="106">
          <cell r="B106" t="str">
            <v>Curing, sprayed membrane compound</v>
          </cell>
          <cell r="C106" t="str">
            <v>C.S.F.</v>
          </cell>
          <cell r="D106">
            <v>0.81</v>
          </cell>
          <cell r="E106">
            <v>11.65</v>
          </cell>
        </row>
        <row r="107">
          <cell r="A107" t="str">
            <v>A033071</v>
          </cell>
          <cell r="B107" t="str">
            <v>Concrete Footing, 10" thick, &lt; 3' wide, reinforced, #4 E.W. Typ.</v>
          </cell>
          <cell r="C107" t="str">
            <v>C.Y.</v>
          </cell>
          <cell r="E107">
            <v>346.76450000000006</v>
          </cell>
          <cell r="F107">
            <v>31</v>
          </cell>
          <cell r="G107" t="str">
            <v>2.11.2</v>
          </cell>
          <cell r="H107" t="str">
            <v>Conc_Walls</v>
          </cell>
          <cell r="I107" t="str">
            <v>RSMeans</v>
          </cell>
        </row>
        <row r="110">
          <cell r="B110" t="str">
            <v>C.I.P. concrete forms, walls, modular prefabricated plywood, to 8' high, 2 use per month, includes erecting, bracing, stripping and cleaning</v>
          </cell>
          <cell r="C110" t="str">
            <v>SFCA</v>
          </cell>
          <cell r="D110">
            <v>81</v>
          </cell>
          <cell r="E110">
            <v>2.63</v>
          </cell>
        </row>
        <row r="111">
          <cell r="B111" t="str">
            <v>Reinforcing steel, in place, walls, #3 to #7, A615, grade 60, incl access. Labor</v>
          </cell>
          <cell r="C111" t="str">
            <v>Ton</v>
          </cell>
          <cell r="D111">
            <v>2.7054000000000002E-2</v>
          </cell>
          <cell r="E111">
            <v>1375</v>
          </cell>
        </row>
        <row r="112">
          <cell r="B112" t="str">
            <v>Structural concrete, ready mix, normal weight, 3000 psi, includes material only</v>
          </cell>
          <cell r="C112" t="str">
            <v>C.Y.</v>
          </cell>
          <cell r="D112">
            <v>1</v>
          </cell>
          <cell r="E112">
            <v>89</v>
          </cell>
        </row>
        <row r="113">
          <cell r="B113" t="str">
            <v>Structural concrete, placing, walls, direct chute, 8" thick, includes vibrating, excludes material</v>
          </cell>
          <cell r="C113" t="str">
            <v>C.Y.</v>
          </cell>
          <cell r="D113">
            <v>1</v>
          </cell>
          <cell r="E113">
            <v>20</v>
          </cell>
        </row>
        <row r="114">
          <cell r="B114" t="str">
            <v>Concrete finishing, walls, includes breaking ties and patching voids</v>
          </cell>
          <cell r="C114" t="str">
            <v>S.F.</v>
          </cell>
          <cell r="D114">
            <v>0</v>
          </cell>
          <cell r="E114">
            <v>0.64</v>
          </cell>
        </row>
        <row r="115">
          <cell r="B115" t="str">
            <v>Curing, sprayed membrane compound</v>
          </cell>
          <cell r="C115" t="str">
            <v>C.S.F.</v>
          </cell>
          <cell r="D115">
            <v>0.81</v>
          </cell>
          <cell r="E115">
            <v>11.65</v>
          </cell>
        </row>
        <row r="116">
          <cell r="A116" t="str">
            <v>A033010</v>
          </cell>
          <cell r="B116" t="str">
            <v>4'-8' Conc. Wall, 3000 psi, 8" thick, #4@12" E.W., Chute, Curing Compound</v>
          </cell>
          <cell r="C116" t="str">
            <v>C.Y.</v>
          </cell>
          <cell r="E116">
            <v>368.66575</v>
          </cell>
          <cell r="F116">
            <v>31</v>
          </cell>
          <cell r="G116" t="str">
            <v>2.10.1</v>
          </cell>
          <cell r="H116" t="str">
            <v>Conc_Walls</v>
          </cell>
          <cell r="I116" t="str">
            <v>RSMeans</v>
          </cell>
        </row>
        <row r="119">
          <cell r="B119" t="str">
            <v>C.I.P. concrete forms, walls, modular prefabricated plywood, to 8' high, 2 use per month, includes erecting, bracing, stripping and cleaning</v>
          </cell>
          <cell r="C119" t="str">
            <v>SFCA</v>
          </cell>
          <cell r="D119">
            <v>81</v>
          </cell>
          <cell r="E119">
            <v>2.63</v>
          </cell>
        </row>
        <row r="120">
          <cell r="B120" t="str">
            <v>Reinforcing steel, in place, walls, #3 to #7, A615, grade 60, incl access. Labor</v>
          </cell>
          <cell r="C120" t="str">
            <v>Ton</v>
          </cell>
          <cell r="D120">
            <v>4.2241000000000001E-2</v>
          </cell>
          <cell r="E120">
            <v>1375</v>
          </cell>
        </row>
        <row r="121">
          <cell r="B121" t="str">
            <v>Structural concrete, ready mix, normal weight, 3000 psi, includes material only</v>
          </cell>
          <cell r="C121" t="str">
            <v>C.Y.</v>
          </cell>
          <cell r="D121">
            <v>1</v>
          </cell>
          <cell r="E121">
            <v>89</v>
          </cell>
        </row>
        <row r="122">
          <cell r="B122" t="str">
            <v>Structural concrete, placing, walls, direct chute, 8" thick, includes vibrating, excludes material</v>
          </cell>
          <cell r="C122" t="str">
            <v>C.Y.</v>
          </cell>
          <cell r="D122">
            <v>1</v>
          </cell>
          <cell r="E122">
            <v>20</v>
          </cell>
        </row>
        <row r="123">
          <cell r="B123" t="str">
            <v>Concrete finishing, walls, includes breaking ties and patching voids</v>
          </cell>
          <cell r="C123" t="str">
            <v>S.F.</v>
          </cell>
          <cell r="D123">
            <v>0</v>
          </cell>
          <cell r="E123">
            <v>0.64</v>
          </cell>
        </row>
        <row r="124">
          <cell r="B124" t="str">
            <v>Curing, sprayed membrane compound</v>
          </cell>
          <cell r="C124" t="str">
            <v>C.S.F.</v>
          </cell>
          <cell r="D124">
            <v>0.81</v>
          </cell>
          <cell r="E124">
            <v>11.65</v>
          </cell>
        </row>
        <row r="125">
          <cell r="A125" t="str">
            <v>A033011</v>
          </cell>
          <cell r="B125" t="str">
            <v>4'-8' Conc. Wall, 3000 psi, 8" thick, #5@12" E.W., Chute, Curing Compound</v>
          </cell>
          <cell r="C125" t="str">
            <v>C.Y.</v>
          </cell>
          <cell r="E125">
            <v>389.54787500000003</v>
          </cell>
          <cell r="F125">
            <v>31</v>
          </cell>
          <cell r="G125" t="str">
            <v>2.10.2</v>
          </cell>
          <cell r="H125" t="str">
            <v>Conc_Walls</v>
          </cell>
          <cell r="I125" t="str">
            <v>RSMeans</v>
          </cell>
        </row>
        <row r="128">
          <cell r="B128" t="str">
            <v>C.I.P. concrete forms, walls, modular prefabricated plywood, to 8' high, 2 use per month, includes erecting, bracing, stripping and cleaning</v>
          </cell>
          <cell r="C128" t="str">
            <v>SFCA</v>
          </cell>
          <cell r="D128">
            <v>81</v>
          </cell>
          <cell r="E128">
            <v>2.63</v>
          </cell>
        </row>
        <row r="129">
          <cell r="B129" t="str">
            <v>Reinforcing steel, in place, walls, #3 to #7, A615, grade 60, incl access. Labor</v>
          </cell>
          <cell r="C129" t="str">
            <v>Ton</v>
          </cell>
          <cell r="D129">
            <v>4.0580999999999999E-2</v>
          </cell>
          <cell r="E129">
            <v>1375</v>
          </cell>
        </row>
        <row r="130">
          <cell r="B130" t="str">
            <v>Structural concrete, ready mix, normal weight, 3000 psi, includes material only</v>
          </cell>
          <cell r="C130" t="str">
            <v>C.Y.</v>
          </cell>
          <cell r="D130">
            <v>1</v>
          </cell>
          <cell r="E130">
            <v>89</v>
          </cell>
        </row>
        <row r="131">
          <cell r="B131" t="str">
            <v>Structural concrete, placing, walls, direct chute, 8" thick, includes vibrating, excludes material</v>
          </cell>
          <cell r="C131" t="str">
            <v>C.Y.</v>
          </cell>
          <cell r="D131">
            <v>1</v>
          </cell>
          <cell r="E131">
            <v>20</v>
          </cell>
        </row>
        <row r="132">
          <cell r="B132" t="str">
            <v>Concrete finishing, walls, includes breaking ties and patching voids</v>
          </cell>
          <cell r="C132" t="str">
            <v>S.F.</v>
          </cell>
          <cell r="D132">
            <v>0</v>
          </cell>
          <cell r="E132">
            <v>0.64</v>
          </cell>
        </row>
        <row r="133">
          <cell r="B133" t="str">
            <v>Curing, sprayed membrane compound</v>
          </cell>
          <cell r="C133" t="str">
            <v>C.S.F.</v>
          </cell>
          <cell r="D133">
            <v>0.81</v>
          </cell>
          <cell r="E133">
            <v>11.65</v>
          </cell>
        </row>
        <row r="134">
          <cell r="A134" t="str">
            <v>A033012</v>
          </cell>
          <cell r="B134" t="str">
            <v>4'-8' Conc. Wall, 3000 psi, 8" thick, #4@12" V, #4@6" H, Chute, Curing Compd.</v>
          </cell>
          <cell r="C134" t="str">
            <v>C.Y.</v>
          </cell>
          <cell r="E134">
            <v>387.26537500000001</v>
          </cell>
          <cell r="F134">
            <v>31</v>
          </cell>
          <cell r="G134" t="str">
            <v>2.10.3</v>
          </cell>
          <cell r="H134" t="str">
            <v>Conc_Walls</v>
          </cell>
          <cell r="I134" t="str">
            <v>RSMeans</v>
          </cell>
        </row>
        <row r="137">
          <cell r="B137" t="str">
            <v>C.I.P. concrete forms, walls, modular prefabricated plywood, to 8' high, 2 use per month, includes erecting, bracing, stripping and cleaning</v>
          </cell>
          <cell r="C137" t="str">
            <v>SFCA</v>
          </cell>
          <cell r="D137">
            <v>81</v>
          </cell>
          <cell r="E137">
            <v>2.63</v>
          </cell>
        </row>
        <row r="138">
          <cell r="B138" t="str">
            <v>Reinforcing steel, in place, walls, #3 to #7, A615, grade 60, incl access. Labor</v>
          </cell>
          <cell r="C138" t="str">
            <v>Ton</v>
          </cell>
          <cell r="D138">
            <v>6.3362000000000002E-2</v>
          </cell>
          <cell r="E138">
            <v>1375</v>
          </cell>
        </row>
        <row r="139">
          <cell r="B139" t="str">
            <v>Structural concrete, ready mix, normal weight, 3000 psi, includes material only</v>
          </cell>
          <cell r="C139" t="str">
            <v>C.Y.</v>
          </cell>
          <cell r="D139">
            <v>1</v>
          </cell>
          <cell r="E139">
            <v>89</v>
          </cell>
        </row>
        <row r="140">
          <cell r="B140" t="str">
            <v>Structural concrete, placing, walls, direct chute, 8" thick, includes vibrating, excludes material</v>
          </cell>
          <cell r="C140" t="str">
            <v>C.Y.</v>
          </cell>
          <cell r="D140">
            <v>1</v>
          </cell>
          <cell r="E140">
            <v>20</v>
          </cell>
        </row>
        <row r="141">
          <cell r="B141" t="str">
            <v>Concrete finishing, walls, includes breaking ties and patching voids</v>
          </cell>
          <cell r="C141" t="str">
            <v>S.F.</v>
          </cell>
          <cell r="D141">
            <v>0</v>
          </cell>
          <cell r="E141">
            <v>0.64</v>
          </cell>
        </row>
        <row r="142">
          <cell r="B142" t="str">
            <v>Curing, sprayed membrane compound</v>
          </cell>
          <cell r="C142" t="str">
            <v>C.S.F.</v>
          </cell>
          <cell r="D142">
            <v>0.81</v>
          </cell>
          <cell r="E142">
            <v>11.65</v>
          </cell>
        </row>
        <row r="143">
          <cell r="A143" t="str">
            <v>A033013</v>
          </cell>
          <cell r="B143" t="str">
            <v>4'-8' Conc. Wall, 3000 psi, 8" thick, #5@12" V, #5@6" H, Chute, Curing Compd.</v>
          </cell>
          <cell r="C143" t="str">
            <v>C.Y.</v>
          </cell>
          <cell r="E143">
            <v>418.58924999999999</v>
          </cell>
          <cell r="F143">
            <v>31</v>
          </cell>
          <cell r="G143" t="str">
            <v>2.10.4</v>
          </cell>
          <cell r="H143" t="str">
            <v>Conc_Walls</v>
          </cell>
          <cell r="I143" t="str">
            <v>RSMeans</v>
          </cell>
        </row>
        <row r="146">
          <cell r="B146" t="str">
            <v>C.I.P. concrete forms, walls, modular prefabricated plywood, to 8' high, 2 use per month, includes erecting, bracing, stripping and cleaning</v>
          </cell>
          <cell r="C146" t="str">
            <v>SFCA</v>
          </cell>
          <cell r="D146">
            <v>81</v>
          </cell>
          <cell r="E146">
            <v>2.63</v>
          </cell>
        </row>
        <row r="147">
          <cell r="B147" t="str">
            <v>Reinforcing steel, in place, walls, #3 to #7, A615, grade 60, incl access. Labor</v>
          </cell>
          <cell r="C147" t="str">
            <v>Ton</v>
          </cell>
          <cell r="D147">
            <v>2.7054000000000002E-2</v>
          </cell>
          <cell r="E147">
            <v>1375</v>
          </cell>
        </row>
        <row r="148">
          <cell r="B148" t="str">
            <v>Structural concrete, ready mix, normal weight, 4000 PSI, includes material only</v>
          </cell>
          <cell r="C148" t="str">
            <v>C.Y.</v>
          </cell>
          <cell r="D148">
            <v>1</v>
          </cell>
          <cell r="E148">
            <v>92.5</v>
          </cell>
        </row>
        <row r="149">
          <cell r="B149" t="str">
            <v>Structural concrete, placing, walls, direct chute, 8" thick, includes vibrating, excludes material</v>
          </cell>
          <cell r="C149" t="str">
            <v>C.Y.</v>
          </cell>
          <cell r="D149">
            <v>1</v>
          </cell>
          <cell r="E149">
            <v>20</v>
          </cell>
        </row>
        <row r="150">
          <cell r="B150" t="str">
            <v>Concrete finishing, walls, includes breaking ties and patching voids</v>
          </cell>
          <cell r="C150" t="str">
            <v>S.F.</v>
          </cell>
          <cell r="D150">
            <v>0</v>
          </cell>
          <cell r="E150">
            <v>0.64</v>
          </cell>
        </row>
        <row r="151">
          <cell r="B151" t="str">
            <v>Curing, sprayed membrane compound</v>
          </cell>
          <cell r="C151" t="str">
            <v>C.S.F.</v>
          </cell>
          <cell r="D151">
            <v>0.81</v>
          </cell>
          <cell r="E151">
            <v>11.65</v>
          </cell>
        </row>
        <row r="152">
          <cell r="A152" t="str">
            <v>A033014</v>
          </cell>
          <cell r="B152" t="str">
            <v>4'-8' Conc. Wall, 4000 psi, 8" thick, #4@12" E.W., Chute, Curing Compound</v>
          </cell>
          <cell r="C152" t="str">
            <v>C.Y.</v>
          </cell>
          <cell r="E152">
            <v>372.16575</v>
          </cell>
          <cell r="F152">
            <v>31</v>
          </cell>
          <cell r="G152" t="str">
            <v>2.10.5</v>
          </cell>
          <cell r="H152" t="str">
            <v>Conc_Walls</v>
          </cell>
          <cell r="I152" t="str">
            <v>RSMeans</v>
          </cell>
        </row>
        <row r="155">
          <cell r="B155" t="str">
            <v>C.I.P. concrete forms, walls, modular prefabricated plywood, to 8' high, 2 use per month, includes erecting, bracing, stripping and cleaning</v>
          </cell>
          <cell r="C155" t="str">
            <v>SFCA</v>
          </cell>
          <cell r="D155">
            <v>81</v>
          </cell>
          <cell r="E155">
            <v>2.63</v>
          </cell>
        </row>
        <row r="156">
          <cell r="B156" t="str">
            <v>Reinforcing steel, in place, walls, #3 to #7, A615, grade 60, incl access. Labor</v>
          </cell>
          <cell r="C156" t="str">
            <v>Ton</v>
          </cell>
          <cell r="D156">
            <v>4.2241000000000001E-2</v>
          </cell>
          <cell r="E156">
            <v>1375</v>
          </cell>
        </row>
        <row r="157">
          <cell r="B157" t="str">
            <v>Structural concrete, ready mix, normal weight, 4000 PSI, includes material only</v>
          </cell>
          <cell r="C157" t="str">
            <v>C.Y.</v>
          </cell>
          <cell r="D157">
            <v>1</v>
          </cell>
          <cell r="E157">
            <v>92.5</v>
          </cell>
        </row>
        <row r="158">
          <cell r="B158" t="str">
            <v>Structural concrete, placing, walls, direct chute, 8" thick, includes vibrating, excludes material</v>
          </cell>
          <cell r="C158" t="str">
            <v>C.Y.</v>
          </cell>
          <cell r="D158">
            <v>1</v>
          </cell>
          <cell r="E158">
            <v>20</v>
          </cell>
        </row>
        <row r="159">
          <cell r="B159" t="str">
            <v>Concrete finishing, walls, includes breaking ties and patching voids</v>
          </cell>
          <cell r="C159" t="str">
            <v>S.F.</v>
          </cell>
          <cell r="D159">
            <v>0</v>
          </cell>
          <cell r="E159">
            <v>0.64</v>
          </cell>
        </row>
        <row r="160">
          <cell r="B160" t="str">
            <v>Curing, sprayed membrane compound</v>
          </cell>
          <cell r="C160" t="str">
            <v>C.S.F.</v>
          </cell>
          <cell r="D160">
            <v>0.81</v>
          </cell>
          <cell r="E160">
            <v>11.65</v>
          </cell>
        </row>
        <row r="161">
          <cell r="A161" t="str">
            <v>A033015</v>
          </cell>
          <cell r="B161" t="str">
            <v>4'-8' Conc. Wall, 4000 psi, 8" thick, #5@12" E.W., Chute, Curing Compound</v>
          </cell>
          <cell r="C161" t="str">
            <v>C.Y.</v>
          </cell>
          <cell r="E161">
            <v>393.04787500000003</v>
          </cell>
          <cell r="F161">
            <v>31</v>
          </cell>
          <cell r="G161" t="str">
            <v>2.10.6</v>
          </cell>
          <cell r="H161" t="str">
            <v>Conc_Walls</v>
          </cell>
          <cell r="I161" t="str">
            <v>RSMeans</v>
          </cell>
        </row>
        <row r="164">
          <cell r="B164" t="str">
            <v>C.I.P. concrete forms, walls, modular prefabricated plywood, to 8' high, 2 use per month, includes erecting, bracing, stripping and cleaning</v>
          </cell>
          <cell r="C164" t="str">
            <v>SFCA</v>
          </cell>
          <cell r="D164">
            <v>81</v>
          </cell>
          <cell r="E164">
            <v>2.63</v>
          </cell>
        </row>
        <row r="165">
          <cell r="B165" t="str">
            <v>Reinforcing steel, in place, walls, #3 to #7, A615, grade 60, incl access. Labor</v>
          </cell>
          <cell r="C165" t="str">
            <v>Ton</v>
          </cell>
          <cell r="D165">
            <v>4.0580999999999999E-2</v>
          </cell>
          <cell r="E165">
            <v>1375</v>
          </cell>
        </row>
        <row r="166">
          <cell r="B166" t="str">
            <v>Structural concrete, ready mix, normal weight, 4000 PSI, includes material only</v>
          </cell>
          <cell r="C166" t="str">
            <v>C.Y.</v>
          </cell>
          <cell r="D166">
            <v>1</v>
          </cell>
          <cell r="E166">
            <v>92.5</v>
          </cell>
        </row>
        <row r="167">
          <cell r="B167" t="str">
            <v>Structural concrete, placing, walls, direct chute, 8" thick, includes vibrating, excludes material</v>
          </cell>
          <cell r="C167" t="str">
            <v>C.Y.</v>
          </cell>
          <cell r="D167">
            <v>1</v>
          </cell>
          <cell r="E167">
            <v>20</v>
          </cell>
        </row>
        <row r="168">
          <cell r="B168" t="str">
            <v>Concrete finishing, walls, includes breaking ties and patching voids</v>
          </cell>
          <cell r="C168" t="str">
            <v>S.F.</v>
          </cell>
          <cell r="D168">
            <v>0</v>
          </cell>
          <cell r="E168">
            <v>0.64</v>
          </cell>
        </row>
        <row r="169">
          <cell r="B169" t="str">
            <v>Curing, sprayed membrane compound</v>
          </cell>
          <cell r="C169" t="str">
            <v>C.S.F.</v>
          </cell>
          <cell r="D169">
            <v>0.81</v>
          </cell>
          <cell r="E169">
            <v>11.65</v>
          </cell>
        </row>
        <row r="170">
          <cell r="A170" t="str">
            <v>A033016</v>
          </cell>
          <cell r="B170" t="str">
            <v>4'-8' Conc. Wall, 4000 psi, 8" thick, #4@12" V, #4@6" H, Chute, Curing Compd.</v>
          </cell>
          <cell r="C170" t="str">
            <v>C.Y.</v>
          </cell>
          <cell r="E170">
            <v>390.76537500000001</v>
          </cell>
          <cell r="F170">
            <v>31</v>
          </cell>
          <cell r="G170" t="str">
            <v>2.10.7</v>
          </cell>
          <cell r="H170" t="str">
            <v>Conc_Walls</v>
          </cell>
          <cell r="I170" t="str">
            <v>RSMeans</v>
          </cell>
        </row>
        <row r="173">
          <cell r="B173" t="str">
            <v>C.I.P. concrete forms, walls, modular prefabricated plywood, to 8' high, 2 use per month, includes erecting, bracing, stripping and cleaning</v>
          </cell>
          <cell r="C173" t="str">
            <v>SFCA</v>
          </cell>
          <cell r="D173">
            <v>81</v>
          </cell>
          <cell r="E173">
            <v>2.63</v>
          </cell>
        </row>
        <row r="174">
          <cell r="B174" t="str">
            <v>Reinforcing steel, in place, walls, #3 to #7, A615, grade 60, incl access. Labor</v>
          </cell>
          <cell r="C174" t="str">
            <v>Ton</v>
          </cell>
          <cell r="D174">
            <v>6.3362000000000002E-2</v>
          </cell>
          <cell r="E174">
            <v>1375</v>
          </cell>
        </row>
        <row r="175">
          <cell r="B175" t="str">
            <v>Structural concrete, ready mix, normal weight, 4000 PSI, includes material only</v>
          </cell>
          <cell r="C175" t="str">
            <v>C.Y.</v>
          </cell>
          <cell r="D175">
            <v>1</v>
          </cell>
          <cell r="E175">
            <v>92.5</v>
          </cell>
        </row>
        <row r="176">
          <cell r="B176" t="str">
            <v>Structural concrete, placing, walls, direct chute, 8" thick, includes vibrating, excludes material</v>
          </cell>
          <cell r="C176" t="str">
            <v>C.Y.</v>
          </cell>
          <cell r="D176">
            <v>1</v>
          </cell>
          <cell r="E176">
            <v>20</v>
          </cell>
        </row>
        <row r="177">
          <cell r="B177" t="str">
            <v>Concrete finishing, walls, includes breaking ties and patching voids</v>
          </cell>
          <cell r="C177" t="str">
            <v>S.F.</v>
          </cell>
          <cell r="D177">
            <v>0</v>
          </cell>
          <cell r="E177">
            <v>0.64</v>
          </cell>
        </row>
        <row r="178">
          <cell r="B178" t="str">
            <v>Curing, sprayed membrane compound</v>
          </cell>
          <cell r="C178" t="str">
            <v>C.S.F.</v>
          </cell>
          <cell r="D178">
            <v>0.81</v>
          </cell>
          <cell r="E178">
            <v>11.65</v>
          </cell>
        </row>
        <row r="179">
          <cell r="A179" t="str">
            <v>A033017</v>
          </cell>
          <cell r="B179" t="str">
            <v>4'-8' Conc. Wall, 4000 psi, 8" thick, #5@12" V, #5@6" H, Chute, Curing Compd.</v>
          </cell>
          <cell r="C179" t="str">
            <v>C.Y.</v>
          </cell>
          <cell r="E179">
            <v>422.08924999999999</v>
          </cell>
          <cell r="F179">
            <v>31</v>
          </cell>
          <cell r="G179" t="str">
            <v>2.10.8</v>
          </cell>
          <cell r="H179" t="str">
            <v>Conc_Walls</v>
          </cell>
          <cell r="I179" t="str">
            <v>RSMeans</v>
          </cell>
        </row>
        <row r="182">
          <cell r="B182" t="str">
            <v>C.I.P. concrete forms, walls, modular prefabricated plywood, over 8' to 16' high, 2 use per month, includes erecting, bracing, stripping and cleaning</v>
          </cell>
          <cell r="C182" t="str">
            <v>SFCA</v>
          </cell>
          <cell r="D182">
            <v>64.8</v>
          </cell>
          <cell r="E182">
            <v>3.93</v>
          </cell>
        </row>
        <row r="183">
          <cell r="B183" t="str">
            <v>Reinforcing steel, in place, walls, #3 to #7, A615, grade 60, incl access. Labor</v>
          </cell>
          <cell r="C183" t="str">
            <v>Ton</v>
          </cell>
          <cell r="D183">
            <v>2.1399999999999999E-2</v>
          </cell>
          <cell r="E183">
            <v>1375</v>
          </cell>
        </row>
        <row r="184">
          <cell r="B184" t="str">
            <v>Structural concrete, ready mix, normal weight, 3000 psi, includes material only</v>
          </cell>
          <cell r="C184" t="str">
            <v>C.Y.</v>
          </cell>
          <cell r="D184">
            <v>1</v>
          </cell>
          <cell r="E184">
            <v>89</v>
          </cell>
        </row>
        <row r="185">
          <cell r="B185" t="str">
            <v>Structural concrete, placing, walls, direct chute, 8" thick, includes vibrating, excludes material</v>
          </cell>
          <cell r="C185" t="str">
            <v>C.Y.</v>
          </cell>
          <cell r="D185">
            <v>1</v>
          </cell>
          <cell r="E185">
            <v>20</v>
          </cell>
        </row>
        <row r="186">
          <cell r="B186" t="str">
            <v>Concrete finishing, walls, includes breaking ties and patching voids</v>
          </cell>
          <cell r="C186" t="str">
            <v>S.F.</v>
          </cell>
          <cell r="D186">
            <v>0</v>
          </cell>
          <cell r="E186">
            <v>0.64</v>
          </cell>
        </row>
        <row r="187">
          <cell r="B187" t="str">
            <v>Curing, sprayed membrane compound</v>
          </cell>
          <cell r="C187" t="str">
            <v>C.S.F.</v>
          </cell>
          <cell r="D187">
            <v>0.64800000000000002</v>
          </cell>
          <cell r="E187">
            <v>11.65</v>
          </cell>
        </row>
        <row r="188">
          <cell r="A188" t="str">
            <v>A033030</v>
          </cell>
          <cell r="B188" t="str">
            <v>10' Conc. Wall, 3000 psi, 10" thick, #4@12" E.W., Chute, Curing Compound</v>
          </cell>
          <cell r="C188" t="str">
            <v>C.Y.</v>
          </cell>
          <cell r="E188">
            <v>400.63819999999998</v>
          </cell>
          <cell r="F188">
            <v>31</v>
          </cell>
          <cell r="G188" t="str">
            <v>2.10.9</v>
          </cell>
          <cell r="H188" t="str">
            <v>Conc_Walls</v>
          </cell>
          <cell r="I188" t="str">
            <v>RSMeans</v>
          </cell>
        </row>
        <row r="191">
          <cell r="B191" t="str">
            <v>C.I.P. concrete forms, walls, modular prefabricated plywood, over 8' to 16' high, 2 use per month, includes erecting, bracing, stripping and cleaning</v>
          </cell>
          <cell r="C191" t="str">
            <v>SFCA</v>
          </cell>
          <cell r="D191">
            <v>64.8</v>
          </cell>
          <cell r="E191">
            <v>3.93</v>
          </cell>
        </row>
        <row r="192">
          <cell r="B192" t="str">
            <v>Reinforcing steel, in place, walls, #3 to #7, A615, grade 60, incl access. Labor</v>
          </cell>
          <cell r="C192" t="str">
            <v>Ton</v>
          </cell>
          <cell r="D192">
            <v>3.4000000000000002E-2</v>
          </cell>
          <cell r="E192">
            <v>1375</v>
          </cell>
        </row>
        <row r="193">
          <cell r="B193" t="str">
            <v>Structural concrete, ready mix, normal weight, 3000 psi, includes material only</v>
          </cell>
          <cell r="C193" t="str">
            <v>C.Y.</v>
          </cell>
          <cell r="D193">
            <v>1</v>
          </cell>
          <cell r="E193">
            <v>89</v>
          </cell>
        </row>
        <row r="194">
          <cell r="B194" t="str">
            <v>Structural concrete, placing, walls, direct chute, 8" thick, includes vibrating, excludes material</v>
          </cell>
          <cell r="C194" t="str">
            <v>C.Y.</v>
          </cell>
          <cell r="D194">
            <v>1</v>
          </cell>
          <cell r="E194">
            <v>20</v>
          </cell>
        </row>
        <row r="195">
          <cell r="B195" t="str">
            <v>Concrete finishing, walls, includes breaking ties and patching voids</v>
          </cell>
          <cell r="C195" t="str">
            <v>S.F.</v>
          </cell>
          <cell r="D195">
            <v>0</v>
          </cell>
          <cell r="E195">
            <v>0.64</v>
          </cell>
        </row>
        <row r="196">
          <cell r="B196" t="str">
            <v>Curing, sprayed membrane compound</v>
          </cell>
          <cell r="C196" t="str">
            <v>C.S.F.</v>
          </cell>
          <cell r="D196">
            <v>0.64800000000000002</v>
          </cell>
          <cell r="E196">
            <v>11.65</v>
          </cell>
        </row>
        <row r="197">
          <cell r="A197" t="str">
            <v>A033031</v>
          </cell>
          <cell r="B197" t="str">
            <v>10' Conc. Wall, 3000 psi, 10" thick, #5@12" E.W., Chute, Curing Compound</v>
          </cell>
          <cell r="C197" t="str">
            <v>C.Y.</v>
          </cell>
          <cell r="E197">
            <v>417.96319999999997</v>
          </cell>
          <cell r="F197">
            <v>31</v>
          </cell>
          <cell r="G197" t="str">
            <v>2.10.10</v>
          </cell>
          <cell r="H197" t="str">
            <v>Conc_Walls</v>
          </cell>
          <cell r="I197" t="str">
            <v>RSMeans</v>
          </cell>
        </row>
        <row r="200">
          <cell r="B200" t="str">
            <v>C.I.P. concrete forms, walls, modular prefabricated plywood, over 8' to 16' high, 2 use per month, includes erecting, bracing, stripping and cleaning</v>
          </cell>
          <cell r="C200" t="str">
            <v>SFCA</v>
          </cell>
          <cell r="D200">
            <v>64.8</v>
          </cell>
          <cell r="E200">
            <v>3.93</v>
          </cell>
        </row>
        <row r="201">
          <cell r="B201" t="str">
            <v>Reinforcing steel, in place, walls, #3 to #7, A615, grade 60, incl access. Labor</v>
          </cell>
          <cell r="C201" t="str">
            <v>Ton</v>
          </cell>
          <cell r="D201">
            <v>3.2000000000000001E-2</v>
          </cell>
          <cell r="E201">
            <v>1375</v>
          </cell>
        </row>
        <row r="202">
          <cell r="B202" t="str">
            <v>Structural concrete, ready mix, normal weight, 3000 psi, includes material only</v>
          </cell>
          <cell r="C202" t="str">
            <v>C.Y.</v>
          </cell>
          <cell r="D202">
            <v>1</v>
          </cell>
          <cell r="E202">
            <v>89</v>
          </cell>
        </row>
        <row r="203">
          <cell r="B203" t="str">
            <v>Structural concrete, placing, walls, direct chute, 8" thick, includes vibrating, excludes material</v>
          </cell>
          <cell r="C203" t="str">
            <v>C.Y.</v>
          </cell>
          <cell r="D203">
            <v>1</v>
          </cell>
          <cell r="E203">
            <v>20</v>
          </cell>
        </row>
        <row r="204">
          <cell r="B204" t="str">
            <v>Concrete finishing, walls, includes breaking ties and patching voids</v>
          </cell>
          <cell r="C204" t="str">
            <v>S.F.</v>
          </cell>
          <cell r="D204">
            <v>0</v>
          </cell>
          <cell r="E204">
            <v>0.64</v>
          </cell>
        </row>
        <row r="205">
          <cell r="B205" t="str">
            <v>Curing, sprayed membrane compound</v>
          </cell>
          <cell r="C205" t="str">
            <v>C.S.F.</v>
          </cell>
          <cell r="D205">
            <v>0.64800000000000002</v>
          </cell>
          <cell r="E205">
            <v>11.65</v>
          </cell>
        </row>
        <row r="206">
          <cell r="A206" t="str">
            <v>A033032</v>
          </cell>
          <cell r="B206" t="str">
            <v>10' Conc. Wall, 3000 psi, 10" thick, #4@12" V, #4@6" H, Chute, Curing Compd.</v>
          </cell>
          <cell r="C206" t="str">
            <v>C.Y.</v>
          </cell>
          <cell r="E206">
            <v>415.21319999999997</v>
          </cell>
          <cell r="F206">
            <v>31</v>
          </cell>
          <cell r="G206" t="str">
            <v>2.10.11</v>
          </cell>
          <cell r="H206" t="str">
            <v>Conc_Walls</v>
          </cell>
          <cell r="I206" t="str">
            <v>RSMeans</v>
          </cell>
        </row>
        <row r="209">
          <cell r="B209" t="str">
            <v>C.I.P. concrete forms, walls, modular prefabricated plywood, over 8' to 16' high, 2 use per month, includes erecting, bracing, stripping and cleaning</v>
          </cell>
          <cell r="C209" t="str">
            <v>SFCA</v>
          </cell>
          <cell r="D209">
            <v>64.8</v>
          </cell>
          <cell r="E209">
            <v>3.93</v>
          </cell>
        </row>
        <row r="210">
          <cell r="B210" t="str">
            <v>Reinforcing steel, in place, walls, #3 to #7, A615, grade 60, incl access. Labor</v>
          </cell>
          <cell r="C210" t="str">
            <v>Ton</v>
          </cell>
          <cell r="D210">
            <v>5.0999999999999997E-2</v>
          </cell>
          <cell r="E210">
            <v>1375</v>
          </cell>
        </row>
        <row r="211">
          <cell r="B211" t="str">
            <v>Structural concrete, ready mix, normal weight, 3000 psi, includes material only</v>
          </cell>
          <cell r="C211" t="str">
            <v>C.Y.</v>
          </cell>
          <cell r="D211">
            <v>1</v>
          </cell>
          <cell r="E211">
            <v>89</v>
          </cell>
        </row>
        <row r="212">
          <cell r="B212" t="str">
            <v>Structural concrete, placing, walls, direct chute, 8" thick, includes vibrating, excludes material</v>
          </cell>
          <cell r="C212" t="str">
            <v>C.Y.</v>
          </cell>
          <cell r="D212">
            <v>1</v>
          </cell>
          <cell r="E212">
            <v>20</v>
          </cell>
        </row>
        <row r="213">
          <cell r="B213" t="str">
            <v>Concrete finishing, walls, includes breaking ties and patching voids</v>
          </cell>
          <cell r="C213" t="str">
            <v>S.F.</v>
          </cell>
          <cell r="D213">
            <v>0</v>
          </cell>
          <cell r="E213">
            <v>0.64</v>
          </cell>
        </row>
        <row r="214">
          <cell r="B214" t="str">
            <v>Curing, sprayed membrane compound</v>
          </cell>
          <cell r="C214" t="str">
            <v>C.S.F.</v>
          </cell>
          <cell r="D214">
            <v>0.64800000000000002</v>
          </cell>
          <cell r="E214">
            <v>11.65</v>
          </cell>
        </row>
        <row r="215">
          <cell r="A215" t="str">
            <v>A033033</v>
          </cell>
          <cell r="B215" t="str">
            <v>10' Conc. Wall, 3000 psi, 10" thick, #5@12" V, #5@6" H, Chute, Curing Compd.</v>
          </cell>
          <cell r="C215" t="str">
            <v>C.Y.</v>
          </cell>
          <cell r="E215">
            <v>441.33819999999997</v>
          </cell>
          <cell r="F215">
            <v>31</v>
          </cell>
          <cell r="G215" t="str">
            <v>2.10.12</v>
          </cell>
          <cell r="H215" t="str">
            <v>Conc_Walls</v>
          </cell>
          <cell r="I215" t="str">
            <v>RSMeans</v>
          </cell>
        </row>
        <row r="218">
          <cell r="B218" t="str">
            <v>C.I.P. concrete forms, walls, modular prefabricated plywood, over 8' to 16' high, 2 use per month, includes erecting, bracing, stripping and cleaning</v>
          </cell>
          <cell r="C218" t="str">
            <v>SFCA</v>
          </cell>
          <cell r="D218">
            <v>64.8</v>
          </cell>
          <cell r="E218">
            <v>3.93</v>
          </cell>
        </row>
        <row r="219">
          <cell r="B219" t="str">
            <v>Reinforcing steel, in place, walls, #3 to #7, A615, grade 60, incl access. Labor</v>
          </cell>
          <cell r="C219" t="str">
            <v>Ton</v>
          </cell>
          <cell r="D219">
            <v>2.1399999999999999E-2</v>
          </cell>
          <cell r="E219">
            <v>1375</v>
          </cell>
        </row>
        <row r="220">
          <cell r="B220" t="str">
            <v>Structural concrete, ready mix, normal weight, 4000 PSI, includes material only</v>
          </cell>
          <cell r="C220" t="str">
            <v>C.Y.</v>
          </cell>
          <cell r="D220">
            <v>1</v>
          </cell>
          <cell r="E220">
            <v>92.5</v>
          </cell>
        </row>
        <row r="221">
          <cell r="B221" t="str">
            <v>Structural concrete, placing, walls, direct chute, 8" thick, includes vibrating, excludes material</v>
          </cell>
          <cell r="C221" t="str">
            <v>C.Y.</v>
          </cell>
          <cell r="D221">
            <v>1</v>
          </cell>
          <cell r="E221">
            <v>20</v>
          </cell>
        </row>
        <row r="222">
          <cell r="B222" t="str">
            <v>Concrete finishing, walls, includes breaking ties and patching voids</v>
          </cell>
          <cell r="C222" t="str">
            <v>S.F.</v>
          </cell>
          <cell r="D222">
            <v>0</v>
          </cell>
          <cell r="E222">
            <v>0.64</v>
          </cell>
        </row>
        <row r="223">
          <cell r="B223" t="str">
            <v>Curing, sprayed membrane compound</v>
          </cell>
          <cell r="C223" t="str">
            <v>C.S.F.</v>
          </cell>
          <cell r="D223">
            <v>0.64800000000000002</v>
          </cell>
          <cell r="E223">
            <v>11.65</v>
          </cell>
        </row>
        <row r="224">
          <cell r="A224" t="str">
            <v>A033034</v>
          </cell>
          <cell r="B224" t="str">
            <v>10' Conc. Wall, 4000 psi, 10" thick, #4@12" E.W., Chute, Curing Compound</v>
          </cell>
          <cell r="C224" t="str">
            <v>C.Y.</v>
          </cell>
          <cell r="E224">
            <v>404.13819999999998</v>
          </cell>
          <cell r="F224">
            <v>31</v>
          </cell>
          <cell r="G224" t="str">
            <v>2.10.13</v>
          </cell>
          <cell r="H224" t="str">
            <v>Conc_Walls</v>
          </cell>
          <cell r="I224" t="str">
            <v>RSMeans</v>
          </cell>
        </row>
        <row r="227">
          <cell r="B227" t="str">
            <v>C.I.P. concrete forms, walls, modular prefabricated plywood, over 8' to 16' high, 2 use per month, includes erecting, bracing, stripping and cleaning</v>
          </cell>
          <cell r="C227" t="str">
            <v>SFCA</v>
          </cell>
          <cell r="D227">
            <v>64.8</v>
          </cell>
          <cell r="E227">
            <v>3.93</v>
          </cell>
        </row>
        <row r="228">
          <cell r="B228" t="str">
            <v>Reinforcing steel, in place, walls, #3 to #7, A615, grade 60, incl access. Labor</v>
          </cell>
          <cell r="C228" t="str">
            <v>Ton</v>
          </cell>
          <cell r="D228">
            <v>3.4000000000000002E-2</v>
          </cell>
          <cell r="E228">
            <v>1375</v>
          </cell>
        </row>
        <row r="229">
          <cell r="B229" t="str">
            <v>Structural concrete, ready mix, normal weight, 4000 PSI, includes material only</v>
          </cell>
          <cell r="C229" t="str">
            <v>C.Y.</v>
          </cell>
          <cell r="D229">
            <v>1</v>
          </cell>
          <cell r="E229">
            <v>92.5</v>
          </cell>
        </row>
        <row r="230">
          <cell r="B230" t="str">
            <v>Structural concrete, placing, walls, direct chute, 8" thick, includes vibrating, excludes material</v>
          </cell>
          <cell r="C230" t="str">
            <v>C.Y.</v>
          </cell>
          <cell r="D230">
            <v>1</v>
          </cell>
          <cell r="E230">
            <v>20</v>
          </cell>
        </row>
        <row r="231">
          <cell r="B231" t="str">
            <v>Concrete finishing, walls, includes breaking ties and patching voids</v>
          </cell>
          <cell r="C231" t="str">
            <v>S.F.</v>
          </cell>
          <cell r="D231">
            <v>0</v>
          </cell>
          <cell r="E231">
            <v>0.64</v>
          </cell>
        </row>
        <row r="232">
          <cell r="B232" t="str">
            <v>Curing, sprayed membrane compound</v>
          </cell>
          <cell r="C232" t="str">
            <v>C.S.F.</v>
          </cell>
          <cell r="D232">
            <v>0.64800000000000002</v>
          </cell>
          <cell r="E232">
            <v>11.65</v>
          </cell>
        </row>
        <row r="233">
          <cell r="A233" t="str">
            <v>A033035</v>
          </cell>
          <cell r="B233" t="str">
            <v>10' Conc. Wall, 4000 psi, 10" thick, #5@12" E.W., Chute, Curing Compound</v>
          </cell>
          <cell r="C233" t="str">
            <v>C.Y.</v>
          </cell>
          <cell r="E233">
            <v>421.46319999999997</v>
          </cell>
          <cell r="F233">
            <v>31</v>
          </cell>
          <cell r="G233" t="str">
            <v>2.10.14</v>
          </cell>
          <cell r="H233" t="str">
            <v>Conc_Walls</v>
          </cell>
          <cell r="I233" t="str">
            <v>RSMeans</v>
          </cell>
        </row>
        <row r="236">
          <cell r="B236" t="str">
            <v>C.I.P. concrete forms, walls, modular prefabricated plywood, over 8' to 16' high, 2 use per month, includes erecting, bracing, stripping and cleaning</v>
          </cell>
          <cell r="C236" t="str">
            <v>SFCA</v>
          </cell>
          <cell r="D236">
            <v>64.8</v>
          </cell>
          <cell r="E236">
            <v>3.93</v>
          </cell>
        </row>
        <row r="237">
          <cell r="B237" t="str">
            <v>Reinforcing steel, in place, walls, #3 to #7, A615, grade 60, incl access. Labor</v>
          </cell>
          <cell r="C237" t="str">
            <v>Ton</v>
          </cell>
          <cell r="D237">
            <v>3.2000000000000001E-2</v>
          </cell>
          <cell r="E237">
            <v>1375</v>
          </cell>
        </row>
        <row r="238">
          <cell r="B238" t="str">
            <v>Structural concrete, ready mix, normal weight, 4000 PSI, includes material only</v>
          </cell>
          <cell r="C238" t="str">
            <v>C.Y.</v>
          </cell>
          <cell r="D238">
            <v>1</v>
          </cell>
          <cell r="E238">
            <v>92.5</v>
          </cell>
        </row>
        <row r="239">
          <cell r="B239" t="str">
            <v>Structural concrete, placing, walls, direct chute, 8" thick, includes vibrating, excludes material</v>
          </cell>
          <cell r="C239" t="str">
            <v>C.Y.</v>
          </cell>
          <cell r="D239">
            <v>1</v>
          </cell>
          <cell r="E239">
            <v>20</v>
          </cell>
        </row>
        <row r="240">
          <cell r="B240" t="str">
            <v>Concrete finishing, walls, includes breaking ties and patching voids</v>
          </cell>
          <cell r="C240" t="str">
            <v>S.F.</v>
          </cell>
          <cell r="D240">
            <v>0</v>
          </cell>
          <cell r="E240">
            <v>0.64</v>
          </cell>
        </row>
        <row r="241">
          <cell r="B241" t="str">
            <v>Curing, sprayed membrane compound</v>
          </cell>
          <cell r="C241" t="str">
            <v>C.S.F.</v>
          </cell>
          <cell r="D241">
            <v>0.64800000000000002</v>
          </cell>
          <cell r="E241">
            <v>11.65</v>
          </cell>
        </row>
        <row r="242">
          <cell r="A242" t="str">
            <v>A033036</v>
          </cell>
          <cell r="B242" t="str">
            <v>10' Conc. Wall, 4000 psi, 10" thick, #4@12" V, #4@6" H, Chute, Curing Compd.</v>
          </cell>
          <cell r="C242" t="str">
            <v>C.Y.</v>
          </cell>
          <cell r="E242">
            <v>418.71319999999997</v>
          </cell>
          <cell r="F242">
            <v>31</v>
          </cell>
          <cell r="G242" t="str">
            <v>2.10.15</v>
          </cell>
          <cell r="H242" t="str">
            <v>Conc_Walls</v>
          </cell>
          <cell r="I242" t="str">
            <v>RSMeans</v>
          </cell>
        </row>
        <row r="245">
          <cell r="B245" t="str">
            <v>C.I.P. concrete forms, walls, modular prefabricated plywood, over 8' to 16' high, 2 use per month, includes erecting, bracing, stripping and cleaning</v>
          </cell>
          <cell r="C245" t="str">
            <v>SFCA</v>
          </cell>
          <cell r="D245">
            <v>64.8</v>
          </cell>
          <cell r="E245">
            <v>3.93</v>
          </cell>
        </row>
        <row r="246">
          <cell r="B246" t="str">
            <v>Reinforcing steel, in place, walls, #3 to #7, A615, grade 60, incl access. Labor</v>
          </cell>
          <cell r="C246" t="str">
            <v>Ton</v>
          </cell>
          <cell r="D246">
            <v>5.0999999999999997E-2</v>
          </cell>
          <cell r="E246">
            <v>1375</v>
          </cell>
        </row>
        <row r="247">
          <cell r="B247" t="str">
            <v>Structural concrete, ready mix, normal weight, 4000 PSI, includes material only</v>
          </cell>
          <cell r="C247" t="str">
            <v>C.Y.</v>
          </cell>
          <cell r="D247">
            <v>1</v>
          </cell>
          <cell r="E247">
            <v>92.5</v>
          </cell>
        </row>
        <row r="248">
          <cell r="B248" t="str">
            <v>Structural concrete, placing, walls, direct chute, 8" thick, includes vibrating, excludes material</v>
          </cell>
          <cell r="C248" t="str">
            <v>C.Y.</v>
          </cell>
          <cell r="D248">
            <v>1</v>
          </cell>
          <cell r="E248">
            <v>20</v>
          </cell>
        </row>
        <row r="249">
          <cell r="B249" t="str">
            <v>Concrete finishing, walls, includes breaking ties and patching voids</v>
          </cell>
          <cell r="C249" t="str">
            <v>S.F.</v>
          </cell>
          <cell r="D249">
            <v>0</v>
          </cell>
          <cell r="E249">
            <v>0.64</v>
          </cell>
        </row>
        <row r="250">
          <cell r="B250" t="str">
            <v>Curing, sprayed membrane compound</v>
          </cell>
          <cell r="C250" t="str">
            <v>C.S.F.</v>
          </cell>
          <cell r="D250">
            <v>0.64800000000000002</v>
          </cell>
          <cell r="E250">
            <v>11.65</v>
          </cell>
        </row>
        <row r="251">
          <cell r="A251" t="str">
            <v>A033037</v>
          </cell>
          <cell r="B251" t="str">
            <v>10' Conc. Wall, 4000 psi, 10" thick, #5@12" V, #5@6" H, Chute, Curing Compd.</v>
          </cell>
          <cell r="C251" t="str">
            <v>C.Y.</v>
          </cell>
          <cell r="E251">
            <v>444.83819999999997</v>
          </cell>
          <cell r="F251">
            <v>31</v>
          </cell>
          <cell r="G251" t="str">
            <v>2.10.16</v>
          </cell>
          <cell r="H251" t="str">
            <v>Conc_Walls</v>
          </cell>
          <cell r="I251" t="str">
            <v>RSMeans</v>
          </cell>
        </row>
        <row r="254">
          <cell r="B254" t="str">
            <v>C.I.P. concrete forms, walls, modular prefabricated plywood, over 8' to 16' high, 2 use per month, includes erecting, bracing, stripping and cleaning</v>
          </cell>
          <cell r="C254" t="str">
            <v>SFCA</v>
          </cell>
          <cell r="D254">
            <v>64.8</v>
          </cell>
          <cell r="E254">
            <v>3.93</v>
          </cell>
        </row>
        <row r="255">
          <cell r="B255" t="str">
            <v>Reinforcing steel, in place, walls, #3 to #7, A615, grade 60, incl access. Labor</v>
          </cell>
          <cell r="C255" t="str">
            <v>Ton</v>
          </cell>
          <cell r="D255">
            <v>3.4000000000000002E-2</v>
          </cell>
          <cell r="E255">
            <v>1375</v>
          </cell>
        </row>
        <row r="256">
          <cell r="B256" t="str">
            <v>Structural concrete, ready mix, normal weight, 3000 psi, includes material only</v>
          </cell>
          <cell r="C256" t="str">
            <v>C.Y.</v>
          </cell>
          <cell r="D256">
            <v>1</v>
          </cell>
          <cell r="E256">
            <v>89</v>
          </cell>
        </row>
        <row r="257">
          <cell r="B257" t="str">
            <v>Structural concrete, placing, walls, direct chute, 12" thick, includes vibrating, excludes material</v>
          </cell>
          <cell r="C257" t="str">
            <v>C.Y.</v>
          </cell>
          <cell r="D257">
            <v>1</v>
          </cell>
          <cell r="E257">
            <v>18.05</v>
          </cell>
        </row>
        <row r="258">
          <cell r="B258" t="str">
            <v>Concrete finishing, walls, includes breaking ties and patching voids</v>
          </cell>
          <cell r="C258" t="str">
            <v>S.F.</v>
          </cell>
          <cell r="D258">
            <v>0</v>
          </cell>
          <cell r="E258">
            <v>0.64</v>
          </cell>
        </row>
        <row r="259">
          <cell r="B259" t="str">
            <v>Curing, sprayed membrane compound</v>
          </cell>
          <cell r="C259" t="str">
            <v>C.S.F.</v>
          </cell>
          <cell r="D259">
            <v>0.64800000000000002</v>
          </cell>
          <cell r="E259">
            <v>11.65</v>
          </cell>
        </row>
        <row r="260">
          <cell r="A260" t="str">
            <v>A033050</v>
          </cell>
          <cell r="B260" t="str">
            <v>12' Conc. Wall, 3000 psi, 10" thick, #5@12" E.W., Chute, Curing Compound</v>
          </cell>
          <cell r="C260" t="str">
            <v>C.Y.</v>
          </cell>
          <cell r="E260">
            <v>416.01319999999998</v>
          </cell>
          <cell r="F260">
            <v>31</v>
          </cell>
          <cell r="G260" t="str">
            <v>2.10.17</v>
          </cell>
          <cell r="H260" t="str">
            <v>Conc_Walls</v>
          </cell>
          <cell r="I260" t="str">
            <v>RSMeans</v>
          </cell>
        </row>
        <row r="263">
          <cell r="B263" t="str">
            <v>C.I.P. concrete forms, walls, modular prefabricated plywood, over 8' to 16' high, 2 use per month, includes erecting, bracing, stripping and cleaning</v>
          </cell>
          <cell r="C263" t="str">
            <v>SFCA</v>
          </cell>
          <cell r="D263">
            <v>64.8</v>
          </cell>
          <cell r="E263">
            <v>3.93</v>
          </cell>
        </row>
        <row r="264">
          <cell r="B264" t="str">
            <v>Reinforcing steel, in place, walls, #3 to #7, A615, grade 60, incl access. Labor</v>
          </cell>
          <cell r="C264" t="str">
            <v>Ton</v>
          </cell>
          <cell r="D264">
            <v>3.4000000000000002E-2</v>
          </cell>
          <cell r="E264">
            <v>1375</v>
          </cell>
        </row>
        <row r="265">
          <cell r="B265" t="str">
            <v>Structural concrete, ready mix, normal weight, 4000 PSI, includes material only</v>
          </cell>
          <cell r="C265" t="str">
            <v>C.Y.</v>
          </cell>
          <cell r="D265">
            <v>1</v>
          </cell>
          <cell r="E265">
            <v>92.5</v>
          </cell>
        </row>
        <row r="266">
          <cell r="B266" t="str">
            <v>Structural concrete, placing, walls, direct chute, 12" thick, includes vibrating, excludes material</v>
          </cell>
          <cell r="C266" t="str">
            <v>C.Y.</v>
          </cell>
          <cell r="D266">
            <v>1</v>
          </cell>
          <cell r="E266">
            <v>18.05</v>
          </cell>
        </row>
        <row r="267">
          <cell r="B267" t="str">
            <v>Concrete finishing, walls, includes breaking ties and patching voids</v>
          </cell>
          <cell r="C267" t="str">
            <v>S.F.</v>
          </cell>
          <cell r="D267">
            <v>0</v>
          </cell>
          <cell r="E267">
            <v>0.64</v>
          </cell>
        </row>
        <row r="268">
          <cell r="B268" t="str">
            <v>Curing, sprayed membrane compound</v>
          </cell>
          <cell r="C268" t="str">
            <v>C.S.F.</v>
          </cell>
          <cell r="D268">
            <v>0.64800000000000002</v>
          </cell>
          <cell r="E268">
            <v>11.65</v>
          </cell>
        </row>
        <row r="269">
          <cell r="A269" t="str">
            <v>A033051</v>
          </cell>
          <cell r="B269" t="str">
            <v>12' Conc. Wall, 4000 psi, 10" thick, #5@12" E.W., Chute, Curing Compound</v>
          </cell>
          <cell r="C269" t="str">
            <v>C.Y.</v>
          </cell>
          <cell r="E269">
            <v>419.51319999999998</v>
          </cell>
          <cell r="F269">
            <v>31</v>
          </cell>
          <cell r="G269" t="str">
            <v>2.10.18</v>
          </cell>
          <cell r="H269" t="str">
            <v>Conc_Walls</v>
          </cell>
          <cell r="I269" t="str">
            <v>RSMeans</v>
          </cell>
        </row>
        <row r="272">
          <cell r="B272" t="str">
            <v>C.I.P. concrete forms, walls, modular prefabricated plywood, over 8' to 16' high, 2 use per month, includes erecting, bracing, stripping and cleaning</v>
          </cell>
          <cell r="C272" t="str">
            <v>SFCA</v>
          </cell>
          <cell r="D272">
            <v>64.8</v>
          </cell>
          <cell r="E272">
            <v>3.93</v>
          </cell>
        </row>
        <row r="273">
          <cell r="B273" t="str">
            <v>Reinforcing steel, in place, walls, #3 to #7, A615, grade 60, incl access. Labor</v>
          </cell>
          <cell r="C273" t="str">
            <v>Ton</v>
          </cell>
          <cell r="D273">
            <v>5.0999999999999997E-2</v>
          </cell>
          <cell r="E273">
            <v>1375</v>
          </cell>
        </row>
        <row r="274">
          <cell r="B274" t="str">
            <v>Structural concrete, ready mix, normal weight, 3000 psi, includes material only</v>
          </cell>
          <cell r="C274" t="str">
            <v>C.Y.</v>
          </cell>
          <cell r="D274">
            <v>1</v>
          </cell>
          <cell r="E274">
            <v>89</v>
          </cell>
        </row>
        <row r="275">
          <cell r="B275" t="str">
            <v>Structural concrete, placing, walls, direct chute, 8" thick, includes vibrating, excludes material</v>
          </cell>
          <cell r="C275" t="str">
            <v>C.Y.</v>
          </cell>
          <cell r="D275">
            <v>1</v>
          </cell>
          <cell r="E275">
            <v>20</v>
          </cell>
        </row>
        <row r="276">
          <cell r="B276" t="str">
            <v>Concrete finishing, walls, includes breaking ties and patching voids</v>
          </cell>
          <cell r="C276" t="str">
            <v>S.F.</v>
          </cell>
          <cell r="D276">
            <v>0</v>
          </cell>
          <cell r="E276">
            <v>0.64</v>
          </cell>
        </row>
        <row r="277">
          <cell r="B277" t="str">
            <v>Curing, sprayed membrane compound</v>
          </cell>
          <cell r="C277" t="str">
            <v>C.S.F.</v>
          </cell>
          <cell r="D277">
            <v>0.64800000000000002</v>
          </cell>
          <cell r="E277">
            <v>11.65</v>
          </cell>
        </row>
        <row r="278">
          <cell r="A278" t="str">
            <v>A033052</v>
          </cell>
          <cell r="B278" t="str">
            <v>12' Conc. Wall, 3000 psi, 10" thick, #5@12" V, #5@6" H, Chute, Curing Compd.</v>
          </cell>
          <cell r="C278" t="str">
            <v>C.Y.</v>
          </cell>
          <cell r="E278">
            <v>441.33819999999997</v>
          </cell>
          <cell r="F278">
            <v>31</v>
          </cell>
          <cell r="G278" t="str">
            <v>2.10.19</v>
          </cell>
          <cell r="H278" t="str">
            <v>Conc_Walls</v>
          </cell>
          <cell r="I278" t="str">
            <v>RSMeans</v>
          </cell>
        </row>
        <row r="281">
          <cell r="B281" t="str">
            <v>C.I.P. concrete forms, walls, modular prefabricated plywood, over 8' to 16' high, 2 use per month, includes erecting, bracing, stripping and cleaning</v>
          </cell>
          <cell r="C281" t="str">
            <v>SFCA</v>
          </cell>
          <cell r="D281">
            <v>64.8</v>
          </cell>
          <cell r="E281">
            <v>3.93</v>
          </cell>
        </row>
        <row r="282">
          <cell r="B282" t="str">
            <v>Reinforcing steel, in place, walls, #3 to #7, A615, grade 60, incl access. Labor</v>
          </cell>
          <cell r="C282" t="str">
            <v>Ton</v>
          </cell>
          <cell r="D282">
            <v>5.0999999999999997E-2</v>
          </cell>
          <cell r="E282">
            <v>1375</v>
          </cell>
        </row>
        <row r="283">
          <cell r="B283" t="str">
            <v>Structural concrete, ready mix, normal weight, 4000 PSI, includes material only</v>
          </cell>
          <cell r="C283" t="str">
            <v>C.Y.</v>
          </cell>
          <cell r="D283">
            <v>1</v>
          </cell>
          <cell r="E283">
            <v>92.5</v>
          </cell>
        </row>
        <row r="284">
          <cell r="B284" t="str">
            <v>Structural concrete, placing, walls, direct chute, 8" thick, includes vibrating, excludes material</v>
          </cell>
          <cell r="C284" t="str">
            <v>C.Y.</v>
          </cell>
          <cell r="D284">
            <v>1</v>
          </cell>
          <cell r="E284">
            <v>20</v>
          </cell>
        </row>
        <row r="285">
          <cell r="B285" t="str">
            <v>Concrete finishing, walls, includes breaking ties and patching voids</v>
          </cell>
          <cell r="C285" t="str">
            <v>S.F.</v>
          </cell>
          <cell r="D285">
            <v>0</v>
          </cell>
          <cell r="E285">
            <v>0.64</v>
          </cell>
        </row>
        <row r="286">
          <cell r="B286" t="str">
            <v>Curing, sprayed membrane compound</v>
          </cell>
          <cell r="C286" t="str">
            <v>C.S.F.</v>
          </cell>
          <cell r="D286">
            <v>0.64800000000000002</v>
          </cell>
          <cell r="E286">
            <v>11.65</v>
          </cell>
        </row>
        <row r="287">
          <cell r="A287" t="str">
            <v>A033053</v>
          </cell>
          <cell r="B287" t="str">
            <v>12' Conc. Wall, 4000 psi, 10" thick, #5@12" V, #5@6" H, Chute, Curing Compd.</v>
          </cell>
          <cell r="C287" t="str">
            <v>C.Y.</v>
          </cell>
          <cell r="E287">
            <v>444.83819999999997</v>
          </cell>
          <cell r="F287">
            <v>31</v>
          </cell>
          <cell r="G287" t="str">
            <v>2.10.20</v>
          </cell>
          <cell r="H287" t="str">
            <v>Conc_Walls</v>
          </cell>
          <cell r="I287" t="str">
            <v>RSMeans</v>
          </cell>
        </row>
        <row r="290">
          <cell r="B290" t="str">
            <v>Excavating, bulk bank measure, 1 C.Y. capacity = 75 C.Y./hour, backhoe, hydraulic, crawler mounted</v>
          </cell>
          <cell r="C290" t="str">
            <v>B.C.Y.</v>
          </cell>
          <cell r="E290">
            <v>2.09</v>
          </cell>
        </row>
        <row r="291">
          <cell r="B291" t="str">
            <v>Excavating, bulk bank measure, for loading onto trucks, add</v>
          </cell>
          <cell r="C291">
            <v>0</v>
          </cell>
          <cell r="E291" t="str">
            <v>15.0%</v>
          </cell>
        </row>
        <row r="292">
          <cell r="D292">
            <v>1</v>
          </cell>
          <cell r="E292">
            <v>2.4034999999999997</v>
          </cell>
        </row>
        <row r="293">
          <cell r="B293" t="str">
            <v>Hauling, excavated or borrow material, loose cubic yards, 1/4 mile round trip, 3.7 loads/hour, 12 C.Y. dump truck, highway haulers, excludes loading</v>
          </cell>
          <cell r="C293" t="str">
            <v>L.C.Y.</v>
          </cell>
          <cell r="D293">
            <v>1</v>
          </cell>
          <cell r="E293">
            <v>2.83</v>
          </cell>
        </row>
        <row r="294">
          <cell r="B294" t="str">
            <v>Fill, borrow, spread fill, with front-end loader, see division 02320-490</v>
          </cell>
          <cell r="C294" t="str">
            <v>Mile</v>
          </cell>
          <cell r="D294">
            <v>4</v>
          </cell>
          <cell r="E294">
            <v>0.92</v>
          </cell>
        </row>
        <row r="295">
          <cell r="B295" t="str">
            <v>Fill, dumped material, spread, by dozer, excludes compaction</v>
          </cell>
          <cell r="C295" t="str">
            <v>L.C.Y.</v>
          </cell>
          <cell r="D295">
            <v>1</v>
          </cell>
          <cell r="E295">
            <v>1.36</v>
          </cell>
        </row>
        <row r="296">
          <cell r="B296" t="str">
            <v>Fill, borrow, load, 4 mile haul RT, spread w/dozer, for embankments</v>
          </cell>
          <cell r="C296" t="str">
            <v>C.Y.</v>
          </cell>
          <cell r="E296">
            <v>10.2735</v>
          </cell>
          <cell r="F296" t="str">
            <v>1,5,11</v>
          </cell>
          <cell r="G296" t="str">
            <v>6.1.3</v>
          </cell>
          <cell r="H296" t="str">
            <v>Erthwk_Borrow</v>
          </cell>
        </row>
        <row r="299">
          <cell r="B299" t="str">
            <v>Mobilization or demobilization, dozer, loader, backhoe or excavator, 70 H.P. to 250 H.P., up to 50 miles</v>
          </cell>
          <cell r="C299" t="str">
            <v>Ea.</v>
          </cell>
          <cell r="D299">
            <v>8.8880000000000001E-3</v>
          </cell>
          <cell r="E299">
            <v>196</v>
          </cell>
        </row>
        <row r="300">
          <cell r="B300" t="str">
            <v>Drilling and blasting rock, open face, under 1500 C.Y.</v>
          </cell>
          <cell r="C300" t="str">
            <v>B.C.Y.</v>
          </cell>
          <cell r="D300">
            <v>1</v>
          </cell>
          <cell r="E300">
            <v>9.5500000000000007</v>
          </cell>
        </row>
        <row r="301">
          <cell r="B301" t="str">
            <v>Excavating, structural, bank measure, for spread and mat footings, elevator pits, and small building foundations, clay, till, or blasted rock, 1 C.Y. bucket, machine excavation, hydraulic backhoe</v>
          </cell>
          <cell r="C301" t="str">
            <v>B.C.Y.</v>
          </cell>
          <cell r="E301">
            <v>13.2</v>
          </cell>
        </row>
        <row r="302">
          <cell r="B302" t="str">
            <v>Excavating, bulk bank measure, for loading onto trucks, add</v>
          </cell>
          <cell r="C302">
            <v>0</v>
          </cell>
          <cell r="E302" t="str">
            <v>15.0%</v>
          </cell>
        </row>
        <row r="303">
          <cell r="D303">
            <v>1</v>
          </cell>
          <cell r="E303">
            <v>15.18</v>
          </cell>
        </row>
        <row r="304">
          <cell r="B304" t="str">
            <v>Hauling, excavated or borrow material, loose cubic yards, 4 mile round trip, 1.6 loads/hour, 12 C.Y. truck, highway haulers, excludes loading</v>
          </cell>
          <cell r="C304" t="str">
            <v>L.C.Y.</v>
          </cell>
          <cell r="D304">
            <v>1</v>
          </cell>
          <cell r="E304">
            <v>6.5</v>
          </cell>
        </row>
        <row r="305">
          <cell r="A305" t="str">
            <v>A023150</v>
          </cell>
          <cell r="B305" t="str">
            <v>Excavation-Rock, drilling, blasting, hauling away 4 mi RT, &gt;225 C.Y.</v>
          </cell>
          <cell r="C305" t="str">
            <v>C.Y.</v>
          </cell>
          <cell r="E305">
            <v>32.972048000000001</v>
          </cell>
          <cell r="F305" t="str">
            <v>1,5,11</v>
          </cell>
          <cell r="G305" t="str">
            <v>6.3.2</v>
          </cell>
          <cell r="H305" t="str">
            <v>Erthwk_Excav.</v>
          </cell>
          <cell r="I305" t="str">
            <v>RSMeans</v>
          </cell>
        </row>
        <row r="308">
          <cell r="B308" t="str">
            <v>Soil testing, Atterberg limits, liquid and plastic limits</v>
          </cell>
          <cell r="C308" t="str">
            <v>Ea.</v>
          </cell>
          <cell r="D308">
            <v>1</v>
          </cell>
          <cell r="E308">
            <v>65</v>
          </cell>
        </row>
        <row r="309">
          <cell r="B309" t="str">
            <v>Soil testing, Hydrometer analysis</v>
          </cell>
          <cell r="C309" t="str">
            <v>Ea.</v>
          </cell>
          <cell r="D309">
            <v>1</v>
          </cell>
          <cell r="E309">
            <v>120</v>
          </cell>
        </row>
        <row r="310">
          <cell r="B310" t="str">
            <v>Soil testing, Moisture content</v>
          </cell>
          <cell r="C310" t="str">
            <v>Ea.</v>
          </cell>
          <cell r="D310">
            <v>1</v>
          </cell>
          <cell r="E310">
            <v>10</v>
          </cell>
        </row>
        <row r="311">
          <cell r="B311" t="str">
            <v>Soil testing, permeability test, double ring infiltrometer</v>
          </cell>
          <cell r="C311" t="str">
            <v>Ea.</v>
          </cell>
          <cell r="D311">
            <v>1</v>
          </cell>
          <cell r="E311">
            <v>550</v>
          </cell>
        </row>
        <row r="312">
          <cell r="B312" t="str">
            <v>Soil testing, Proctor compaction, 4" standard mold</v>
          </cell>
          <cell r="C312" t="str">
            <v>Ea.</v>
          </cell>
          <cell r="D312">
            <v>1</v>
          </cell>
          <cell r="E312">
            <v>135</v>
          </cell>
        </row>
        <row r="313">
          <cell r="A313" t="str">
            <v>A014160</v>
          </cell>
          <cell r="B313" t="str">
            <v>Soil Testing, waste storage pond</v>
          </cell>
          <cell r="C313" t="str">
            <v>EA.</v>
          </cell>
          <cell r="E313">
            <v>880</v>
          </cell>
          <cell r="F313" t="str">
            <v>-</v>
          </cell>
          <cell r="G313" t="str">
            <v>6.8.13</v>
          </cell>
          <cell r="H313" t="str">
            <v>TestPits</v>
          </cell>
          <cell r="I313" t="str">
            <v>RSMeans</v>
          </cell>
        </row>
        <row r="316">
          <cell r="B316" t="str">
            <v>Mobilization or demobilization, dozer, loader, backhoe or excavator, 70 H.P. to 250 H.P., up to 50 miles</v>
          </cell>
          <cell r="C316" t="str">
            <v>Ea.</v>
          </cell>
          <cell r="D316">
            <v>3.333E-3</v>
          </cell>
          <cell r="E316">
            <v>196</v>
          </cell>
        </row>
        <row r="317">
          <cell r="B317" t="str">
            <v>Loam or topsoil, remove and stockpile on site, 200 HP dozer, 6" deep, 200' haul</v>
          </cell>
          <cell r="C317" t="str">
            <v>C.Y.</v>
          </cell>
          <cell r="D317">
            <v>0.22</v>
          </cell>
          <cell r="E317">
            <v>1.58</v>
          </cell>
        </row>
        <row r="318">
          <cell r="B318" t="str">
            <v>Aggregrate base course, for roadways and large paved areas, stabilization fabric, polypropylene, 6 oz./S.Y.</v>
          </cell>
          <cell r="C318" t="str">
            <v>S.Y.</v>
          </cell>
          <cell r="D318">
            <v>1.33</v>
          </cell>
          <cell r="E318">
            <v>1.1100000000000001</v>
          </cell>
        </row>
        <row r="319">
          <cell r="B319" t="str">
            <v>5.1.9</v>
          </cell>
          <cell r="C319" t="str">
            <v>Borrow, Bank Run Gravel, 20 mile round trip</v>
          </cell>
          <cell r="D319">
            <v>0.45</v>
          </cell>
          <cell r="E319">
            <v>10.5</v>
          </cell>
        </row>
        <row r="320">
          <cell r="B320" t="str">
            <v>Fine grade, for roadway, base or leveling course, large area, 6,000 S.Y. or more</v>
          </cell>
          <cell r="C320" t="str">
            <v>S.Y.</v>
          </cell>
          <cell r="D320">
            <v>1.33</v>
          </cell>
          <cell r="E320">
            <v>0.56999999999999995</v>
          </cell>
        </row>
        <row r="321">
          <cell r="A321" t="str">
            <v>A020170</v>
          </cell>
          <cell r="B321" t="str">
            <v>Access Road, 12' wide, strip, geotextile fabric, 12" gravel - incls. Mob.</v>
          </cell>
          <cell r="C321" t="str">
            <v>L.F.</v>
          </cell>
          <cell r="E321">
            <v>7.9602680000000001</v>
          </cell>
          <cell r="F321" t="str">
            <v>1,5,11,54</v>
          </cell>
          <cell r="G321" t="str">
            <v>12.3.3</v>
          </cell>
          <cell r="H321" t="str">
            <v>Lane_Road</v>
          </cell>
          <cell r="I321" t="str">
            <v>RSMeans</v>
          </cell>
        </row>
        <row r="324">
          <cell r="B324" t="str">
            <v>Mobilization or demobilization, dozer, loader, backhoe or excavator, 70 H.P. to 250 H.P., up to 50 miles</v>
          </cell>
          <cell r="C324" t="str">
            <v>Ea.</v>
          </cell>
          <cell r="D324">
            <v>3.3E-3</v>
          </cell>
          <cell r="E324">
            <v>196</v>
          </cell>
        </row>
        <row r="325">
          <cell r="B325" t="str">
            <v>Loam or topsoil, remove and stockpile on site, 200 HP dozer, 6" deep, 200' haul</v>
          </cell>
          <cell r="C325" t="str">
            <v>C.Y.</v>
          </cell>
          <cell r="D325">
            <v>0.45</v>
          </cell>
          <cell r="E325">
            <v>1.58</v>
          </cell>
        </row>
        <row r="326">
          <cell r="B326" t="str">
            <v>Aggregrate base course, for roadways and large paved areas, stabilization fabric, polypropylene, 6 oz./S.Y.</v>
          </cell>
          <cell r="C326" t="str">
            <v>S.Y.</v>
          </cell>
          <cell r="D326">
            <v>1.33</v>
          </cell>
          <cell r="E326">
            <v>1.1100000000000001</v>
          </cell>
        </row>
        <row r="327">
          <cell r="B327" t="str">
            <v>Borrow, Bank Run Gravel, 20 mile round trip</v>
          </cell>
          <cell r="C327" t="str">
            <v>C.Y.</v>
          </cell>
          <cell r="D327">
            <v>0.66700000000000004</v>
          </cell>
          <cell r="E327">
            <v>10.5</v>
          </cell>
        </row>
        <row r="328">
          <cell r="B328" t="str">
            <v>Fine grade, for roadway, base or leveling course, large area, 6,000 S.Y. or more</v>
          </cell>
          <cell r="C328" t="str">
            <v>S.Y.</v>
          </cell>
          <cell r="D328">
            <v>1.33</v>
          </cell>
          <cell r="E328">
            <v>0.56999999999999995</v>
          </cell>
        </row>
        <row r="329">
          <cell r="A329" t="str">
            <v>A020171</v>
          </cell>
          <cell r="B329" t="str">
            <v>Access Road, 12' wide, strip, geotextile fabric, 18" gravel - incls. Mob.</v>
          </cell>
          <cell r="C329" t="str">
            <v>L.F.</v>
          </cell>
          <cell r="E329">
            <v>10.595700000000003</v>
          </cell>
          <cell r="F329" t="str">
            <v>1,5,11,54</v>
          </cell>
          <cell r="G329" t="str">
            <v>12.3.5</v>
          </cell>
          <cell r="H329" t="str">
            <v>Lane_Road</v>
          </cell>
          <cell r="I329" t="str">
            <v>RSMeans</v>
          </cell>
        </row>
        <row r="332">
          <cell r="B332" t="str">
            <v>Mobilization or demobilization, dozer, loader, backhoe or excavator, 70 H.P. to 250 H.P., up to 50 miles</v>
          </cell>
          <cell r="C332" t="str">
            <v>Ea.</v>
          </cell>
          <cell r="D332">
            <v>0</v>
          </cell>
          <cell r="E332">
            <v>196</v>
          </cell>
        </row>
        <row r="333">
          <cell r="B333" t="str">
            <v>Loam or topsoil, remove and stockpile on site, 200 HP dozer, 6" deep, 200' haul</v>
          </cell>
          <cell r="C333" t="str">
            <v>C.Y.</v>
          </cell>
          <cell r="D333">
            <v>0.22</v>
          </cell>
          <cell r="E333">
            <v>1.58</v>
          </cell>
        </row>
        <row r="334">
          <cell r="B334" t="str">
            <v>Aggregrate base course, for roadways and large paved areas, stabilization fabric, polypropylene, 6 oz./S.Y.</v>
          </cell>
          <cell r="C334" t="str">
            <v>S.Y.</v>
          </cell>
          <cell r="D334">
            <v>1.33</v>
          </cell>
          <cell r="E334">
            <v>1.1100000000000001</v>
          </cell>
        </row>
        <row r="335">
          <cell r="B335" t="str">
            <v>Borrow, Bank Run Gravel, 20 mile round trip</v>
          </cell>
          <cell r="C335" t="str">
            <v>C.Y.</v>
          </cell>
          <cell r="D335">
            <v>0.45</v>
          </cell>
          <cell r="E335">
            <v>10.5</v>
          </cell>
        </row>
        <row r="336">
          <cell r="B336" t="str">
            <v>Fine grade, for roadway, base or leveling course, large area, 6,000 S.Y. or more</v>
          </cell>
          <cell r="C336" t="str">
            <v>S.Y.</v>
          </cell>
          <cell r="D336">
            <v>1.33</v>
          </cell>
          <cell r="E336">
            <v>0.56999999999999995</v>
          </cell>
        </row>
        <row r="337">
          <cell r="A337" t="str">
            <v>A020172</v>
          </cell>
          <cell r="B337" t="str">
            <v xml:space="preserve">Access Road, 12' wide, strip, geotextile fabric, 12" gravel </v>
          </cell>
          <cell r="C337" t="str">
            <v>L.F.</v>
          </cell>
          <cell r="E337">
            <v>7.3070000000000004</v>
          </cell>
          <cell r="F337" t="str">
            <v>1,5,11,54</v>
          </cell>
          <cell r="G337" t="str">
            <v>12.3.4</v>
          </cell>
          <cell r="H337" t="str">
            <v>Lane_Road</v>
          </cell>
          <cell r="I337" t="str">
            <v>RSMeans</v>
          </cell>
        </row>
        <row r="340">
          <cell r="B340" t="str">
            <v>Mobilization or demobilization, dozer, loader, backhoe or excavator, 70 H.P. to 250 H.P., up to 50 miles</v>
          </cell>
          <cell r="C340" t="str">
            <v>Ea.</v>
          </cell>
          <cell r="D340">
            <v>0</v>
          </cell>
          <cell r="E340">
            <v>196</v>
          </cell>
        </row>
        <row r="341">
          <cell r="B341" t="str">
            <v>Loam or topsoil, remove and stockpile on site, 200 HP dozer, 6" deep, 200' haul</v>
          </cell>
          <cell r="C341" t="str">
            <v>C.Y.</v>
          </cell>
          <cell r="D341">
            <v>0.45</v>
          </cell>
          <cell r="E341">
            <v>1.58</v>
          </cell>
        </row>
        <row r="342">
          <cell r="B342" t="str">
            <v>Aggregrate base course, for roadways and large paved areas, stabilization fabric, polypropylene, 6 oz./S.Y.</v>
          </cell>
          <cell r="C342" t="str">
            <v>S.Y.</v>
          </cell>
          <cell r="D342">
            <v>1.33</v>
          </cell>
          <cell r="E342">
            <v>1.1100000000000001</v>
          </cell>
        </row>
        <row r="343">
          <cell r="B343" t="str">
            <v>Borrow, Bank Run Gravel, 20 mile round trip</v>
          </cell>
          <cell r="C343" t="str">
            <v>C.Y.</v>
          </cell>
          <cell r="D343">
            <v>0.66700000000000004</v>
          </cell>
          <cell r="E343">
            <v>10.5</v>
          </cell>
        </row>
        <row r="344">
          <cell r="B344" t="str">
            <v>Fine grade, for roadway, base or leveling course, large area, 6,000 S.Y. or more</v>
          </cell>
          <cell r="C344" t="str">
            <v>S.Y.</v>
          </cell>
          <cell r="D344">
            <v>1.33</v>
          </cell>
          <cell r="E344">
            <v>0.56999999999999995</v>
          </cell>
        </row>
        <row r="345">
          <cell r="A345" t="str">
            <v>A020173</v>
          </cell>
          <cell r="B345" t="str">
            <v xml:space="preserve">Access Road, 12' wide, strip, geotextile fabric, 18" gravel </v>
          </cell>
          <cell r="C345" t="str">
            <v>L.F.</v>
          </cell>
          <cell r="E345">
            <v>9.9489000000000019</v>
          </cell>
          <cell r="F345" t="str">
            <v>1,5,11,54</v>
          </cell>
          <cell r="G345" t="str">
            <v>12.3.6</v>
          </cell>
          <cell r="H345" t="str">
            <v>Lane_Road</v>
          </cell>
          <cell r="I345" t="str">
            <v>RSMeans</v>
          </cell>
        </row>
        <row r="348">
          <cell r="B348" t="str">
            <v>Mobilization or demobilization, dozer, loader, backhoe or excavator, 70 H.P. to 250 H.P., up to 50 miles</v>
          </cell>
          <cell r="C348" t="str">
            <v>Ea.</v>
          </cell>
          <cell r="D348">
            <v>3.3300000000000001E-3</v>
          </cell>
          <cell r="E348">
            <v>196</v>
          </cell>
        </row>
        <row r="349">
          <cell r="B349" t="str">
            <v>Loam or topsoil, remove and stockpile on site, 200 HP dozer, 6" deep, 200' haul</v>
          </cell>
          <cell r="C349" t="str">
            <v>C.Y.</v>
          </cell>
          <cell r="D349">
            <v>0.3</v>
          </cell>
          <cell r="E349">
            <v>1.58</v>
          </cell>
        </row>
        <row r="350">
          <cell r="B350" t="str">
            <v>Aggregrate base course, for roadways and large paved areas, stabilization fabric, polypropylene, 6 oz./S.Y.</v>
          </cell>
          <cell r="C350" t="str">
            <v>S.Y.</v>
          </cell>
          <cell r="D350">
            <v>1.8</v>
          </cell>
          <cell r="E350">
            <v>1.1100000000000001</v>
          </cell>
        </row>
        <row r="351">
          <cell r="B351" t="str">
            <v>Borrow, Bank Run Gravel, 20 mile round trip</v>
          </cell>
          <cell r="C351" t="str">
            <v>C.Y.</v>
          </cell>
          <cell r="D351">
            <v>0.6</v>
          </cell>
          <cell r="E351">
            <v>10.5</v>
          </cell>
        </row>
        <row r="352">
          <cell r="B352" t="str">
            <v>Fine grade, for roadway, base or leveling course, large area, 6,000 S.Y. or more</v>
          </cell>
          <cell r="C352" t="str">
            <v>S.Y.</v>
          </cell>
          <cell r="D352">
            <v>1.8</v>
          </cell>
          <cell r="E352">
            <v>0.56999999999999995</v>
          </cell>
        </row>
        <row r="353">
          <cell r="A353" t="str">
            <v>A020190</v>
          </cell>
          <cell r="B353" t="str">
            <v>Access Road, 16' wide, strip, geotextile fabric, 12" gravel - incls. Mob.</v>
          </cell>
          <cell r="C353" t="str">
            <v>L.F.</v>
          </cell>
          <cell r="E353">
            <v>10.45068</v>
          </cell>
          <cell r="F353" t="str">
            <v>1,5,11,54</v>
          </cell>
          <cell r="G353" t="str">
            <v>12.3.7</v>
          </cell>
          <cell r="H353" t="str">
            <v>Lane_Road</v>
          </cell>
          <cell r="I353" t="str">
            <v>RSMeans</v>
          </cell>
        </row>
        <row r="356">
          <cell r="B356" t="str">
            <v>Mobilization or demobilization, dozer, loader, backhoe or excavator, 70 H.P. to 250 H.P., up to 50 miles</v>
          </cell>
          <cell r="C356" t="str">
            <v>Ea.</v>
          </cell>
          <cell r="D356">
            <v>3.3E-3</v>
          </cell>
          <cell r="E356">
            <v>196</v>
          </cell>
        </row>
        <row r="357">
          <cell r="B357" t="str">
            <v>Loam or topsoil, remove and stockpile on site, 200 HP dozer, 6" deep, 200' haul</v>
          </cell>
          <cell r="C357" t="str">
            <v>C.Y.</v>
          </cell>
          <cell r="D357">
            <v>0.6</v>
          </cell>
          <cell r="E357">
            <v>1.58</v>
          </cell>
        </row>
        <row r="358">
          <cell r="B358" t="str">
            <v>Aggregrate base course, for roadways and large paved areas, stabilization fabric, polypropylene, 6 oz./S.Y.</v>
          </cell>
          <cell r="C358" t="str">
            <v>S.Y.</v>
          </cell>
          <cell r="D358">
            <v>1.8</v>
          </cell>
          <cell r="E358">
            <v>1.1100000000000001</v>
          </cell>
        </row>
        <row r="359">
          <cell r="B359" t="str">
            <v>Borrow, Bank Run Gravel, 20 mile round trip</v>
          </cell>
          <cell r="C359" t="str">
            <v>C.Y.</v>
          </cell>
          <cell r="D359">
            <v>0.89</v>
          </cell>
          <cell r="E359">
            <v>10.5</v>
          </cell>
        </row>
        <row r="360">
          <cell r="B360" t="str">
            <v>Fine grade, for roadway, base or leveling course, large area, 6,000 S.Y. or more</v>
          </cell>
          <cell r="C360" t="str">
            <v>S.Y.</v>
          </cell>
          <cell r="D360">
            <v>1.8</v>
          </cell>
          <cell r="E360">
            <v>0.56999999999999995</v>
          </cell>
        </row>
        <row r="361">
          <cell r="A361" t="str">
            <v>A020191</v>
          </cell>
          <cell r="B361" t="str">
            <v>Access Road, 16' wide, strip, geotextile fabric, 18" gravel - incls. Mob.</v>
          </cell>
          <cell r="C361" t="str">
            <v>L.F.</v>
          </cell>
          <cell r="E361">
            <v>13.963800000000001</v>
          </cell>
          <cell r="F361" t="str">
            <v>1,5,11,54</v>
          </cell>
          <cell r="G361" t="str">
            <v>12.3.9</v>
          </cell>
          <cell r="H361" t="str">
            <v>Lane_Road</v>
          </cell>
          <cell r="I361" t="str">
            <v>RSMeans</v>
          </cell>
        </row>
        <row r="364">
          <cell r="B364" t="str">
            <v>Mobilization or demobilization, dozer, loader, backhoe or excavator, 70 H.P. to 250 H.P., up to 50 miles</v>
          </cell>
          <cell r="C364" t="str">
            <v>Ea.</v>
          </cell>
          <cell r="D364">
            <v>0</v>
          </cell>
          <cell r="E364">
            <v>196</v>
          </cell>
        </row>
        <row r="365">
          <cell r="B365" t="str">
            <v>Loam or topsoil, remove and stockpile on site, 200 HP dozer, 6" deep, 200' haul</v>
          </cell>
          <cell r="C365" t="str">
            <v>C.Y.</v>
          </cell>
          <cell r="D365">
            <v>0.3</v>
          </cell>
          <cell r="E365">
            <v>1.58</v>
          </cell>
        </row>
        <row r="366">
          <cell r="B366" t="str">
            <v>Aggregrate base course, for roadways and large paved areas, stabilization fabric, polypropylene, 6 oz./S.Y.</v>
          </cell>
          <cell r="C366" t="str">
            <v>S.Y.</v>
          </cell>
          <cell r="D366">
            <v>1.8</v>
          </cell>
          <cell r="E366">
            <v>1.1100000000000001</v>
          </cell>
        </row>
        <row r="367">
          <cell r="B367" t="str">
            <v>Borrow, Bank Run Gravel, 20 mile round trip</v>
          </cell>
          <cell r="C367" t="str">
            <v>C.Y.</v>
          </cell>
          <cell r="D367">
            <v>0.6</v>
          </cell>
          <cell r="E367">
            <v>10.5</v>
          </cell>
        </row>
        <row r="368">
          <cell r="B368" t="str">
            <v>Fine grade, for roadway, base or leveling course, large area, 6,000 S.Y. or more</v>
          </cell>
          <cell r="C368" t="str">
            <v>S.Y.</v>
          </cell>
          <cell r="D368">
            <v>1.8</v>
          </cell>
          <cell r="E368">
            <v>0.56999999999999995</v>
          </cell>
        </row>
        <row r="369">
          <cell r="A369" t="str">
            <v>A020192</v>
          </cell>
          <cell r="B369" t="str">
            <v xml:space="preserve">Access Road, 16' wide, strip, geotextile fabric, 12" gravel </v>
          </cell>
          <cell r="C369" t="str">
            <v>L.F.</v>
          </cell>
          <cell r="E369">
            <v>9.798</v>
          </cell>
          <cell r="F369" t="str">
            <v>1,5,11,54</v>
          </cell>
          <cell r="G369" t="str">
            <v>12.3.8</v>
          </cell>
          <cell r="H369" t="str">
            <v>Lane_Road</v>
          </cell>
          <cell r="I369" t="str">
            <v>RSMeans</v>
          </cell>
        </row>
        <row r="372">
          <cell r="B372" t="str">
            <v>Mobilization or demobilization, dozer, loader, backhoe or excavator, 70 H.P. to 250 H.P., up to 50 miles</v>
          </cell>
          <cell r="C372" t="str">
            <v>Ea.</v>
          </cell>
          <cell r="D372">
            <v>0</v>
          </cell>
          <cell r="E372">
            <v>196</v>
          </cell>
        </row>
        <row r="373">
          <cell r="B373" t="str">
            <v>Loam or topsoil, remove and stockpile on site, 200 HP dozer, 6" deep, 200' haul</v>
          </cell>
          <cell r="C373" t="str">
            <v>C.Y.</v>
          </cell>
          <cell r="D373">
            <v>0.6</v>
          </cell>
          <cell r="E373">
            <v>1.58</v>
          </cell>
        </row>
        <row r="374">
          <cell r="B374" t="str">
            <v>Aggregrate base course, for roadways and large paved areas, stabilization fabric, polypropylene, 6 oz./S.Y.</v>
          </cell>
          <cell r="C374" t="str">
            <v>S.Y.</v>
          </cell>
          <cell r="D374">
            <v>1.8</v>
          </cell>
          <cell r="E374">
            <v>1.1100000000000001</v>
          </cell>
        </row>
        <row r="375">
          <cell r="B375" t="str">
            <v>Borrow, Bank Run Gravel, 20 mile round trip</v>
          </cell>
          <cell r="C375" t="str">
            <v>C.Y.</v>
          </cell>
          <cell r="D375">
            <v>0.89</v>
          </cell>
          <cell r="E375">
            <v>10.5</v>
          </cell>
        </row>
        <row r="376">
          <cell r="B376" t="str">
            <v>Fine grade, for roadway, base or leveling course, large area, 6,000 S.Y. or more</v>
          </cell>
          <cell r="C376" t="str">
            <v>S.Y.</v>
          </cell>
          <cell r="D376">
            <v>1.8</v>
          </cell>
          <cell r="E376">
            <v>0.56999999999999995</v>
          </cell>
        </row>
        <row r="377">
          <cell r="A377" t="str">
            <v>A020193</v>
          </cell>
          <cell r="B377" t="str">
            <v xml:space="preserve">Access Road, 16' wide, strip, geotextile fabric, 18" gravel </v>
          </cell>
          <cell r="C377" t="str">
            <v>L.F.</v>
          </cell>
          <cell r="E377">
            <v>13.317</v>
          </cell>
          <cell r="F377" t="str">
            <v>1,5,11,54</v>
          </cell>
          <cell r="G377" t="str">
            <v>12.3.10</v>
          </cell>
          <cell r="H377" t="str">
            <v>Lane_Road</v>
          </cell>
          <cell r="I377" t="str">
            <v>RSMeans</v>
          </cell>
        </row>
        <row r="380">
          <cell r="B380" t="str">
            <v>Aggregrate base course, for roadways and large paved areas, stabilization fabric, polypropylene, 6 oz./S.Y.</v>
          </cell>
          <cell r="C380" t="str">
            <v>S.Y.</v>
          </cell>
          <cell r="E380">
            <v>1.1100000000000001</v>
          </cell>
        </row>
        <row r="381">
          <cell r="B381" t="str">
            <v>Aggregrate base course, for small and irregular areas, add</v>
          </cell>
          <cell r="C381">
            <v>0</v>
          </cell>
          <cell r="E381">
            <v>0</v>
          </cell>
        </row>
        <row r="382">
          <cell r="D382">
            <v>1</v>
          </cell>
          <cell r="E382">
            <v>1.139</v>
          </cell>
        </row>
        <row r="383">
          <cell r="A383" t="str">
            <v>A027210</v>
          </cell>
          <cell r="B383" t="str">
            <v>Geotextile fabric, reinforcement, 6 oz/sy, large areas</v>
          </cell>
          <cell r="C383" t="str">
            <v>S.Y.</v>
          </cell>
          <cell r="E383">
            <v>1.139</v>
          </cell>
          <cell r="F383">
            <v>54</v>
          </cell>
          <cell r="G383" t="str">
            <v>10.1.2</v>
          </cell>
          <cell r="H383" t="str">
            <v>Lane_Road</v>
          </cell>
          <cell r="I383" t="str">
            <v>RSMeans</v>
          </cell>
        </row>
        <row r="386">
          <cell r="B386" t="str">
            <v>Mobilization or demobilization, dozer, loader, backhoe or excavator, 70 H.P. to 250 H.P., up to 50 miles</v>
          </cell>
          <cell r="C386" t="str">
            <v>Ea.</v>
          </cell>
          <cell r="D386">
            <v>3.3300000000000001E-3</v>
          </cell>
          <cell r="E386">
            <v>196</v>
          </cell>
        </row>
        <row r="387">
          <cell r="B387" t="str">
            <v>Loam or topsoil, remove and stockpile on site, 200 HP dozer, 6" deep, 200' haul</v>
          </cell>
          <cell r="C387" t="str">
            <v>C.Y.</v>
          </cell>
          <cell r="D387">
            <v>0.2</v>
          </cell>
          <cell r="E387">
            <v>1.58</v>
          </cell>
        </row>
        <row r="388">
          <cell r="B388" t="str">
            <v>Aggregrate base course, for roadways and large paved areas, stabilization fabric, polypropylene, 6 oz./S.Y.</v>
          </cell>
          <cell r="C388" t="str">
            <v>S.Y.</v>
          </cell>
          <cell r="D388">
            <v>0.89</v>
          </cell>
          <cell r="E388">
            <v>1.1100000000000001</v>
          </cell>
        </row>
        <row r="389">
          <cell r="B389" t="str">
            <v>Borrow, Bank Run Gravel, 20 mile round trip</v>
          </cell>
          <cell r="C389" t="str">
            <v>C.Y.</v>
          </cell>
          <cell r="D389">
            <v>0.2</v>
          </cell>
          <cell r="E389">
            <v>10.5</v>
          </cell>
        </row>
        <row r="390">
          <cell r="B390" t="str">
            <v>Fine grade, for roadway, base or leveling course, large area, 6,000 S.Y. or more</v>
          </cell>
          <cell r="C390" t="str">
            <v>S.Y.</v>
          </cell>
          <cell r="D390">
            <v>0.89</v>
          </cell>
          <cell r="E390">
            <v>0.56999999999999995</v>
          </cell>
        </row>
        <row r="391">
          <cell r="A391" t="str">
            <v>A020220</v>
          </cell>
          <cell r="B391" t="str">
            <v>Lane, 8' wide, strip, geotextile fabric, 8" gravel - incls. Mob.</v>
          </cell>
          <cell r="C391" t="str">
            <v>L.F.</v>
          </cell>
          <cell r="E391">
            <v>4.5638800000000002</v>
          </cell>
          <cell r="F391" t="str">
            <v>1,5,11,54</v>
          </cell>
          <cell r="G391" t="str">
            <v>12.1.1</v>
          </cell>
          <cell r="H391" t="str">
            <v>Lane_Road</v>
          </cell>
          <cell r="I391" t="str">
            <v>RSMeans</v>
          </cell>
        </row>
        <row r="394">
          <cell r="B394" t="str">
            <v>Mobilization or demobilization, dozer, loader, backhoe or excavator, 70 H.P. to 250 H.P., up to 50 miles</v>
          </cell>
          <cell r="C394" t="str">
            <v>Ea.</v>
          </cell>
          <cell r="D394">
            <v>3.3300000000000001E-3</v>
          </cell>
          <cell r="E394">
            <v>196</v>
          </cell>
        </row>
        <row r="395">
          <cell r="B395" t="str">
            <v>Loam or topsoil, remove and stockpile on site, 200 HP dozer, 6" deep, 200' haul</v>
          </cell>
          <cell r="C395" t="str">
            <v>C.Y.</v>
          </cell>
          <cell r="D395">
            <v>0.3</v>
          </cell>
          <cell r="E395">
            <v>1.58</v>
          </cell>
        </row>
        <row r="396">
          <cell r="B396" t="str">
            <v>Aggregrate base course, for roadways and large paved areas, stabilization fabric, polypropylene, 6 oz./S.Y.</v>
          </cell>
          <cell r="C396" t="str">
            <v>S.Y.</v>
          </cell>
          <cell r="D396">
            <v>0.89</v>
          </cell>
          <cell r="E396">
            <v>1.1100000000000001</v>
          </cell>
        </row>
        <row r="397">
          <cell r="B397" t="str">
            <v>Borrow, Bank Run Gravel, 20 mile round trip</v>
          </cell>
          <cell r="C397" t="str">
            <v>C.Y.</v>
          </cell>
          <cell r="D397">
            <v>0.3</v>
          </cell>
          <cell r="E397">
            <v>10.5</v>
          </cell>
        </row>
        <row r="398">
          <cell r="B398" t="str">
            <v>Fine grade, for roadway, base or leveling course, large area, 6,000 S.Y. or more</v>
          </cell>
          <cell r="C398" t="str">
            <v>S.Y.</v>
          </cell>
          <cell r="D398">
            <v>0.89</v>
          </cell>
          <cell r="E398">
            <v>0.56999999999999995</v>
          </cell>
        </row>
        <row r="399">
          <cell r="A399" t="str">
            <v>A020221</v>
          </cell>
          <cell r="B399" t="str">
            <v>Lane, 8' wide, strip, geotextile fabric, 12" gravel - incls. Mob.</v>
          </cell>
          <cell r="C399" t="str">
            <v>L.F.</v>
          </cell>
          <cell r="E399">
            <v>5.7718800000000003</v>
          </cell>
          <cell r="F399" t="str">
            <v>1,5,11,54</v>
          </cell>
          <cell r="G399" t="str">
            <v>12.1.3</v>
          </cell>
          <cell r="H399" t="str">
            <v>Lane_Road</v>
          </cell>
          <cell r="I399" t="str">
            <v>RSMeans</v>
          </cell>
        </row>
        <row r="402">
          <cell r="B402" t="str">
            <v>Mobilization or demobilization, dozer, loader, backhoe or excavator, 70 H.P. to 250 H.P., up to 50 miles</v>
          </cell>
          <cell r="C402" t="str">
            <v>Ea.</v>
          </cell>
          <cell r="D402">
            <v>0</v>
          </cell>
          <cell r="E402">
            <v>196</v>
          </cell>
        </row>
        <row r="403">
          <cell r="B403" t="str">
            <v>Loam or topsoil, remove and stockpile on site, 200 HP dozer, 6" deep, 200' haul</v>
          </cell>
          <cell r="C403" t="str">
            <v>C.Y.</v>
          </cell>
          <cell r="D403">
            <v>0.2</v>
          </cell>
          <cell r="E403">
            <v>1.58</v>
          </cell>
        </row>
        <row r="404">
          <cell r="B404" t="str">
            <v>Aggregrate base course, for roadways and large paved areas, stabilization fabric, polypropylene, 6 oz./S.Y.</v>
          </cell>
          <cell r="C404" t="str">
            <v>S.Y.</v>
          </cell>
          <cell r="D404">
            <v>0.89</v>
          </cell>
          <cell r="E404">
            <v>1.1100000000000001</v>
          </cell>
        </row>
        <row r="405">
          <cell r="B405" t="str">
            <v>Borrow, Bank Run Gravel, 20 mile round trip</v>
          </cell>
          <cell r="C405" t="str">
            <v>C.Y.</v>
          </cell>
          <cell r="D405">
            <v>0.2</v>
          </cell>
          <cell r="E405">
            <v>10.5</v>
          </cell>
        </row>
        <row r="406">
          <cell r="B406" t="str">
            <v>Fine grade, for roadway, base or leveling course, large area, 6,000 S.Y. or more</v>
          </cell>
          <cell r="C406" t="str">
            <v>S.Y.</v>
          </cell>
          <cell r="D406">
            <v>0.89</v>
          </cell>
          <cell r="E406">
            <v>0.56999999999999995</v>
          </cell>
        </row>
        <row r="407">
          <cell r="A407" t="str">
            <v>A020222</v>
          </cell>
          <cell r="B407" t="str">
            <v>Lane, 8' wide, strip, geotextile fabric, 8" gravel</v>
          </cell>
          <cell r="C407" t="str">
            <v>L.F.</v>
          </cell>
          <cell r="E407">
            <v>3.9112</v>
          </cell>
          <cell r="F407" t="str">
            <v>1,5,11,54</v>
          </cell>
          <cell r="G407" t="str">
            <v>12.1.2</v>
          </cell>
          <cell r="H407" t="str">
            <v>Lane_Road</v>
          </cell>
          <cell r="I407" t="str">
            <v>RSMeans</v>
          </cell>
        </row>
        <row r="410">
          <cell r="B410" t="str">
            <v>Mobilization or demobilization, dozer, loader, backhoe or excavator, 70 H.P. to 250 H.P., up to 50 miles</v>
          </cell>
          <cell r="C410" t="str">
            <v>Ea.</v>
          </cell>
          <cell r="D410">
            <v>0</v>
          </cell>
          <cell r="E410">
            <v>196</v>
          </cell>
        </row>
        <row r="411">
          <cell r="B411" t="str">
            <v>Loam or topsoil, remove and stockpile on site, 200 HP dozer, 6" deep, 200' haul</v>
          </cell>
          <cell r="C411" t="str">
            <v>C.Y.</v>
          </cell>
          <cell r="D411">
            <v>0.3</v>
          </cell>
          <cell r="E411">
            <v>1.58</v>
          </cell>
        </row>
        <row r="412">
          <cell r="B412" t="str">
            <v>Aggregrate base course, for roadways and large paved areas, stabilization fabric, polypropylene, 6 oz./S.Y.</v>
          </cell>
          <cell r="C412" t="str">
            <v>S.Y.</v>
          </cell>
          <cell r="D412">
            <v>0.89</v>
          </cell>
          <cell r="E412">
            <v>1.1100000000000001</v>
          </cell>
        </row>
        <row r="413">
          <cell r="B413" t="str">
            <v>Borrow, Bank Run Gravel, 20 mile round trip</v>
          </cell>
          <cell r="C413" t="str">
            <v>C.Y.</v>
          </cell>
          <cell r="D413">
            <v>0.3</v>
          </cell>
          <cell r="E413">
            <v>10.5</v>
          </cell>
        </row>
        <row r="414">
          <cell r="B414" t="str">
            <v>Fine grade, for roadway, base or leveling course, large area, 6,000 S.Y. or more</v>
          </cell>
          <cell r="C414" t="str">
            <v>S.Y.</v>
          </cell>
          <cell r="D414">
            <v>0.89</v>
          </cell>
          <cell r="E414">
            <v>0.56999999999999995</v>
          </cell>
        </row>
        <row r="415">
          <cell r="A415" t="str">
            <v>A020223</v>
          </cell>
          <cell r="B415" t="str">
            <v>Lane, 8' wide, strip, geotextile fabric, 12" gravel</v>
          </cell>
          <cell r="C415" t="str">
            <v>L.F.</v>
          </cell>
          <cell r="E415">
            <v>5.1192000000000002</v>
          </cell>
          <cell r="F415" t="str">
            <v>1,5,11,54</v>
          </cell>
          <cell r="G415" t="str">
            <v>12.1.4</v>
          </cell>
          <cell r="H415" t="str">
            <v>Lane_Road</v>
          </cell>
          <cell r="I415" t="str">
            <v>RSMeans</v>
          </cell>
        </row>
        <row r="418">
          <cell r="B418" t="str">
            <v>Mobilization or demobilization, dozer, loader, backhoe or excavator, 70 H.P. to 250 H.P., up to 50 miles</v>
          </cell>
          <cell r="C418" t="str">
            <v>Ea.</v>
          </cell>
          <cell r="D418">
            <v>3.3E-3</v>
          </cell>
          <cell r="E418">
            <v>196</v>
          </cell>
        </row>
        <row r="419">
          <cell r="B419" t="str">
            <v>Loam or topsoil, remove and stockpile on site, 200 HP dozer, 6" deep, 200' haul</v>
          </cell>
          <cell r="C419" t="str">
            <v>C.Y.</v>
          </cell>
          <cell r="D419">
            <v>0.3</v>
          </cell>
          <cell r="E419">
            <v>1.58</v>
          </cell>
        </row>
        <row r="420">
          <cell r="B420" t="str">
            <v>Aggregrate base course, for roadways and large paved areas, stabilization fabric, polypropylene, 6 oz./S.Y.</v>
          </cell>
          <cell r="C420" t="str">
            <v>S.Y.</v>
          </cell>
          <cell r="D420">
            <v>1.33</v>
          </cell>
          <cell r="E420">
            <v>1.1100000000000001</v>
          </cell>
        </row>
        <row r="421">
          <cell r="B421" t="str">
            <v>Borrow, Bank Run Gravel, 20 mile round trip</v>
          </cell>
          <cell r="C421" t="str">
            <v>C.Y.</v>
          </cell>
          <cell r="D421">
            <v>0.3</v>
          </cell>
          <cell r="E421">
            <v>10.5</v>
          </cell>
        </row>
        <row r="422">
          <cell r="B422" t="str">
            <v>Fine grade, for roadway, base or leveling course, large area, 6,000 S.Y. or more</v>
          </cell>
          <cell r="C422" t="str">
            <v>S.Y.</v>
          </cell>
          <cell r="D422">
            <v>1.33</v>
          </cell>
          <cell r="E422">
            <v>0.56999999999999995</v>
          </cell>
        </row>
        <row r="423">
          <cell r="A423" t="str">
            <v>A020240</v>
          </cell>
          <cell r="B423" t="str">
            <v>Lane, 12' wide, strip, geotextile fabric, 8" gravel - incls. Mob.</v>
          </cell>
          <cell r="C423" t="str">
            <v>L.F.</v>
          </cell>
          <cell r="E423">
            <v>6.5051999999999994</v>
          </cell>
          <cell r="F423" t="str">
            <v>1,5,11,54</v>
          </cell>
          <cell r="G423" t="str">
            <v>12.3.1</v>
          </cell>
          <cell r="H423" t="str">
            <v>Lane_Road</v>
          </cell>
          <cell r="I423" t="str">
            <v>RSMeans</v>
          </cell>
        </row>
        <row r="426">
          <cell r="B426" t="str">
            <v>Mobilization or demobilization, dozer, loader, backhoe or excavator, 70 H.P. to 250 H.P., up to 50 miles</v>
          </cell>
          <cell r="C426" t="str">
            <v>Ea.</v>
          </cell>
          <cell r="D426">
            <v>0</v>
          </cell>
          <cell r="E426">
            <v>196</v>
          </cell>
        </row>
        <row r="427">
          <cell r="B427" t="str">
            <v>Loam or topsoil, remove and stockpile on site, 200 HP dozer, 6" deep, 200' haul</v>
          </cell>
          <cell r="C427" t="str">
            <v>C.Y.</v>
          </cell>
          <cell r="D427">
            <v>0.3</v>
          </cell>
          <cell r="E427">
            <v>1.58</v>
          </cell>
        </row>
        <row r="428">
          <cell r="B428" t="str">
            <v>Aggregrate base course, for roadways and large paved areas, stabilization fabric, polypropylene, 6 oz./S.Y.</v>
          </cell>
          <cell r="C428" t="str">
            <v>S.Y.</v>
          </cell>
          <cell r="D428">
            <v>1.33</v>
          </cell>
          <cell r="E428">
            <v>1.1100000000000001</v>
          </cell>
        </row>
        <row r="429">
          <cell r="B429" t="str">
            <v>Borrow, Bank Run Gravel, 20 mile round trip</v>
          </cell>
          <cell r="C429" t="str">
            <v>C.Y.</v>
          </cell>
          <cell r="D429">
            <v>0.3</v>
          </cell>
          <cell r="E429">
            <v>10.5</v>
          </cell>
        </row>
        <row r="430">
          <cell r="B430" t="str">
            <v>Fine grade, for roadway, base or leveling course, large area, 6,000 S.Y. or more</v>
          </cell>
          <cell r="C430" t="str">
            <v>S.Y.</v>
          </cell>
          <cell r="D430">
            <v>1.33</v>
          </cell>
          <cell r="E430">
            <v>0.56999999999999995</v>
          </cell>
        </row>
        <row r="431">
          <cell r="A431" t="str">
            <v>A020241</v>
          </cell>
          <cell r="B431" t="str">
            <v>Lane, 12' wide, strip, geotextile fabric, 8" gravel</v>
          </cell>
          <cell r="C431" t="str">
            <v>L.F.</v>
          </cell>
          <cell r="E431">
            <v>5.8583999999999996</v>
          </cell>
          <cell r="F431" t="str">
            <v>1,5,11,54</v>
          </cell>
          <cell r="G431" t="str">
            <v>12.3.2</v>
          </cell>
          <cell r="H431" t="str">
            <v>Lane_Road</v>
          </cell>
          <cell r="I431" t="str">
            <v>RSMeans</v>
          </cell>
        </row>
        <row r="434">
          <cell r="B434" t="str">
            <v>Seeding, limestone, 50 lbs per M.S.F., hand push spreader</v>
          </cell>
          <cell r="C434" t="str">
            <v>M.S.F.</v>
          </cell>
          <cell r="D434">
            <v>4.17</v>
          </cell>
          <cell r="E434">
            <v>5.25</v>
          </cell>
        </row>
        <row r="435">
          <cell r="B435" t="str">
            <v>Seeding, grass seed, 4.5 lbs per M.S.F., hand push spreader</v>
          </cell>
          <cell r="C435" t="str">
            <v>M.S.F.</v>
          </cell>
          <cell r="D435">
            <v>8.7100000000000009</v>
          </cell>
          <cell r="E435">
            <v>19.899999999999999</v>
          </cell>
        </row>
        <row r="436">
          <cell r="B436" t="str">
            <v>Mulch, hay, 1" deep, power mulcher, large</v>
          </cell>
          <cell r="C436" t="str">
            <v>M.S.F.</v>
          </cell>
          <cell r="D436">
            <v>43.56</v>
          </cell>
          <cell r="E436">
            <v>70</v>
          </cell>
        </row>
        <row r="437">
          <cell r="A437" t="str">
            <v>-</v>
          </cell>
          <cell r="B437" t="str">
            <v>Seed, lime &amp; fertilize</v>
          </cell>
          <cell r="C437" t="str">
            <v>ACRE</v>
          </cell>
          <cell r="E437">
            <v>3244.4215000000004</v>
          </cell>
          <cell r="F437">
            <v>52</v>
          </cell>
          <cell r="G437" t="str">
            <v>-</v>
          </cell>
          <cell r="H437" t="str">
            <v>Lane_Road</v>
          </cell>
          <cell r="I437" t="str">
            <v>RSMeans</v>
          </cell>
        </row>
        <row r="440">
          <cell r="B440" t="str">
            <v>Mobilization or demobilization, dozer, loader, backhoe or excavator, 70 H.P. to 250 H.P., up to 50 miles</v>
          </cell>
          <cell r="C440" t="str">
            <v>Ea.</v>
          </cell>
          <cell r="D440">
            <v>0</v>
          </cell>
          <cell r="E440">
            <v>196</v>
          </cell>
        </row>
        <row r="441">
          <cell r="B441" t="str">
            <v>Excavating, trench, 4' to 6' deep, 3/4 C.Y. bucket, expose pipe with hydraulic backhoe, excludes sheeting or dewatering</v>
          </cell>
          <cell r="C441" t="str">
            <v>B.C.Y.</v>
          </cell>
          <cell r="D441">
            <v>0</v>
          </cell>
          <cell r="E441">
            <v>3.88</v>
          </cell>
        </row>
        <row r="442">
          <cell r="B442" t="str">
            <v>Pipe, Corrugated Plastic Tubing, 4", laid in trench - no excavation</v>
          </cell>
          <cell r="C442" t="str">
            <v>L.F.</v>
          </cell>
          <cell r="D442">
            <v>1</v>
          </cell>
          <cell r="E442">
            <v>1.57</v>
          </cell>
        </row>
        <row r="443">
          <cell r="B443" t="str">
            <v>Aggregrate base course, for roadways and large paved areas, stabilization fabric, polypropylene, 6 oz./S.Y.</v>
          </cell>
          <cell r="C443" t="str">
            <v>S.Y.</v>
          </cell>
          <cell r="D443">
            <v>0.33</v>
          </cell>
          <cell r="E443">
            <v>1.1100000000000001</v>
          </cell>
        </row>
        <row r="444">
          <cell r="B444" t="str">
            <v>Bedding, for pipe and conduit, crushed or screened bank run gravel, excludes compaction</v>
          </cell>
          <cell r="C444" t="str">
            <v>L.C.Y.</v>
          </cell>
          <cell r="D444">
            <v>7.0000000000000007E-2</v>
          </cell>
          <cell r="E444">
            <v>29.5</v>
          </cell>
        </row>
        <row r="445">
          <cell r="A445" t="str">
            <v>A023260</v>
          </cell>
          <cell r="B445" t="str">
            <v xml:space="preserve">4" Perf. Footing Drain, stone, geotextile </v>
          </cell>
          <cell r="C445" t="str">
            <v>L.F.</v>
          </cell>
          <cell r="E445">
            <v>4.0013000000000005</v>
          </cell>
          <cell r="F445" t="str">
            <v>1,5,11,41</v>
          </cell>
          <cell r="G445" t="str">
            <v>5.2.10</v>
          </cell>
          <cell r="H445" t="str">
            <v>Drainage_Sub.</v>
          </cell>
          <cell r="I445" t="str">
            <v>RSMeans</v>
          </cell>
        </row>
        <row r="448">
          <cell r="B448" t="str">
            <v>Mobilization or demobilization, dozer, loader, backhoe or excavator, 70 H.P. to 250 H.P., up to 50 miles</v>
          </cell>
          <cell r="C448" t="str">
            <v>Ea.</v>
          </cell>
          <cell r="D448">
            <v>2.2222222222222222E-3</v>
          </cell>
          <cell r="E448">
            <v>196</v>
          </cell>
        </row>
        <row r="449">
          <cell r="B449" t="str">
            <v>Excavating, trench, 4' to 6' deep, 3/4 C.Y. bucket, expose pipe with hydraulic backhoe, excludes sheeting or dewatering</v>
          </cell>
          <cell r="C449" t="str">
            <v>B.C.Y.</v>
          </cell>
          <cell r="D449">
            <v>0.74</v>
          </cell>
          <cell r="E449">
            <v>3.88</v>
          </cell>
        </row>
        <row r="450">
          <cell r="B450" t="str">
            <v>Pipe, Corrugated Plastic Tubing, 4", laid in trench - no excavation</v>
          </cell>
          <cell r="C450" t="str">
            <v>L.F.</v>
          </cell>
          <cell r="D450">
            <v>1</v>
          </cell>
          <cell r="E450">
            <v>1.57</v>
          </cell>
        </row>
        <row r="451">
          <cell r="B451" t="str">
            <v>Aggregrate base course, for roadways and large paved areas, stabilization fabric, polypropylene, 6 oz./S.Y.</v>
          </cell>
          <cell r="C451" t="str">
            <v>S.Y.</v>
          </cell>
          <cell r="D451">
            <v>0</v>
          </cell>
          <cell r="E451">
            <v>1.1100000000000001</v>
          </cell>
        </row>
        <row r="452">
          <cell r="B452" t="str">
            <v>Bedding, for pipe and conduit, sand, dead or bank, excludes compaction</v>
          </cell>
          <cell r="C452" t="str">
            <v>L.C.Y.</v>
          </cell>
          <cell r="D452">
            <v>0.04</v>
          </cell>
          <cell r="E452">
            <v>12.05</v>
          </cell>
        </row>
        <row r="453">
          <cell r="B453" t="str">
            <v>Excavating, trench backfill, 1 C.Y. bucket, minimal haul, front end loader, wheel mounted, excludes sheeting or dewatering</v>
          </cell>
          <cell r="C453" t="str">
            <v>L.C.Y.</v>
          </cell>
          <cell r="D453">
            <v>1.2</v>
          </cell>
          <cell r="E453">
            <v>1.41</v>
          </cell>
        </row>
        <row r="454">
          <cell r="A454" t="str">
            <v>A023261</v>
          </cell>
          <cell r="B454" t="str">
            <v>4" Perf. Field Drain, 4-6' deep, bankrun gravel, incls. Mob</v>
          </cell>
          <cell r="C454" t="str">
            <v>L.F.</v>
          </cell>
          <cell r="E454">
            <v>7.0507555555555559</v>
          </cell>
          <cell r="F454" t="str">
            <v>1,5,11,41</v>
          </cell>
          <cell r="G454" t="str">
            <v>5.2.1</v>
          </cell>
          <cell r="H454" t="str">
            <v>Drainage_Sub.</v>
          </cell>
          <cell r="I454" t="str">
            <v>RSMeans</v>
          </cell>
        </row>
        <row r="457">
          <cell r="B457" t="str">
            <v>Mobilization or demobilization, dozer, loader, backhoe or excavator, 70 H.P. to 250 H.P., up to 50 miles</v>
          </cell>
          <cell r="C457" t="str">
            <v>Ea.</v>
          </cell>
          <cell r="D457">
            <v>2.2222222222222222E-3</v>
          </cell>
          <cell r="E457">
            <v>196</v>
          </cell>
        </row>
        <row r="458">
          <cell r="B458" t="str">
            <v>Excavating, trench, 4' to 6' deep, 3/4 C.Y. bucket, expose pipe with hydraulic backhoe, excludes sheeting or dewatering</v>
          </cell>
          <cell r="C458" t="str">
            <v>B.C.Y.</v>
          </cell>
          <cell r="D458">
            <v>0.74</v>
          </cell>
          <cell r="E458">
            <v>3.88</v>
          </cell>
        </row>
        <row r="459">
          <cell r="B459" t="str">
            <v>Pipe, Corrugated Plastic Tubing, 4", laid in trench - no excavation</v>
          </cell>
          <cell r="C459" t="str">
            <v>L.F.</v>
          </cell>
          <cell r="D459">
            <v>1</v>
          </cell>
          <cell r="E459">
            <v>1.57</v>
          </cell>
        </row>
        <row r="460">
          <cell r="B460" t="str">
            <v>Aggregrate base course, for roadways and large paved areas, stabilization fabric, polypropylene, 6 oz./S.Y.</v>
          </cell>
          <cell r="C460" t="str">
            <v>S.Y.</v>
          </cell>
          <cell r="D460">
            <v>0.25</v>
          </cell>
          <cell r="E460">
            <v>1.1100000000000001</v>
          </cell>
        </row>
        <row r="461">
          <cell r="B461" t="str">
            <v>Bedding, for pipe and conduit, sand, dead or bank, excludes compaction</v>
          </cell>
          <cell r="C461" t="str">
            <v>L.C.Y.</v>
          </cell>
          <cell r="D461">
            <v>0.04</v>
          </cell>
          <cell r="E461">
            <v>12.05</v>
          </cell>
        </row>
        <row r="462">
          <cell r="B462" t="str">
            <v>Excavating, trench backfill, 1 C.Y. bucket, minimal haul, front end loader, wheel mounted, excludes sheeting or dewatering</v>
          </cell>
          <cell r="C462" t="str">
            <v>L.C.Y.</v>
          </cell>
          <cell r="D462">
            <v>1.2</v>
          </cell>
          <cell r="E462">
            <v>1.41</v>
          </cell>
        </row>
        <row r="463">
          <cell r="A463" t="str">
            <v>A023262</v>
          </cell>
          <cell r="B463" t="str">
            <v>4" Perf. Field Drain, 4-6' deep, geotextile, bankrun gravel, incls. Mob</v>
          </cell>
          <cell r="C463" t="str">
            <v>L.F.</v>
          </cell>
          <cell r="E463">
            <v>7.3282555555555557</v>
          </cell>
          <cell r="F463" t="str">
            <v>1,5,11,41</v>
          </cell>
          <cell r="G463" t="str">
            <v>5.2.2</v>
          </cell>
          <cell r="H463" t="str">
            <v>Drainage_Sub.</v>
          </cell>
          <cell r="I463" t="str">
            <v>RSMeans</v>
          </cell>
        </row>
        <row r="466">
          <cell r="B466" t="str">
            <v>Mobilization or demobilization, dozer, loader, backhoe or excavator, 70 H.P. to 250 H.P., up to 50 miles</v>
          </cell>
          <cell r="C466" t="str">
            <v>Ea.</v>
          </cell>
          <cell r="D466">
            <v>2.2222222222222222E-3</v>
          </cell>
          <cell r="E466">
            <v>196</v>
          </cell>
        </row>
        <row r="467">
          <cell r="B467" t="str">
            <v>Excavating, trench, 4' to 6' deep, 3/4 C.Y. bucket, expose pipe with hydraulic backhoe, excludes sheeting or dewatering</v>
          </cell>
          <cell r="C467" t="str">
            <v>B.C.Y.</v>
          </cell>
          <cell r="D467">
            <v>0.74</v>
          </cell>
          <cell r="E467">
            <v>3.88</v>
          </cell>
        </row>
        <row r="468">
          <cell r="B468" t="str">
            <v>Pipe, Corrugated Plastic Tubing, 6", laid in trench - no excavation</v>
          </cell>
          <cell r="C468" t="str">
            <v>L.F.</v>
          </cell>
          <cell r="D468">
            <v>1</v>
          </cell>
          <cell r="E468">
            <v>2.36</v>
          </cell>
        </row>
        <row r="469">
          <cell r="B469" t="str">
            <v>Aggregrate base course, for roadways and large paved areas, stabilization fabric, polypropylene, 6 oz./S.Y.</v>
          </cell>
          <cell r="C469" t="str">
            <v>S.Y.</v>
          </cell>
          <cell r="D469">
            <v>0</v>
          </cell>
          <cell r="E469">
            <v>1.1100000000000001</v>
          </cell>
        </row>
        <row r="470">
          <cell r="B470" t="str">
            <v>Bedding, for pipe and conduit, sand, dead or bank, excludes compaction</v>
          </cell>
          <cell r="C470" t="str">
            <v>L.C.Y.</v>
          </cell>
          <cell r="D470">
            <v>0.05</v>
          </cell>
          <cell r="E470">
            <v>12.05</v>
          </cell>
        </row>
        <row r="471">
          <cell r="B471" t="str">
            <v>Excavating, trench backfill, 1 C.Y. bucket, minimal haul, front end loader, wheel mounted, excludes sheeting or dewatering</v>
          </cell>
          <cell r="C471" t="str">
            <v>L.C.Y.</v>
          </cell>
          <cell r="D471">
            <v>1.2</v>
          </cell>
          <cell r="E471">
            <v>1.41</v>
          </cell>
        </row>
        <row r="472">
          <cell r="A472" t="str">
            <v>A023280</v>
          </cell>
          <cell r="B472" t="str">
            <v>6" Perf. Field Drain, 4-6' deep, bankrun gravel, incls. Mob</v>
          </cell>
          <cell r="C472" t="str">
            <v>L.F.</v>
          </cell>
          <cell r="E472">
            <v>7.9612555555555558</v>
          </cell>
          <cell r="F472" t="str">
            <v>1,5,11,41</v>
          </cell>
          <cell r="G472" t="str">
            <v>5.2.5</v>
          </cell>
          <cell r="H472" t="str">
            <v>Drainage_Sub.</v>
          </cell>
          <cell r="I472" t="str">
            <v>RSMeans</v>
          </cell>
        </row>
        <row r="476">
          <cell r="B476" t="str">
            <v>Mobilization or demobilization, dozer, loader, backhoe or excavator, 70 H.P. to 250 H.P., up to 50 miles</v>
          </cell>
          <cell r="C476" t="str">
            <v>Ea.</v>
          </cell>
          <cell r="D476">
            <v>2.2222222222222222E-3</v>
          </cell>
          <cell r="E476">
            <v>196</v>
          </cell>
        </row>
        <row r="477">
          <cell r="B477" t="str">
            <v>Excavating, trench, 4' to 6' deep, 3/4 C.Y. bucket, expose pipe with hydraulic backhoe, excludes sheeting or dewatering</v>
          </cell>
          <cell r="C477" t="str">
            <v>B.C.Y.</v>
          </cell>
          <cell r="D477">
            <v>0.74</v>
          </cell>
          <cell r="E477">
            <v>3.88</v>
          </cell>
        </row>
        <row r="478">
          <cell r="B478" t="str">
            <v>Pipe, Corrugated Plastic Tubing, 6", laid in trench - no excavation</v>
          </cell>
          <cell r="C478" t="str">
            <v>L.F.</v>
          </cell>
          <cell r="D478">
            <v>1</v>
          </cell>
          <cell r="E478">
            <v>2.36</v>
          </cell>
        </row>
        <row r="479">
          <cell r="B479" t="str">
            <v>Aggregrate base course, for roadways and large paved areas, stabilization fabric, polypropylene, 6 oz./S.Y.</v>
          </cell>
          <cell r="C479" t="str">
            <v>S.Y.</v>
          </cell>
          <cell r="D479">
            <v>0.25</v>
          </cell>
          <cell r="E479">
            <v>1.1100000000000001</v>
          </cell>
        </row>
        <row r="480">
          <cell r="B480" t="str">
            <v>Bedding, for pipe and conduit, sand, dead or bank, excludes compaction</v>
          </cell>
          <cell r="C480" t="str">
            <v>L.C.Y.</v>
          </cell>
          <cell r="D480">
            <v>0.05</v>
          </cell>
          <cell r="E480">
            <v>12.05</v>
          </cell>
        </row>
        <row r="481">
          <cell r="B481" t="str">
            <v>Excavating, trench backfill, 1 C.Y. bucket, minimal haul, front end loader, wheel mounted, excludes sheeting or dewatering</v>
          </cell>
          <cell r="C481" t="str">
            <v>L.C.Y.</v>
          </cell>
          <cell r="D481">
            <v>1.2</v>
          </cell>
          <cell r="E481">
            <v>1.41</v>
          </cell>
        </row>
        <row r="482">
          <cell r="A482" t="str">
            <v>A023281</v>
          </cell>
          <cell r="B482" t="str">
            <v>6" Perf. Field Drain, 4-6' deep, geotextile, bankrun gravel, incls. Mob</v>
          </cell>
          <cell r="C482" t="str">
            <v>L.F.</v>
          </cell>
          <cell r="E482">
            <v>8.2387555555555547</v>
          </cell>
          <cell r="F482" t="str">
            <v>1,5,11,41</v>
          </cell>
          <cell r="G482" t="str">
            <v>5.2.6</v>
          </cell>
          <cell r="H482" t="str">
            <v>Drainage_Sub.</v>
          </cell>
          <cell r="I482" t="str">
            <v>RSMeans</v>
          </cell>
        </row>
        <row r="485">
          <cell r="B485" t="str">
            <v>Mobilization or demobilization, dozer, loader, backhoe or excavator, 70 H.P. to 250 H.P., up to 50 miles</v>
          </cell>
          <cell r="C485" t="str">
            <v>Ea.</v>
          </cell>
          <cell r="D485">
            <v>3.3333333333333335E-3</v>
          </cell>
          <cell r="E485">
            <v>196</v>
          </cell>
        </row>
        <row r="486">
          <cell r="B486" t="str">
            <v>Excavating, trench, concrete curb, steel forms, 6' to 10' deep, 1 C.Y. bucket, hydraulic backhoe, excludes sheeting or dewatering</v>
          </cell>
          <cell r="C486" t="str">
            <v>B.C.Y.</v>
          </cell>
          <cell r="D486">
            <v>1.2</v>
          </cell>
          <cell r="E486">
            <v>3.14</v>
          </cell>
        </row>
        <row r="487">
          <cell r="B487" t="str">
            <v>Pipe, Corrugated Plastic Tubing, 4", laid in trench - no excavation</v>
          </cell>
          <cell r="C487" t="str">
            <v>L.F.</v>
          </cell>
          <cell r="D487">
            <v>1</v>
          </cell>
          <cell r="E487">
            <v>1.57</v>
          </cell>
        </row>
        <row r="488">
          <cell r="B488" t="str">
            <v>Aggregrate base course, for roadways and large paved areas, stabilization fabric, polypropylene, 6 oz./S.Y.</v>
          </cell>
          <cell r="C488" t="str">
            <v>S.Y.</v>
          </cell>
          <cell r="D488">
            <v>0</v>
          </cell>
          <cell r="E488">
            <v>1.1100000000000001</v>
          </cell>
        </row>
        <row r="489">
          <cell r="B489" t="str">
            <v>Bedding, for pipe and conduit, sand, dead or bank, excludes compaction</v>
          </cell>
          <cell r="C489" t="str">
            <v>L.C.Y.</v>
          </cell>
          <cell r="D489">
            <v>0.04</v>
          </cell>
          <cell r="E489">
            <v>12.05</v>
          </cell>
        </row>
        <row r="490">
          <cell r="B490" t="str">
            <v>Excavating, trench backfill, 1 C.Y. bucket, minimal haul, front end loader, wheel mounted, excludes sheeting or dewatering</v>
          </cell>
          <cell r="C490" t="str">
            <v>L.C.Y.</v>
          </cell>
          <cell r="D490">
            <v>1.2</v>
          </cell>
          <cell r="E490">
            <v>1.41</v>
          </cell>
        </row>
        <row r="491">
          <cell r="A491" t="str">
            <v>A023263</v>
          </cell>
          <cell r="B491" t="str">
            <v>4" Perf. Field Drain, 7-9' deep, bankrun gravel, incls. Mob</v>
          </cell>
          <cell r="C491" t="str">
            <v>L.F.</v>
          </cell>
          <cell r="E491">
            <v>8.1653333333333329</v>
          </cell>
          <cell r="F491" t="str">
            <v>1,5,11,41</v>
          </cell>
          <cell r="G491" t="str">
            <v>5.2.4</v>
          </cell>
          <cell r="H491" t="str">
            <v>Drainage_Sub.</v>
          </cell>
          <cell r="I491" t="str">
            <v>RSMeans</v>
          </cell>
        </row>
        <row r="495">
          <cell r="B495" t="str">
            <v>Mobilization or demobilization, dozer, loader, backhoe or excavator, 70 H.P. to 250 H.P., up to 50 miles</v>
          </cell>
          <cell r="C495" t="str">
            <v>Ea.</v>
          </cell>
          <cell r="D495">
            <v>3.3333333333333335E-3</v>
          </cell>
          <cell r="E495">
            <v>196</v>
          </cell>
        </row>
        <row r="496">
          <cell r="B496" t="str">
            <v>Excavating, trench, concrete curb, steel forms, 6' to 10' deep, 1 C.Y. bucket, hydraulic backhoe, excludes sheeting or dewatering</v>
          </cell>
          <cell r="C496" t="str">
            <v>B.C.Y.</v>
          </cell>
          <cell r="D496">
            <v>1.2</v>
          </cell>
          <cell r="E496">
            <v>3.14</v>
          </cell>
        </row>
        <row r="497">
          <cell r="B497" t="str">
            <v>Pipe, Corrugated Plastic Tubing, 4", laid in trench - no excavation</v>
          </cell>
          <cell r="C497" t="str">
            <v>L.F.</v>
          </cell>
          <cell r="D497">
            <v>1</v>
          </cell>
          <cell r="E497">
            <v>1.57</v>
          </cell>
        </row>
        <row r="498">
          <cell r="B498" t="str">
            <v>Aggregrate base course, for roadways and large paved areas, stabilization fabric, polypropylene, 6 oz./S.Y.</v>
          </cell>
          <cell r="C498" t="str">
            <v>S.Y.</v>
          </cell>
          <cell r="D498">
            <v>0.25</v>
          </cell>
          <cell r="E498">
            <v>1.1100000000000001</v>
          </cell>
        </row>
        <row r="499">
          <cell r="B499" t="str">
            <v>Bedding, for pipe and conduit, sand, dead or bank, excludes compaction</v>
          </cell>
          <cell r="C499" t="str">
            <v>L.C.Y.</v>
          </cell>
          <cell r="D499">
            <v>0.04</v>
          </cell>
          <cell r="E499">
            <v>12.05</v>
          </cell>
        </row>
        <row r="500">
          <cell r="B500" t="str">
            <v>Excavating, trench backfill, 1 C.Y. bucket, minimal haul, front end loader, wheel mounted, excludes sheeting or dewatering</v>
          </cell>
          <cell r="C500" t="str">
            <v>L.C.Y.</v>
          </cell>
          <cell r="D500">
            <v>1.2</v>
          </cell>
          <cell r="E500">
            <v>1.41</v>
          </cell>
        </row>
        <row r="501">
          <cell r="A501" t="str">
            <v>A023264</v>
          </cell>
          <cell r="B501" t="str">
            <v>4" Perf. Field Drain, 7-9' deep, geotextile, bankrun gravel, incls. Mob</v>
          </cell>
          <cell r="C501" t="str">
            <v>L.F.</v>
          </cell>
          <cell r="E501">
            <v>8.4428333333333327</v>
          </cell>
          <cell r="F501" t="str">
            <v>1,5,11,41</v>
          </cell>
          <cell r="G501" t="str">
            <v>5.2.11</v>
          </cell>
          <cell r="H501" t="str">
            <v>Drainage_Sub.</v>
          </cell>
          <cell r="I501" t="str">
            <v>RSMeans</v>
          </cell>
        </row>
        <row r="504">
          <cell r="B504" t="str">
            <v>Mobilization or demobilization, dozer, loader, backhoe or excavator, 70 H.P. to 250 H.P., up to 50 miles</v>
          </cell>
          <cell r="C504" t="str">
            <v>Ea.</v>
          </cell>
          <cell r="D504">
            <v>3.3333333333333335E-3</v>
          </cell>
          <cell r="E504">
            <v>196</v>
          </cell>
        </row>
        <row r="505">
          <cell r="B505" t="str">
            <v>Excavating, trench, concrete curb, steel forms, 6' to 10' deep, 1 C.Y. bucket, hydraulic backhoe, excludes sheeting or dewatering</v>
          </cell>
          <cell r="C505" t="str">
            <v>B.C.Y.</v>
          </cell>
          <cell r="D505">
            <v>1.2</v>
          </cell>
          <cell r="E505">
            <v>3.14</v>
          </cell>
        </row>
        <row r="506">
          <cell r="B506" t="str">
            <v>Pipe, Corrugated Plastic Tubing, 6", laid in trench - no excavation</v>
          </cell>
          <cell r="C506" t="str">
            <v>L.F.</v>
          </cell>
          <cell r="D506">
            <v>1</v>
          </cell>
          <cell r="E506">
            <v>2.36</v>
          </cell>
        </row>
        <row r="507">
          <cell r="B507" t="str">
            <v>Aggregrate base course, for roadways and large paved areas, stabilization fabric, polypropylene, 6 oz./S.Y.</v>
          </cell>
          <cell r="C507" t="str">
            <v>S.Y.</v>
          </cell>
          <cell r="D507">
            <v>0</v>
          </cell>
          <cell r="E507">
            <v>1.1100000000000001</v>
          </cell>
        </row>
        <row r="508">
          <cell r="B508" t="str">
            <v>Bedding, for pipe and conduit, sand, dead or bank, excludes compaction</v>
          </cell>
          <cell r="C508" t="str">
            <v>L.C.Y.</v>
          </cell>
          <cell r="D508">
            <v>0.05</v>
          </cell>
          <cell r="E508">
            <v>12.05</v>
          </cell>
        </row>
        <row r="509">
          <cell r="B509" t="str">
            <v>Excavating, trench backfill, 1 C.Y. bucket, minimal haul, front end loader, wheel mounted, excludes sheeting or dewatering</v>
          </cell>
          <cell r="C509" t="str">
            <v>L.C.Y.</v>
          </cell>
          <cell r="D509">
            <v>1.2</v>
          </cell>
          <cell r="E509">
            <v>1.41</v>
          </cell>
        </row>
        <row r="510">
          <cell r="A510" t="str">
            <v>A023282</v>
          </cell>
          <cell r="B510" t="str">
            <v>6" Perf. Field Drain, 7-9' deep, bankrun gravel, incls. Mob</v>
          </cell>
          <cell r="C510" t="str">
            <v>L.F.</v>
          </cell>
          <cell r="E510">
            <v>9.0758333333333336</v>
          </cell>
          <cell r="F510" t="str">
            <v>1,5,11,41</v>
          </cell>
          <cell r="G510" t="str">
            <v>5.2.7</v>
          </cell>
          <cell r="H510" t="str">
            <v>Drainage_Sub.</v>
          </cell>
          <cell r="I510" t="str">
            <v>RSMeans</v>
          </cell>
        </row>
        <row r="514">
          <cell r="B514" t="str">
            <v>Mobilization or demobilization, dozer, loader, backhoe or excavator, 70 H.P. to 250 H.P., up to 50 miles</v>
          </cell>
          <cell r="C514" t="str">
            <v>Ea.</v>
          </cell>
          <cell r="D514">
            <v>3.3333333333333335E-3</v>
          </cell>
          <cell r="E514">
            <v>196</v>
          </cell>
        </row>
        <row r="515">
          <cell r="B515" t="str">
            <v>Excavating, trench, concrete curb, steel forms, 6' to 10' deep, 1 C.Y. bucket, hydraulic backhoe, excludes sheeting or dewatering</v>
          </cell>
          <cell r="C515" t="str">
            <v>B.C.Y.</v>
          </cell>
          <cell r="D515">
            <v>1.2</v>
          </cell>
          <cell r="E515">
            <v>3.14</v>
          </cell>
        </row>
        <row r="516">
          <cell r="B516" t="str">
            <v>Pipe, Corrugated Plastic Tubing, 6", laid in trench - no excavation</v>
          </cell>
          <cell r="C516" t="str">
            <v>L.F.</v>
          </cell>
          <cell r="D516">
            <v>1</v>
          </cell>
          <cell r="E516">
            <v>2.36</v>
          </cell>
        </row>
        <row r="517">
          <cell r="B517" t="str">
            <v>Aggregrate base course, for roadways and large paved areas, stabilization fabric, polypropylene, 6 oz./S.Y.</v>
          </cell>
          <cell r="C517" t="str">
            <v>S.Y.</v>
          </cell>
          <cell r="D517">
            <v>0.25</v>
          </cell>
          <cell r="E517">
            <v>1.1100000000000001</v>
          </cell>
        </row>
        <row r="518">
          <cell r="B518" t="str">
            <v>Bedding, for pipe and conduit, sand, dead or bank, excludes compaction</v>
          </cell>
          <cell r="C518" t="str">
            <v>L.C.Y.</v>
          </cell>
          <cell r="D518">
            <v>0.05</v>
          </cell>
          <cell r="E518">
            <v>12.05</v>
          </cell>
        </row>
        <row r="519">
          <cell r="B519" t="str">
            <v>Excavating, trench backfill, 1 C.Y. bucket, minimal haul, front end loader, wheel mounted, excludes sheeting or dewatering</v>
          </cell>
          <cell r="C519" t="str">
            <v>L.C.Y.</v>
          </cell>
          <cell r="D519">
            <v>1.2</v>
          </cell>
          <cell r="E519">
            <v>1.41</v>
          </cell>
        </row>
        <row r="520">
          <cell r="A520" t="str">
            <v>A023283</v>
          </cell>
          <cell r="B520" t="str">
            <v>6" Perf. Field Drain, 7-9' deep, geotextile, bankrun gravel, incls. Mob</v>
          </cell>
          <cell r="C520" t="str">
            <v>L.F.</v>
          </cell>
          <cell r="E520">
            <v>9.3533333333333335</v>
          </cell>
          <cell r="F520" t="str">
            <v>1,5,11,41</v>
          </cell>
          <cell r="G520" t="str">
            <v>5.2.12</v>
          </cell>
          <cell r="H520" t="str">
            <v>Drainage_Sub.</v>
          </cell>
          <cell r="I520" t="str">
            <v>RSMeans</v>
          </cell>
        </row>
        <row r="523">
          <cell r="B523" t="str">
            <v>Mobilization or demobilization, dozer, loader, backhoe or excavator, 70 H.P. to 250 H.P., up to 50 miles</v>
          </cell>
          <cell r="C523" t="str">
            <v>Ea.</v>
          </cell>
          <cell r="D523">
            <v>3.3333333333333335E-3</v>
          </cell>
          <cell r="E523">
            <v>196</v>
          </cell>
        </row>
        <row r="524">
          <cell r="B524" t="str">
            <v>Excavating, trench, concrete curb, steel forms, 10' to 14' deep, 1 C.Y. bucket, hydraulic backhoe, excludes sheeting or dewatering</v>
          </cell>
          <cell r="C524" t="str">
            <v>B.C.Y.</v>
          </cell>
          <cell r="D524">
            <v>2.2000000000000002</v>
          </cell>
          <cell r="E524">
            <v>3.49</v>
          </cell>
        </row>
        <row r="525">
          <cell r="B525" t="str">
            <v>Pipe, Corrugated Plastic Tubing, 4", laid in trench - no excavation</v>
          </cell>
          <cell r="C525" t="str">
            <v>L.F.</v>
          </cell>
          <cell r="D525">
            <v>1</v>
          </cell>
          <cell r="E525">
            <v>1.57</v>
          </cell>
        </row>
        <row r="526">
          <cell r="B526" t="str">
            <v>Aggregrate base course, for roadways and large paved areas, stabilization fabric, polypropylene, 6 oz./S.Y.</v>
          </cell>
          <cell r="C526" t="str">
            <v>S.Y.</v>
          </cell>
          <cell r="D526">
            <v>0</v>
          </cell>
          <cell r="E526">
            <v>1.1100000000000001</v>
          </cell>
        </row>
        <row r="527">
          <cell r="B527" t="str">
            <v>Bedding, for pipe and conduit, sand, dead or bank, excludes compaction</v>
          </cell>
          <cell r="C527" t="str">
            <v>L.C.Y.</v>
          </cell>
          <cell r="D527">
            <v>0.05</v>
          </cell>
          <cell r="E527">
            <v>12.05</v>
          </cell>
        </row>
        <row r="528">
          <cell r="B528" t="str">
            <v>Excavating, trench backfill, 1 C.Y. bucket, minimal haul, front end loader, wheel mounted, excludes sheeting or dewatering</v>
          </cell>
          <cell r="C528" t="str">
            <v>L.C.Y.</v>
          </cell>
          <cell r="D528">
            <v>2.2000000000000002</v>
          </cell>
          <cell r="E528">
            <v>1.41</v>
          </cell>
        </row>
        <row r="529">
          <cell r="A529" t="str">
            <v>A023284</v>
          </cell>
          <cell r="B529" t="str">
            <v>4" Perf. Field Drain, 12' deep, bankrun gravel, incls. Mob</v>
          </cell>
          <cell r="C529" t="str">
            <v>L.F.</v>
          </cell>
          <cell r="E529">
            <v>13.605833333333333</v>
          </cell>
          <cell r="F529" t="str">
            <v>1,5,11,41</v>
          </cell>
          <cell r="G529" t="str">
            <v>5.2.13</v>
          </cell>
          <cell r="H529" t="str">
            <v>Drainage_Sub.</v>
          </cell>
          <cell r="I529" t="str">
            <v>RSMeans</v>
          </cell>
        </row>
        <row r="532">
          <cell r="B532" t="str">
            <v>Mobilization or demobilization, dozer, loader, backhoe or excavator, 70 H.P. to 250 H.P., up to 50 miles</v>
          </cell>
          <cell r="C532" t="str">
            <v>Ea.</v>
          </cell>
          <cell r="D532">
            <v>3.3333333333333335E-3</v>
          </cell>
          <cell r="E532">
            <v>196</v>
          </cell>
        </row>
        <row r="533">
          <cell r="B533" t="str">
            <v>Excavating, trench, concrete curb, steel forms, 10' to 14' deep, 1 C.Y. bucket, hydraulic backhoe, excludes sheeting or dewatering</v>
          </cell>
          <cell r="C533" t="str">
            <v>B.C.Y.</v>
          </cell>
          <cell r="D533">
            <v>2.2000000000000002</v>
          </cell>
          <cell r="E533">
            <v>3.49</v>
          </cell>
        </row>
        <row r="534">
          <cell r="B534" t="str">
            <v>Pipe, Corrugated Plastic Tubing, 4", laid in trench - no excavation</v>
          </cell>
          <cell r="C534" t="str">
            <v>L.F.</v>
          </cell>
          <cell r="D534">
            <v>1</v>
          </cell>
          <cell r="E534">
            <v>1.57</v>
          </cell>
        </row>
        <row r="535">
          <cell r="B535" t="str">
            <v>Aggregrate base course, for roadways and large paved areas, stabilization fabric, polypropylene, 6 oz./S.Y.</v>
          </cell>
          <cell r="C535" t="str">
            <v>S.Y.</v>
          </cell>
          <cell r="D535">
            <v>0.25</v>
          </cell>
          <cell r="E535">
            <v>1.1100000000000001</v>
          </cell>
        </row>
        <row r="536">
          <cell r="B536" t="str">
            <v>Bedding, for pipe and conduit, sand, dead or bank, excludes compaction</v>
          </cell>
          <cell r="C536" t="str">
            <v>L.C.Y.</v>
          </cell>
          <cell r="D536">
            <v>0.05</v>
          </cell>
          <cell r="E536">
            <v>12.05</v>
          </cell>
        </row>
        <row r="537">
          <cell r="B537" t="str">
            <v>Excavating, trench backfill, 1 C.Y. bucket, minimal haul, front end loader, wheel mounted, excludes sheeting or dewatering</v>
          </cell>
          <cell r="C537" t="str">
            <v>L.C.Y.</v>
          </cell>
          <cell r="D537">
            <v>2.2000000000000002</v>
          </cell>
          <cell r="E537">
            <v>1.41</v>
          </cell>
        </row>
        <row r="538">
          <cell r="A538" t="str">
            <v>A023285</v>
          </cell>
          <cell r="B538" t="str">
            <v>4" Perf. Field Drain, 12' deep, geotextile, bankrun gravel, incls. Mob</v>
          </cell>
          <cell r="C538" t="str">
            <v>L.F.</v>
          </cell>
          <cell r="E538">
            <v>13.883333333333333</v>
          </cell>
          <cell r="F538" t="str">
            <v>1,5,11,41</v>
          </cell>
          <cell r="G538" t="str">
            <v>5.2.14</v>
          </cell>
          <cell r="H538" t="str">
            <v>Drainage_Sub.</v>
          </cell>
          <cell r="I538" t="str">
            <v>RSMeans</v>
          </cell>
        </row>
        <row r="543">
          <cell r="B543" t="str">
            <v>Rent excavator diesel hydraulic crawler mounted 1/2 CY capacity</v>
          </cell>
          <cell r="C543" t="str">
            <v>Day</v>
          </cell>
          <cell r="D543">
            <v>0.125</v>
          </cell>
          <cell r="E543">
            <v>379.5</v>
          </cell>
        </row>
        <row r="544">
          <cell r="B544" t="str">
            <v>Equipment Operator, Crane or Shovel</v>
          </cell>
          <cell r="C544" t="str">
            <v>Hr.</v>
          </cell>
          <cell r="D544">
            <v>1</v>
          </cell>
          <cell r="E544">
            <v>43.125953849999995</v>
          </cell>
        </row>
        <row r="545">
          <cell r="A545" t="str">
            <v>A015300</v>
          </cell>
          <cell r="B545" t="str">
            <v>Excavator, Small, 1/2 CY Bucket</v>
          </cell>
          <cell r="C545" t="str">
            <v>HR.</v>
          </cell>
          <cell r="E545">
            <v>90.563453850000002</v>
          </cell>
          <cell r="F545" t="str">
            <v>-</v>
          </cell>
          <cell r="G545" t="str">
            <v>6.9.6</v>
          </cell>
          <cell r="H545" t="str">
            <v>Equipment</v>
          </cell>
          <cell r="I545" t="str">
            <v>RSMeans</v>
          </cell>
        </row>
        <row r="548">
          <cell r="B548" t="str">
            <v>Rent excavator diesel hydraulic crawler mounted 3/4 CY capacity</v>
          </cell>
          <cell r="C548" t="str">
            <v>Day</v>
          </cell>
          <cell r="D548">
            <v>0.125</v>
          </cell>
          <cell r="E548">
            <v>539</v>
          </cell>
        </row>
        <row r="549">
          <cell r="B549" t="str">
            <v>Equipment Operator, Crane or Shovel</v>
          </cell>
          <cell r="C549" t="str">
            <v>Hr.</v>
          </cell>
          <cell r="D549">
            <v>1</v>
          </cell>
          <cell r="E549">
            <v>43.125953849999995</v>
          </cell>
        </row>
        <row r="550">
          <cell r="A550" t="str">
            <v>A015310</v>
          </cell>
          <cell r="B550" t="str">
            <v>Excavator, Medium, 3/4 CY Bucket</v>
          </cell>
          <cell r="C550" t="str">
            <v>HR.</v>
          </cell>
          <cell r="E550">
            <v>110.50095385</v>
          </cell>
          <cell r="F550" t="str">
            <v>-</v>
          </cell>
          <cell r="G550" t="str">
            <v>6.9.10</v>
          </cell>
          <cell r="H550" t="str">
            <v>Equipment</v>
          </cell>
          <cell r="I550" t="str">
            <v>RSMeans</v>
          </cell>
        </row>
        <row r="553">
          <cell r="B553" t="str">
            <v>Rent excavation diesel hydraulic crawler mounted 1 CY capacity</v>
          </cell>
          <cell r="C553" t="str">
            <v>Day</v>
          </cell>
          <cell r="D553">
            <v>0.125</v>
          </cell>
          <cell r="E553">
            <v>627</v>
          </cell>
        </row>
        <row r="554">
          <cell r="B554" t="str">
            <v>Equipment Operator, Crane or Shovel</v>
          </cell>
          <cell r="C554" t="str">
            <v>Hr.</v>
          </cell>
          <cell r="D554">
            <v>1</v>
          </cell>
          <cell r="E554">
            <v>43.125953849999995</v>
          </cell>
        </row>
        <row r="555">
          <cell r="A555" t="str">
            <v>A015301</v>
          </cell>
          <cell r="B555" t="str">
            <v>Excavator, Medium, 1.0 CY Bucket</v>
          </cell>
          <cell r="C555" t="str">
            <v>HR.</v>
          </cell>
          <cell r="E555">
            <v>121.50095385</v>
          </cell>
          <cell r="F555" t="str">
            <v>-</v>
          </cell>
          <cell r="G555" t="str">
            <v>6.9.7</v>
          </cell>
          <cell r="H555" t="str">
            <v>Equipment</v>
          </cell>
          <cell r="I555" t="str">
            <v>RSMeans</v>
          </cell>
        </row>
        <row r="558">
          <cell r="B558" t="str">
            <v>Rent excavator diesel hydraulic crawler mounted 1-1/2 CY capaci</v>
          </cell>
          <cell r="C558" t="str">
            <v>Day</v>
          </cell>
          <cell r="D558">
            <v>0.125</v>
          </cell>
          <cell r="E558">
            <v>830.5</v>
          </cell>
        </row>
        <row r="559">
          <cell r="B559" t="str">
            <v>Equipment Operator, Crane or Shovel</v>
          </cell>
          <cell r="C559" t="str">
            <v>Hr.</v>
          </cell>
          <cell r="D559">
            <v>1</v>
          </cell>
          <cell r="E559">
            <v>43.125953849999995</v>
          </cell>
        </row>
        <row r="560">
          <cell r="A560" t="str">
            <v>A015302</v>
          </cell>
          <cell r="B560" t="str">
            <v>Excavator, Large, 1.5 CY Bucket</v>
          </cell>
          <cell r="C560" t="str">
            <v>HR.</v>
          </cell>
          <cell r="E560">
            <v>146.93845385</v>
          </cell>
          <cell r="F560" t="str">
            <v>-</v>
          </cell>
          <cell r="G560" t="str">
            <v>6.9.8</v>
          </cell>
          <cell r="H560" t="str">
            <v>Equipment</v>
          </cell>
          <cell r="I560" t="str">
            <v>RSMeans</v>
          </cell>
        </row>
        <row r="563">
          <cell r="B563" t="str">
            <v>Rent tractor dozer crawler diesel 80 HP</v>
          </cell>
          <cell r="C563" t="str">
            <v>Day</v>
          </cell>
          <cell r="D563">
            <v>0.125</v>
          </cell>
          <cell r="E563">
            <v>341</v>
          </cell>
        </row>
        <row r="564">
          <cell r="B564" t="str">
            <v>Equipment Operator, Medium Equipment</v>
          </cell>
          <cell r="C564" t="str">
            <v>Hr.</v>
          </cell>
          <cell r="D564">
            <v>1</v>
          </cell>
          <cell r="E564">
            <v>41.566244849999997</v>
          </cell>
        </row>
        <row r="565">
          <cell r="A565" t="str">
            <v>A015303</v>
          </cell>
          <cell r="B565" t="str">
            <v>Dozer, Small -  Finish Work, 75 Hp</v>
          </cell>
          <cell r="C565" t="str">
            <v>HR.</v>
          </cell>
          <cell r="E565">
            <v>84.191244850000004</v>
          </cell>
          <cell r="F565" t="str">
            <v>-</v>
          </cell>
          <cell r="G565" t="str">
            <v>6.9.2</v>
          </cell>
          <cell r="H565" t="str">
            <v>Equipment</v>
          </cell>
          <cell r="I565" t="str">
            <v>RSMeans</v>
          </cell>
        </row>
        <row r="568">
          <cell r="B568" t="str">
            <v>Rent tractor dozer crawler diesel 105 HP</v>
          </cell>
          <cell r="C568" t="str">
            <v>Day</v>
          </cell>
          <cell r="D568">
            <v>0.125</v>
          </cell>
          <cell r="E568">
            <v>506</v>
          </cell>
        </row>
        <row r="569">
          <cell r="B569" t="str">
            <v>Equipment Operator, Medium Equipment</v>
          </cell>
          <cell r="C569" t="str">
            <v>Hr.</v>
          </cell>
          <cell r="D569">
            <v>1</v>
          </cell>
          <cell r="E569">
            <v>41.566244849999997</v>
          </cell>
        </row>
        <row r="570">
          <cell r="A570" t="str">
            <v>A015304</v>
          </cell>
          <cell r="B570" t="str">
            <v>Dozer, Medium, 105 Hp</v>
          </cell>
          <cell r="C570" t="str">
            <v>HR.</v>
          </cell>
          <cell r="E570">
            <v>104.81624485</v>
          </cell>
          <cell r="F570" t="str">
            <v>-</v>
          </cell>
          <cell r="G570" t="str">
            <v>6.9.3</v>
          </cell>
          <cell r="H570" t="str">
            <v>Equipment</v>
          </cell>
          <cell r="I570" t="str">
            <v>RSMeans</v>
          </cell>
        </row>
        <row r="573">
          <cell r="B573" t="str">
            <v>Rent tractor dozer crawler diesel 140 HP</v>
          </cell>
          <cell r="C573" t="str">
            <v>Day</v>
          </cell>
          <cell r="D573">
            <v>0.125</v>
          </cell>
          <cell r="E573">
            <v>649</v>
          </cell>
        </row>
        <row r="574">
          <cell r="B574" t="str">
            <v>Equipment Operator, Medium Equipment</v>
          </cell>
          <cell r="C574" t="str">
            <v>Hr.</v>
          </cell>
          <cell r="D574">
            <v>1</v>
          </cell>
          <cell r="E574">
            <v>41.566244849999997</v>
          </cell>
        </row>
        <row r="575">
          <cell r="A575" t="str">
            <v>A015305</v>
          </cell>
          <cell r="B575" t="str">
            <v>Dozer, Medium, 140 Hp</v>
          </cell>
          <cell r="C575" t="str">
            <v>HR.</v>
          </cell>
          <cell r="E575">
            <v>122.69124485</v>
          </cell>
          <cell r="F575" t="str">
            <v>-</v>
          </cell>
          <cell r="G575" t="str">
            <v>6.9.4</v>
          </cell>
          <cell r="H575" t="str">
            <v>Equipment</v>
          </cell>
          <cell r="I575" t="str">
            <v>RSMeans</v>
          </cell>
        </row>
        <row r="578">
          <cell r="B578" t="str">
            <v>Rent tractor dozer crawler diesel 200 HP</v>
          </cell>
          <cell r="C578" t="str">
            <v>Day</v>
          </cell>
          <cell r="D578">
            <v>0.125</v>
          </cell>
          <cell r="E578">
            <v>1083.5</v>
          </cell>
        </row>
        <row r="579">
          <cell r="B579" t="str">
            <v>Equipment Operator, Medium Equipment</v>
          </cell>
          <cell r="C579" t="str">
            <v>Hr.</v>
          </cell>
          <cell r="D579">
            <v>1</v>
          </cell>
          <cell r="E579">
            <v>41.566244849999997</v>
          </cell>
        </row>
        <row r="580">
          <cell r="A580" t="str">
            <v>A015306</v>
          </cell>
          <cell r="B580" t="str">
            <v>Dozer, Large, 200 Hp</v>
          </cell>
          <cell r="C580" t="str">
            <v>HR.</v>
          </cell>
          <cell r="E580">
            <v>177.00374485</v>
          </cell>
          <cell r="F580" t="str">
            <v>-</v>
          </cell>
          <cell r="G580" t="str">
            <v>6.9.5</v>
          </cell>
          <cell r="H580" t="str">
            <v>Equipment</v>
          </cell>
          <cell r="I580" t="str">
            <v>RSMeans</v>
          </cell>
        </row>
        <row r="583">
          <cell r="B583" t="str">
            <v>Rent backhoe-loader 40 to 45 HP 5/8 CY capacity</v>
          </cell>
          <cell r="C583" t="str">
            <v>Day</v>
          </cell>
          <cell r="D583">
            <v>0.125</v>
          </cell>
          <cell r="E583">
            <v>194.7</v>
          </cell>
        </row>
        <row r="584">
          <cell r="B584" t="str">
            <v>Equipment Operator, Crane or Shovel</v>
          </cell>
          <cell r="C584" t="str">
            <v>Hr.</v>
          </cell>
          <cell r="D584">
            <v>1</v>
          </cell>
          <cell r="E584">
            <v>43.125953849999995</v>
          </cell>
        </row>
        <row r="585">
          <cell r="A585" t="str">
            <v>A015307</v>
          </cell>
          <cell r="B585" t="str">
            <v>Backhoe, 40-45 Hp, 1/2 CY Capacity</v>
          </cell>
          <cell r="C585" t="str">
            <v>HR.</v>
          </cell>
          <cell r="E585">
            <v>67.463453849999993</v>
          </cell>
          <cell r="F585" t="str">
            <v>-</v>
          </cell>
          <cell r="G585" t="str">
            <v>6.9.0</v>
          </cell>
          <cell r="H585" t="str">
            <v>Equipment</v>
          </cell>
          <cell r="I585" t="str">
            <v>RSMeans</v>
          </cell>
        </row>
        <row r="588">
          <cell r="B588" t="str">
            <v>Rent backhoe-loader 45 to 60 HP 3/4 CY capacity</v>
          </cell>
          <cell r="C588" t="str">
            <v>Day</v>
          </cell>
          <cell r="D588">
            <v>0.125</v>
          </cell>
          <cell r="E588">
            <v>239.8</v>
          </cell>
        </row>
        <row r="589">
          <cell r="B589" t="str">
            <v>Equipment Operator, Crane or Shovel</v>
          </cell>
          <cell r="C589" t="str">
            <v>Hr.</v>
          </cell>
          <cell r="D589">
            <v>1</v>
          </cell>
          <cell r="E589">
            <v>43.125953849999995</v>
          </cell>
        </row>
        <row r="590">
          <cell r="A590" t="str">
            <v>A015308</v>
          </cell>
          <cell r="B590" t="str">
            <v>Backhoe, Large, 100 Hp, 3/4 C.Y. Capacity</v>
          </cell>
          <cell r="C590" t="str">
            <v>HR.</v>
          </cell>
          <cell r="E590">
            <v>73.100953849999996</v>
          </cell>
          <cell r="F590" t="str">
            <v>-</v>
          </cell>
          <cell r="G590" t="str">
            <v>6.9.1</v>
          </cell>
          <cell r="H590" t="str">
            <v>Equipment</v>
          </cell>
          <cell r="I590" t="str">
            <v>RSMeans</v>
          </cell>
        </row>
        <row r="593">
          <cell r="B593" t="str">
            <v>Rent loader skid steer, 1 CY 78 HP, diesel</v>
          </cell>
          <cell r="C593" t="str">
            <v>Day</v>
          </cell>
          <cell r="D593">
            <v>0.125</v>
          </cell>
          <cell r="E593">
            <v>211.2</v>
          </cell>
        </row>
        <row r="594">
          <cell r="B594" t="str">
            <v>Equipment Operator, Light Equipment</v>
          </cell>
          <cell r="C594" t="str">
            <v>Hr.</v>
          </cell>
          <cell r="D594">
            <v>1</v>
          </cell>
          <cell r="E594">
            <v>39.694594049999999</v>
          </cell>
        </row>
        <row r="595">
          <cell r="A595" t="str">
            <v>A015309</v>
          </cell>
          <cell r="B595" t="str">
            <v>Skid Steer Loader, Large, 78 Hp, 1.0 C.Y. Capacity</v>
          </cell>
          <cell r="C595" t="str">
            <v>HR.</v>
          </cell>
          <cell r="E595">
            <v>66.094594049999998</v>
          </cell>
          <cell r="F595" t="str">
            <v>-</v>
          </cell>
          <cell r="G595" t="str">
            <v>6.9.11</v>
          </cell>
          <cell r="H595" t="str">
            <v>Equipment</v>
          </cell>
          <cell r="I595" t="str">
            <v>RSMeans</v>
          </cell>
        </row>
        <row r="598">
          <cell r="B598" t="str">
            <v>Rent truck dump tandem 12 ton payload</v>
          </cell>
          <cell r="C598" t="str">
            <v>Day</v>
          </cell>
          <cell r="D598">
            <v>0.125</v>
          </cell>
          <cell r="E598">
            <v>299.2</v>
          </cell>
        </row>
        <row r="599">
          <cell r="B599" t="str">
            <v>Truck Driver, heavy</v>
          </cell>
          <cell r="C599" t="str">
            <v>Hr.</v>
          </cell>
          <cell r="D599">
            <v>1</v>
          </cell>
          <cell r="E599">
            <v>34.373259000000004</v>
          </cell>
        </row>
        <row r="600">
          <cell r="A600" t="str">
            <v>A015400</v>
          </cell>
          <cell r="B600" t="str">
            <v>Dump Truck, tandum axle, 12 ton capacity</v>
          </cell>
          <cell r="C600" t="str">
            <v>HR.</v>
          </cell>
          <cell r="E600">
            <v>71.773258999999996</v>
          </cell>
          <cell r="F600" t="str">
            <v>-</v>
          </cell>
          <cell r="G600" t="str">
            <v>6.9.12</v>
          </cell>
          <cell r="H600" t="str">
            <v>Equipment</v>
          </cell>
          <cell r="I600" t="str">
            <v>RSMeans</v>
          </cell>
        </row>
        <row r="603">
          <cell r="B603" t="str">
            <v>Rent truck dump 3 axle 16 ton payload</v>
          </cell>
          <cell r="C603" t="str">
            <v>Day</v>
          </cell>
          <cell r="D603">
            <v>0.125</v>
          </cell>
          <cell r="E603">
            <v>462</v>
          </cell>
        </row>
        <row r="604">
          <cell r="B604" t="str">
            <v>Truck Driver, heavy</v>
          </cell>
          <cell r="C604" t="str">
            <v>Hr.</v>
          </cell>
          <cell r="D604">
            <v>1</v>
          </cell>
          <cell r="E604">
            <v>34.373259000000004</v>
          </cell>
        </row>
        <row r="605">
          <cell r="A605" t="str">
            <v>A015401</v>
          </cell>
          <cell r="B605" t="str">
            <v>Dump Truck, tri-axle, 12 ton capacity</v>
          </cell>
          <cell r="C605" t="str">
            <v>HR.</v>
          </cell>
          <cell r="E605">
            <v>92.123259000000004</v>
          </cell>
          <cell r="F605" t="str">
            <v>-</v>
          </cell>
          <cell r="G605" t="str">
            <v>6.9.13</v>
          </cell>
          <cell r="H605" t="str">
            <v>Equipment</v>
          </cell>
          <cell r="I605" t="str">
            <v>RSMeans</v>
          </cell>
        </row>
        <row r="608">
          <cell r="B608" t="str">
            <v>Rent truck off highway rear dump 25 ton capacity</v>
          </cell>
          <cell r="C608" t="str">
            <v>Day</v>
          </cell>
          <cell r="D608">
            <v>0.125</v>
          </cell>
          <cell r="E608">
            <v>1078</v>
          </cell>
        </row>
        <row r="609">
          <cell r="B609" t="str">
            <v>Truck Driver, heavy</v>
          </cell>
          <cell r="C609" t="str">
            <v>Hr.</v>
          </cell>
          <cell r="D609">
            <v>1</v>
          </cell>
          <cell r="E609">
            <v>34.373259000000004</v>
          </cell>
        </row>
        <row r="610">
          <cell r="A610" t="str">
            <v>A015402</v>
          </cell>
          <cell r="B610" t="str">
            <v>Dump Truck, off-road, 25 ton capacity</v>
          </cell>
          <cell r="C610" t="str">
            <v>HR.</v>
          </cell>
          <cell r="E610">
            <v>169.12325900000002</v>
          </cell>
          <cell r="F610" t="str">
            <v>-</v>
          </cell>
          <cell r="G610" t="str">
            <v>6.9.14</v>
          </cell>
          <cell r="H610" t="str">
            <v>Equipment</v>
          </cell>
          <cell r="I610" t="str">
            <v>RSMeans</v>
          </cell>
        </row>
        <row r="613">
          <cell r="B613" t="str">
            <v>Mobilization or demobilization, dozer, loader, backhoe or excavator, 70 H.P. to 250 H.P., up to 50 miles</v>
          </cell>
          <cell r="C613" t="str">
            <v>Ea.</v>
          </cell>
          <cell r="D613">
            <v>1.0007999999999999</v>
          </cell>
          <cell r="E613">
            <v>196</v>
          </cell>
        </row>
        <row r="614">
          <cell r="B614" t="str">
            <v>Skid Steer Loader, Large, 78 Hp, 1.0 C.Y. Capacity</v>
          </cell>
          <cell r="C614" t="str">
            <v>HR.</v>
          </cell>
          <cell r="D614">
            <v>7.992</v>
          </cell>
          <cell r="E614">
            <v>66.094594049999998</v>
          </cell>
        </row>
        <row r="615">
          <cell r="B615" t="str">
            <v>Excavator, Small, 1/2 CY Bucket</v>
          </cell>
          <cell r="C615" t="str">
            <v>HR.</v>
          </cell>
          <cell r="D615">
            <v>7.992</v>
          </cell>
          <cell r="E615">
            <v>90.563453850000002</v>
          </cell>
        </row>
        <row r="616">
          <cell r="B616" t="str">
            <v>Erosion control, silt fence, polypropylene, adverse conditions, 3' high</v>
          </cell>
          <cell r="C616" t="str">
            <v>L.F.</v>
          </cell>
          <cell r="D616">
            <v>159.98400000000001</v>
          </cell>
          <cell r="E616">
            <v>0.94</v>
          </cell>
        </row>
        <row r="617">
          <cell r="B617" t="str">
            <v>Borrow, 3/4" Crushed Stone, 20 mile round trip</v>
          </cell>
          <cell r="C617" t="str">
            <v>C.Y.</v>
          </cell>
          <cell r="D617">
            <v>36</v>
          </cell>
          <cell r="E617">
            <v>18.25</v>
          </cell>
        </row>
        <row r="618">
          <cell r="A618" t="str">
            <v>A020219</v>
          </cell>
          <cell r="B618" t="str">
            <v>Walkway, 4' wide, strip, geotextile fabric, 8" stone,  360'/day</v>
          </cell>
          <cell r="C618" t="str">
            <v>L.F.</v>
          </cell>
          <cell r="E618">
            <v>4.2549159879099996</v>
          </cell>
          <cell r="F618" t="str">
            <v>1,5,11,54</v>
          </cell>
          <cell r="G618" t="str">
            <v>12.1.5</v>
          </cell>
          <cell r="H618" t="str">
            <v>Lane_Road</v>
          </cell>
          <cell r="I618" t="str">
            <v>RSMeans</v>
          </cell>
        </row>
        <row r="621">
          <cell r="B621" t="str">
            <v>Borrow, Bank Sand, 10 mile round trip</v>
          </cell>
          <cell r="C621" t="str">
            <v>C.Y.</v>
          </cell>
          <cell r="D621">
            <v>4</v>
          </cell>
          <cell r="E621">
            <v>8.5</v>
          </cell>
        </row>
        <row r="622">
          <cell r="B622" t="str">
            <v>C.I.P. concrete forms, slab on grade, edge, wood, 7" to 12" high, 4 use, includes erecting, bracing, stripping and cleaning</v>
          </cell>
          <cell r="C622" t="str">
            <v>SFCA</v>
          </cell>
          <cell r="D622">
            <v>22</v>
          </cell>
          <cell r="E622">
            <v>3.73</v>
          </cell>
        </row>
        <row r="623">
          <cell r="B623" t="str">
            <v>High chairs, for reinforcing steel, individual, no plates, plain, 5" high, includes material only</v>
          </cell>
          <cell r="C623" t="str">
            <v>C</v>
          </cell>
          <cell r="D623">
            <v>0.12</v>
          </cell>
          <cell r="E623">
            <v>109</v>
          </cell>
        </row>
        <row r="624">
          <cell r="B624" t="str">
            <v>High chairs, for reinforcing steel, individual, no plates, to 5" high, for plates, add, includes material only</v>
          </cell>
          <cell r="C624" t="str">
            <v>C</v>
          </cell>
          <cell r="D624">
            <v>0.12</v>
          </cell>
          <cell r="E624">
            <v>310</v>
          </cell>
        </row>
        <row r="625">
          <cell r="B625" t="str">
            <v>Reinforcing steel, in place, footings, #4 to #7, A615, grade 60, incl access. Labor</v>
          </cell>
          <cell r="C625" t="str">
            <v>Ton</v>
          </cell>
          <cell r="D625">
            <v>4.2999999999999997E-2</v>
          </cell>
          <cell r="E625">
            <v>1600</v>
          </cell>
        </row>
        <row r="626">
          <cell r="B626" t="str">
            <v>Reinforcing steel, in place, dowels, deformed, A615, grade 60, longer and heavier, add</v>
          </cell>
          <cell r="C626" t="str">
            <v>Lb.</v>
          </cell>
          <cell r="D626">
            <v>75</v>
          </cell>
          <cell r="E626">
            <v>1.6</v>
          </cell>
        </row>
        <row r="627">
          <cell r="B627" t="str">
            <v>Structural concrete, ready mix, normal weight, 3000 psi, includes material only</v>
          </cell>
          <cell r="C627" t="str">
            <v>C.Y.</v>
          </cell>
          <cell r="D627">
            <v>3</v>
          </cell>
          <cell r="E627">
            <v>89</v>
          </cell>
        </row>
        <row r="628">
          <cell r="B628" t="str">
            <v>Structural concrete, placing, continuous footing, shallow, direct chute, includes vibrating, excludes material</v>
          </cell>
          <cell r="C628" t="str">
            <v>C.Y.</v>
          </cell>
          <cell r="D628">
            <v>3</v>
          </cell>
          <cell r="E628">
            <v>15.05</v>
          </cell>
        </row>
        <row r="629">
          <cell r="B629" t="str">
            <v>C.I.P. concrete forms, walls, modular prefabricated plywood, to 8' high, 2 use per month, includes erecting, bracing, stripping and cleaning</v>
          </cell>
          <cell r="C629" t="str">
            <v>SFCA</v>
          </cell>
          <cell r="D629">
            <v>427</v>
          </cell>
          <cell r="E629">
            <v>2.63</v>
          </cell>
        </row>
        <row r="630">
          <cell r="B630" t="str">
            <v>Reinforcing steel, in place, walls, #3 to #7, A615, grade 60, incl access. Labor</v>
          </cell>
          <cell r="C630" t="str">
            <v>Ton</v>
          </cell>
          <cell r="D630">
            <v>0.12</v>
          </cell>
          <cell r="E630">
            <v>1375</v>
          </cell>
        </row>
        <row r="631">
          <cell r="B631" t="str">
            <v>Structural concrete, ready mix, normal weight, 3000 psi, includes material only</v>
          </cell>
          <cell r="C631" t="str">
            <v>C.Y.</v>
          </cell>
          <cell r="D631">
            <v>5.5</v>
          </cell>
          <cell r="E631">
            <v>89</v>
          </cell>
        </row>
        <row r="632">
          <cell r="B632" t="str">
            <v>Structural concrete, placing, walls, direct chute, 8" thick, includes vibrating, excludes material</v>
          </cell>
          <cell r="C632" t="str">
            <v>C.Y.</v>
          </cell>
          <cell r="D632">
            <v>5.5</v>
          </cell>
          <cell r="E632">
            <v>20</v>
          </cell>
        </row>
        <row r="633">
          <cell r="B633" t="str">
            <v>Concrete finishing, walls, includes breaking ties and patching voids</v>
          </cell>
          <cell r="C633" t="str">
            <v>S.F.</v>
          </cell>
          <cell r="D633">
            <v>427</v>
          </cell>
          <cell r="E633">
            <v>0.64</v>
          </cell>
        </row>
        <row r="634">
          <cell r="B634" t="str">
            <v>Curing, sprayed membrane compound</v>
          </cell>
          <cell r="C634" t="str">
            <v>C.S.F.</v>
          </cell>
          <cell r="D634">
            <v>0.46</v>
          </cell>
          <cell r="E634">
            <v>11.65</v>
          </cell>
        </row>
        <row r="635">
          <cell r="B635" t="str">
            <v>Anchor bolts, J-type, 1/2" diameter x 12" long, includes nut and washer</v>
          </cell>
          <cell r="C635" t="str">
            <v>Ea.</v>
          </cell>
          <cell r="D635">
            <v>8</v>
          </cell>
          <cell r="E635">
            <v>5.55</v>
          </cell>
        </row>
        <row r="636">
          <cell r="B636" t="str">
            <v>Unreinforced Concrete</v>
          </cell>
          <cell r="C636" t="str">
            <v>C.Y.</v>
          </cell>
          <cell r="D636">
            <v>3</v>
          </cell>
          <cell r="E636">
            <v>131.25</v>
          </cell>
        </row>
        <row r="637">
          <cell r="A637" t="str">
            <v>A033135</v>
          </cell>
          <cell r="B637" t="str">
            <v>Conc. Hopper, 6'x6'x8', 8" Wall &amp; Floor, No Exc. or Drainage, 6" Drainfill</v>
          </cell>
          <cell r="C637" t="str">
            <v>E.A.</v>
          </cell>
          <cell r="E637">
            <v>3258.509</v>
          </cell>
          <cell r="F637" t="str">
            <v>1,5,11,31</v>
          </cell>
          <cell r="G637" t="str">
            <v>2.8.4</v>
          </cell>
          <cell r="H637" t="str">
            <v>Conc_Walls</v>
          </cell>
          <cell r="I637" t="str">
            <v>RSMeans</v>
          </cell>
        </row>
        <row r="640">
          <cell r="B640" t="str">
            <v>Excavating, structural, bank measure, for spread and mat footings, elevator pits, and small building foundations, common earth, 1 C.Y. bucket, machine excavation, hydraulic backhoe</v>
          </cell>
          <cell r="C640" t="str">
            <v>B.C.Y.</v>
          </cell>
          <cell r="D640">
            <v>0.46875</v>
          </cell>
          <cell r="E640">
            <v>11.65</v>
          </cell>
        </row>
        <row r="641">
          <cell r="B641" t="str">
            <v>Septic tanks, trench for disposal field, backhoe, 3/4 C.Y. bucket, excavation with backhoe, excludes excavation or piping</v>
          </cell>
          <cell r="C641" t="str">
            <v>L.F.</v>
          </cell>
          <cell r="D641">
            <v>1</v>
          </cell>
          <cell r="E641">
            <v>3.48</v>
          </cell>
        </row>
        <row r="642">
          <cell r="B642" t="str">
            <v>Septic tanks, crushed stone, 3/4", excludes excavation or piping</v>
          </cell>
          <cell r="C642" t="str">
            <v>C.Y.</v>
          </cell>
          <cell r="D642">
            <v>0.28125</v>
          </cell>
          <cell r="E642">
            <v>33.5</v>
          </cell>
        </row>
        <row r="643">
          <cell r="B643" t="str">
            <v>Polyvinyl chloride pipe, B &amp; S, 10' lengths, 4" diameter, SDR 35, excludes excavation or backfill</v>
          </cell>
          <cell r="C643" t="str">
            <v>L.F.</v>
          </cell>
          <cell r="D643">
            <v>1.25</v>
          </cell>
          <cell r="E643">
            <v>4.41</v>
          </cell>
        </row>
        <row r="644">
          <cell r="B644" t="str">
            <v>Geotextile - Non Woven (drainage), small areas</v>
          </cell>
          <cell r="C644" t="str">
            <v>S.Y.</v>
          </cell>
          <cell r="D644">
            <v>0.46875</v>
          </cell>
          <cell r="E644">
            <v>1.2</v>
          </cell>
        </row>
        <row r="645">
          <cell r="B645" t="str">
            <v>Seed, Lime, Fertilize &amp; Mulch  VT Spec. #52</v>
          </cell>
          <cell r="C645" t="str">
            <v>ACRE</v>
          </cell>
          <cell r="D645">
            <v>1.5625E-2</v>
          </cell>
          <cell r="E645">
            <v>918.86509440000009</v>
          </cell>
        </row>
        <row r="646">
          <cell r="A646" t="str">
            <v>A025320</v>
          </cell>
          <cell r="B646" t="str">
            <v>Infiltration trench - excav., stone, pipe, geotextile &amp; backfill included</v>
          </cell>
          <cell r="C646" t="str">
            <v>L.F.</v>
          </cell>
          <cell r="E646">
            <v>38.795079600000001</v>
          </cell>
          <cell r="F646" t="str">
            <v>1,5,11,41</v>
          </cell>
          <cell r="G646" t="str">
            <v>24.8.1</v>
          </cell>
          <cell r="H646" t="str">
            <v>Infiltration_Area</v>
          </cell>
          <cell r="I646" t="str">
            <v>RSMeans</v>
          </cell>
        </row>
        <row r="648">
          <cell r="B648" t="str">
            <v>Seeding, limestone, 50 lbs per M.S.F., hand push spreader</v>
          </cell>
          <cell r="C648" t="str">
            <v>M.S.F.</v>
          </cell>
          <cell r="D648">
            <v>43.56</v>
          </cell>
          <cell r="E648">
            <v>5.25</v>
          </cell>
        </row>
        <row r="649">
          <cell r="B649" t="str">
            <v>Fertilizer, 10-20-10, 50# bags, (Agronomic Cost Table)</v>
          </cell>
          <cell r="C649" t="str">
            <v>M.S.F.</v>
          </cell>
          <cell r="D649">
            <v>43.56</v>
          </cell>
          <cell r="E649">
            <v>3.3644400000000001</v>
          </cell>
        </row>
        <row r="650">
          <cell r="B650" t="str">
            <v>Seeding, grass seed, 1.0 lbs. per M.S.F., hand push spreader</v>
          </cell>
          <cell r="C650" t="str">
            <v>M.S.F.</v>
          </cell>
          <cell r="D650">
            <v>43.56</v>
          </cell>
          <cell r="E650">
            <v>5.2092999999999998</v>
          </cell>
        </row>
        <row r="651">
          <cell r="B651" t="str">
            <v>Mulch, hay, 1" deep, power mulcher, small, 2 bales</v>
          </cell>
          <cell r="C651" t="str">
            <v>M.S.F.</v>
          </cell>
          <cell r="D651">
            <v>43.56</v>
          </cell>
          <cell r="E651">
            <v>7.2705000000000002</v>
          </cell>
        </row>
        <row r="652">
          <cell r="A652" t="str">
            <v>A029340</v>
          </cell>
          <cell r="B652" t="str">
            <v>Seed, Lime, Fertilize &amp; Mulch  VT Spec. #52</v>
          </cell>
          <cell r="C652" t="str">
            <v>ACRE</v>
          </cell>
          <cell r="E652">
            <v>918.86509440000009</v>
          </cell>
          <cell r="F652">
            <v>52</v>
          </cell>
          <cell r="G652" t="str">
            <v>1.14.1</v>
          </cell>
          <cell r="H652" t="str">
            <v>Seed_Mulch</v>
          </cell>
          <cell r="I652" t="str">
            <v>RSMeans</v>
          </cell>
        </row>
        <row r="655">
          <cell r="B655" t="str">
            <v>Disk Plow</v>
          </cell>
          <cell r="C655" t="str">
            <v>ACRE</v>
          </cell>
          <cell r="D655">
            <v>1</v>
          </cell>
          <cell r="E655">
            <v>13.4</v>
          </cell>
        </row>
        <row r="656">
          <cell r="B656" t="str">
            <v>Harrowing</v>
          </cell>
          <cell r="C656" t="str">
            <v>ACRE</v>
          </cell>
          <cell r="D656">
            <v>1</v>
          </cell>
          <cell r="E656">
            <v>9.4</v>
          </cell>
        </row>
        <row r="657">
          <cell r="B657" t="str">
            <v>Fertilizer Spreading (Bulk)</v>
          </cell>
          <cell r="C657" t="str">
            <v>ACRE</v>
          </cell>
          <cell r="D657">
            <v>1</v>
          </cell>
          <cell r="E657">
            <v>8</v>
          </cell>
        </row>
        <row r="658">
          <cell r="B658" t="str">
            <v>Lime (calcium) delivered and spread</v>
          </cell>
          <cell r="C658" t="str">
            <v>TON</v>
          </cell>
          <cell r="D658">
            <v>2</v>
          </cell>
          <cell r="E658">
            <v>32.75</v>
          </cell>
        </row>
        <row r="659">
          <cell r="B659" t="str">
            <v>Conventional Seeding</v>
          </cell>
          <cell r="C659" t="str">
            <v>ACRE</v>
          </cell>
          <cell r="D659">
            <v>1</v>
          </cell>
          <cell r="E659">
            <v>13.5</v>
          </cell>
        </row>
        <row r="660">
          <cell r="B660" t="str">
            <v>Spraying for Weed Control</v>
          </cell>
          <cell r="C660" t="str">
            <v>ACRE</v>
          </cell>
          <cell r="D660">
            <v>1</v>
          </cell>
          <cell r="E660">
            <v>8.4</v>
          </cell>
        </row>
        <row r="661">
          <cell r="B661" t="str">
            <v>Nitrogen (chemical)</v>
          </cell>
          <cell r="C661" t="str">
            <v>LB</v>
          </cell>
          <cell r="D661">
            <v>50</v>
          </cell>
          <cell r="E661">
            <v>0.33</v>
          </cell>
        </row>
        <row r="662">
          <cell r="B662" t="str">
            <v>Phosphorus</v>
          </cell>
          <cell r="C662" t="str">
            <v>LB</v>
          </cell>
          <cell r="D662">
            <v>30</v>
          </cell>
          <cell r="E662">
            <v>0.26</v>
          </cell>
        </row>
        <row r="663">
          <cell r="B663" t="str">
            <v>Potassium</v>
          </cell>
          <cell r="C663" t="str">
            <v>LB</v>
          </cell>
          <cell r="D663">
            <v>100</v>
          </cell>
          <cell r="E663">
            <v>0.14000000000000001</v>
          </cell>
        </row>
        <row r="664">
          <cell r="A664" t="str">
            <v>A014410</v>
          </cell>
          <cell r="B664" t="str">
            <v>Conservation Cover (327)-plow, harrow, lime, NPK, weed spray &amp; seed</v>
          </cell>
          <cell r="C664" t="str">
            <v>ACRE</v>
          </cell>
          <cell r="E664">
            <v>156.5</v>
          </cell>
          <cell r="F664">
            <v>52</v>
          </cell>
          <cell r="G664" t="str">
            <v>1.15.1</v>
          </cell>
          <cell r="H664" t="str">
            <v>Agron_Practices</v>
          </cell>
          <cell r="I664" t="str">
            <v>Statewide</v>
          </cell>
        </row>
        <row r="667">
          <cell r="B667" t="str">
            <v>Disk Plow</v>
          </cell>
          <cell r="C667" t="str">
            <v>ACRE</v>
          </cell>
          <cell r="D667">
            <v>1</v>
          </cell>
          <cell r="E667">
            <v>13.4</v>
          </cell>
        </row>
        <row r="668">
          <cell r="B668" t="str">
            <v>Harrowing</v>
          </cell>
          <cell r="C668" t="str">
            <v>ACRE</v>
          </cell>
          <cell r="D668">
            <v>1</v>
          </cell>
          <cell r="E668">
            <v>9.4</v>
          </cell>
        </row>
        <row r="669">
          <cell r="B669" t="str">
            <v>Conventional Seeding</v>
          </cell>
          <cell r="C669" t="str">
            <v>ACRE</v>
          </cell>
          <cell r="D669">
            <v>1</v>
          </cell>
          <cell r="E669">
            <v>13.5</v>
          </cell>
        </row>
        <row r="670">
          <cell r="B670" t="str">
            <v>Orchardgrass</v>
          </cell>
          <cell r="C670" t="str">
            <v>LB.</v>
          </cell>
          <cell r="D670">
            <v>15</v>
          </cell>
          <cell r="E670">
            <v>1.7</v>
          </cell>
        </row>
        <row r="671">
          <cell r="B671" t="str">
            <v>Clover - Ladino</v>
          </cell>
          <cell r="C671" t="str">
            <v>LB.</v>
          </cell>
          <cell r="D671">
            <v>3</v>
          </cell>
          <cell r="E671">
            <v>2</v>
          </cell>
        </row>
        <row r="672">
          <cell r="A672" t="str">
            <v>A014415</v>
          </cell>
          <cell r="B672" t="str">
            <v>Contour Buffer Strips (332)-plow, harrow, orchardgrass &amp; clover</v>
          </cell>
          <cell r="C672" t="str">
            <v>ACRE</v>
          </cell>
          <cell r="E672">
            <v>67.8</v>
          </cell>
          <cell r="F672">
            <v>52</v>
          </cell>
          <cell r="G672" t="str">
            <v>1.15.2</v>
          </cell>
          <cell r="H672" t="str">
            <v>Agron_Practices</v>
          </cell>
          <cell r="I672" t="str">
            <v>Statewide</v>
          </cell>
        </row>
        <row r="675">
          <cell r="B675" t="str">
            <v>Disk Plow</v>
          </cell>
          <cell r="C675" t="str">
            <v>ACRE</v>
          </cell>
          <cell r="D675">
            <v>1</v>
          </cell>
          <cell r="E675">
            <v>13.4</v>
          </cell>
        </row>
        <row r="676">
          <cell r="B676" t="str">
            <v>Harrowing</v>
          </cell>
          <cell r="C676" t="str">
            <v>ACRE</v>
          </cell>
          <cell r="D676">
            <v>1</v>
          </cell>
          <cell r="E676">
            <v>9.4</v>
          </cell>
        </row>
        <row r="677">
          <cell r="A677" t="str">
            <v>A014420</v>
          </cell>
          <cell r="B677" t="str">
            <v>Contour Farming (330)-plow &amp; harrowing</v>
          </cell>
          <cell r="C677" t="str">
            <v>ACRE</v>
          </cell>
          <cell r="E677">
            <v>22.8</v>
          </cell>
          <cell r="F677">
            <v>52</v>
          </cell>
          <cell r="G677" t="str">
            <v>1.15.3</v>
          </cell>
          <cell r="H677" t="str">
            <v>Agron_Practices</v>
          </cell>
          <cell r="I677" t="str">
            <v>Statewide</v>
          </cell>
        </row>
        <row r="680">
          <cell r="B680" t="str">
            <v>Winter Cereal Rye (Drilled) - soil prep. not included</v>
          </cell>
          <cell r="C680" t="str">
            <v>LB.</v>
          </cell>
          <cell r="D680">
            <v>1</v>
          </cell>
          <cell r="E680">
            <v>37</v>
          </cell>
        </row>
        <row r="681">
          <cell r="A681" t="str">
            <v>A014425</v>
          </cell>
          <cell r="B681" t="str">
            <v>Cover &amp; Green Manure Crop (340)- Rye drilled</v>
          </cell>
          <cell r="C681" t="str">
            <v>ACRE</v>
          </cell>
          <cell r="E681">
            <v>37</v>
          </cell>
          <cell r="F681">
            <v>52</v>
          </cell>
          <cell r="G681" t="str">
            <v>1.15.4</v>
          </cell>
          <cell r="H681" t="str">
            <v>Agron_Practices</v>
          </cell>
          <cell r="I681" t="str">
            <v>Statewide</v>
          </cell>
        </row>
        <row r="684">
          <cell r="B684" t="str">
            <v>Disk Plow</v>
          </cell>
          <cell r="C684" t="str">
            <v>ACRE</v>
          </cell>
          <cell r="D684">
            <v>1</v>
          </cell>
          <cell r="E684">
            <v>13.4</v>
          </cell>
        </row>
        <row r="685">
          <cell r="B685" t="str">
            <v>Harrowing</v>
          </cell>
          <cell r="C685" t="str">
            <v>ACRE</v>
          </cell>
          <cell r="D685">
            <v>1</v>
          </cell>
          <cell r="E685">
            <v>9.4</v>
          </cell>
        </row>
        <row r="686">
          <cell r="B686" t="str">
            <v>Hi-Mag lime</v>
          </cell>
          <cell r="C686" t="str">
            <v>TON</v>
          </cell>
          <cell r="D686">
            <v>2</v>
          </cell>
          <cell r="E686">
            <v>45</v>
          </cell>
        </row>
        <row r="687">
          <cell r="B687" t="str">
            <v>Cultipacking (14')</v>
          </cell>
          <cell r="C687" t="str">
            <v>ACRE</v>
          </cell>
          <cell r="D687">
            <v>1</v>
          </cell>
          <cell r="E687">
            <v>11.3</v>
          </cell>
        </row>
        <row r="688">
          <cell r="B688" t="str">
            <v>Nitrogen (chemical)</v>
          </cell>
          <cell r="C688" t="str">
            <v>LB</v>
          </cell>
          <cell r="D688">
            <v>90</v>
          </cell>
          <cell r="E688">
            <v>0.33</v>
          </cell>
        </row>
        <row r="689">
          <cell r="B689" t="str">
            <v>Phosphorus</v>
          </cell>
          <cell r="C689" t="str">
            <v>LB</v>
          </cell>
          <cell r="D689">
            <v>30</v>
          </cell>
          <cell r="E689">
            <v>0.26</v>
          </cell>
        </row>
        <row r="690">
          <cell r="B690" t="str">
            <v>Potassium</v>
          </cell>
          <cell r="C690" t="str">
            <v>LB</v>
          </cell>
          <cell r="D690">
            <v>80</v>
          </cell>
          <cell r="E690">
            <v>0.14000000000000001</v>
          </cell>
        </row>
        <row r="691">
          <cell r="B691" t="str">
            <v>Switchgrass</v>
          </cell>
          <cell r="C691" t="str">
            <v>LB.</v>
          </cell>
          <cell r="D691">
            <v>4</v>
          </cell>
          <cell r="E691">
            <v>5.25</v>
          </cell>
        </row>
        <row r="692">
          <cell r="B692" t="str">
            <v>Big Bluestem</v>
          </cell>
          <cell r="C692" t="str">
            <v>LB.</v>
          </cell>
          <cell r="D692">
            <v>4</v>
          </cell>
          <cell r="E692">
            <v>14</v>
          </cell>
        </row>
        <row r="693">
          <cell r="B693" t="str">
            <v>Little Bluestem</v>
          </cell>
          <cell r="C693" t="str">
            <v>LB.</v>
          </cell>
          <cell r="D693">
            <v>2</v>
          </cell>
          <cell r="E693">
            <v>16.45</v>
          </cell>
        </row>
        <row r="694">
          <cell r="B694" t="str">
            <v>Sand Lovegrass</v>
          </cell>
          <cell r="C694" t="str">
            <v>LB.</v>
          </cell>
          <cell r="D694">
            <v>2</v>
          </cell>
          <cell r="E694">
            <v>5.25</v>
          </cell>
        </row>
        <row r="695">
          <cell r="B695" t="str">
            <v>Birdsfoot trefoil</v>
          </cell>
          <cell r="C695" t="str">
            <v>LB.</v>
          </cell>
          <cell r="D695">
            <v>2</v>
          </cell>
          <cell r="E695">
            <v>3.25</v>
          </cell>
        </row>
        <row r="696">
          <cell r="B696" t="str">
            <v>Conventional Seeding</v>
          </cell>
          <cell r="C696" t="str">
            <v>ACRE</v>
          </cell>
          <cell r="D696">
            <v>1</v>
          </cell>
          <cell r="E696">
            <v>13.5</v>
          </cell>
        </row>
        <row r="697">
          <cell r="B697" t="str">
            <v>Fertilizer Spreading (Bulk)</v>
          </cell>
          <cell r="C697" t="str">
            <v>ACRE</v>
          </cell>
          <cell r="D697">
            <v>1</v>
          </cell>
          <cell r="E697">
            <v>8</v>
          </cell>
        </row>
        <row r="698">
          <cell r="A698" t="str">
            <v>A014430</v>
          </cell>
          <cell r="B698" t="str">
            <v>Critical Area Planting (393)-plow, harrow, lime, NPK, &amp; seed</v>
          </cell>
          <cell r="C698" t="str">
            <v>ACRE</v>
          </cell>
          <cell r="E698">
            <v>321.2</v>
          </cell>
          <cell r="F698">
            <v>52</v>
          </cell>
          <cell r="G698" t="str">
            <v>1.15.5</v>
          </cell>
          <cell r="H698" t="str">
            <v>Agron_Practices</v>
          </cell>
          <cell r="I698" t="str">
            <v>Statewide</v>
          </cell>
        </row>
        <row r="701">
          <cell r="B701" t="str">
            <v>Disk Plow</v>
          </cell>
          <cell r="C701" t="str">
            <v>ACRE</v>
          </cell>
          <cell r="D701">
            <v>1</v>
          </cell>
          <cell r="E701">
            <v>13.4</v>
          </cell>
        </row>
        <row r="702">
          <cell r="B702" t="str">
            <v>Harrowing</v>
          </cell>
          <cell r="C702" t="str">
            <v>ACRE</v>
          </cell>
          <cell r="D702">
            <v>1</v>
          </cell>
          <cell r="E702">
            <v>9.4</v>
          </cell>
        </row>
        <row r="703">
          <cell r="B703" t="str">
            <v>Hi-Mag lime</v>
          </cell>
          <cell r="C703" t="str">
            <v>TON</v>
          </cell>
          <cell r="D703">
            <v>2</v>
          </cell>
          <cell r="E703">
            <v>45</v>
          </cell>
        </row>
        <row r="704">
          <cell r="B704" t="str">
            <v>"Conservation Mix"</v>
          </cell>
          <cell r="C704" t="str">
            <v>LB.</v>
          </cell>
          <cell r="D704">
            <v>40</v>
          </cell>
          <cell r="E704">
            <v>2</v>
          </cell>
        </row>
        <row r="705">
          <cell r="B705" t="str">
            <v>Nitrogen (chemical)</v>
          </cell>
          <cell r="C705" t="str">
            <v>LB</v>
          </cell>
          <cell r="D705">
            <v>90</v>
          </cell>
          <cell r="E705">
            <v>0.33</v>
          </cell>
        </row>
        <row r="706">
          <cell r="B706" t="str">
            <v>Phosphorus</v>
          </cell>
          <cell r="C706" t="str">
            <v>LB</v>
          </cell>
          <cell r="D706">
            <v>30</v>
          </cell>
          <cell r="E706">
            <v>0.26</v>
          </cell>
        </row>
        <row r="707">
          <cell r="B707" t="str">
            <v>Potassium</v>
          </cell>
          <cell r="C707" t="str">
            <v>LB</v>
          </cell>
          <cell r="D707">
            <v>80</v>
          </cell>
          <cell r="E707">
            <v>0.14000000000000001</v>
          </cell>
        </row>
        <row r="708">
          <cell r="B708" t="str">
            <v>Conventional Seeding</v>
          </cell>
          <cell r="C708" t="str">
            <v>ACRE</v>
          </cell>
          <cell r="D708">
            <v>1</v>
          </cell>
          <cell r="E708">
            <v>13.5</v>
          </cell>
        </row>
        <row r="709">
          <cell r="B709" t="str">
            <v>Fertilizer Spreading (Bulk)</v>
          </cell>
          <cell r="C709" t="str">
            <v>ACRE</v>
          </cell>
          <cell r="D709">
            <v>1</v>
          </cell>
          <cell r="E709">
            <v>8</v>
          </cell>
        </row>
        <row r="710">
          <cell r="A710" t="str">
            <v>A014435</v>
          </cell>
          <cell r="B710" t="str">
            <v>Critical Area Planting(2) (393)-plow, harrow, lime, NPK, &amp; consv. mix</v>
          </cell>
          <cell r="C710" t="str">
            <v>ACRE</v>
          </cell>
          <cell r="E710">
            <v>263</v>
          </cell>
          <cell r="F710">
            <v>52</v>
          </cell>
          <cell r="G710" t="str">
            <v>1.15.6</v>
          </cell>
          <cell r="H710" t="str">
            <v>Agron_Practices</v>
          </cell>
          <cell r="I710" t="str">
            <v>Statewide</v>
          </cell>
        </row>
        <row r="713">
          <cell r="B713" t="str">
            <v>Disk Plow</v>
          </cell>
          <cell r="C713" t="str">
            <v>ACRE</v>
          </cell>
          <cell r="D713">
            <v>1</v>
          </cell>
          <cell r="E713">
            <v>13.4</v>
          </cell>
        </row>
        <row r="714">
          <cell r="B714" t="str">
            <v>Harrowing</v>
          </cell>
          <cell r="C714" t="str">
            <v>ACRE</v>
          </cell>
          <cell r="D714">
            <v>1</v>
          </cell>
          <cell r="E714">
            <v>9.4</v>
          </cell>
        </row>
        <row r="715">
          <cell r="B715" t="str">
            <v>Oats, bulk</v>
          </cell>
          <cell r="C715" t="str">
            <v>LB.</v>
          </cell>
          <cell r="D715">
            <v>50</v>
          </cell>
          <cell r="E715">
            <v>0.12</v>
          </cell>
        </row>
        <row r="716">
          <cell r="B716" t="str">
            <v>Conventional Seeding</v>
          </cell>
          <cell r="C716" t="str">
            <v>ACRE</v>
          </cell>
          <cell r="D716">
            <v>1</v>
          </cell>
          <cell r="E716">
            <v>13.5</v>
          </cell>
        </row>
        <row r="717">
          <cell r="B717" t="str">
            <v>Hi-Mag lime</v>
          </cell>
          <cell r="C717" t="str">
            <v>TON</v>
          </cell>
          <cell r="D717">
            <v>2</v>
          </cell>
          <cell r="E717">
            <v>45</v>
          </cell>
        </row>
        <row r="718">
          <cell r="B718" t="str">
            <v>Nitrogen (chemical)</v>
          </cell>
          <cell r="C718" t="str">
            <v>LB</v>
          </cell>
          <cell r="D718">
            <v>25</v>
          </cell>
          <cell r="E718">
            <v>0.33</v>
          </cell>
        </row>
        <row r="719">
          <cell r="B719" t="str">
            <v>Phosphorus</v>
          </cell>
          <cell r="C719" t="str">
            <v>LB</v>
          </cell>
          <cell r="D719">
            <v>15</v>
          </cell>
          <cell r="E719">
            <v>0.26</v>
          </cell>
        </row>
        <row r="720">
          <cell r="B720" t="str">
            <v>Potassium</v>
          </cell>
          <cell r="C720" t="str">
            <v>LB</v>
          </cell>
          <cell r="D720">
            <v>100</v>
          </cell>
          <cell r="E720">
            <v>0.14000000000000001</v>
          </cell>
        </row>
        <row r="721">
          <cell r="B721" t="str">
            <v>Fertilizer Spreading (Bulk)</v>
          </cell>
          <cell r="C721" t="str">
            <v>ACRE</v>
          </cell>
          <cell r="D721">
            <v>1</v>
          </cell>
          <cell r="E721">
            <v>8</v>
          </cell>
        </row>
        <row r="722">
          <cell r="B722" t="str">
            <v>Orchardgrass</v>
          </cell>
          <cell r="C722" t="str">
            <v>LB.</v>
          </cell>
          <cell r="D722">
            <v>4</v>
          </cell>
          <cell r="E722">
            <v>1.7</v>
          </cell>
        </row>
        <row r="723">
          <cell r="B723" t="str">
            <v>Clover - White</v>
          </cell>
          <cell r="C723" t="str">
            <v>LB.</v>
          </cell>
          <cell r="D723">
            <v>2</v>
          </cell>
          <cell r="E723">
            <v>2</v>
          </cell>
        </row>
        <row r="724">
          <cell r="B724" t="str">
            <v>Smooth Bromegrass</v>
          </cell>
          <cell r="C724" t="str">
            <v>LB.</v>
          </cell>
          <cell r="D724">
            <v>7</v>
          </cell>
          <cell r="E724">
            <v>1.8</v>
          </cell>
        </row>
        <row r="725">
          <cell r="A725" t="str">
            <v>A014440</v>
          </cell>
          <cell r="B725" t="str">
            <v>Field Border (386)-plow, harrow,lime, NPK &amp; seed</v>
          </cell>
          <cell r="C725" t="str">
            <v>ACRE</v>
          </cell>
          <cell r="E725">
            <v>189.85000000000002</v>
          </cell>
          <cell r="F725">
            <v>52</v>
          </cell>
          <cell r="G725" t="str">
            <v>1.15.7</v>
          </cell>
          <cell r="H725" t="str">
            <v>Agron_Practices</v>
          </cell>
          <cell r="I725" t="str">
            <v>Statewide</v>
          </cell>
        </row>
        <row r="728">
          <cell r="B728" t="str">
            <v>Disk Plow</v>
          </cell>
          <cell r="C728" t="str">
            <v>ACRE</v>
          </cell>
          <cell r="D728">
            <v>1</v>
          </cell>
          <cell r="E728">
            <v>13.4</v>
          </cell>
        </row>
        <row r="729">
          <cell r="B729" t="str">
            <v>Harrowing</v>
          </cell>
          <cell r="C729" t="str">
            <v>ACRE</v>
          </cell>
          <cell r="D729">
            <v>1</v>
          </cell>
          <cell r="E729">
            <v>9.4</v>
          </cell>
        </row>
        <row r="730">
          <cell r="B730" t="str">
            <v>"Conservation Mix"</v>
          </cell>
          <cell r="C730" t="str">
            <v>LB.</v>
          </cell>
          <cell r="D730">
            <v>40</v>
          </cell>
          <cell r="E730">
            <v>2</v>
          </cell>
        </row>
        <row r="731">
          <cell r="B731" t="str">
            <v>Conventional Seeding</v>
          </cell>
          <cell r="C731" t="str">
            <v>ACRE</v>
          </cell>
          <cell r="D731">
            <v>1</v>
          </cell>
          <cell r="E731">
            <v>13.5</v>
          </cell>
        </row>
        <row r="732">
          <cell r="B732" t="str">
            <v>Hi-Mag lime</v>
          </cell>
          <cell r="C732" t="str">
            <v>TON</v>
          </cell>
          <cell r="D732">
            <v>1</v>
          </cell>
          <cell r="E732">
            <v>45</v>
          </cell>
        </row>
        <row r="733">
          <cell r="B733" t="str">
            <v>Nitrogen (chemical)</v>
          </cell>
          <cell r="C733" t="str">
            <v>LB</v>
          </cell>
          <cell r="D733">
            <v>50</v>
          </cell>
          <cell r="E733">
            <v>0.33</v>
          </cell>
        </row>
        <row r="734">
          <cell r="B734" t="str">
            <v>Phosphorus</v>
          </cell>
          <cell r="C734" t="str">
            <v>LB</v>
          </cell>
          <cell r="D734">
            <v>30</v>
          </cell>
          <cell r="E734">
            <v>0.26</v>
          </cell>
        </row>
        <row r="735">
          <cell r="B735" t="str">
            <v>Potassium</v>
          </cell>
          <cell r="C735" t="str">
            <v>LB</v>
          </cell>
          <cell r="D735">
            <v>100</v>
          </cell>
          <cell r="E735">
            <v>0.14000000000000001</v>
          </cell>
        </row>
        <row r="736">
          <cell r="B736" t="str">
            <v>Fertilizer Spreading (Bulk)</v>
          </cell>
          <cell r="C736" t="str">
            <v>ACRE</v>
          </cell>
          <cell r="D736">
            <v>1</v>
          </cell>
          <cell r="E736">
            <v>8</v>
          </cell>
        </row>
        <row r="737">
          <cell r="A737" t="str">
            <v>A014445</v>
          </cell>
          <cell r="B737" t="str">
            <v>Filter Strip (Agronomic 393)-plow, harrow, lime, NPK, &amp; consv. mix</v>
          </cell>
          <cell r="C737" t="str">
            <v>ACRE</v>
          </cell>
          <cell r="E737">
            <v>207.60000000000002</v>
          </cell>
          <cell r="F737">
            <v>52</v>
          </cell>
          <cell r="G737" t="str">
            <v>1.15.8</v>
          </cell>
          <cell r="H737" t="str">
            <v>Agron_Practices</v>
          </cell>
          <cell r="I737" t="str">
            <v>Statewide</v>
          </cell>
        </row>
        <row r="740">
          <cell r="B740" t="str">
            <v xml:space="preserve">Forestry, Timber Stand Improvement (TSI) Marking </v>
          </cell>
          <cell r="C740" t="str">
            <v>ACRE</v>
          </cell>
          <cell r="D740">
            <v>1</v>
          </cell>
          <cell r="E740">
            <v>30</v>
          </cell>
        </row>
        <row r="741">
          <cell r="B741" t="str">
            <v>Forestry, Timber Stand Improvement (TSI), chain saw</v>
          </cell>
          <cell r="C741" t="str">
            <v>ACRE</v>
          </cell>
          <cell r="D741">
            <v>1</v>
          </cell>
          <cell r="E741">
            <v>150</v>
          </cell>
        </row>
        <row r="742">
          <cell r="A742" t="str">
            <v>A014450</v>
          </cell>
          <cell r="B742" t="str">
            <v>Forest Stand Improvement (666)-marking and cutting</v>
          </cell>
          <cell r="C742" t="str">
            <v>ACRE</v>
          </cell>
          <cell r="E742">
            <v>180</v>
          </cell>
          <cell r="F742" t="str">
            <v>-</v>
          </cell>
          <cell r="G742" t="str">
            <v>1.18.18</v>
          </cell>
          <cell r="H742" t="str">
            <v>Trees_Shrubs</v>
          </cell>
          <cell r="I742" t="str">
            <v>Statewide</v>
          </cell>
        </row>
        <row r="744">
          <cell r="B744" t="str">
            <v>Moldboard Plow - Sod</v>
          </cell>
          <cell r="C744" t="str">
            <v>ACRE</v>
          </cell>
          <cell r="D744">
            <v>1</v>
          </cell>
          <cell r="E744">
            <v>20.65</v>
          </cell>
        </row>
        <row r="745">
          <cell r="B745" t="str">
            <v>Harrowing</v>
          </cell>
          <cell r="C745" t="str">
            <v>ACRE</v>
          </cell>
          <cell r="D745">
            <v>1</v>
          </cell>
          <cell r="E745">
            <v>9.4</v>
          </cell>
        </row>
        <row r="746">
          <cell r="B746" t="str">
            <v>Fertilizer Spreading (Bulk)</v>
          </cell>
          <cell r="C746" t="str">
            <v>ACRE</v>
          </cell>
          <cell r="D746">
            <v>1</v>
          </cell>
          <cell r="E746">
            <v>8</v>
          </cell>
        </row>
        <row r="747">
          <cell r="B747" t="str">
            <v>Conventional Seeding</v>
          </cell>
          <cell r="C747" t="str">
            <v>ACRE</v>
          </cell>
          <cell r="D747">
            <v>1</v>
          </cell>
          <cell r="E747">
            <v>13.5</v>
          </cell>
        </row>
        <row r="748">
          <cell r="B748" t="str">
            <v>Hi-Mag lime</v>
          </cell>
          <cell r="C748" t="str">
            <v>TON</v>
          </cell>
          <cell r="D748">
            <v>2</v>
          </cell>
          <cell r="E748">
            <v>45</v>
          </cell>
        </row>
        <row r="749">
          <cell r="B749" t="str">
            <v>Nitrogen (chemical)</v>
          </cell>
          <cell r="C749" t="str">
            <v>LB</v>
          </cell>
          <cell r="D749">
            <v>100</v>
          </cell>
          <cell r="E749">
            <v>0.33</v>
          </cell>
        </row>
        <row r="750">
          <cell r="B750" t="str">
            <v>Phosphorus</v>
          </cell>
          <cell r="C750" t="str">
            <v>LB</v>
          </cell>
          <cell r="D750">
            <v>50</v>
          </cell>
          <cell r="E750">
            <v>0.26</v>
          </cell>
        </row>
        <row r="751">
          <cell r="B751" t="str">
            <v>Potassium</v>
          </cell>
          <cell r="C751" t="str">
            <v>LB</v>
          </cell>
          <cell r="D751">
            <v>160</v>
          </cell>
          <cell r="E751">
            <v>0.14000000000000001</v>
          </cell>
        </row>
        <row r="752">
          <cell r="B752" t="str">
            <v>Orchardgrass</v>
          </cell>
          <cell r="C752" t="str">
            <v>LB.</v>
          </cell>
          <cell r="D752">
            <v>15</v>
          </cell>
          <cell r="E752">
            <v>1.7</v>
          </cell>
        </row>
        <row r="753">
          <cell r="B753" t="str">
            <v>Clover - Ladino</v>
          </cell>
          <cell r="C753" t="str">
            <v>LB.</v>
          </cell>
          <cell r="D753">
            <v>3</v>
          </cell>
          <cell r="E753">
            <v>2</v>
          </cell>
        </row>
        <row r="754">
          <cell r="A754" t="str">
            <v>A014455</v>
          </cell>
          <cell r="B754" t="str">
            <v>Pasture &amp; Hayland Planting (512)-plow, harrow,lime, NPK &amp; seed</v>
          </cell>
          <cell r="C754" t="str">
            <v>ACRE</v>
          </cell>
          <cell r="E754">
            <v>241.45000000000002</v>
          </cell>
          <cell r="F754">
            <v>52</v>
          </cell>
          <cell r="G754" t="str">
            <v>1.15.9</v>
          </cell>
          <cell r="H754" t="str">
            <v>Agron_Practices</v>
          </cell>
          <cell r="I754" t="str">
            <v>Statewide</v>
          </cell>
        </row>
        <row r="757">
          <cell r="B757" t="str">
            <v>Moldboard Plow - Sod</v>
          </cell>
          <cell r="C757" t="str">
            <v>ACRE</v>
          </cell>
          <cell r="D757">
            <v>1</v>
          </cell>
          <cell r="E757">
            <v>20.65</v>
          </cell>
        </row>
        <row r="758">
          <cell r="B758" t="str">
            <v>Harrowing</v>
          </cell>
          <cell r="C758" t="str">
            <v>ACRE</v>
          </cell>
          <cell r="D758">
            <v>1</v>
          </cell>
          <cell r="E758">
            <v>9.4</v>
          </cell>
        </row>
        <row r="759">
          <cell r="B759" t="str">
            <v>Fertilizer Spreading (Bulk)</v>
          </cell>
          <cell r="C759" t="str">
            <v>ACRE</v>
          </cell>
          <cell r="D759">
            <v>1</v>
          </cell>
          <cell r="E759">
            <v>8</v>
          </cell>
        </row>
        <row r="760">
          <cell r="B760" t="str">
            <v>Conventional Seeding</v>
          </cell>
          <cell r="C760" t="str">
            <v>ACRE</v>
          </cell>
          <cell r="D760">
            <v>1</v>
          </cell>
          <cell r="E760">
            <v>13.5</v>
          </cell>
        </row>
        <row r="761">
          <cell r="B761" t="str">
            <v>Nitrogen (chemical)</v>
          </cell>
          <cell r="C761" t="str">
            <v>LB</v>
          </cell>
          <cell r="D761">
            <v>100</v>
          </cell>
          <cell r="E761">
            <v>0.33</v>
          </cell>
        </row>
        <row r="762">
          <cell r="B762" t="str">
            <v>Phosphorus</v>
          </cell>
          <cell r="C762" t="str">
            <v>LB</v>
          </cell>
          <cell r="D762">
            <v>50</v>
          </cell>
          <cell r="E762">
            <v>0.26</v>
          </cell>
        </row>
        <row r="763">
          <cell r="B763" t="str">
            <v>Potassium</v>
          </cell>
          <cell r="C763" t="str">
            <v>LB</v>
          </cell>
          <cell r="D763">
            <v>160</v>
          </cell>
          <cell r="E763">
            <v>0.14000000000000001</v>
          </cell>
        </row>
        <row r="764">
          <cell r="B764" t="str">
            <v>Orchardgrass</v>
          </cell>
          <cell r="C764" t="str">
            <v>LB.</v>
          </cell>
          <cell r="D764">
            <v>15</v>
          </cell>
          <cell r="E764">
            <v>1.7</v>
          </cell>
        </row>
        <row r="765">
          <cell r="B765" t="str">
            <v>Clover - Ladino</v>
          </cell>
          <cell r="C765" t="str">
            <v>LB.</v>
          </cell>
          <cell r="D765">
            <v>3</v>
          </cell>
          <cell r="E765">
            <v>2</v>
          </cell>
        </row>
        <row r="766">
          <cell r="A766" t="str">
            <v>A014460</v>
          </cell>
          <cell r="B766" t="str">
            <v>Pasture &amp; Hayland Planting(2) (512)-plow, harrow, NPK &amp; seed</v>
          </cell>
          <cell r="C766" t="str">
            <v>ACRE</v>
          </cell>
          <cell r="E766">
            <v>151.44999999999999</v>
          </cell>
          <cell r="F766">
            <v>52</v>
          </cell>
          <cell r="G766" t="str">
            <v>1.15.10</v>
          </cell>
          <cell r="H766" t="str">
            <v>Agron_Practices</v>
          </cell>
          <cell r="I766" t="str">
            <v>Statewide</v>
          </cell>
        </row>
        <row r="769">
          <cell r="B769" t="str">
            <v>Seed, broadcasting by hand</v>
          </cell>
          <cell r="C769" t="str">
            <v>ACRE</v>
          </cell>
          <cell r="D769">
            <v>1</v>
          </cell>
          <cell r="E769">
            <v>10</v>
          </cell>
        </row>
        <row r="770">
          <cell r="B770" t="str">
            <v>Fertilizer Spreading (Bulk)</v>
          </cell>
          <cell r="C770" t="str">
            <v>ACRE</v>
          </cell>
          <cell r="D770">
            <v>1</v>
          </cell>
          <cell r="E770">
            <v>8</v>
          </cell>
        </row>
        <row r="771">
          <cell r="B771" t="str">
            <v xml:space="preserve">Organic Soil Amendments - Nitrogen </v>
          </cell>
          <cell r="C771" t="str">
            <v>LB</v>
          </cell>
          <cell r="D771">
            <v>40</v>
          </cell>
          <cell r="E771">
            <v>1.49</v>
          </cell>
        </row>
        <row r="772">
          <cell r="B772" t="str">
            <v>Organic Soil Amendments - Phosphorus (plant available form)</v>
          </cell>
          <cell r="C772" t="str">
            <v>LB</v>
          </cell>
          <cell r="D772">
            <v>30</v>
          </cell>
          <cell r="E772">
            <v>1.7</v>
          </cell>
        </row>
        <row r="773">
          <cell r="B773" t="str">
            <v>Organic Soil Amendments - Potassium</v>
          </cell>
          <cell r="C773" t="str">
            <v>LB</v>
          </cell>
          <cell r="D773">
            <v>40</v>
          </cell>
          <cell r="E773">
            <v>0.79</v>
          </cell>
        </row>
        <row r="774">
          <cell r="B774" t="str">
            <v>Clover - Dutch white (organic)</v>
          </cell>
          <cell r="C774" t="str">
            <v>LB.</v>
          </cell>
          <cell r="D774">
            <v>4</v>
          </cell>
          <cell r="E774">
            <v>2.6</v>
          </cell>
        </row>
        <row r="775">
          <cell r="A775" t="str">
            <v>A014465</v>
          </cell>
          <cell r="B775" t="str">
            <v>Pasture &amp; Hayland Planting(3) (512)-organic NPK and clover</v>
          </cell>
          <cell r="C775" t="str">
            <v>ACRE</v>
          </cell>
          <cell r="E775">
            <v>170.6</v>
          </cell>
          <cell r="F775">
            <v>52</v>
          </cell>
          <cell r="G775" t="str">
            <v>1.15.11</v>
          </cell>
          <cell r="H775" t="str">
            <v>Agron_Practices</v>
          </cell>
          <cell r="I775" t="str">
            <v>Statewide</v>
          </cell>
        </row>
        <row r="778">
          <cell r="B778" t="str">
            <v>Chisel Plowing</v>
          </cell>
          <cell r="C778" t="str">
            <v>ACRE</v>
          </cell>
          <cell r="D778">
            <v>1</v>
          </cell>
          <cell r="E778">
            <v>12.7</v>
          </cell>
        </row>
        <row r="779">
          <cell r="A779" t="str">
            <v>A014470</v>
          </cell>
          <cell r="B779" t="str">
            <v>Residue Mngt (Mulch Till) (329B) - chisel plow</v>
          </cell>
          <cell r="C779" t="str">
            <v>ACRE</v>
          </cell>
          <cell r="E779">
            <v>12.7</v>
          </cell>
          <cell r="F779">
            <v>52</v>
          </cell>
          <cell r="G779" t="str">
            <v>1.15.12</v>
          </cell>
          <cell r="H779" t="str">
            <v>Agron_Practices</v>
          </cell>
          <cell r="I779" t="str">
            <v>Statewide</v>
          </cell>
        </row>
        <row r="782">
          <cell r="B782" t="str">
            <v>No-Till Drill (15')</v>
          </cell>
          <cell r="C782" t="str">
            <v>ACRE</v>
          </cell>
          <cell r="D782">
            <v>1</v>
          </cell>
          <cell r="E782">
            <v>13.87</v>
          </cell>
        </row>
        <row r="783">
          <cell r="B783" t="str">
            <v>Spraying for Weed Control</v>
          </cell>
          <cell r="C783" t="str">
            <v>ACRE</v>
          </cell>
          <cell r="D783">
            <v>1</v>
          </cell>
          <cell r="E783">
            <v>8.4</v>
          </cell>
        </row>
        <row r="784">
          <cell r="B784" t="str">
            <v>Herbicides, cost per acre (for corn)</v>
          </cell>
          <cell r="C784" t="str">
            <v>ACRE</v>
          </cell>
          <cell r="D784">
            <v>1</v>
          </cell>
          <cell r="E784">
            <v>29.6</v>
          </cell>
        </row>
        <row r="785">
          <cell r="A785" t="str">
            <v>A014475</v>
          </cell>
          <cell r="B785" t="str">
            <v>Residue Management (No Till/Strip Till) (329A)-no till and spraying</v>
          </cell>
          <cell r="C785" t="str">
            <v>ACRE</v>
          </cell>
          <cell r="E785">
            <v>51.870000000000005</v>
          </cell>
          <cell r="F785">
            <v>52</v>
          </cell>
          <cell r="G785" t="str">
            <v>1.15.13</v>
          </cell>
          <cell r="H785" t="str">
            <v>Agron_Practices</v>
          </cell>
          <cell r="I785" t="str">
            <v>Statewide</v>
          </cell>
        </row>
        <row r="788">
          <cell r="B788" t="str">
            <v>Disk Plow</v>
          </cell>
          <cell r="C788" t="str">
            <v>ACRE</v>
          </cell>
          <cell r="D788">
            <v>1</v>
          </cell>
          <cell r="E788">
            <v>13.4</v>
          </cell>
        </row>
        <row r="789">
          <cell r="B789" t="str">
            <v>Harrowing</v>
          </cell>
          <cell r="C789" t="str">
            <v>ACRE</v>
          </cell>
          <cell r="D789">
            <v>1</v>
          </cell>
          <cell r="E789">
            <v>9.4</v>
          </cell>
        </row>
        <row r="790">
          <cell r="B790" t="str">
            <v>"Conservation Mix"</v>
          </cell>
          <cell r="C790" t="str">
            <v>LB.</v>
          </cell>
          <cell r="D790">
            <v>40</v>
          </cell>
          <cell r="E790">
            <v>2</v>
          </cell>
        </row>
        <row r="791">
          <cell r="B791" t="str">
            <v>Conventional Seeding</v>
          </cell>
          <cell r="C791" t="str">
            <v>ACRE</v>
          </cell>
          <cell r="D791">
            <v>1</v>
          </cell>
          <cell r="E791">
            <v>13.5</v>
          </cell>
        </row>
        <row r="792">
          <cell r="B792" t="str">
            <v>Hi-Mag lime</v>
          </cell>
          <cell r="C792" t="str">
            <v>TON</v>
          </cell>
          <cell r="D792">
            <v>1</v>
          </cell>
          <cell r="E792">
            <v>45</v>
          </cell>
        </row>
        <row r="793">
          <cell r="B793" t="str">
            <v>Nitrogen (chemical)</v>
          </cell>
          <cell r="C793" t="str">
            <v>LB</v>
          </cell>
          <cell r="D793">
            <v>50</v>
          </cell>
          <cell r="E793">
            <v>0.33</v>
          </cell>
        </row>
        <row r="794">
          <cell r="B794" t="str">
            <v>Phosphorus</v>
          </cell>
          <cell r="C794" t="str">
            <v>LB</v>
          </cell>
          <cell r="D794">
            <v>30</v>
          </cell>
          <cell r="E794">
            <v>0.26</v>
          </cell>
        </row>
        <row r="795">
          <cell r="B795" t="str">
            <v>Potassium</v>
          </cell>
          <cell r="C795" t="str">
            <v>LB</v>
          </cell>
          <cell r="D795">
            <v>100</v>
          </cell>
          <cell r="E795">
            <v>0.14000000000000001</v>
          </cell>
        </row>
        <row r="796">
          <cell r="B796" t="str">
            <v>Fertilizer Spreading (Bulk)</v>
          </cell>
          <cell r="C796" t="str">
            <v>ACRE</v>
          </cell>
          <cell r="D796">
            <v>1</v>
          </cell>
          <cell r="E796">
            <v>8</v>
          </cell>
        </row>
        <row r="797">
          <cell r="A797" t="str">
            <v>A014480</v>
          </cell>
          <cell r="B797" t="str">
            <v>Riparian Herbaceous Buffer (390) - plow, harrow, lime, NPK &amp; conser. Mix</v>
          </cell>
          <cell r="C797" t="str">
            <v>ACRE</v>
          </cell>
          <cell r="E797">
            <v>207.60000000000002</v>
          </cell>
          <cell r="F797">
            <v>52</v>
          </cell>
          <cell r="G797" t="str">
            <v>1.15.14</v>
          </cell>
          <cell r="H797" t="str">
            <v>Agron_Practices</v>
          </cell>
          <cell r="I797" t="str">
            <v>Statewide</v>
          </cell>
        </row>
        <row r="800">
          <cell r="B800" t="str">
            <v>Spraying for Weed Control</v>
          </cell>
          <cell r="C800" t="str">
            <v>ACRE</v>
          </cell>
          <cell r="D800">
            <v>1</v>
          </cell>
          <cell r="E800">
            <v>8.4</v>
          </cell>
        </row>
        <row r="801">
          <cell r="B801" t="str">
            <v>No-Till Drill (15')</v>
          </cell>
          <cell r="C801" t="str">
            <v>ACRE</v>
          </cell>
          <cell r="D801">
            <v>1</v>
          </cell>
          <cell r="E801">
            <v>13.87</v>
          </cell>
        </row>
        <row r="802">
          <cell r="B802" t="str">
            <v>Herbicides, cost per acre (for corn)</v>
          </cell>
          <cell r="C802" t="str">
            <v>ACRE</v>
          </cell>
          <cell r="D802">
            <v>1</v>
          </cell>
          <cell r="E802">
            <v>29.6</v>
          </cell>
        </row>
        <row r="803">
          <cell r="B803" t="str">
            <v>Big Bluestem</v>
          </cell>
          <cell r="C803" t="str">
            <v>LB.</v>
          </cell>
          <cell r="D803">
            <v>5</v>
          </cell>
          <cell r="E803">
            <v>14</v>
          </cell>
        </row>
        <row r="804">
          <cell r="B804" t="str">
            <v>Indiangrass</v>
          </cell>
          <cell r="C804" t="str">
            <v>LB.</v>
          </cell>
          <cell r="D804">
            <v>3</v>
          </cell>
          <cell r="E804">
            <v>13.75</v>
          </cell>
        </row>
        <row r="805">
          <cell r="B805" t="str">
            <v>Switchgrass</v>
          </cell>
          <cell r="C805" t="str">
            <v>LB.</v>
          </cell>
          <cell r="D805">
            <v>2</v>
          </cell>
          <cell r="E805">
            <v>5.25</v>
          </cell>
        </row>
        <row r="806">
          <cell r="A806" t="str">
            <v>A014485</v>
          </cell>
          <cell r="B806" t="str">
            <v>Riparian Herbaceous Buffer(2) (390) - spray, no-till and seed</v>
          </cell>
          <cell r="C806" t="str">
            <v>ACRE</v>
          </cell>
          <cell r="E806">
            <v>173.62</v>
          </cell>
          <cell r="F806">
            <v>52</v>
          </cell>
          <cell r="G806" t="str">
            <v>1.15.15</v>
          </cell>
          <cell r="H806" t="str">
            <v>Agron_Practices</v>
          </cell>
          <cell r="I806" t="str">
            <v>Statewide</v>
          </cell>
        </row>
        <row r="809">
          <cell r="B809" t="str">
            <v>Water Facility, 50 gal., non-insulated</v>
          </cell>
          <cell r="C809" t="str">
            <v>EA.</v>
          </cell>
          <cell r="D809">
            <v>1</v>
          </cell>
          <cell r="E809">
            <v>70</v>
          </cell>
        </row>
        <row r="810">
          <cell r="B810" t="str">
            <v>Float Valve Assembly</v>
          </cell>
          <cell r="C810" t="str">
            <v>EA.</v>
          </cell>
          <cell r="D810">
            <v>1</v>
          </cell>
          <cell r="E810">
            <v>40</v>
          </cell>
        </row>
        <row r="811">
          <cell r="A811" t="str">
            <v>A014490</v>
          </cell>
          <cell r="B811" t="str">
            <v>Watering Facility (614) - 50 gals w/ float</v>
          </cell>
          <cell r="C811" t="str">
            <v>EA.</v>
          </cell>
          <cell r="E811">
            <v>110</v>
          </cell>
          <cell r="F811" t="str">
            <v>-</v>
          </cell>
          <cell r="G811" t="str">
            <v>25.1.6</v>
          </cell>
          <cell r="H811" t="str">
            <v>Agron_Practices</v>
          </cell>
          <cell r="I811" t="str">
            <v>Statewide</v>
          </cell>
        </row>
        <row r="814">
          <cell r="B814" t="str">
            <v>Loam or topsoil, remove and stockpile on site, 200 HP dozer, 6" deep, 200' haul</v>
          </cell>
          <cell r="C814" t="str">
            <v>C.Y.</v>
          </cell>
          <cell r="D814">
            <v>0.56000000000000005</v>
          </cell>
          <cell r="E814">
            <v>1.58</v>
          </cell>
        </row>
        <row r="815">
          <cell r="B815" t="str">
            <v>Excavating, bulk, open site, bank measure, common earth, 105 H.P. dozer, 50' haul</v>
          </cell>
          <cell r="C815" t="str">
            <v>B.C.Y.</v>
          </cell>
          <cell r="D815">
            <v>0.83</v>
          </cell>
          <cell r="E815">
            <v>1.4</v>
          </cell>
        </row>
        <row r="816">
          <cell r="B816" t="str">
            <v>Loam or topsoil, remove and stockpile on site, 200 HP dozer, 6" deep, 200' haul</v>
          </cell>
          <cell r="C816" t="str">
            <v>C.Y.</v>
          </cell>
          <cell r="D816">
            <v>0.56000000000000005</v>
          </cell>
          <cell r="E816">
            <v>1.58</v>
          </cell>
        </row>
        <row r="817">
          <cell r="B817" t="str">
            <v>Seed, Lime, Fertilize &amp; Mulch  VT Spec. #52</v>
          </cell>
          <cell r="C817" t="str">
            <v>ACRE</v>
          </cell>
          <cell r="D817">
            <v>6.8000000000000005E-4</v>
          </cell>
          <cell r="E817">
            <v>918.86509440000009</v>
          </cell>
        </row>
        <row r="818">
          <cell r="A818" t="str">
            <v>A023290</v>
          </cell>
          <cell r="B818" t="str">
            <v>Diversion or Waterway, Grassed</v>
          </cell>
          <cell r="C818" t="str">
            <v>L.F.</v>
          </cell>
          <cell r="E818">
            <v>3.5564282641920006</v>
          </cell>
          <cell r="F818" t="str">
            <v>21,22</v>
          </cell>
          <cell r="G818" t="str">
            <v>4.1.1</v>
          </cell>
          <cell r="H818" t="str">
            <v>Drainage_Sur.</v>
          </cell>
          <cell r="I818" t="str">
            <v>Statewide</v>
          </cell>
        </row>
        <row r="821">
          <cell r="B821" t="str">
            <v>Loam or topsoil, remove and stockpile on site, 200 HP dozer, 6" deep, 200' haul</v>
          </cell>
          <cell r="C821" t="str">
            <v>C.Y.</v>
          </cell>
          <cell r="D821">
            <v>0.56000000000000005</v>
          </cell>
          <cell r="E821">
            <v>1.58</v>
          </cell>
        </row>
        <row r="822">
          <cell r="B822" t="str">
            <v>Excavating, bulk, open site, bank measure, common earth, 105 H.P. dozer, 50' haul</v>
          </cell>
          <cell r="C822" t="str">
            <v>B.C.Y.</v>
          </cell>
          <cell r="D822">
            <v>0.83</v>
          </cell>
          <cell r="E822">
            <v>1.4</v>
          </cell>
        </row>
        <row r="823">
          <cell r="B823" t="str">
            <v>Loam or topsoil, remove and stockpile on site, 200 HP dozer, 6" deep, 200' haul</v>
          </cell>
          <cell r="C823" t="str">
            <v>C.Y.</v>
          </cell>
          <cell r="D823">
            <v>0.56000000000000005</v>
          </cell>
          <cell r="E823">
            <v>1.58</v>
          </cell>
        </row>
        <row r="824">
          <cell r="B824" t="str">
            <v>Seed, Lime, Fertilize &amp; Mulch  VT Spec. #52</v>
          </cell>
          <cell r="C824" t="str">
            <v>ACRE</v>
          </cell>
          <cell r="D824">
            <v>6.8000000000000005E-4</v>
          </cell>
          <cell r="E824">
            <v>918.86509440000009</v>
          </cell>
        </row>
        <row r="825">
          <cell r="B825" t="str">
            <v>Erosion control, plastic netting, 20 mil, 2" x 1" mesh, stapled</v>
          </cell>
          <cell r="C825" t="str">
            <v>S.Y.</v>
          </cell>
          <cell r="D825">
            <v>0.89</v>
          </cell>
          <cell r="E825">
            <v>1.04</v>
          </cell>
        </row>
        <row r="826">
          <cell r="A826" t="str">
            <v>A023291</v>
          </cell>
          <cell r="B826" t="str">
            <v>Diversion or Waterway, Grassed, w/ Erosion Control Netting</v>
          </cell>
          <cell r="C826" t="str">
            <v>L.F.</v>
          </cell>
          <cell r="E826">
            <v>4.4820282641920004</v>
          </cell>
          <cell r="F826" t="str">
            <v>21,22</v>
          </cell>
          <cell r="G826" t="str">
            <v>4.1.2</v>
          </cell>
          <cell r="H826" t="str">
            <v>Drainage_Sur.</v>
          </cell>
          <cell r="I826" t="str">
            <v>Statewide</v>
          </cell>
        </row>
        <row r="829">
          <cell r="B829" t="str">
            <v>Loam or topsoil, remove and stockpile on site, 200 HP dozer, 6" deep, 200' haul</v>
          </cell>
          <cell r="C829" t="str">
            <v>C.Y.</v>
          </cell>
          <cell r="D829">
            <v>0.56000000000000005</v>
          </cell>
          <cell r="E829">
            <v>1.58</v>
          </cell>
        </row>
        <row r="830">
          <cell r="B830" t="str">
            <v>Excavating, bulk, open site, bank measure, common earth, 105 H.P. dozer, 50' haul</v>
          </cell>
          <cell r="C830" t="str">
            <v>B.C.Y.</v>
          </cell>
          <cell r="D830">
            <v>0.83</v>
          </cell>
          <cell r="E830">
            <v>1.4</v>
          </cell>
        </row>
        <row r="831">
          <cell r="B831" t="str">
            <v>Loam or topsoil, remove and stockpile on site, 200 HP dozer, 6" deep, 200' haul</v>
          </cell>
          <cell r="C831" t="str">
            <v>C.Y.</v>
          </cell>
          <cell r="D831">
            <v>0.56000000000000005</v>
          </cell>
          <cell r="E831">
            <v>1.58</v>
          </cell>
        </row>
        <row r="832">
          <cell r="B832" t="str">
            <v>Seed, Lime, Fertilize &amp; Mulch  VT Spec. #52</v>
          </cell>
          <cell r="C832" t="str">
            <v>ACRE</v>
          </cell>
          <cell r="D832">
            <v>6.8000000000000005E-4</v>
          </cell>
          <cell r="E832">
            <v>918.86509440000009</v>
          </cell>
        </row>
        <row r="833">
          <cell r="B833" t="str">
            <v>Excavating, bulk, open site, bank measure, common earth, 105 H.P. dozer, 50' haul</v>
          </cell>
          <cell r="C833" t="str">
            <v>B.C.Y.</v>
          </cell>
          <cell r="D833">
            <v>0.37</v>
          </cell>
          <cell r="E833">
            <v>1.4</v>
          </cell>
        </row>
        <row r="834">
          <cell r="B834" t="str">
            <v>Borrow, Rock RipRap, 20 mile round trip</v>
          </cell>
          <cell r="C834" t="str">
            <v>C.Y.</v>
          </cell>
          <cell r="D834">
            <v>0.46</v>
          </cell>
          <cell r="E834">
            <v>20</v>
          </cell>
        </row>
        <row r="835">
          <cell r="A835" t="str">
            <v>A023292</v>
          </cell>
          <cell r="B835" t="str">
            <v>Diversion or Waterway, Stone Centered</v>
          </cell>
          <cell r="C835" t="str">
            <v>L.F.</v>
          </cell>
          <cell r="E835">
            <v>13.274428264192002</v>
          </cell>
          <cell r="F835" t="str">
            <v>21,22</v>
          </cell>
          <cell r="G835" t="str">
            <v>4.1.3</v>
          </cell>
          <cell r="H835" t="str">
            <v>Drainage_Sur.</v>
          </cell>
          <cell r="I835" t="str">
            <v>Statewide</v>
          </cell>
        </row>
        <row r="838">
          <cell r="B838" t="str">
            <v>Excavating, trench, concrete curb, steel forms, 6' to 10' deep, 3/4 C.Y. bucket, hydraulic backhoe, excludes sheeting or dewatering</v>
          </cell>
          <cell r="C838" t="str">
            <v>B.C.Y.</v>
          </cell>
          <cell r="D838">
            <v>1.5</v>
          </cell>
          <cell r="E838">
            <v>5.2</v>
          </cell>
        </row>
        <row r="839">
          <cell r="B839" t="str">
            <v>Pipe, HDPE 24", WATER TIGHT, material $$ only</v>
          </cell>
          <cell r="C839" t="str">
            <v>L.F.</v>
          </cell>
          <cell r="D839">
            <v>1</v>
          </cell>
          <cell r="E839">
            <v>21.04</v>
          </cell>
        </row>
        <row r="840">
          <cell r="B840" t="str">
            <v>Borrow, 1.5" Crushed Stone, 10 mile round trip</v>
          </cell>
          <cell r="C840" t="str">
            <v>C.Y.</v>
          </cell>
          <cell r="D840">
            <v>0.32</v>
          </cell>
          <cell r="E840">
            <v>15</v>
          </cell>
        </row>
        <row r="841">
          <cell r="A841" t="str">
            <v>A023500</v>
          </cell>
          <cell r="B841" t="str">
            <v>Pipe, HDPE 24" WATER TIGHT - incl. excav.&amp; initial backfill w/ stone</v>
          </cell>
          <cell r="C841" t="str">
            <v>L.F.</v>
          </cell>
          <cell r="E841">
            <v>33.64</v>
          </cell>
          <cell r="F841" t="str">
            <v>1,5,11,41</v>
          </cell>
          <cell r="G841" t="str">
            <v>24.1.6</v>
          </cell>
          <cell r="H841" t="str">
            <v>Pipe_Manure</v>
          </cell>
          <cell r="I841" t="str">
            <v>Statewide</v>
          </cell>
        </row>
        <row r="844">
          <cell r="B844" t="str">
            <v>Excavating, trench, concrete curb, steel forms, 6' to 10' deep, 3/4 C.Y. bucket, hydraulic backhoe, excludes sheeting or dewatering</v>
          </cell>
          <cell r="C844" t="str">
            <v>B.C.Y.</v>
          </cell>
          <cell r="D844">
            <v>1.6</v>
          </cell>
          <cell r="E844">
            <v>5.2</v>
          </cell>
        </row>
        <row r="845">
          <cell r="B845" t="str">
            <v>Pipe, HDPE 30", WATER TIGHT, material $$ only</v>
          </cell>
          <cell r="C845" t="str">
            <v>L.F.</v>
          </cell>
          <cell r="D845">
            <v>1</v>
          </cell>
          <cell r="E845">
            <v>31.23</v>
          </cell>
        </row>
        <row r="846">
          <cell r="B846" t="str">
            <v>Borrow, 1.5" Crushed Stone, 10 mile round trip</v>
          </cell>
          <cell r="C846" t="str">
            <v>C.Y.</v>
          </cell>
          <cell r="D846">
            <v>0.4</v>
          </cell>
          <cell r="E846">
            <v>15</v>
          </cell>
        </row>
        <row r="847">
          <cell r="A847" t="str">
            <v>A023501</v>
          </cell>
          <cell r="B847" t="str">
            <v>Pipe, HDPE 30" WATER TIGHT - incl. excav.&amp; initial backfill w/ stone</v>
          </cell>
          <cell r="C847" t="str">
            <v>L.F.</v>
          </cell>
          <cell r="E847">
            <v>45.55</v>
          </cell>
          <cell r="F847" t="str">
            <v>1,5,11,41</v>
          </cell>
          <cell r="G847" t="str">
            <v>24.1.12</v>
          </cell>
          <cell r="H847" t="str">
            <v>Pipe_Manure</v>
          </cell>
          <cell r="I847" t="str">
            <v>Statewide</v>
          </cell>
        </row>
        <row r="850">
          <cell r="B850" t="str">
            <v>Excavating, trench, concrete curb, steel forms, 6' to 10' deep, 3/4 C.Y. bucket, hydraulic backhoe, excludes sheeting or dewatering</v>
          </cell>
          <cell r="C850" t="str">
            <v>B.C.Y.</v>
          </cell>
          <cell r="D850">
            <v>1.7</v>
          </cell>
          <cell r="E850">
            <v>5.2</v>
          </cell>
        </row>
        <row r="851">
          <cell r="B851" t="str">
            <v>Pipe, HDPE 36", WATER TIGHT, material $$ only</v>
          </cell>
          <cell r="C851" t="str">
            <v>L.F.</v>
          </cell>
          <cell r="D851">
            <v>1</v>
          </cell>
          <cell r="E851">
            <v>39.369999999999997</v>
          </cell>
        </row>
        <row r="852">
          <cell r="B852" t="str">
            <v>Borrow, 1.5" Crushed Stone, 10 mile round trip</v>
          </cell>
          <cell r="C852" t="str">
            <v>C.Y.</v>
          </cell>
          <cell r="D852">
            <v>0.48</v>
          </cell>
          <cell r="E852">
            <v>15</v>
          </cell>
        </row>
        <row r="853">
          <cell r="A853" t="str">
            <v>A023502</v>
          </cell>
          <cell r="B853" t="str">
            <v>Pipe, HDPE 36" WATER TIGHT - incl. excav.&amp; initial backfill w/ stone</v>
          </cell>
          <cell r="C853" t="str">
            <v>L.F.</v>
          </cell>
          <cell r="E853">
            <v>55.41</v>
          </cell>
          <cell r="F853" t="str">
            <v>1,5,11,41</v>
          </cell>
          <cell r="G853" t="str">
            <v>24.1.16</v>
          </cell>
          <cell r="H853" t="str">
            <v>Pipe_Manure</v>
          </cell>
          <cell r="I853" t="str">
            <v>Statewide</v>
          </cell>
        </row>
        <row r="856">
          <cell r="B856" t="str">
            <v>Excavating, structural, bank measure, for spread and mat footings, elevator pits, and small building foundations, common earth, 3/4 C.Y. bucket, machine excavation, hydraulic backhoe</v>
          </cell>
          <cell r="C856" t="str">
            <v>B.C.Y.</v>
          </cell>
          <cell r="D856">
            <v>9</v>
          </cell>
          <cell r="E856">
            <v>12.95</v>
          </cell>
        </row>
        <row r="857">
          <cell r="B857" t="str">
            <v>Borrow, 1.5" Crushed Stone, 20 mile round trip</v>
          </cell>
          <cell r="C857" t="str">
            <v>C.Y.</v>
          </cell>
          <cell r="D857">
            <v>9</v>
          </cell>
          <cell r="E857">
            <v>17</v>
          </cell>
        </row>
        <row r="858">
          <cell r="B858" t="str">
            <v>Elbow, HDPE 24" WATER TIGHT - material $$ only</v>
          </cell>
          <cell r="C858" t="str">
            <v>EA.</v>
          </cell>
          <cell r="D858">
            <v>1</v>
          </cell>
          <cell r="E858">
            <v>335.58</v>
          </cell>
        </row>
        <row r="859">
          <cell r="B859" t="str">
            <v>Labor, unskilled</v>
          </cell>
          <cell r="C859" t="str">
            <v>HR.</v>
          </cell>
          <cell r="D859">
            <v>1</v>
          </cell>
          <cell r="E859">
            <v>15</v>
          </cell>
        </row>
        <row r="860">
          <cell r="A860" t="str">
            <v>A023505</v>
          </cell>
          <cell r="B860" t="str">
            <v>Elbow, HDPE 24" WATER TIGHT - incl. excav.&amp; initial backfill w/ stone</v>
          </cell>
          <cell r="C860" t="str">
            <v>L.F.</v>
          </cell>
          <cell r="E860">
            <v>620.13</v>
          </cell>
          <cell r="F860" t="str">
            <v>1,5,11,41</v>
          </cell>
          <cell r="G860" t="str">
            <v>24.1.29</v>
          </cell>
          <cell r="H860" t="str">
            <v>Pipe_Manure</v>
          </cell>
          <cell r="I860" t="str">
            <v>Statewide</v>
          </cell>
        </row>
        <row r="863">
          <cell r="B863" t="str">
            <v>Excavating, structural, bank measure, for spread and mat footings, elevator pits, and small building foundations, common earth, 3/4 C.Y. bucket, machine excavation, hydraulic backhoe</v>
          </cell>
          <cell r="C863" t="str">
            <v>B.C.Y.</v>
          </cell>
          <cell r="D863">
            <v>11</v>
          </cell>
          <cell r="E863">
            <v>12.95</v>
          </cell>
        </row>
        <row r="864">
          <cell r="B864" t="str">
            <v>Borrow, 1.5" Crushed Stone, 20 mile round trip</v>
          </cell>
          <cell r="C864" t="str">
            <v>C.Y.</v>
          </cell>
          <cell r="D864">
            <v>11</v>
          </cell>
          <cell r="E864">
            <v>17</v>
          </cell>
        </row>
        <row r="865">
          <cell r="B865" t="str">
            <v>Elbow, HDPE 30" WATER TIGHT - material $$ only</v>
          </cell>
          <cell r="C865" t="str">
            <v>EA.</v>
          </cell>
          <cell r="D865">
            <v>1</v>
          </cell>
          <cell r="E865">
            <v>577.26</v>
          </cell>
        </row>
        <row r="866">
          <cell r="B866" t="str">
            <v>Labor, unskilled</v>
          </cell>
          <cell r="C866" t="str">
            <v>HR.</v>
          </cell>
          <cell r="D866">
            <v>1</v>
          </cell>
          <cell r="E866">
            <v>15</v>
          </cell>
        </row>
        <row r="867">
          <cell r="A867" t="str">
            <v>A023506</v>
          </cell>
          <cell r="B867" t="str">
            <v>Elbow, HDPE 30" WATER TIGHT - incl. excav.&amp; initial backfill w/ stone</v>
          </cell>
          <cell r="C867" t="str">
            <v>L.F.</v>
          </cell>
          <cell r="E867">
            <v>921.71</v>
          </cell>
          <cell r="F867" t="str">
            <v>1,5,11,41</v>
          </cell>
          <cell r="G867" t="str">
            <v>24.1.30</v>
          </cell>
          <cell r="H867" t="str">
            <v>Pipe_Manure</v>
          </cell>
          <cell r="I867" t="str">
            <v>Statewide</v>
          </cell>
        </row>
        <row r="870">
          <cell r="B870" t="str">
            <v>Excavating, structural, bank measure, for spread and mat footings, elevator pits, and small building foundations, common earth, 3/4 C.Y. bucket, machine excavation, hydraulic backhoe</v>
          </cell>
          <cell r="C870" t="str">
            <v>B.C.Y.</v>
          </cell>
          <cell r="D870">
            <v>12</v>
          </cell>
          <cell r="E870">
            <v>12.95</v>
          </cell>
        </row>
        <row r="871">
          <cell r="B871" t="str">
            <v>Borrow, 1.5" Crushed Stone, 20 mile round trip</v>
          </cell>
          <cell r="C871" t="str">
            <v>C.Y.</v>
          </cell>
          <cell r="D871">
            <v>12</v>
          </cell>
          <cell r="E871">
            <v>17</v>
          </cell>
        </row>
        <row r="872">
          <cell r="B872" t="str">
            <v>Elbow, HDPE 36" WATER TIGHT - material $$ only</v>
          </cell>
          <cell r="C872" t="str">
            <v>EA.</v>
          </cell>
          <cell r="D872">
            <v>1</v>
          </cell>
          <cell r="E872">
            <v>792.35</v>
          </cell>
        </row>
        <row r="873">
          <cell r="B873" t="str">
            <v>Labor, unskilled</v>
          </cell>
          <cell r="C873" t="str">
            <v>HR.</v>
          </cell>
          <cell r="D873">
            <v>1</v>
          </cell>
          <cell r="E873">
            <v>15</v>
          </cell>
        </row>
        <row r="874">
          <cell r="A874" t="str">
            <v>A023507</v>
          </cell>
          <cell r="B874" t="str">
            <v>Elbow, HDPE 36" WATER TIGHT - incl. excav.&amp; initial backfill w/ stone</v>
          </cell>
          <cell r="C874" t="str">
            <v>L.F.</v>
          </cell>
          <cell r="E874">
            <v>1166.75</v>
          </cell>
          <cell r="F874" t="str">
            <v>1,5,11,41</v>
          </cell>
          <cell r="G874" t="str">
            <v>24.1.31</v>
          </cell>
          <cell r="H874" t="str">
            <v>Pipe_Manure</v>
          </cell>
          <cell r="I874" t="str">
            <v>Statewide</v>
          </cell>
        </row>
        <row r="877">
          <cell r="B877" t="str">
            <v>Excavator, Small, 1/2 CY Bucket</v>
          </cell>
          <cell r="C877" t="str">
            <v>HR.</v>
          </cell>
          <cell r="D877">
            <v>2</v>
          </cell>
          <cell r="E877">
            <v>90.563453850000002</v>
          </cell>
        </row>
        <row r="878">
          <cell r="B878" t="str">
            <v>Septic Tank, Precast, 1000gal, exc. &amp; bkfill incl.</v>
          </cell>
          <cell r="C878" t="str">
            <v>EA.</v>
          </cell>
          <cell r="D878">
            <v>1</v>
          </cell>
          <cell r="E878">
            <v>799</v>
          </cell>
        </row>
        <row r="879">
          <cell r="B879" t="str">
            <v>Lumber, pressure treated,  6" x 6"</v>
          </cell>
          <cell r="C879" t="str">
            <v>B.F.</v>
          </cell>
          <cell r="D879">
            <v>144</v>
          </cell>
          <cell r="E879">
            <v>0.96</v>
          </cell>
        </row>
        <row r="880">
          <cell r="B880" t="str">
            <v>Wood framing, treated lumber, water-borne salt, 2" x 8", C.C.A., A.C.A., wet, .40 P.C.F. retention</v>
          </cell>
          <cell r="C880" t="str">
            <v>M.B.F.</v>
          </cell>
          <cell r="D880">
            <v>0.1</v>
          </cell>
          <cell r="E880">
            <v>825</v>
          </cell>
        </row>
        <row r="881">
          <cell r="B881" t="str">
            <v>Roof Structure - pole type w/ wood truss &amp; metal roof. Installed</v>
          </cell>
          <cell r="C881" t="str">
            <v>S.F.</v>
          </cell>
          <cell r="D881">
            <v>96</v>
          </cell>
          <cell r="E881">
            <v>9</v>
          </cell>
        </row>
        <row r="882">
          <cell r="B882" t="str">
            <v>Wood framing, treated lumber, water-borne salt, 2" x 6", C.C.A., A.C.A., wet, .40 P.C.F. retention</v>
          </cell>
          <cell r="C882" t="str">
            <v>M.B.F.</v>
          </cell>
          <cell r="D882">
            <v>0.1</v>
          </cell>
          <cell r="E882">
            <v>850</v>
          </cell>
        </row>
        <row r="883">
          <cell r="B883" t="str">
            <v>Framing, porch or deck, treated lattice panel, 4' x 8'</v>
          </cell>
          <cell r="C883" t="str">
            <v>S.F.</v>
          </cell>
          <cell r="D883">
            <v>192</v>
          </cell>
          <cell r="E883">
            <v>1.18</v>
          </cell>
        </row>
        <row r="884">
          <cell r="A884" t="str">
            <v>A014520</v>
          </cell>
          <cell r="B884" t="str">
            <v>Fuel Storage Struc. 275 gal, - septic tank, posts, roof &amp; lattice</v>
          </cell>
          <cell r="C884" t="str">
            <v>E.A.</v>
          </cell>
          <cell r="E884">
            <v>2376.4269076999999</v>
          </cell>
          <cell r="F884" t="str">
            <v>31,48</v>
          </cell>
          <cell r="G884" t="str">
            <v>29.1.7</v>
          </cell>
          <cell r="H884" t="str">
            <v>Fuel</v>
          </cell>
          <cell r="I884" t="str">
            <v>Statewide</v>
          </cell>
        </row>
        <row r="887">
          <cell r="B887" t="str">
            <v>Excavator, Small, 1/2 CY Bucket</v>
          </cell>
          <cell r="C887" t="str">
            <v>HR.</v>
          </cell>
          <cell r="D887">
            <v>2</v>
          </cell>
          <cell r="E887">
            <v>90.563453850000002</v>
          </cell>
        </row>
        <row r="888">
          <cell r="B888" t="str">
            <v>Septic Tank, Precast, 1500gal, exc. &amp; bkfill incl.</v>
          </cell>
          <cell r="C888" t="str">
            <v>EA.</v>
          </cell>
          <cell r="D888">
            <v>1</v>
          </cell>
          <cell r="E888">
            <v>1255</v>
          </cell>
        </row>
        <row r="889">
          <cell r="B889" t="str">
            <v>Lumber, pressure treated,  6" x 6"</v>
          </cell>
          <cell r="C889" t="str">
            <v>B.F.</v>
          </cell>
          <cell r="D889">
            <v>144</v>
          </cell>
          <cell r="E889">
            <v>0.96</v>
          </cell>
        </row>
        <row r="890">
          <cell r="B890" t="str">
            <v>Wood framing, treated lumber, water-borne salt, 2" x 8", C.C.A., A.C.A., wet, .40 P.C.F. retention</v>
          </cell>
          <cell r="C890" t="str">
            <v>M.B.F.</v>
          </cell>
          <cell r="D890">
            <v>0.1</v>
          </cell>
          <cell r="E890">
            <v>825</v>
          </cell>
        </row>
        <row r="891">
          <cell r="B891" t="str">
            <v>Roof Structure - pole type w/ wood truss &amp; metal roof. Installed</v>
          </cell>
          <cell r="C891" t="str">
            <v>S.F.</v>
          </cell>
          <cell r="D891">
            <v>96</v>
          </cell>
          <cell r="E891">
            <v>9</v>
          </cell>
        </row>
        <row r="892">
          <cell r="B892" t="str">
            <v>Wood framing, treated lumber, water-borne salt, 2" x 6", C.C.A., A.C.A., wet, .40 P.C.F. retention</v>
          </cell>
          <cell r="C892" t="str">
            <v>M.B.F.</v>
          </cell>
          <cell r="D892">
            <v>0.1</v>
          </cell>
          <cell r="E892">
            <v>850</v>
          </cell>
        </row>
        <row r="893">
          <cell r="B893" t="str">
            <v>Framing, porch or deck, treated lattice panel, 4' x 8'</v>
          </cell>
          <cell r="C893" t="str">
            <v>S.F.</v>
          </cell>
          <cell r="D893">
            <v>192</v>
          </cell>
          <cell r="E893">
            <v>1.18</v>
          </cell>
        </row>
        <row r="894">
          <cell r="A894" t="str">
            <v>A014525</v>
          </cell>
          <cell r="B894" t="str">
            <v>Fuel Storage Struc. 500 or 550gal, - septic tank, posts, roof &amp; lattice</v>
          </cell>
          <cell r="C894" t="str">
            <v>E.A.</v>
          </cell>
          <cell r="E894">
            <v>2832.4269076999999</v>
          </cell>
          <cell r="F894" t="str">
            <v>31,48</v>
          </cell>
          <cell r="G894" t="str">
            <v>29.1.8</v>
          </cell>
          <cell r="H894" t="str">
            <v>Fuel</v>
          </cell>
          <cell r="I894" t="str">
            <v>Statewide</v>
          </cell>
        </row>
        <row r="898">
          <cell r="B898" t="str">
            <v>Excavator, Small, 1/2 CY Bucket</v>
          </cell>
          <cell r="C898" t="str">
            <v>HR.</v>
          </cell>
          <cell r="D898">
            <v>2</v>
          </cell>
          <cell r="E898">
            <v>90.563453850000002</v>
          </cell>
        </row>
        <row r="899">
          <cell r="B899" t="str">
            <v>Septic Tank, Precast, 2000gal, exc. &amp; bkfill incl.</v>
          </cell>
          <cell r="C899" t="str">
            <v>EA.</v>
          </cell>
          <cell r="D899">
            <v>1</v>
          </cell>
          <cell r="E899">
            <v>1590</v>
          </cell>
        </row>
        <row r="900">
          <cell r="B900" t="str">
            <v>Lumber, pressure treated,  6" x 6"</v>
          </cell>
          <cell r="C900" t="str">
            <v>B.F.</v>
          </cell>
          <cell r="D900">
            <v>216</v>
          </cell>
          <cell r="E900">
            <v>0.96</v>
          </cell>
        </row>
        <row r="901">
          <cell r="B901" t="str">
            <v>Wood framing, treated lumber, water-borne salt, 2" x 8", C.C.A., A.C.A., wet, .40 P.C.F. retention</v>
          </cell>
          <cell r="C901" t="str">
            <v>M.B.F.</v>
          </cell>
          <cell r="D901">
            <v>0.15</v>
          </cell>
          <cell r="E901">
            <v>825</v>
          </cell>
        </row>
        <row r="902">
          <cell r="B902" t="str">
            <v>Roof Structure - pole type w/ wood truss &amp; metal roof. Installed</v>
          </cell>
          <cell r="C902" t="str">
            <v>S.F.</v>
          </cell>
          <cell r="D902">
            <v>180</v>
          </cell>
          <cell r="E902">
            <v>9</v>
          </cell>
        </row>
        <row r="903">
          <cell r="B903" t="str">
            <v>Wood framing, treated lumber, water-borne salt, 2" x 6", C.C.A., A.C.A., wet, .40 P.C.F. retention</v>
          </cell>
          <cell r="C903" t="str">
            <v>M.B.F.</v>
          </cell>
          <cell r="D903">
            <v>0.12</v>
          </cell>
          <cell r="E903">
            <v>850</v>
          </cell>
        </row>
        <row r="904">
          <cell r="B904" t="str">
            <v>Framing, porch or deck, treated lattice panel, 4' x 8'</v>
          </cell>
          <cell r="C904" t="str">
            <v>S.F.</v>
          </cell>
          <cell r="D904">
            <v>256</v>
          </cell>
          <cell r="E904">
            <v>1.18</v>
          </cell>
        </row>
        <row r="905">
          <cell r="A905" t="str">
            <v>A014530</v>
          </cell>
          <cell r="B905" t="str">
            <v>Fuel Storage Struc. 1000gal, - septic tank, posts, roof &amp; lattice</v>
          </cell>
          <cell r="C905" t="str">
            <v>E.A.</v>
          </cell>
          <cell r="E905">
            <v>4126.3169077000002</v>
          </cell>
          <cell r="F905" t="str">
            <v>31,48</v>
          </cell>
          <cell r="G905" t="str">
            <v>29.1.9</v>
          </cell>
          <cell r="H905" t="str">
            <v>Fuel</v>
          </cell>
          <cell r="I905" t="str">
            <v>Statewide</v>
          </cell>
        </row>
        <row r="908">
          <cell r="B908" t="str">
            <v>Control joint, concrete floor slab, sawcut in green concrete, 1-1/2" depth</v>
          </cell>
          <cell r="C908" t="str">
            <v>L.F.</v>
          </cell>
          <cell r="D908">
            <v>1</v>
          </cell>
          <cell r="E908">
            <v>0.44</v>
          </cell>
        </row>
        <row r="909">
          <cell r="B909" t="str">
            <v>Control joint, clean out control joint of debris</v>
          </cell>
          <cell r="C909" t="str">
            <v>L.F.</v>
          </cell>
          <cell r="D909">
            <v>1</v>
          </cell>
          <cell r="E909">
            <v>0.05</v>
          </cell>
        </row>
        <row r="910">
          <cell r="B910" t="str">
            <v>Control joint, backer rod, polyethylene, 1/4" diameter</v>
          </cell>
          <cell r="C910" t="str">
            <v>L.F.</v>
          </cell>
          <cell r="D910">
            <v>1</v>
          </cell>
          <cell r="E910">
            <v>0.74</v>
          </cell>
        </row>
        <row r="911">
          <cell r="B911" t="str">
            <v>Control joint, joint sealant, polyurethane, 1/4" x 1/2" (154 LF/Gal)</v>
          </cell>
          <cell r="C911" t="str">
            <v>L.F.</v>
          </cell>
          <cell r="D911">
            <v>1</v>
          </cell>
          <cell r="E911">
            <v>1.63</v>
          </cell>
        </row>
        <row r="912">
          <cell r="A912" t="str">
            <v>A033550</v>
          </cell>
          <cell r="B912" t="str">
            <v>Construction Joint - floor, sawed, backer rod and waterstop</v>
          </cell>
          <cell r="C912" t="str">
            <v>EA.</v>
          </cell>
          <cell r="E912">
            <v>2.86</v>
          </cell>
          <cell r="F912" t="str">
            <v>-</v>
          </cell>
          <cell r="G912" t="str">
            <v>2.9.15</v>
          </cell>
          <cell r="H912" t="str">
            <v>Conc_Misc</v>
          </cell>
          <cell r="I912" t="str">
            <v>RSMeans</v>
          </cell>
        </row>
      </sheetData>
      <sheetData sheetId="13"/>
      <sheetData sheetId="14"/>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2010 MRBI-EQIP"/>
      <sheetName val="2010 WHIP Schedule"/>
      <sheetName val="2009 KY STATE PROG. Comparison"/>
      <sheetName val="2009 KY STATE PROG. EXPORT LIST"/>
      <sheetName val="Core Rates (2)"/>
      <sheetName val="Core Rates"/>
      <sheetName val="Core Rates 2010"/>
      <sheetName val="Core Rates 2011"/>
      <sheetName val="2011 EQIP Schedule"/>
      <sheetName val="EQIP 2011 Payment Sched"/>
      <sheetName val="Index of all Scenarios"/>
      <sheetName val="102-CAP-CNMP nonDairy"/>
      <sheetName val="102-CAP-CNMP Dairy"/>
      <sheetName val="102-CNMP Appl Plng"/>
      <sheetName val="104 CAP-NMP"/>
      <sheetName val="106 CAP-FMgt 10 to 50ac"/>
      <sheetName val="106 CAP-FMgt 51 to 150ac"/>
      <sheetName val="106 CAP-FMgt 151 to 300ac"/>
      <sheetName val="106 CAP-FMgt 301 to 500ac"/>
      <sheetName val="106 CAP-FMgt 500+ac"/>
      <sheetName val="110 CAP-Grazing Mgt Plan"/>
      <sheetName val="118 CAP-Irrig Water Mgt Plan"/>
      <sheetName val="138 CAP-Org Trans &lt;25ac"/>
      <sheetName val="138 CAP-Org Trans 26-100ac"/>
      <sheetName val="138 CAP-Org Trans &gt;100ac"/>
      <sheetName val="313-Wet Sys 25AU"/>
      <sheetName val="313-Wet Sys 50AU"/>
      <sheetName val="313-Wet Sys 75AU"/>
      <sheetName val="313-Wet Sys 100AU"/>
      <sheetName val="313-Wet Sys 150AU"/>
      <sheetName val="313-Wet Sys 200AU"/>
      <sheetName val="313-Wet Sys 300AU"/>
      <sheetName val="313-Wet Sys 500AU"/>
      <sheetName val="313-Wet Sys Small"/>
      <sheetName val="313-Wet Sys Medium"/>
      <sheetName val="313-Wet Sys Large"/>
      <sheetName val="313-WDS 2 Hs 56-80 AU"/>
      <sheetName val="313-WDS 4 Hs 81-170 AU"/>
      <sheetName val="313-WDS to55 AU"/>
      <sheetName val="313-CDS to55 AU"/>
      <sheetName val="313-CDS 2 Hs 56-80 AU"/>
      <sheetName val="313-CDS 4 Hs 81-170 AU"/>
      <sheetName val="313-WODS to55 AU"/>
      <sheetName val="313-CODS to55 AU"/>
      <sheetName val="313-WODS 56-80 AU"/>
      <sheetName val="313-CODS 56-80 AU"/>
      <sheetName val="313-WODS 80+ AU"/>
      <sheetName val="313-CODS 80+ AU "/>
      <sheetName val="313-WLSDF 2 Hs "/>
      <sheetName val="313-CLSDF 2 Hs"/>
      <sheetName val="313-WLSDF 4 Hs"/>
      <sheetName val="313-CLSDF 4 Hs"/>
      <sheetName val="313-WLSDF 8 Hs"/>
      <sheetName val="313-CLSDF 8 Hs"/>
      <sheetName val="314-Cut St. of Inv. ≤200"/>
      <sheetName val="314-Cut St. of Inv. 200&lt;X≤400"/>
      <sheetName val="314-Cut St. of Inv. 400&lt;X≤1000"/>
      <sheetName val="314-Cut St. of Inv. 1000&lt;X≤1600"/>
      <sheetName val="314-Cut Stump of Inv. &gt;1600"/>
      <sheetName val="314-Foliar Spray of Inv."/>
      <sheetName val="315-U Specie Ctrl Mow"/>
      <sheetName val="315-U Specie Ctrl M+S"/>
      <sheetName val="315-U Specie Ctrl  M+2S"/>
      <sheetName val="317-W2 Hs-250 Sow"/>
      <sheetName val="317-W4 Hs-530 Sow"/>
      <sheetName val="317-W6 Hs-790 Sow"/>
      <sheetName val="317-W8 Hs-1060 Sow "/>
      <sheetName val="317-C2 Hs-250 Sow"/>
      <sheetName val="317-C4 Hs-530 Sow "/>
      <sheetName val="317-C6 Hs-790 Sow"/>
      <sheetName val="317-C8 Hs-1060 Sow"/>
      <sheetName val="327-Pollinator Mix"/>
      <sheetName val="327-IG Mix-Conv."/>
      <sheetName val="327-IG Mix-NT"/>
      <sheetName val="327-NG-Legumes- NT"/>
      <sheetName val="327-NG-1#Forbs Mix"/>
      <sheetName val="327-NG-2# Forbs Mix"/>
      <sheetName val="328-CCR Organic Only"/>
      <sheetName val="329 STIR&lt;30"/>
      <sheetName val="329 STIR&lt;15"/>
      <sheetName val="329 STIR&lt;8"/>
      <sheetName val="338 Prescribed Burn"/>
      <sheetName val="340 Aerial Seeding RYE"/>
      <sheetName val="340 RYE &amp; Herbicide"/>
      <sheetName val="340 Roller-Herb-RYE &amp; Legumes"/>
      <sheetName val="340 Herbicide-RYE &amp; Legume"/>
      <sheetName val="340 Roller-RYE"/>
      <sheetName val="340 Roller-RYE-ORG"/>
      <sheetName val="340 Roller &amp; Herbicide-RYE"/>
      <sheetName val="340 Green Manure"/>
      <sheetName val="340 Green Manure-ORG"/>
      <sheetName val="342-IG Mix-LG"/>
      <sheetName val="342-IG Mix-MG"/>
      <sheetName val="342-IG Mix-HG"/>
      <sheetName val="342-IG Mix-LG-ECB"/>
      <sheetName val="342-IG Mix-MG-ECB"/>
      <sheetName val="342-IG Mix-HG-ECB"/>
      <sheetName val="342-NG-legume-LG"/>
      <sheetName val="342-NG-legume-MG"/>
      <sheetName val="342-NG-legume-HG"/>
      <sheetName val="342-NG-Forbs Mix-LG"/>
      <sheetName val="342-NG-Forbs Mix-MG"/>
      <sheetName val="342-NG-Forbs Mix-HG"/>
      <sheetName val="342-NG Mix X-MG-ECB"/>
      <sheetName val="342-NG Mix Y-MG-ECB"/>
      <sheetName val="359"/>
      <sheetName val="362"/>
      <sheetName val="378 EH up to 8 ft"/>
      <sheetName val="378 EH over 8 ft"/>
      <sheetName val="378 EXC"/>
      <sheetName val="381-just trees-conifers"/>
      <sheetName val="381-just trees-deciduous"/>
      <sheetName val="382-Deter."/>
      <sheetName val="382-Cont."/>
      <sheetName val="386-Nat. Regen."/>
      <sheetName val="386-IG Mix-Conv."/>
      <sheetName val="386-IG Mix-NT"/>
      <sheetName val="386-NG-Legumes- NT"/>
      <sheetName val="386-NG-1#Forbs Mix"/>
      <sheetName val="386-NG-2# Forbs Mix"/>
      <sheetName val="393-IG Mix-Conv."/>
      <sheetName val="393-IG Mix-NT"/>
      <sheetName val="393-NG-Legumes-NT"/>
      <sheetName val="393-NG-Forbs-NT"/>
      <sheetName val="410-Rock Chute 50 cfs 4 ft OF"/>
      <sheetName val="410-Rock Chute 100cfs 6 ft"/>
      <sheetName val="410-Rock Chute 150cfs 12 ft"/>
      <sheetName val="410-Rock Chute 200cfs 12 ft"/>
      <sheetName val="410-Rock Chute 250cfs 12 ft"/>
      <sheetName val="410-WPSD 8ftw-4ftOF"/>
      <sheetName val="410-WPSD 8ftw-4-8ftOF"/>
      <sheetName val="410-WPSD 16ftw-4ftOF"/>
      <sheetName val="410-WPSD 16ftw-4-8ftOF"/>
      <sheetName val="410-WPSD 24ftw-4ftOF"/>
      <sheetName val="410-WPSD 24ftw-4-8ftOF"/>
      <sheetName val="410-PIPE DROP STR"/>
      <sheetName val="412-ECB=80%"/>
      <sheetName val="412-ECB=80%+Tile"/>
      <sheetName val="412-ECB=40%"/>
      <sheetName val="412-ECB=40%+Tile"/>
      <sheetName val="412"/>
      <sheetName val="412-Tiled"/>
      <sheetName val="412-Rock Barriers+Tile"/>
      <sheetName val="412-Rock Barriers"/>
      <sheetName val="468-Type III Blanket"/>
      <sheetName val="468-Riprap"/>
      <sheetName val="472-WW w Setback"/>
      <sheetName val="472-Upland"/>
      <sheetName val="472-Upland w Setback"/>
      <sheetName val="511-Organic"/>
      <sheetName val="512-IG Mix-Conv"/>
      <sheetName val="512-ORG-IG Mix-Conv"/>
      <sheetName val="512-ORG-NG Mix-Conv"/>
      <sheetName val="512-IG Mix-NT"/>
      <sheetName val="512-NG Mix-NT"/>
      <sheetName val="512-NG-Gamagrass-NT"/>
      <sheetName val="516-Typical"/>
      <sheetName val="516-Rock&lt;12in"/>
      <sheetName val="516-Rock&gt;12in"/>
      <sheetName val="528 1st yr"/>
      <sheetName val="528 2nd yr"/>
      <sheetName val="528 3rd yr"/>
      <sheetName val="560"/>
      <sheetName val="561"/>
      <sheetName val="575"/>
      <sheetName val="574-SpDev typical"/>
      <sheetName val="574-SpDev w_storage"/>
      <sheetName val="578-6"/>
      <sheetName val="578-10"/>
      <sheetName val="578-15"/>
      <sheetName val="580-2-4"/>
      <sheetName val="580-4-6"/>
      <sheetName val="580-6-8"/>
      <sheetName val="580-8-10"/>
      <sheetName val="580-10-12"/>
      <sheetName val="580-12-16"/>
      <sheetName val="580-16"/>
      <sheetName val="595-Organic"/>
      <sheetName val="600"/>
      <sheetName val="612 no cover"/>
      <sheetName val="612 with cover"/>
      <sheetName val="612 potted plants"/>
      <sheetName val="612 EnPltg-100-200"/>
      <sheetName val="612 EnPltg 201-300"/>
      <sheetName val="612 EnPltg 100-200 herb appld"/>
      <sheetName val="612 EnPltg 201-300 herb appld"/>
      <sheetName val="614-Rock"/>
      <sheetName val="614-Concrete"/>
      <sheetName val="614-Rubber Tire"/>
      <sheetName val="635-IG Mix-Conv."/>
      <sheetName val="635-IG Mix-NT"/>
      <sheetName val="638-250 cy"/>
      <sheetName val="638-500 cy"/>
      <sheetName val="638-750 cy"/>
      <sheetName val="642"/>
      <sheetName val="643-Clearing"/>
      <sheetName val="643-Mow"/>
      <sheetName val="643-Mow+Spray"/>
      <sheetName val="643-Mow+2Sprays"/>
      <sheetName val="643-Prairie Est.-NG-7 Forb Mix"/>
      <sheetName val="645-Strip Disk"/>
      <sheetName val="313-Summary"/>
      <sheetName val="Payment Factors"/>
      <sheetName val="645-EF "/>
      <sheetName val="645-Cave Gate"/>
      <sheetName val="646-Ephemera Pool"/>
      <sheetName val="646-&lt;3Acres"/>
      <sheetName val="646- 3-7 Acres"/>
      <sheetName val="646- &gt;7 Acres"/>
      <sheetName val="646- Excavated"/>
      <sheetName val="655 - Med. Grading"/>
      <sheetName val="655 - Heavy Grading"/>
      <sheetName val="655 - Very Heavy Grading"/>
      <sheetName val="666-Clearing"/>
    </sheetNames>
    <sheetDataSet>
      <sheetData sheetId="0"/>
      <sheetData sheetId="1"/>
      <sheetData sheetId="2"/>
      <sheetData sheetId="3"/>
      <sheetData sheetId="4"/>
      <sheetData sheetId="5"/>
      <sheetData sheetId="6"/>
      <sheetData sheetId="7"/>
      <sheetData sheetId="8"/>
      <sheetData sheetId="9"/>
      <sheetData sheetId="10"/>
      <sheetData sheetId="11">
        <row r="6">
          <cell r="B6">
            <v>102</v>
          </cell>
        </row>
      </sheetData>
      <sheetData sheetId="12">
        <row r="6">
          <cell r="B6">
            <v>102</v>
          </cell>
        </row>
      </sheetData>
      <sheetData sheetId="13">
        <row r="6">
          <cell r="B6">
            <v>102</v>
          </cell>
        </row>
      </sheetData>
      <sheetData sheetId="14">
        <row r="5">
          <cell r="B5">
            <v>104</v>
          </cell>
        </row>
      </sheetData>
      <sheetData sheetId="15">
        <row r="6">
          <cell r="D6" t="str">
            <v>Conservation Activity Plan-Forest Mgt (No)</v>
          </cell>
        </row>
      </sheetData>
      <sheetData sheetId="16">
        <row r="6">
          <cell r="B6">
            <v>106</v>
          </cell>
        </row>
      </sheetData>
      <sheetData sheetId="17">
        <row r="6">
          <cell r="C6" t="str">
            <v>EQIP</v>
          </cell>
        </row>
      </sheetData>
      <sheetData sheetId="18">
        <row r="6">
          <cell r="C6" t="str">
            <v>EQIP</v>
          </cell>
        </row>
      </sheetData>
      <sheetData sheetId="19">
        <row r="6">
          <cell r="B6">
            <v>106</v>
          </cell>
        </row>
      </sheetData>
      <sheetData sheetId="20">
        <row r="5">
          <cell r="B5">
            <v>110</v>
          </cell>
        </row>
      </sheetData>
      <sheetData sheetId="21">
        <row r="5">
          <cell r="B5">
            <v>118</v>
          </cell>
        </row>
      </sheetData>
      <sheetData sheetId="22">
        <row r="4">
          <cell r="A4">
            <v>138</v>
          </cell>
        </row>
      </sheetData>
      <sheetData sheetId="23">
        <row r="4">
          <cell r="A4">
            <v>138</v>
          </cell>
        </row>
      </sheetData>
      <sheetData sheetId="24">
        <row r="4">
          <cell r="A4">
            <v>138</v>
          </cell>
        </row>
      </sheetData>
      <sheetData sheetId="25">
        <row r="6">
          <cell r="B6">
            <v>313</v>
          </cell>
        </row>
      </sheetData>
      <sheetData sheetId="26">
        <row r="6">
          <cell r="B6">
            <v>313</v>
          </cell>
        </row>
      </sheetData>
      <sheetData sheetId="27">
        <row r="6">
          <cell r="B6">
            <v>313</v>
          </cell>
        </row>
      </sheetData>
      <sheetData sheetId="28">
        <row r="6">
          <cell r="B6">
            <v>313</v>
          </cell>
        </row>
      </sheetData>
      <sheetData sheetId="29">
        <row r="6">
          <cell r="B6">
            <v>313</v>
          </cell>
        </row>
      </sheetData>
      <sheetData sheetId="30">
        <row r="6">
          <cell r="B6">
            <v>313</v>
          </cell>
        </row>
      </sheetData>
      <sheetData sheetId="31">
        <row r="6">
          <cell r="B6">
            <v>313</v>
          </cell>
        </row>
      </sheetData>
      <sheetData sheetId="32">
        <row r="6">
          <cell r="B6">
            <v>313</v>
          </cell>
        </row>
      </sheetData>
      <sheetData sheetId="33">
        <row r="6">
          <cell r="B6">
            <v>313</v>
          </cell>
        </row>
      </sheetData>
      <sheetData sheetId="34">
        <row r="6">
          <cell r="B6">
            <v>313</v>
          </cell>
        </row>
      </sheetData>
      <sheetData sheetId="35">
        <row r="6">
          <cell r="B6">
            <v>313</v>
          </cell>
        </row>
      </sheetData>
      <sheetData sheetId="36">
        <row r="6">
          <cell r="B6">
            <v>313</v>
          </cell>
        </row>
      </sheetData>
      <sheetData sheetId="37">
        <row r="6">
          <cell r="B6">
            <v>313</v>
          </cell>
        </row>
      </sheetData>
      <sheetData sheetId="38">
        <row r="6">
          <cell r="B6">
            <v>313</v>
          </cell>
        </row>
      </sheetData>
      <sheetData sheetId="39">
        <row r="6">
          <cell r="B6">
            <v>313</v>
          </cell>
        </row>
      </sheetData>
      <sheetData sheetId="40">
        <row r="6">
          <cell r="B6">
            <v>313</v>
          </cell>
        </row>
      </sheetData>
      <sheetData sheetId="41">
        <row r="6">
          <cell r="B6">
            <v>313</v>
          </cell>
        </row>
      </sheetData>
      <sheetData sheetId="42">
        <row r="6">
          <cell r="B6">
            <v>313</v>
          </cell>
        </row>
      </sheetData>
      <sheetData sheetId="43">
        <row r="6">
          <cell r="B6">
            <v>313</v>
          </cell>
        </row>
      </sheetData>
      <sheetData sheetId="44">
        <row r="6">
          <cell r="B6">
            <v>313</v>
          </cell>
        </row>
      </sheetData>
      <sheetData sheetId="45">
        <row r="6">
          <cell r="B6">
            <v>313</v>
          </cell>
        </row>
      </sheetData>
      <sheetData sheetId="46">
        <row r="6">
          <cell r="B6">
            <v>313</v>
          </cell>
        </row>
      </sheetData>
      <sheetData sheetId="47">
        <row r="6">
          <cell r="B6">
            <v>313</v>
          </cell>
        </row>
      </sheetData>
      <sheetData sheetId="48">
        <row r="6">
          <cell r="B6">
            <v>313</v>
          </cell>
        </row>
      </sheetData>
      <sheetData sheetId="49">
        <row r="6">
          <cell r="B6">
            <v>313</v>
          </cell>
        </row>
      </sheetData>
      <sheetData sheetId="50">
        <row r="6">
          <cell r="B6">
            <v>313</v>
          </cell>
        </row>
      </sheetData>
      <sheetData sheetId="51">
        <row r="6">
          <cell r="B6">
            <v>313</v>
          </cell>
        </row>
      </sheetData>
      <sheetData sheetId="52">
        <row r="6">
          <cell r="B6">
            <v>313</v>
          </cell>
        </row>
      </sheetData>
      <sheetData sheetId="53">
        <row r="6">
          <cell r="B6">
            <v>313</v>
          </cell>
        </row>
      </sheetData>
      <sheetData sheetId="54">
        <row r="6">
          <cell r="B6">
            <v>314</v>
          </cell>
        </row>
      </sheetData>
      <sheetData sheetId="55">
        <row r="6">
          <cell r="B6">
            <v>314</v>
          </cell>
        </row>
      </sheetData>
      <sheetData sheetId="56">
        <row r="6">
          <cell r="B6">
            <v>314</v>
          </cell>
        </row>
      </sheetData>
      <sheetData sheetId="57">
        <row r="6">
          <cell r="B6">
            <v>314</v>
          </cell>
        </row>
      </sheetData>
      <sheetData sheetId="58">
        <row r="6">
          <cell r="B6">
            <v>314</v>
          </cell>
        </row>
      </sheetData>
      <sheetData sheetId="59">
        <row r="6">
          <cell r="B6">
            <v>314</v>
          </cell>
        </row>
      </sheetData>
      <sheetData sheetId="60">
        <row r="6">
          <cell r="B6">
            <v>315</v>
          </cell>
        </row>
      </sheetData>
      <sheetData sheetId="61">
        <row r="6">
          <cell r="B6">
            <v>315</v>
          </cell>
        </row>
      </sheetData>
      <sheetData sheetId="62">
        <row r="6">
          <cell r="B6">
            <v>315</v>
          </cell>
        </row>
      </sheetData>
      <sheetData sheetId="63">
        <row r="6">
          <cell r="B6">
            <v>317</v>
          </cell>
        </row>
      </sheetData>
      <sheetData sheetId="64">
        <row r="6">
          <cell r="B6">
            <v>317</v>
          </cell>
        </row>
      </sheetData>
      <sheetData sheetId="65">
        <row r="6">
          <cell r="B6">
            <v>317</v>
          </cell>
        </row>
      </sheetData>
      <sheetData sheetId="66">
        <row r="6">
          <cell r="B6">
            <v>317</v>
          </cell>
        </row>
      </sheetData>
      <sheetData sheetId="67">
        <row r="6">
          <cell r="B6">
            <v>317</v>
          </cell>
        </row>
      </sheetData>
      <sheetData sheetId="68">
        <row r="6">
          <cell r="B6">
            <v>317</v>
          </cell>
        </row>
      </sheetData>
      <sheetData sheetId="69">
        <row r="6">
          <cell r="B6">
            <v>317</v>
          </cell>
        </row>
      </sheetData>
      <sheetData sheetId="70">
        <row r="6">
          <cell r="B6">
            <v>317</v>
          </cell>
        </row>
      </sheetData>
      <sheetData sheetId="71">
        <row r="6">
          <cell r="B6">
            <v>327</v>
          </cell>
        </row>
      </sheetData>
      <sheetData sheetId="72"/>
      <sheetData sheetId="73"/>
      <sheetData sheetId="74"/>
      <sheetData sheetId="75"/>
      <sheetData sheetId="76"/>
      <sheetData sheetId="77">
        <row r="6">
          <cell r="B6">
            <v>328</v>
          </cell>
        </row>
      </sheetData>
      <sheetData sheetId="78">
        <row r="6">
          <cell r="B6">
            <v>329</v>
          </cell>
        </row>
      </sheetData>
      <sheetData sheetId="79">
        <row r="6">
          <cell r="B6">
            <v>329</v>
          </cell>
        </row>
      </sheetData>
      <sheetData sheetId="80">
        <row r="6">
          <cell r="B6">
            <v>329</v>
          </cell>
        </row>
      </sheetData>
      <sheetData sheetId="81">
        <row r="5">
          <cell r="B5">
            <v>338</v>
          </cell>
        </row>
      </sheetData>
      <sheetData sheetId="82">
        <row r="6">
          <cell r="E6" t="str">
            <v>Aerial seeding of Cereal Rye Cover Crop (Sprayed with Herbicide in Spring to Ensure Complete Kill) so there is always something growing (in the typically fallow winter period) in the field throughout the ENTIRE crop rotation.</v>
          </cell>
        </row>
      </sheetData>
      <sheetData sheetId="83">
        <row r="6">
          <cell r="B6">
            <v>340</v>
          </cell>
        </row>
      </sheetData>
      <sheetData sheetId="84">
        <row r="6">
          <cell r="B6">
            <v>340</v>
          </cell>
        </row>
      </sheetData>
      <sheetData sheetId="85">
        <row r="6">
          <cell r="B6">
            <v>340</v>
          </cell>
        </row>
      </sheetData>
      <sheetData sheetId="86">
        <row r="6">
          <cell r="B6">
            <v>340</v>
          </cell>
        </row>
      </sheetData>
      <sheetData sheetId="87">
        <row r="6">
          <cell r="B6">
            <v>340</v>
          </cell>
        </row>
      </sheetData>
      <sheetData sheetId="88"/>
      <sheetData sheetId="89">
        <row r="6">
          <cell r="B6">
            <v>340</v>
          </cell>
        </row>
      </sheetData>
      <sheetData sheetId="90">
        <row r="6">
          <cell r="B6">
            <v>340</v>
          </cell>
        </row>
      </sheetData>
      <sheetData sheetId="91">
        <row r="6">
          <cell r="B6">
            <v>342</v>
          </cell>
        </row>
      </sheetData>
      <sheetData sheetId="92">
        <row r="6">
          <cell r="B6">
            <v>342</v>
          </cell>
        </row>
      </sheetData>
      <sheetData sheetId="93">
        <row r="6">
          <cell r="B6">
            <v>342</v>
          </cell>
        </row>
      </sheetData>
      <sheetData sheetId="94">
        <row r="6">
          <cell r="B6">
            <v>342</v>
          </cell>
        </row>
      </sheetData>
      <sheetData sheetId="95">
        <row r="6">
          <cell r="B6">
            <v>342</v>
          </cell>
        </row>
      </sheetData>
      <sheetData sheetId="96">
        <row r="6">
          <cell r="B6">
            <v>342</v>
          </cell>
        </row>
      </sheetData>
      <sheetData sheetId="97">
        <row r="6">
          <cell r="B6">
            <v>342</v>
          </cell>
        </row>
      </sheetData>
      <sheetData sheetId="98">
        <row r="6">
          <cell r="B6">
            <v>342</v>
          </cell>
        </row>
      </sheetData>
      <sheetData sheetId="99">
        <row r="6">
          <cell r="B6">
            <v>342</v>
          </cell>
        </row>
      </sheetData>
      <sheetData sheetId="100">
        <row r="6">
          <cell r="B6">
            <v>342</v>
          </cell>
        </row>
      </sheetData>
      <sheetData sheetId="101">
        <row r="6">
          <cell r="B6">
            <v>342</v>
          </cell>
        </row>
      </sheetData>
      <sheetData sheetId="102">
        <row r="6">
          <cell r="B6">
            <v>342</v>
          </cell>
        </row>
      </sheetData>
      <sheetData sheetId="103">
        <row r="6">
          <cell r="B6">
            <v>342</v>
          </cell>
        </row>
      </sheetData>
      <sheetData sheetId="104">
        <row r="6">
          <cell r="B6">
            <v>342</v>
          </cell>
        </row>
      </sheetData>
      <sheetData sheetId="105">
        <row r="6">
          <cell r="B6">
            <v>359</v>
          </cell>
        </row>
      </sheetData>
      <sheetData sheetId="106">
        <row r="6">
          <cell r="B6">
            <v>362</v>
          </cell>
        </row>
      </sheetData>
      <sheetData sheetId="107">
        <row r="6">
          <cell r="B6">
            <v>378</v>
          </cell>
        </row>
      </sheetData>
      <sheetData sheetId="108">
        <row r="6">
          <cell r="B6">
            <v>378</v>
          </cell>
        </row>
      </sheetData>
      <sheetData sheetId="109">
        <row r="6">
          <cell r="B6">
            <v>378</v>
          </cell>
        </row>
      </sheetData>
      <sheetData sheetId="110">
        <row r="6">
          <cell r="B6">
            <v>381</v>
          </cell>
        </row>
      </sheetData>
      <sheetData sheetId="111">
        <row r="6">
          <cell r="B6">
            <v>381</v>
          </cell>
        </row>
      </sheetData>
      <sheetData sheetId="112">
        <row r="6">
          <cell r="B6">
            <v>382</v>
          </cell>
        </row>
      </sheetData>
      <sheetData sheetId="113">
        <row r="6">
          <cell r="B6">
            <v>382</v>
          </cell>
        </row>
      </sheetData>
      <sheetData sheetId="114">
        <row r="6">
          <cell r="B6">
            <v>386</v>
          </cell>
        </row>
      </sheetData>
      <sheetData sheetId="115">
        <row r="6">
          <cell r="B6">
            <v>386</v>
          </cell>
        </row>
      </sheetData>
      <sheetData sheetId="116">
        <row r="6">
          <cell r="B6">
            <v>386</v>
          </cell>
        </row>
      </sheetData>
      <sheetData sheetId="117">
        <row r="6">
          <cell r="B6">
            <v>386</v>
          </cell>
        </row>
      </sheetData>
      <sheetData sheetId="118">
        <row r="6">
          <cell r="B6">
            <v>386</v>
          </cell>
        </row>
      </sheetData>
      <sheetData sheetId="119">
        <row r="6">
          <cell r="B6">
            <v>386</v>
          </cell>
        </row>
      </sheetData>
      <sheetData sheetId="120">
        <row r="6">
          <cell r="B6">
            <v>393</v>
          </cell>
        </row>
      </sheetData>
      <sheetData sheetId="121">
        <row r="6">
          <cell r="B6">
            <v>393</v>
          </cell>
        </row>
      </sheetData>
      <sheetData sheetId="122">
        <row r="6">
          <cell r="B6">
            <v>393</v>
          </cell>
        </row>
      </sheetData>
      <sheetData sheetId="123">
        <row r="6">
          <cell r="B6">
            <v>393</v>
          </cell>
        </row>
      </sheetData>
      <sheetData sheetId="124">
        <row r="6">
          <cell r="B6">
            <v>410</v>
          </cell>
        </row>
      </sheetData>
      <sheetData sheetId="125">
        <row r="6">
          <cell r="B6">
            <v>410</v>
          </cell>
        </row>
      </sheetData>
      <sheetData sheetId="126">
        <row r="6">
          <cell r="B6">
            <v>410</v>
          </cell>
        </row>
      </sheetData>
      <sheetData sheetId="127">
        <row r="6">
          <cell r="B6">
            <v>410</v>
          </cell>
        </row>
      </sheetData>
      <sheetData sheetId="128">
        <row r="6">
          <cell r="B6">
            <v>410</v>
          </cell>
        </row>
      </sheetData>
      <sheetData sheetId="129">
        <row r="6">
          <cell r="B6">
            <v>410</v>
          </cell>
        </row>
      </sheetData>
      <sheetData sheetId="130">
        <row r="6">
          <cell r="B6">
            <v>410</v>
          </cell>
        </row>
      </sheetData>
      <sheetData sheetId="131">
        <row r="6">
          <cell r="B6">
            <v>410</v>
          </cell>
        </row>
      </sheetData>
      <sheetData sheetId="132">
        <row r="6">
          <cell r="B6">
            <v>410</v>
          </cell>
        </row>
      </sheetData>
      <sheetData sheetId="133">
        <row r="6">
          <cell r="B6">
            <v>410</v>
          </cell>
        </row>
      </sheetData>
      <sheetData sheetId="134">
        <row r="6">
          <cell r="B6">
            <v>410</v>
          </cell>
        </row>
      </sheetData>
      <sheetData sheetId="135">
        <row r="6">
          <cell r="B6">
            <v>410</v>
          </cell>
        </row>
      </sheetData>
      <sheetData sheetId="136">
        <row r="6">
          <cell r="B6">
            <v>412</v>
          </cell>
        </row>
      </sheetData>
      <sheetData sheetId="137">
        <row r="6">
          <cell r="B6">
            <v>412</v>
          </cell>
        </row>
      </sheetData>
      <sheetData sheetId="138">
        <row r="6">
          <cell r="B6">
            <v>412</v>
          </cell>
        </row>
      </sheetData>
      <sheetData sheetId="139">
        <row r="6">
          <cell r="B6">
            <v>412</v>
          </cell>
        </row>
      </sheetData>
      <sheetData sheetId="140">
        <row r="6">
          <cell r="B6">
            <v>412</v>
          </cell>
        </row>
      </sheetData>
      <sheetData sheetId="141">
        <row r="6">
          <cell r="B6">
            <v>412</v>
          </cell>
        </row>
      </sheetData>
      <sheetData sheetId="142">
        <row r="6">
          <cell r="B6">
            <v>412</v>
          </cell>
        </row>
      </sheetData>
      <sheetData sheetId="143">
        <row r="6">
          <cell r="B6">
            <v>412</v>
          </cell>
        </row>
      </sheetData>
      <sheetData sheetId="144">
        <row r="6">
          <cell r="B6">
            <v>468</v>
          </cell>
        </row>
      </sheetData>
      <sheetData sheetId="145">
        <row r="6">
          <cell r="B6">
            <v>468</v>
          </cell>
        </row>
      </sheetData>
      <sheetData sheetId="146">
        <row r="6">
          <cell r="B6">
            <v>472</v>
          </cell>
        </row>
      </sheetData>
      <sheetData sheetId="147">
        <row r="6">
          <cell r="B6">
            <v>472</v>
          </cell>
        </row>
      </sheetData>
      <sheetData sheetId="148">
        <row r="6">
          <cell r="B6">
            <v>472</v>
          </cell>
        </row>
      </sheetData>
      <sheetData sheetId="149">
        <row r="6">
          <cell r="B6">
            <v>511</v>
          </cell>
        </row>
      </sheetData>
      <sheetData sheetId="150">
        <row r="6">
          <cell r="B6">
            <v>512</v>
          </cell>
        </row>
      </sheetData>
      <sheetData sheetId="151">
        <row r="6">
          <cell r="B6">
            <v>512</v>
          </cell>
        </row>
      </sheetData>
      <sheetData sheetId="152">
        <row r="6">
          <cell r="B6">
            <v>512</v>
          </cell>
        </row>
      </sheetData>
      <sheetData sheetId="153">
        <row r="6">
          <cell r="B6">
            <v>512</v>
          </cell>
        </row>
      </sheetData>
      <sheetData sheetId="154">
        <row r="6">
          <cell r="B6">
            <v>512</v>
          </cell>
        </row>
      </sheetData>
      <sheetData sheetId="155">
        <row r="6">
          <cell r="B6">
            <v>512</v>
          </cell>
        </row>
      </sheetData>
      <sheetData sheetId="156">
        <row r="6">
          <cell r="B6">
            <v>516</v>
          </cell>
        </row>
      </sheetData>
      <sheetData sheetId="157">
        <row r="6">
          <cell r="E6" t="str">
            <v>Pipeline - Installation in rock conditions &lt; 12 inches</v>
          </cell>
        </row>
      </sheetData>
      <sheetData sheetId="158">
        <row r="6">
          <cell r="E6" t="str">
            <v>Pipeline - Installation in rock conditions &gt; 12 inches</v>
          </cell>
        </row>
      </sheetData>
      <sheetData sheetId="159">
        <row r="6">
          <cell r="B6">
            <v>528</v>
          </cell>
        </row>
      </sheetData>
      <sheetData sheetId="160">
        <row r="6">
          <cell r="B6">
            <v>528</v>
          </cell>
        </row>
      </sheetData>
      <sheetData sheetId="161">
        <row r="6">
          <cell r="B6">
            <v>528</v>
          </cell>
        </row>
      </sheetData>
      <sheetData sheetId="162">
        <row r="5">
          <cell r="B5">
            <v>560</v>
          </cell>
        </row>
      </sheetData>
      <sheetData sheetId="163">
        <row r="6">
          <cell r="B6">
            <v>561</v>
          </cell>
        </row>
      </sheetData>
      <sheetData sheetId="164">
        <row r="6">
          <cell r="B6">
            <v>575</v>
          </cell>
        </row>
      </sheetData>
      <sheetData sheetId="165">
        <row r="6">
          <cell r="D6" t="str">
            <v>Spring Development (No)</v>
          </cell>
        </row>
      </sheetData>
      <sheetData sheetId="166">
        <row r="6">
          <cell r="B6">
            <v>574</v>
          </cell>
        </row>
      </sheetData>
      <sheetData sheetId="167">
        <row r="6">
          <cell r="B6">
            <v>578</v>
          </cell>
        </row>
      </sheetData>
      <sheetData sheetId="168">
        <row r="6">
          <cell r="B6">
            <v>578</v>
          </cell>
        </row>
      </sheetData>
      <sheetData sheetId="169">
        <row r="6">
          <cell r="B6">
            <v>578</v>
          </cell>
        </row>
      </sheetData>
      <sheetData sheetId="170">
        <row r="6">
          <cell r="B6">
            <v>580</v>
          </cell>
        </row>
      </sheetData>
      <sheetData sheetId="171">
        <row r="6">
          <cell r="B6">
            <v>580</v>
          </cell>
        </row>
      </sheetData>
      <sheetData sheetId="172">
        <row r="6">
          <cell r="B6">
            <v>580</v>
          </cell>
        </row>
      </sheetData>
      <sheetData sheetId="173">
        <row r="6">
          <cell r="B6">
            <v>580</v>
          </cell>
        </row>
      </sheetData>
      <sheetData sheetId="174">
        <row r="6">
          <cell r="B6">
            <v>580</v>
          </cell>
        </row>
      </sheetData>
      <sheetData sheetId="175">
        <row r="6">
          <cell r="B6">
            <v>580</v>
          </cell>
        </row>
      </sheetData>
      <sheetData sheetId="176">
        <row r="6">
          <cell r="B6">
            <v>580</v>
          </cell>
        </row>
      </sheetData>
      <sheetData sheetId="177">
        <row r="6">
          <cell r="B6">
            <v>595</v>
          </cell>
        </row>
      </sheetData>
      <sheetData sheetId="178">
        <row r="6">
          <cell r="B6">
            <v>600</v>
          </cell>
        </row>
      </sheetData>
      <sheetData sheetId="179">
        <row r="6">
          <cell r="B6">
            <v>612</v>
          </cell>
        </row>
      </sheetData>
      <sheetData sheetId="180">
        <row r="6">
          <cell r="B6">
            <v>612</v>
          </cell>
        </row>
      </sheetData>
      <sheetData sheetId="181">
        <row r="6">
          <cell r="B6">
            <v>612</v>
          </cell>
        </row>
      </sheetData>
      <sheetData sheetId="182">
        <row r="6">
          <cell r="E6" t="str">
            <v>Tree &amp; Shrub Est.-Enrichment Planting no herb. Req'd 100-200 seedlings</v>
          </cell>
        </row>
      </sheetData>
      <sheetData sheetId="183">
        <row r="6">
          <cell r="E6" t="str">
            <v>Tree &amp; Shrub Est.-Enrichment Planting no herb. Req'd 201-300 seedlings</v>
          </cell>
        </row>
      </sheetData>
      <sheetData sheetId="184">
        <row r="6">
          <cell r="E6" t="str">
            <v>Tree &amp; Shrub Est.-Enrichment Planting w/herb. Req'd 100-200 seedlings</v>
          </cell>
        </row>
      </sheetData>
      <sheetData sheetId="185">
        <row r="6">
          <cell r="E6" t="str">
            <v>Tree &amp; Shrub Est.-Enrichment Planting w/herb. Req'd 201-300 seedlings</v>
          </cell>
        </row>
      </sheetData>
      <sheetData sheetId="186">
        <row r="6">
          <cell r="B6">
            <v>614</v>
          </cell>
        </row>
      </sheetData>
      <sheetData sheetId="187">
        <row r="6">
          <cell r="B6">
            <v>614</v>
          </cell>
        </row>
      </sheetData>
      <sheetData sheetId="188">
        <row r="6">
          <cell r="B6">
            <v>614</v>
          </cell>
        </row>
      </sheetData>
      <sheetData sheetId="189">
        <row r="6">
          <cell r="B6">
            <v>635</v>
          </cell>
        </row>
      </sheetData>
      <sheetData sheetId="190">
        <row r="6">
          <cell r="B6">
            <v>635</v>
          </cell>
        </row>
      </sheetData>
      <sheetData sheetId="191">
        <row r="6">
          <cell r="B6">
            <v>638</v>
          </cell>
        </row>
      </sheetData>
      <sheetData sheetId="192">
        <row r="6">
          <cell r="B6">
            <v>638</v>
          </cell>
        </row>
      </sheetData>
      <sheetData sheetId="193">
        <row r="6">
          <cell r="B6">
            <v>638</v>
          </cell>
        </row>
      </sheetData>
      <sheetData sheetId="194">
        <row r="6">
          <cell r="B6">
            <v>642</v>
          </cell>
        </row>
      </sheetData>
      <sheetData sheetId="195">
        <row r="6">
          <cell r="B6">
            <v>643</v>
          </cell>
        </row>
      </sheetData>
      <sheetData sheetId="196">
        <row r="6">
          <cell r="B6">
            <v>643</v>
          </cell>
        </row>
      </sheetData>
      <sheetData sheetId="197">
        <row r="6">
          <cell r="B6">
            <v>643</v>
          </cell>
        </row>
      </sheetData>
      <sheetData sheetId="198">
        <row r="6">
          <cell r="B6">
            <v>643</v>
          </cell>
        </row>
      </sheetData>
      <sheetData sheetId="199">
        <row r="6">
          <cell r="B6">
            <v>643</v>
          </cell>
        </row>
      </sheetData>
      <sheetData sheetId="200">
        <row r="6">
          <cell r="B6">
            <v>645</v>
          </cell>
        </row>
      </sheetData>
      <sheetData sheetId="201"/>
      <sheetData sheetId="202">
        <row r="5">
          <cell r="C5">
            <v>10</v>
          </cell>
          <cell r="D5">
            <v>0.75</v>
          </cell>
          <cell r="E5">
            <v>0.9</v>
          </cell>
        </row>
        <row r="6">
          <cell r="C6">
            <v>10</v>
          </cell>
          <cell r="D6">
            <v>0.75</v>
          </cell>
          <cell r="E6">
            <v>0.9</v>
          </cell>
        </row>
        <row r="7">
          <cell r="C7">
            <v>15</v>
          </cell>
        </row>
        <row r="11">
          <cell r="C11">
            <v>10</v>
          </cell>
          <cell r="D11">
            <v>0.75</v>
          </cell>
          <cell r="E11">
            <v>0.9</v>
          </cell>
        </row>
        <row r="12">
          <cell r="C12">
            <v>10</v>
          </cell>
          <cell r="D12">
            <v>0.75</v>
          </cell>
          <cell r="E12">
            <v>0.9</v>
          </cell>
        </row>
        <row r="14">
          <cell r="C14">
            <v>10</v>
          </cell>
          <cell r="D14">
            <v>0.75</v>
          </cell>
          <cell r="E14">
            <v>0.9</v>
          </cell>
          <cell r="F14">
            <v>0.75</v>
          </cell>
          <cell r="G14">
            <v>0.9</v>
          </cell>
        </row>
        <row r="18">
          <cell r="C18">
            <v>15</v>
          </cell>
          <cell r="D18">
            <v>0.75</v>
          </cell>
          <cell r="E18">
            <v>0.9</v>
          </cell>
        </row>
        <row r="19">
          <cell r="C19">
            <v>10</v>
          </cell>
          <cell r="D19">
            <v>0.75</v>
          </cell>
          <cell r="E19">
            <v>0.9</v>
          </cell>
        </row>
        <row r="22">
          <cell r="C22">
            <v>15</v>
          </cell>
        </row>
        <row r="23">
          <cell r="C23">
            <v>1</v>
          </cell>
          <cell r="D23">
            <v>0.75</v>
          </cell>
          <cell r="E23">
            <v>0.9</v>
          </cell>
        </row>
        <row r="27">
          <cell r="C27">
            <v>20</v>
          </cell>
          <cell r="D27">
            <v>0.5</v>
          </cell>
          <cell r="E27">
            <v>0.75</v>
          </cell>
        </row>
        <row r="30">
          <cell r="D30">
            <v>0.75</v>
          </cell>
          <cell r="E30">
            <v>0.9</v>
          </cell>
          <cell r="F30">
            <v>0.75</v>
          </cell>
          <cell r="G30">
            <v>0.9</v>
          </cell>
        </row>
        <row r="33">
          <cell r="D33">
            <v>0.75</v>
          </cell>
          <cell r="E33">
            <v>0.9</v>
          </cell>
        </row>
        <row r="34">
          <cell r="D34">
            <v>0.75</v>
          </cell>
          <cell r="E34">
            <v>0.9</v>
          </cell>
          <cell r="F34">
            <v>0.75</v>
          </cell>
          <cell r="G34">
            <v>0.9</v>
          </cell>
        </row>
        <row r="35">
          <cell r="C35">
            <v>10</v>
          </cell>
          <cell r="D35">
            <v>0.75</v>
          </cell>
          <cell r="E35">
            <v>0.9</v>
          </cell>
          <cell r="F35">
            <v>0.75</v>
          </cell>
          <cell r="G35">
            <v>0.9</v>
          </cell>
        </row>
        <row r="36">
          <cell r="C36">
            <v>20</v>
          </cell>
          <cell r="D36">
            <v>0.75</v>
          </cell>
          <cell r="E36">
            <v>0.9</v>
          </cell>
        </row>
        <row r="42">
          <cell r="C42">
            <v>15</v>
          </cell>
          <cell r="D42">
            <v>0.75</v>
          </cell>
          <cell r="E42">
            <v>0.9</v>
          </cell>
          <cell r="F42">
            <v>0.75</v>
          </cell>
          <cell r="G42">
            <v>0.9</v>
          </cell>
        </row>
        <row r="43">
          <cell r="C43">
            <v>1</v>
          </cell>
          <cell r="D43">
            <v>0.75</v>
          </cell>
          <cell r="E43">
            <v>0.9</v>
          </cell>
          <cell r="F43">
            <v>0.75</v>
          </cell>
          <cell r="G43">
            <v>0.9</v>
          </cell>
        </row>
        <row r="45">
          <cell r="D45">
            <v>0.75</v>
          </cell>
          <cell r="E45">
            <v>0.9</v>
          </cell>
        </row>
        <row r="46">
          <cell r="D46">
            <v>0.75</v>
          </cell>
          <cell r="E46">
            <v>0.9</v>
          </cell>
        </row>
        <row r="47">
          <cell r="C47">
            <v>10</v>
          </cell>
          <cell r="D47">
            <v>0.75</v>
          </cell>
          <cell r="E47">
            <v>0.9</v>
          </cell>
        </row>
      </sheetData>
      <sheetData sheetId="203">
        <row r="6">
          <cell r="B6">
            <v>645</v>
          </cell>
        </row>
      </sheetData>
      <sheetData sheetId="204">
        <row r="6">
          <cell r="E6" t="str">
            <v xml:space="preserve"> Upland Wildlife Habitat Management - Cave Gate</v>
          </cell>
        </row>
      </sheetData>
      <sheetData sheetId="205">
        <row r="6">
          <cell r="B6">
            <v>646</v>
          </cell>
        </row>
      </sheetData>
      <sheetData sheetId="206">
        <row r="6">
          <cell r="B6">
            <v>646</v>
          </cell>
        </row>
      </sheetData>
      <sheetData sheetId="207">
        <row r="6">
          <cell r="B6">
            <v>646</v>
          </cell>
        </row>
      </sheetData>
      <sheetData sheetId="208">
        <row r="6">
          <cell r="B6">
            <v>646</v>
          </cell>
        </row>
      </sheetData>
      <sheetData sheetId="209">
        <row r="6">
          <cell r="B6">
            <v>646</v>
          </cell>
        </row>
      </sheetData>
      <sheetData sheetId="210">
        <row r="6">
          <cell r="B6">
            <v>655</v>
          </cell>
        </row>
      </sheetData>
      <sheetData sheetId="211">
        <row r="6">
          <cell r="B6">
            <v>655</v>
          </cell>
        </row>
      </sheetData>
      <sheetData sheetId="212">
        <row r="6">
          <cell r="B6">
            <v>655</v>
          </cell>
        </row>
      </sheetData>
      <sheetData sheetId="213">
        <row r="6">
          <cell r="B6">
            <v>666</v>
          </cell>
        </row>
      </sheetData>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13-Wet Sys 25AU"/>
      <sheetName val="313-Wet Sys 50AU"/>
      <sheetName val="313-Wet Sys 75AU"/>
      <sheetName val="313-Wet Sys 100AU"/>
      <sheetName val="313-Wet Sys 150AU"/>
      <sheetName val="313-Wet Sys 200AU"/>
      <sheetName val="313-Wet Sys 300AU"/>
      <sheetName val="313-Wet Sys 500AU"/>
      <sheetName val="313-Wet Sys Small"/>
      <sheetName val="313-Wet Sys Medium"/>
      <sheetName val="313-Wet Sys Large"/>
      <sheetName val="313-WDS 2 Hs 56-80 AU"/>
      <sheetName val="313-WDS 4 Hs 81-170 AU"/>
      <sheetName val="313-WDS to55 AU"/>
      <sheetName val="313-CDS to55 AU"/>
      <sheetName val="313-CDS 2 Hs 56-80 AU"/>
      <sheetName val="313-CDS 4 Hs 81-170 AU"/>
      <sheetName val="313-WODS to55 AU"/>
      <sheetName val="313-CODS to55 AU"/>
      <sheetName val="313-WODS 56-80 AU"/>
      <sheetName val="313-CODS 56-80 AU"/>
      <sheetName val="313-WODS 80+ AU"/>
      <sheetName val="313-CODS 80+ AU "/>
      <sheetName val="313-WLSDF 2 Hs "/>
      <sheetName val="313-CLSDF 2 Hs"/>
      <sheetName val="313-WLSDF 4 Hs"/>
      <sheetName val="313-CLSDF 4 Hs"/>
      <sheetName val="313-WLSDF 8 Hs"/>
      <sheetName val="313-CLSDF 8 Hs"/>
    </sheetNames>
    <sheetDataSet>
      <sheetData sheetId="0">
        <row r="19">
          <cell r="A19" t="str">
            <v>5" Concrete Floor w/ 4 1/2' ht. x 2" PT Timber Wall *</v>
          </cell>
          <cell r="B19" t="str">
            <v>Sq Ft</v>
          </cell>
          <cell r="C19">
            <v>9.5497500000000013</v>
          </cell>
        </row>
        <row r="21">
          <cell r="A21" t="str">
            <v>5" Concrete Floor w/ 4' ht. x 6" w. Concrete Wall *</v>
          </cell>
          <cell r="B21" t="str">
            <v>Sq Ft</v>
          </cell>
          <cell r="C21">
            <v>10.673249999999999</v>
          </cell>
        </row>
        <row r="32">
          <cell r="AN32">
            <v>6.3125</v>
          </cell>
        </row>
        <row r="33">
          <cell r="AN33">
            <v>5.416666666666667</v>
          </cell>
        </row>
        <row r="34">
          <cell r="AN34">
            <v>5.5</v>
          </cell>
        </row>
        <row r="51">
          <cell r="A51" t="str">
            <v>Concrete Walls Formed Surface (w/ one mat of steel reinforcement)</v>
          </cell>
          <cell r="B51" t="str">
            <v>Cu Yd</v>
          </cell>
          <cell r="C51">
            <v>202.23000000000002</v>
          </cell>
        </row>
        <row r="56">
          <cell r="A56" t="str">
            <v>Construction Site Prep - Medium</v>
          </cell>
          <cell r="C56">
            <v>573.81119999999999</v>
          </cell>
        </row>
        <row r="104">
          <cell r="C104">
            <v>20</v>
          </cell>
        </row>
        <row r="106">
          <cell r="A106" t="str">
            <v>Earthmoving: Design Storage Volume, Normal Conditions</v>
          </cell>
          <cell r="B106" t="str">
            <v>Cu Ft</v>
          </cell>
          <cell r="C106">
            <v>7.6499999999999999E-2</v>
          </cell>
        </row>
        <row r="111">
          <cell r="A111" t="str">
            <v>Earthmoving: Medium grading/shaping (2-6 hrs/ac)</v>
          </cell>
          <cell r="C111">
            <v>503.625</v>
          </cell>
        </row>
        <row r="138">
          <cell r="A138" t="str">
            <v>Geologic Investigation (Equipment &amp; Operator)</v>
          </cell>
          <cell r="B138" t="str">
            <v>Ea</v>
          </cell>
          <cell r="C138">
            <v>321.3</v>
          </cell>
        </row>
        <row r="141">
          <cell r="A141" t="str">
            <v>Guard Rail Kit: 6" x 12' (Installed)</v>
          </cell>
          <cell r="B141" t="str">
            <v>Ea</v>
          </cell>
          <cell r="C141">
            <v>121.27500000000001</v>
          </cell>
        </row>
        <row r="203">
          <cell r="C203">
            <v>8.75</v>
          </cell>
        </row>
        <row r="217">
          <cell r="C217">
            <v>472.5</v>
          </cell>
        </row>
        <row r="228">
          <cell r="C228">
            <v>0.82427536231884069</v>
          </cell>
        </row>
        <row r="235">
          <cell r="C235">
            <v>1.1702898550724636</v>
          </cell>
        </row>
        <row r="244">
          <cell r="A244" t="str">
            <v>Pond Liner: Compacted Clay (Installed)</v>
          </cell>
          <cell r="B244" t="str">
            <v>Cu Yd</v>
          </cell>
          <cell r="C244">
            <v>2.2470000000000003</v>
          </cell>
        </row>
        <row r="246">
          <cell r="C246">
            <v>0.58825136612021856</v>
          </cell>
        </row>
        <row r="280">
          <cell r="A280" t="str">
            <v>Schd 40 PVC Pipe: 8" (Installed)</v>
          </cell>
          <cell r="B280" t="str">
            <v>Lin Ft</v>
          </cell>
          <cell r="C280">
            <v>7.4150999999999998</v>
          </cell>
        </row>
        <row r="311">
          <cell r="C311">
            <v>2.0975000000000001</v>
          </cell>
        </row>
        <row r="312">
          <cell r="C312">
            <v>3.5</v>
          </cell>
        </row>
        <row r="313">
          <cell r="A313" t="str">
            <v>Seed (Tall Fescue KY-31)</v>
          </cell>
          <cell r="C313">
            <v>2.3449999999999998</v>
          </cell>
        </row>
        <row r="347">
          <cell r="A347" t="str">
            <v>Waste Structure Warning Sign: 12" x 10" Alum (Inst)</v>
          </cell>
          <cell r="B347" t="str">
            <v>Ea</v>
          </cell>
          <cell r="C347">
            <v>1.21275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2010 MRBI-EQIP"/>
      <sheetName val="2010 WHIP Schedule"/>
      <sheetName val="2009 KY STATE PROG. Comparison"/>
      <sheetName val="2009 KY STATE PROG. EXPORT LIST"/>
      <sheetName val="Core Rates (2)"/>
      <sheetName val="Core Rates"/>
      <sheetName val="Core Rates 2010"/>
      <sheetName val="Core Rates 2011"/>
      <sheetName val="2011 EQIP Schedule"/>
      <sheetName val="EQIP 2011 Payment Sched"/>
      <sheetName val="Index of all Scenarios"/>
      <sheetName val="102-CAP-CNMP nonDairy"/>
      <sheetName val="102-CAP-CNMP Dairy"/>
      <sheetName val="102-CNMP Appl Plng"/>
      <sheetName val="104 CAP-NMP"/>
      <sheetName val="106 CAP-FMgt 10 to 50ac"/>
      <sheetName val="106 CAP-FMgt 51 to 150ac"/>
      <sheetName val="106 CAP-FMgt 151 to 300ac"/>
      <sheetName val="106 CAP-FMgt 301 to 500ac"/>
      <sheetName val="106 CAP-FMgt 500+ac"/>
      <sheetName val="110 CAP-Grazing Mgt Plan"/>
      <sheetName val="118 CAP-Irrig Water Mgt Plan"/>
      <sheetName val="138 CAP-Org Trans &lt;25ac"/>
      <sheetName val="138 CAP-Org Trans 26-100ac"/>
      <sheetName val="138 CAP-Org Trans &gt;100ac"/>
      <sheetName val="313-Wet Sys 25AU"/>
      <sheetName val="313-Wet Sys 50AU"/>
      <sheetName val="313-Wet Sys 75AU"/>
      <sheetName val="313-Wet Sys 100AU"/>
      <sheetName val="313-Wet Sys 150AU"/>
      <sheetName val="313-Wet Sys 200AU"/>
      <sheetName val="313-Wet Sys 300AU"/>
      <sheetName val="313-Wet Sys 500AU"/>
      <sheetName val="313-Wet Sys Small"/>
      <sheetName val="313-Wet Sys Medium"/>
      <sheetName val="313-Wet Sys Large"/>
      <sheetName val="313-WDS 2 Hs 56-80 AU"/>
      <sheetName val="313-WDS 4 Hs 81-170 AU"/>
      <sheetName val="313-WDS to55 AU"/>
      <sheetName val="313-CDS to55 AU"/>
      <sheetName val="313-CDS 2 Hs 56-80 AU"/>
      <sheetName val="313-CDS 4 Hs 81-170 AU"/>
      <sheetName val="313-WODS to55 AU"/>
      <sheetName val="313-CODS to55 AU"/>
      <sheetName val="313-WODS 56-80 AU"/>
      <sheetName val="313-CODS 56-80 AU"/>
      <sheetName val="313-WODS 80+ AU"/>
      <sheetName val="313-CODS 80+ AU "/>
      <sheetName val="313-WLSDF 2 Hs "/>
      <sheetName val="313-CLSDF 2 Hs"/>
      <sheetName val="313-WLSDF 4 Hs"/>
      <sheetName val="313-CLSDF 4 Hs"/>
      <sheetName val="313-WLSDF 8 Hs"/>
      <sheetName val="313-CLSDF 8 Hs"/>
      <sheetName val="314-Cut St. of Inv. ≤200"/>
      <sheetName val="314-Cut St. of Inv. 200&lt;X≤400"/>
      <sheetName val="314-Cut St. of Inv. 400&lt;X≤1000"/>
      <sheetName val="314-Cut St. of Inv. 1000&lt;X≤1600"/>
      <sheetName val="314-Cut Stump of Inv. &gt;1600"/>
      <sheetName val="314-Foliar Spray of Inv."/>
      <sheetName val="315-U Specie Ctrl Mow"/>
      <sheetName val="315-U Specie Ctrl M+S"/>
      <sheetName val="315-U Specie Ctrl  M+2S"/>
      <sheetName val="317-W2 Hs-250 Sow"/>
      <sheetName val="317-W4 Hs-530 Sow"/>
      <sheetName val="317-W6 Hs-790 Sow"/>
      <sheetName val="317-W8 Hs-1060 Sow "/>
      <sheetName val="317-C2 Hs-250 Sow"/>
      <sheetName val="317-C4 Hs-530 Sow "/>
      <sheetName val="317-C6 Hs-790 Sow"/>
      <sheetName val="317-C8 Hs-1060 Sow"/>
      <sheetName val="327-Pollinator Mix"/>
      <sheetName val="327-IG Mix-Conv."/>
      <sheetName val="327-IG Mix-NT"/>
      <sheetName val="327-NG-Legumes- NT"/>
      <sheetName val="327-NG-1#Forbs Mix"/>
      <sheetName val="327-NG-2# Forbs Mix"/>
      <sheetName val="328-CCR Organic Only"/>
      <sheetName val="329 STIR&lt;30"/>
      <sheetName val="329 STIR&lt;15"/>
      <sheetName val="329 STIR&lt;8"/>
      <sheetName val="338 Prescribed Burn"/>
      <sheetName val="340 Aerial Seeding RYE"/>
      <sheetName val="340 RYE &amp; Herbicide"/>
      <sheetName val="340 Roller-Herb-RYE &amp; Legumes"/>
      <sheetName val="340 Herbicide-RYE &amp; Legume"/>
      <sheetName val="340 Roller-RYE"/>
      <sheetName val="340 Roller-RYE-ORG"/>
      <sheetName val="340 Roller &amp; Herbicide-RYE"/>
      <sheetName val="340 Green Manure"/>
      <sheetName val="340 Green Manure-ORG"/>
      <sheetName val="342-IG Mix-LG"/>
      <sheetName val="342-IG Mix-MG"/>
      <sheetName val="342-IG Mix-HG"/>
      <sheetName val="342-IG Mix-LG-ECB"/>
      <sheetName val="342-IG Mix-MG-ECB"/>
      <sheetName val="342-IG Mix-HG-ECB"/>
      <sheetName val="342-NG-legume-LG"/>
      <sheetName val="342-NG-legume-MG"/>
      <sheetName val="342-NG-legume-HG"/>
      <sheetName val="342-NG-Forbs Mix-LG"/>
      <sheetName val="342-NG-Forbs Mix-MG"/>
      <sheetName val="342-NG-Forbs Mix-HG"/>
      <sheetName val="342-NG Mix X-MG-ECB"/>
      <sheetName val="342-NG Mix Y-MG-ECB"/>
      <sheetName val="359"/>
      <sheetName val="362"/>
      <sheetName val="378 EH up to 8 ft"/>
      <sheetName val="378 EH over 8 ft"/>
      <sheetName val="378 EXC"/>
      <sheetName val="381-just trees-conifers"/>
      <sheetName val="381-just trees-deciduous"/>
      <sheetName val="382-Deter."/>
      <sheetName val="382-Cont."/>
      <sheetName val="386-Nat. Regen."/>
      <sheetName val="386-IG Mix-Conv."/>
      <sheetName val="386-IG Mix-NT"/>
      <sheetName val="386-NG-Legumes- NT"/>
      <sheetName val="386-NG-1#Forbs Mix"/>
      <sheetName val="386-NG-2# Forbs Mix"/>
      <sheetName val="393-IG Mix-Conv."/>
      <sheetName val="393-IG Mix-NT"/>
      <sheetName val="393-NG-Legumes-NT"/>
      <sheetName val="393-NG-Forbs-NT"/>
      <sheetName val="410-Rock Chute 50 cfs 4 ft OF"/>
      <sheetName val="410-Rock Chute 100cfs 6 ft"/>
      <sheetName val="410-Rock Chute 150cfs 12 ft"/>
      <sheetName val="410-Rock Chute 200cfs 12 ft"/>
      <sheetName val="410-Rock Chute 250cfs 12 ft"/>
      <sheetName val="410-WPSD 8ftw-4ftOF"/>
      <sheetName val="410-WPSD 8ftw-4-8ftOF"/>
      <sheetName val="410-WPSD 16ftw-4ftOF"/>
      <sheetName val="410-WPSD 16ftw-4-8ftOF"/>
      <sheetName val="410-WPSD 24ftw-4ftOF"/>
      <sheetName val="410-WPSD 24ftw-4-8ftOF"/>
      <sheetName val="410-PIPE DROP STR"/>
      <sheetName val="412-ECB=80%"/>
      <sheetName val="412-ECB=80%+Tile"/>
      <sheetName val="412-ECB=40%"/>
      <sheetName val="412-ECB=40%+Tile"/>
      <sheetName val="412"/>
      <sheetName val="412-Tiled"/>
      <sheetName val="412-Rock Barriers+Tile"/>
      <sheetName val="412-Rock Barriers"/>
      <sheetName val="468-Type III Blanket"/>
      <sheetName val="468-Riprap"/>
      <sheetName val="472-WW w Setback"/>
      <sheetName val="472-Upland"/>
      <sheetName val="472-Upland w Setback"/>
      <sheetName val="511-Organic"/>
      <sheetName val="512-IG Mix-Conv"/>
      <sheetName val="512-ORG-IG Mix-Conv"/>
      <sheetName val="512-ORG-NG Mix-Conv"/>
      <sheetName val="512-IG Mix-NT"/>
      <sheetName val="512-NG Mix-NT"/>
      <sheetName val="512-NG-Gamagrass-NT"/>
      <sheetName val="516-Typical"/>
      <sheetName val="516-Rock&lt;12in"/>
      <sheetName val="516-Rock&gt;12in"/>
      <sheetName val="528 1st yr"/>
      <sheetName val="528 2nd yr"/>
      <sheetName val="528 3rd yr"/>
      <sheetName val="560"/>
      <sheetName val="561"/>
      <sheetName val="575"/>
      <sheetName val="574-SpDev typical"/>
      <sheetName val="574-SpDev w_storage"/>
      <sheetName val="578-6"/>
      <sheetName val="578-10"/>
      <sheetName val="578-15"/>
      <sheetName val="580-2-4"/>
      <sheetName val="580-4-6"/>
      <sheetName val="580-6-8"/>
      <sheetName val="580-8-10"/>
      <sheetName val="580-10-12"/>
      <sheetName val="580-12-16"/>
      <sheetName val="580-16"/>
      <sheetName val="595-Organic"/>
      <sheetName val="600"/>
      <sheetName val="612 no cover"/>
      <sheetName val="612 with cover"/>
      <sheetName val="612 potted plants"/>
      <sheetName val="612 EnPltg-100-200"/>
      <sheetName val="612 EnPltg 201-300"/>
      <sheetName val="612 EnPltg 100-200 herb appld"/>
      <sheetName val="612 EnPltg 201-300 herb appld"/>
      <sheetName val="614-Rock"/>
      <sheetName val="614-Concrete"/>
      <sheetName val="614-Rubber Tire"/>
      <sheetName val="635-IG Mix-Conv."/>
      <sheetName val="635-IG Mix-NT"/>
      <sheetName val="638-250 cy"/>
      <sheetName val="638-500 cy"/>
      <sheetName val="638-750 cy"/>
      <sheetName val="642"/>
      <sheetName val="643-Clearing"/>
      <sheetName val="643-Mow"/>
      <sheetName val="643-Mow+Spray"/>
      <sheetName val="643-Mow+2Sprays"/>
      <sheetName val="643-Prairie Est.-NG-7 Forb Mix"/>
      <sheetName val="645-Strip Disk"/>
      <sheetName val="313-Summary"/>
      <sheetName val="Payment Factors"/>
      <sheetName val="645-EF "/>
      <sheetName val="645-Cave Gate"/>
      <sheetName val="646-Ephemera Pool"/>
      <sheetName val="646-&lt;3Acres"/>
      <sheetName val="646- 3-7 Acres"/>
      <sheetName val="646- &gt;7 Acres"/>
      <sheetName val="646- Excavated"/>
      <sheetName val="655 - Med. Grading"/>
      <sheetName val="655 - Heavy Grading"/>
      <sheetName val="655 - Very Heavy Grading"/>
      <sheetName val="666-Clearing"/>
      <sheetName val="Organic 2011 Pay Sched"/>
      <sheetName val="327-IG Mix-Conv"/>
      <sheetName val="327-NG-NT"/>
      <sheetName val="328-CCR &lt;25Ac Organic Only"/>
      <sheetName val="328-CCR 25-100 Ac Organic Only"/>
      <sheetName val="328-CCR &gt;100Ac Organic Only"/>
      <sheetName val="386-NG-NT"/>
      <sheetName val="391 no cover"/>
      <sheetName val="391 with cover"/>
      <sheetName val="391-IG Mix-NT"/>
      <sheetName val="391-NG-NT"/>
      <sheetName val="595-Organic&lt;25Acres"/>
      <sheetName val="595-Organic 25-99Acres"/>
      <sheetName val="595-Organic&gt;99Acres"/>
      <sheetName val="643-Woody Ctrl-Foliar Spray"/>
      <sheetName val="643-Woody Spec Ctrl&lt;200"/>
      <sheetName val="643-Woody Spec Ctrl &gt;200"/>
    </sheetNames>
    <sheetDataSet>
      <sheetData sheetId="0"/>
      <sheetData sheetId="1"/>
      <sheetData sheetId="2"/>
      <sheetData sheetId="3"/>
      <sheetData sheetId="4"/>
      <sheetData sheetId="5">
        <row r="32">
          <cell r="AN32">
            <v>6.3125</v>
          </cell>
        </row>
        <row r="33">
          <cell r="AN33">
            <v>5.416666666666667</v>
          </cell>
        </row>
        <row r="34">
          <cell r="AN34">
            <v>5.5</v>
          </cell>
        </row>
        <row r="104">
          <cell r="C104">
            <v>20</v>
          </cell>
        </row>
        <row r="203">
          <cell r="C203">
            <v>8.75</v>
          </cell>
        </row>
        <row r="216">
          <cell r="A216" t="str">
            <v>Mowing</v>
          </cell>
          <cell r="C216">
            <v>15.5</v>
          </cell>
        </row>
        <row r="228">
          <cell r="C228">
            <v>0.82427536231884069</v>
          </cell>
        </row>
        <row r="235">
          <cell r="C235">
            <v>1.1702898550724636</v>
          </cell>
        </row>
        <row r="246">
          <cell r="C246">
            <v>0.58825136612021856</v>
          </cell>
        </row>
        <row r="301">
          <cell r="A301" t="str">
            <v>Seed (Virgina Wildrye)</v>
          </cell>
        </row>
        <row r="307">
          <cell r="A307" t="str">
            <v>Seed (Prairie Dropseed)</v>
          </cell>
        </row>
        <row r="308">
          <cell r="A308" t="str">
            <v>Seed (Splitbeard Bluestem)</v>
          </cell>
        </row>
        <row r="309">
          <cell r="A309" t="str">
            <v>Seed (Native grass except Prairie Dropseed and Splitbeard Bluestem)</v>
          </cell>
        </row>
        <row r="310">
          <cell r="A310" t="str">
            <v>Seed (Orchard grass)</v>
          </cell>
        </row>
        <row r="312">
          <cell r="A312" t="str">
            <v>Seed (Red Clover)</v>
          </cell>
        </row>
        <row r="314">
          <cell r="A314" t="str">
            <v>Seed (Redtop)</v>
          </cell>
        </row>
        <row r="315">
          <cell r="A315" t="str">
            <v>Seed (Wheat)</v>
          </cell>
        </row>
        <row r="340">
          <cell r="A340" t="str">
            <v>Tree Planting</v>
          </cell>
          <cell r="C340">
            <v>90</v>
          </cell>
        </row>
        <row r="342">
          <cell r="A342" t="str">
            <v>Tree seedlings</v>
          </cell>
          <cell r="B342" t="str">
            <v>Ea</v>
          </cell>
          <cell r="C342">
            <v>0.5</v>
          </cell>
        </row>
      </sheetData>
      <sheetData sheetId="6"/>
      <sheetData sheetId="7">
        <row r="145">
          <cell r="BE145">
            <v>36.5</v>
          </cell>
        </row>
        <row r="146">
          <cell r="BE146">
            <v>36.5</v>
          </cell>
        </row>
        <row r="298">
          <cell r="BE298">
            <v>7</v>
          </cell>
        </row>
        <row r="304">
          <cell r="BE304">
            <v>165.75</v>
          </cell>
        </row>
        <row r="305">
          <cell r="BE305">
            <v>78.666666666666671</v>
          </cell>
        </row>
        <row r="306">
          <cell r="BE306">
            <v>8.57</v>
          </cell>
        </row>
        <row r="307">
          <cell r="BE307">
            <v>1.68</v>
          </cell>
        </row>
        <row r="308">
          <cell r="BE308">
            <v>1.61</v>
          </cell>
        </row>
        <row r="309">
          <cell r="BE309">
            <v>2.75</v>
          </cell>
        </row>
        <row r="311">
          <cell r="BE311">
            <v>7</v>
          </cell>
        </row>
        <row r="312">
          <cell r="BE312">
            <v>0.31</v>
          </cell>
        </row>
      </sheetData>
      <sheetData sheetId="8"/>
      <sheetData sheetId="9"/>
      <sheetData sheetId="10"/>
      <sheetData sheetId="11">
        <row r="6">
          <cell r="B6">
            <v>102</v>
          </cell>
        </row>
      </sheetData>
      <sheetData sheetId="12">
        <row r="6">
          <cell r="B6">
            <v>102</v>
          </cell>
        </row>
      </sheetData>
      <sheetData sheetId="13">
        <row r="6">
          <cell r="B6">
            <v>102</v>
          </cell>
        </row>
      </sheetData>
      <sheetData sheetId="14">
        <row r="5">
          <cell r="B5">
            <v>104</v>
          </cell>
        </row>
      </sheetData>
      <sheetData sheetId="15">
        <row r="5">
          <cell r="B5">
            <v>104</v>
          </cell>
        </row>
      </sheetData>
      <sheetData sheetId="16">
        <row r="6">
          <cell r="B6">
            <v>106</v>
          </cell>
        </row>
      </sheetData>
      <sheetData sheetId="17">
        <row r="6">
          <cell r="B6">
            <v>106</v>
          </cell>
        </row>
      </sheetData>
      <sheetData sheetId="18">
        <row r="6">
          <cell r="C6" t="str">
            <v>EQIP</v>
          </cell>
        </row>
      </sheetData>
      <sheetData sheetId="19">
        <row r="6">
          <cell r="B6">
            <v>106</v>
          </cell>
        </row>
      </sheetData>
      <sheetData sheetId="20">
        <row r="5">
          <cell r="B5">
            <v>110</v>
          </cell>
        </row>
      </sheetData>
      <sheetData sheetId="21">
        <row r="5">
          <cell r="B5">
            <v>110</v>
          </cell>
        </row>
      </sheetData>
      <sheetData sheetId="22">
        <row r="4">
          <cell r="A4">
            <v>138</v>
          </cell>
        </row>
      </sheetData>
      <sheetData sheetId="23">
        <row r="4">
          <cell r="A4">
            <v>138</v>
          </cell>
        </row>
      </sheetData>
      <sheetData sheetId="24">
        <row r="4">
          <cell r="A4">
            <v>138</v>
          </cell>
        </row>
      </sheetData>
      <sheetData sheetId="25">
        <row r="4">
          <cell r="A4">
            <v>138</v>
          </cell>
        </row>
      </sheetData>
      <sheetData sheetId="26">
        <row r="6">
          <cell r="B6">
            <v>313</v>
          </cell>
        </row>
      </sheetData>
      <sheetData sheetId="27">
        <row r="6">
          <cell r="B6">
            <v>313</v>
          </cell>
        </row>
      </sheetData>
      <sheetData sheetId="28">
        <row r="6">
          <cell r="B6">
            <v>313</v>
          </cell>
        </row>
      </sheetData>
      <sheetData sheetId="29">
        <row r="6">
          <cell r="B6">
            <v>313</v>
          </cell>
        </row>
      </sheetData>
      <sheetData sheetId="30">
        <row r="6">
          <cell r="B6">
            <v>313</v>
          </cell>
        </row>
      </sheetData>
      <sheetData sheetId="31">
        <row r="6">
          <cell r="B6">
            <v>313</v>
          </cell>
        </row>
      </sheetData>
      <sheetData sheetId="32">
        <row r="6">
          <cell r="B6">
            <v>313</v>
          </cell>
        </row>
      </sheetData>
      <sheetData sheetId="33">
        <row r="6">
          <cell r="B6">
            <v>313</v>
          </cell>
        </row>
      </sheetData>
      <sheetData sheetId="34">
        <row r="6">
          <cell r="B6">
            <v>313</v>
          </cell>
        </row>
      </sheetData>
      <sheetData sheetId="35">
        <row r="6">
          <cell r="B6">
            <v>313</v>
          </cell>
        </row>
      </sheetData>
      <sheetData sheetId="36">
        <row r="6">
          <cell r="B6">
            <v>313</v>
          </cell>
        </row>
      </sheetData>
      <sheetData sheetId="37">
        <row r="6">
          <cell r="B6">
            <v>313</v>
          </cell>
        </row>
      </sheetData>
      <sheetData sheetId="38">
        <row r="6">
          <cell r="B6">
            <v>313</v>
          </cell>
        </row>
      </sheetData>
      <sheetData sheetId="39">
        <row r="6">
          <cell r="B6">
            <v>313</v>
          </cell>
        </row>
      </sheetData>
      <sheetData sheetId="40">
        <row r="6">
          <cell r="B6">
            <v>313</v>
          </cell>
        </row>
      </sheetData>
      <sheetData sheetId="41">
        <row r="6">
          <cell r="B6">
            <v>313</v>
          </cell>
        </row>
      </sheetData>
      <sheetData sheetId="42">
        <row r="6">
          <cell r="B6">
            <v>313</v>
          </cell>
        </row>
      </sheetData>
      <sheetData sheetId="43">
        <row r="6">
          <cell r="B6">
            <v>313</v>
          </cell>
        </row>
      </sheetData>
      <sheetData sheetId="44">
        <row r="6">
          <cell r="B6">
            <v>313</v>
          </cell>
        </row>
      </sheetData>
      <sheetData sheetId="45">
        <row r="6">
          <cell r="B6">
            <v>313</v>
          </cell>
        </row>
      </sheetData>
      <sheetData sheetId="46">
        <row r="6">
          <cell r="B6">
            <v>313</v>
          </cell>
        </row>
      </sheetData>
      <sheetData sheetId="47">
        <row r="6">
          <cell r="B6">
            <v>313</v>
          </cell>
        </row>
      </sheetData>
      <sheetData sheetId="48">
        <row r="6">
          <cell r="B6">
            <v>313</v>
          </cell>
        </row>
      </sheetData>
      <sheetData sheetId="49">
        <row r="6">
          <cell r="B6">
            <v>313</v>
          </cell>
        </row>
      </sheetData>
      <sheetData sheetId="50">
        <row r="6">
          <cell r="B6">
            <v>313</v>
          </cell>
        </row>
      </sheetData>
      <sheetData sheetId="51">
        <row r="6">
          <cell r="B6">
            <v>313</v>
          </cell>
        </row>
      </sheetData>
      <sheetData sheetId="52">
        <row r="6">
          <cell r="B6">
            <v>313</v>
          </cell>
        </row>
      </sheetData>
      <sheetData sheetId="53">
        <row r="6">
          <cell r="B6">
            <v>313</v>
          </cell>
        </row>
      </sheetData>
      <sheetData sheetId="54">
        <row r="6">
          <cell r="B6">
            <v>313</v>
          </cell>
        </row>
      </sheetData>
      <sheetData sheetId="55">
        <row r="6">
          <cell r="B6">
            <v>314</v>
          </cell>
        </row>
      </sheetData>
      <sheetData sheetId="56">
        <row r="6">
          <cell r="B6">
            <v>314</v>
          </cell>
        </row>
      </sheetData>
      <sheetData sheetId="57">
        <row r="6">
          <cell r="B6">
            <v>314</v>
          </cell>
        </row>
      </sheetData>
      <sheetData sheetId="58">
        <row r="6">
          <cell r="B6">
            <v>314</v>
          </cell>
        </row>
      </sheetData>
      <sheetData sheetId="59">
        <row r="6">
          <cell r="B6">
            <v>314</v>
          </cell>
        </row>
      </sheetData>
      <sheetData sheetId="60">
        <row r="6">
          <cell r="B6">
            <v>314</v>
          </cell>
        </row>
      </sheetData>
      <sheetData sheetId="61">
        <row r="6">
          <cell r="B6">
            <v>315</v>
          </cell>
        </row>
      </sheetData>
      <sheetData sheetId="62">
        <row r="6">
          <cell r="B6">
            <v>315</v>
          </cell>
        </row>
      </sheetData>
      <sheetData sheetId="63">
        <row r="6">
          <cell r="B6">
            <v>315</v>
          </cell>
        </row>
      </sheetData>
      <sheetData sheetId="64">
        <row r="6">
          <cell r="B6">
            <v>317</v>
          </cell>
        </row>
      </sheetData>
      <sheetData sheetId="65">
        <row r="6">
          <cell r="B6">
            <v>317</v>
          </cell>
        </row>
      </sheetData>
      <sheetData sheetId="66">
        <row r="6">
          <cell r="B6">
            <v>317</v>
          </cell>
        </row>
      </sheetData>
      <sheetData sheetId="67">
        <row r="6">
          <cell r="B6">
            <v>317</v>
          </cell>
        </row>
      </sheetData>
      <sheetData sheetId="68">
        <row r="6">
          <cell r="B6">
            <v>317</v>
          </cell>
        </row>
      </sheetData>
      <sheetData sheetId="69">
        <row r="6">
          <cell r="B6">
            <v>317</v>
          </cell>
        </row>
      </sheetData>
      <sheetData sheetId="70">
        <row r="6">
          <cell r="B6">
            <v>317</v>
          </cell>
        </row>
      </sheetData>
      <sheetData sheetId="71">
        <row r="6">
          <cell r="B6">
            <v>317</v>
          </cell>
        </row>
      </sheetData>
      <sheetData sheetId="72">
        <row r="6">
          <cell r="B6">
            <v>327</v>
          </cell>
        </row>
      </sheetData>
      <sheetData sheetId="73">
        <row r="6">
          <cell r="B6">
            <v>327</v>
          </cell>
        </row>
      </sheetData>
      <sheetData sheetId="74">
        <row r="6">
          <cell r="B6">
            <v>327</v>
          </cell>
        </row>
      </sheetData>
      <sheetData sheetId="75">
        <row r="6">
          <cell r="B6">
            <v>327</v>
          </cell>
        </row>
      </sheetData>
      <sheetData sheetId="76">
        <row r="6">
          <cell r="B6">
            <v>327</v>
          </cell>
        </row>
      </sheetData>
      <sheetData sheetId="77">
        <row r="6">
          <cell r="B6">
            <v>327</v>
          </cell>
        </row>
      </sheetData>
      <sheetData sheetId="78">
        <row r="6">
          <cell r="B6">
            <v>328</v>
          </cell>
        </row>
      </sheetData>
      <sheetData sheetId="79">
        <row r="6">
          <cell r="B6">
            <v>328</v>
          </cell>
        </row>
      </sheetData>
      <sheetData sheetId="80">
        <row r="6">
          <cell r="B6">
            <v>328</v>
          </cell>
        </row>
      </sheetData>
      <sheetData sheetId="81">
        <row r="5">
          <cell r="B5">
            <v>338</v>
          </cell>
        </row>
      </sheetData>
      <sheetData sheetId="82">
        <row r="6">
          <cell r="B6">
            <v>329</v>
          </cell>
        </row>
      </sheetData>
      <sheetData sheetId="83">
        <row r="6">
          <cell r="B6">
            <v>329</v>
          </cell>
        </row>
      </sheetData>
      <sheetData sheetId="84">
        <row r="5">
          <cell r="B5">
            <v>338</v>
          </cell>
        </row>
      </sheetData>
      <sheetData sheetId="85">
        <row r="6">
          <cell r="B6">
            <v>340</v>
          </cell>
        </row>
      </sheetData>
      <sheetData sheetId="86">
        <row r="6">
          <cell r="B6">
            <v>340</v>
          </cell>
        </row>
      </sheetData>
      <sheetData sheetId="87">
        <row r="6">
          <cell r="B6">
            <v>340</v>
          </cell>
        </row>
      </sheetData>
      <sheetData sheetId="88">
        <row r="6">
          <cell r="B6">
            <v>340</v>
          </cell>
        </row>
      </sheetData>
      <sheetData sheetId="89">
        <row r="6">
          <cell r="B6">
            <v>340</v>
          </cell>
        </row>
      </sheetData>
      <sheetData sheetId="90">
        <row r="6">
          <cell r="B6">
            <v>340</v>
          </cell>
        </row>
      </sheetData>
      <sheetData sheetId="91">
        <row r="6">
          <cell r="B6">
            <v>342</v>
          </cell>
        </row>
      </sheetData>
      <sheetData sheetId="92">
        <row r="6">
          <cell r="B6">
            <v>340</v>
          </cell>
        </row>
      </sheetData>
      <sheetData sheetId="93">
        <row r="6">
          <cell r="B6">
            <v>340</v>
          </cell>
        </row>
      </sheetData>
      <sheetData sheetId="94">
        <row r="6">
          <cell r="B6">
            <v>342</v>
          </cell>
        </row>
      </sheetData>
      <sheetData sheetId="95">
        <row r="6">
          <cell r="B6">
            <v>342</v>
          </cell>
        </row>
      </sheetData>
      <sheetData sheetId="96">
        <row r="6">
          <cell r="B6">
            <v>342</v>
          </cell>
        </row>
      </sheetData>
      <sheetData sheetId="97">
        <row r="6">
          <cell r="B6">
            <v>342</v>
          </cell>
        </row>
      </sheetData>
      <sheetData sheetId="98">
        <row r="6">
          <cell r="B6">
            <v>342</v>
          </cell>
        </row>
      </sheetData>
      <sheetData sheetId="99">
        <row r="6">
          <cell r="B6">
            <v>342</v>
          </cell>
        </row>
      </sheetData>
      <sheetData sheetId="100">
        <row r="6">
          <cell r="B6">
            <v>342</v>
          </cell>
        </row>
      </sheetData>
      <sheetData sheetId="101">
        <row r="6">
          <cell r="B6">
            <v>342</v>
          </cell>
        </row>
      </sheetData>
      <sheetData sheetId="102">
        <row r="6">
          <cell r="B6">
            <v>342</v>
          </cell>
        </row>
      </sheetData>
      <sheetData sheetId="103">
        <row r="6">
          <cell r="B6">
            <v>342</v>
          </cell>
        </row>
      </sheetData>
      <sheetData sheetId="104">
        <row r="6">
          <cell r="B6">
            <v>342</v>
          </cell>
        </row>
      </sheetData>
      <sheetData sheetId="105">
        <row r="6">
          <cell r="B6">
            <v>342</v>
          </cell>
        </row>
      </sheetData>
      <sheetData sheetId="106">
        <row r="6">
          <cell r="B6">
            <v>342</v>
          </cell>
        </row>
      </sheetData>
      <sheetData sheetId="107">
        <row r="6">
          <cell r="B6">
            <v>342</v>
          </cell>
        </row>
      </sheetData>
      <sheetData sheetId="108">
        <row r="6">
          <cell r="B6">
            <v>359</v>
          </cell>
        </row>
      </sheetData>
      <sheetData sheetId="109">
        <row r="6">
          <cell r="B6">
            <v>362</v>
          </cell>
        </row>
      </sheetData>
      <sheetData sheetId="110">
        <row r="6">
          <cell r="B6">
            <v>378</v>
          </cell>
        </row>
      </sheetData>
      <sheetData sheetId="111">
        <row r="6">
          <cell r="B6">
            <v>378</v>
          </cell>
        </row>
      </sheetData>
      <sheetData sheetId="112">
        <row r="6">
          <cell r="B6">
            <v>378</v>
          </cell>
        </row>
      </sheetData>
      <sheetData sheetId="113">
        <row r="6">
          <cell r="B6">
            <v>381</v>
          </cell>
        </row>
      </sheetData>
      <sheetData sheetId="114">
        <row r="6">
          <cell r="B6">
            <v>381</v>
          </cell>
        </row>
      </sheetData>
      <sheetData sheetId="115">
        <row r="6">
          <cell r="B6">
            <v>382</v>
          </cell>
        </row>
      </sheetData>
      <sheetData sheetId="116">
        <row r="6">
          <cell r="B6">
            <v>382</v>
          </cell>
        </row>
      </sheetData>
      <sheetData sheetId="117">
        <row r="6">
          <cell r="B6">
            <v>386</v>
          </cell>
        </row>
      </sheetData>
      <sheetData sheetId="118">
        <row r="6">
          <cell r="B6">
            <v>386</v>
          </cell>
        </row>
      </sheetData>
      <sheetData sheetId="119">
        <row r="6">
          <cell r="B6">
            <v>386</v>
          </cell>
        </row>
      </sheetData>
      <sheetData sheetId="120">
        <row r="6">
          <cell r="B6">
            <v>386</v>
          </cell>
        </row>
      </sheetData>
      <sheetData sheetId="121">
        <row r="6">
          <cell r="B6">
            <v>386</v>
          </cell>
        </row>
      </sheetData>
      <sheetData sheetId="122">
        <row r="6">
          <cell r="B6">
            <v>386</v>
          </cell>
        </row>
      </sheetData>
      <sheetData sheetId="123">
        <row r="6">
          <cell r="B6">
            <v>391</v>
          </cell>
        </row>
      </sheetData>
      <sheetData sheetId="124">
        <row r="6">
          <cell r="B6">
            <v>391</v>
          </cell>
        </row>
      </sheetData>
      <sheetData sheetId="125">
        <row r="6">
          <cell r="B6">
            <v>391</v>
          </cell>
        </row>
      </sheetData>
      <sheetData sheetId="126">
        <row r="6">
          <cell r="B6">
            <v>391</v>
          </cell>
        </row>
      </sheetData>
      <sheetData sheetId="127">
        <row r="6">
          <cell r="B6">
            <v>393</v>
          </cell>
        </row>
      </sheetData>
      <sheetData sheetId="128">
        <row r="6">
          <cell r="B6">
            <v>393</v>
          </cell>
        </row>
      </sheetData>
      <sheetData sheetId="129">
        <row r="6">
          <cell r="B6">
            <v>393</v>
          </cell>
        </row>
      </sheetData>
      <sheetData sheetId="130">
        <row r="6">
          <cell r="B6">
            <v>393</v>
          </cell>
        </row>
      </sheetData>
      <sheetData sheetId="131">
        <row r="6">
          <cell r="B6">
            <v>410</v>
          </cell>
        </row>
      </sheetData>
      <sheetData sheetId="132">
        <row r="6">
          <cell r="B6">
            <v>410</v>
          </cell>
        </row>
      </sheetData>
      <sheetData sheetId="133">
        <row r="6">
          <cell r="B6">
            <v>410</v>
          </cell>
        </row>
      </sheetData>
      <sheetData sheetId="134">
        <row r="6">
          <cell r="B6">
            <v>410</v>
          </cell>
        </row>
      </sheetData>
      <sheetData sheetId="135">
        <row r="6">
          <cell r="B6">
            <v>410</v>
          </cell>
        </row>
      </sheetData>
      <sheetData sheetId="136">
        <row r="6">
          <cell r="B6">
            <v>410</v>
          </cell>
        </row>
      </sheetData>
      <sheetData sheetId="137">
        <row r="6">
          <cell r="B6">
            <v>410</v>
          </cell>
        </row>
      </sheetData>
      <sheetData sheetId="138">
        <row r="6">
          <cell r="B6">
            <v>410</v>
          </cell>
        </row>
      </sheetData>
      <sheetData sheetId="139">
        <row r="6">
          <cell r="B6">
            <v>410</v>
          </cell>
        </row>
      </sheetData>
      <sheetData sheetId="140">
        <row r="6">
          <cell r="B6">
            <v>410</v>
          </cell>
        </row>
      </sheetData>
      <sheetData sheetId="141">
        <row r="6">
          <cell r="B6">
            <v>410</v>
          </cell>
        </row>
      </sheetData>
      <sheetData sheetId="142">
        <row r="6">
          <cell r="B6">
            <v>410</v>
          </cell>
        </row>
      </sheetData>
      <sheetData sheetId="143">
        <row r="6">
          <cell r="B6">
            <v>412</v>
          </cell>
        </row>
      </sheetData>
      <sheetData sheetId="144">
        <row r="6">
          <cell r="B6">
            <v>412</v>
          </cell>
        </row>
      </sheetData>
      <sheetData sheetId="145">
        <row r="6">
          <cell r="B6">
            <v>412</v>
          </cell>
        </row>
      </sheetData>
      <sheetData sheetId="146">
        <row r="6">
          <cell r="B6">
            <v>412</v>
          </cell>
        </row>
      </sheetData>
      <sheetData sheetId="147">
        <row r="6">
          <cell r="B6">
            <v>412</v>
          </cell>
        </row>
      </sheetData>
      <sheetData sheetId="148">
        <row r="6">
          <cell r="B6">
            <v>412</v>
          </cell>
        </row>
      </sheetData>
      <sheetData sheetId="149">
        <row r="6">
          <cell r="B6">
            <v>412</v>
          </cell>
        </row>
      </sheetData>
      <sheetData sheetId="150">
        <row r="6">
          <cell r="B6">
            <v>412</v>
          </cell>
        </row>
      </sheetData>
      <sheetData sheetId="151">
        <row r="6">
          <cell r="B6">
            <v>468</v>
          </cell>
        </row>
      </sheetData>
      <sheetData sheetId="152">
        <row r="6">
          <cell r="B6">
            <v>468</v>
          </cell>
        </row>
      </sheetData>
      <sheetData sheetId="153">
        <row r="6">
          <cell r="B6">
            <v>472</v>
          </cell>
        </row>
      </sheetData>
      <sheetData sheetId="154">
        <row r="6">
          <cell r="B6">
            <v>472</v>
          </cell>
        </row>
      </sheetData>
      <sheetData sheetId="155">
        <row r="6">
          <cell r="B6">
            <v>472</v>
          </cell>
        </row>
      </sheetData>
      <sheetData sheetId="156">
        <row r="6">
          <cell r="B6">
            <v>511</v>
          </cell>
        </row>
      </sheetData>
      <sheetData sheetId="157">
        <row r="6">
          <cell r="B6">
            <v>512</v>
          </cell>
        </row>
      </sheetData>
      <sheetData sheetId="158">
        <row r="6">
          <cell r="B6">
            <v>512</v>
          </cell>
        </row>
      </sheetData>
      <sheetData sheetId="159">
        <row r="6">
          <cell r="B6">
            <v>512</v>
          </cell>
        </row>
      </sheetData>
      <sheetData sheetId="160">
        <row r="6">
          <cell r="B6">
            <v>512</v>
          </cell>
        </row>
      </sheetData>
      <sheetData sheetId="161">
        <row r="6">
          <cell r="B6">
            <v>512</v>
          </cell>
        </row>
      </sheetData>
      <sheetData sheetId="162">
        <row r="5">
          <cell r="B5">
            <v>560</v>
          </cell>
        </row>
      </sheetData>
      <sheetData sheetId="163">
        <row r="6">
          <cell r="B6">
            <v>516</v>
          </cell>
        </row>
      </sheetData>
      <sheetData sheetId="164">
        <row r="6">
          <cell r="B6">
            <v>575</v>
          </cell>
        </row>
      </sheetData>
      <sheetData sheetId="165">
        <row r="6">
          <cell r="D6" t="str">
            <v>Spring Development (No)</v>
          </cell>
        </row>
      </sheetData>
      <sheetData sheetId="166">
        <row r="6">
          <cell r="B6">
            <v>528</v>
          </cell>
        </row>
      </sheetData>
      <sheetData sheetId="167">
        <row r="6">
          <cell r="B6">
            <v>528</v>
          </cell>
        </row>
      </sheetData>
      <sheetData sheetId="168">
        <row r="6">
          <cell r="B6">
            <v>528</v>
          </cell>
        </row>
      </sheetData>
      <sheetData sheetId="169">
        <row r="5">
          <cell r="B5">
            <v>560</v>
          </cell>
        </row>
      </sheetData>
      <sheetData sheetId="170">
        <row r="6">
          <cell r="B6">
            <v>561</v>
          </cell>
        </row>
      </sheetData>
      <sheetData sheetId="171">
        <row r="6">
          <cell r="B6">
            <v>580</v>
          </cell>
        </row>
      </sheetData>
      <sheetData sheetId="172">
        <row r="6">
          <cell r="B6">
            <v>574</v>
          </cell>
        </row>
      </sheetData>
      <sheetData sheetId="173">
        <row r="6">
          <cell r="B6">
            <v>575</v>
          </cell>
        </row>
      </sheetData>
      <sheetData sheetId="174">
        <row r="6">
          <cell r="B6">
            <v>578</v>
          </cell>
        </row>
      </sheetData>
      <sheetData sheetId="175">
        <row r="6">
          <cell r="B6">
            <v>578</v>
          </cell>
        </row>
      </sheetData>
      <sheetData sheetId="176">
        <row r="6">
          <cell r="B6">
            <v>578</v>
          </cell>
        </row>
      </sheetData>
      <sheetData sheetId="177">
        <row r="6">
          <cell r="B6">
            <v>580</v>
          </cell>
        </row>
      </sheetData>
      <sheetData sheetId="178">
        <row r="6">
          <cell r="B6">
            <v>580</v>
          </cell>
        </row>
      </sheetData>
      <sheetData sheetId="179">
        <row r="6">
          <cell r="B6">
            <v>580</v>
          </cell>
        </row>
      </sheetData>
      <sheetData sheetId="180">
        <row r="6">
          <cell r="B6">
            <v>580</v>
          </cell>
        </row>
      </sheetData>
      <sheetData sheetId="181">
        <row r="6">
          <cell r="B6">
            <v>580</v>
          </cell>
        </row>
      </sheetData>
      <sheetData sheetId="182">
        <row r="6">
          <cell r="B6">
            <v>580</v>
          </cell>
        </row>
      </sheetData>
      <sheetData sheetId="183">
        <row r="6">
          <cell r="B6">
            <v>580</v>
          </cell>
        </row>
      </sheetData>
      <sheetData sheetId="184">
        <row r="6">
          <cell r="B6">
            <v>595</v>
          </cell>
        </row>
      </sheetData>
      <sheetData sheetId="185">
        <row r="6">
          <cell r="B6">
            <v>595</v>
          </cell>
        </row>
      </sheetData>
      <sheetData sheetId="186">
        <row r="6">
          <cell r="B6">
            <v>595</v>
          </cell>
        </row>
      </sheetData>
      <sheetData sheetId="187">
        <row r="6">
          <cell r="B6">
            <v>600</v>
          </cell>
        </row>
      </sheetData>
      <sheetData sheetId="188">
        <row r="6">
          <cell r="B6">
            <v>612</v>
          </cell>
        </row>
      </sheetData>
      <sheetData sheetId="189">
        <row r="6">
          <cell r="B6">
            <v>612</v>
          </cell>
        </row>
      </sheetData>
      <sheetData sheetId="190">
        <row r="6">
          <cell r="B6">
            <v>612</v>
          </cell>
        </row>
      </sheetData>
      <sheetData sheetId="191">
        <row r="6">
          <cell r="B6">
            <v>638</v>
          </cell>
        </row>
      </sheetData>
      <sheetData sheetId="192">
        <row r="6">
          <cell r="B6">
            <v>638</v>
          </cell>
        </row>
      </sheetData>
      <sheetData sheetId="193">
        <row r="6">
          <cell r="B6">
            <v>638</v>
          </cell>
        </row>
      </sheetData>
      <sheetData sheetId="194">
        <row r="6">
          <cell r="B6">
            <v>642</v>
          </cell>
        </row>
      </sheetData>
      <sheetData sheetId="195">
        <row r="6">
          <cell r="B6">
            <v>614</v>
          </cell>
        </row>
      </sheetData>
      <sheetData sheetId="196">
        <row r="6">
          <cell r="B6">
            <v>614</v>
          </cell>
        </row>
      </sheetData>
      <sheetData sheetId="197">
        <row r="6">
          <cell r="B6">
            <v>614</v>
          </cell>
        </row>
      </sheetData>
      <sheetData sheetId="198">
        <row r="6">
          <cell r="B6">
            <v>635</v>
          </cell>
        </row>
      </sheetData>
      <sheetData sheetId="199">
        <row r="6">
          <cell r="B6">
            <v>635</v>
          </cell>
        </row>
      </sheetData>
      <sheetData sheetId="200">
        <row r="6">
          <cell r="B6">
            <v>638</v>
          </cell>
        </row>
      </sheetData>
      <sheetData sheetId="201">
        <row r="6">
          <cell r="B6">
            <v>638</v>
          </cell>
        </row>
      </sheetData>
      <sheetData sheetId="202">
        <row r="6">
          <cell r="B6">
            <v>638</v>
          </cell>
        </row>
        <row r="7">
          <cell r="C7">
            <v>15</v>
          </cell>
        </row>
        <row r="43">
          <cell r="D43">
            <v>0.75</v>
          </cell>
          <cell r="E43">
            <v>0.9</v>
          </cell>
          <cell r="F43">
            <v>0.75</v>
          </cell>
          <cell r="G43">
            <v>0.9</v>
          </cell>
        </row>
        <row r="45">
          <cell r="D45">
            <v>0.75</v>
          </cell>
          <cell r="E45">
            <v>0.9</v>
          </cell>
        </row>
      </sheetData>
      <sheetData sheetId="203">
        <row r="6">
          <cell r="B6">
            <v>642</v>
          </cell>
        </row>
      </sheetData>
      <sheetData sheetId="204">
        <row r="6">
          <cell r="B6">
            <v>643</v>
          </cell>
        </row>
      </sheetData>
      <sheetData sheetId="205">
        <row r="6">
          <cell r="B6">
            <v>643</v>
          </cell>
        </row>
      </sheetData>
      <sheetData sheetId="206">
        <row r="6">
          <cell r="B6">
            <v>643</v>
          </cell>
        </row>
      </sheetData>
      <sheetData sheetId="207">
        <row r="6">
          <cell r="B6">
            <v>643</v>
          </cell>
        </row>
      </sheetData>
      <sheetData sheetId="208">
        <row r="6">
          <cell r="B6">
            <v>643</v>
          </cell>
        </row>
      </sheetData>
      <sheetData sheetId="209">
        <row r="6">
          <cell r="B6">
            <v>643</v>
          </cell>
        </row>
      </sheetData>
      <sheetData sheetId="210">
        <row r="6">
          <cell r="B6">
            <v>643</v>
          </cell>
        </row>
      </sheetData>
      <sheetData sheetId="211">
        <row r="6">
          <cell r="B6">
            <v>643</v>
          </cell>
        </row>
      </sheetData>
      <sheetData sheetId="212">
        <row r="6">
          <cell r="B6">
            <v>645</v>
          </cell>
        </row>
      </sheetData>
      <sheetData sheetId="213">
        <row r="6">
          <cell r="B6">
            <v>666</v>
          </cell>
        </row>
      </sheetData>
      <sheetData sheetId="214">
        <row r="6">
          <cell r="B6">
            <v>645</v>
          </cell>
        </row>
      </sheetData>
      <sheetData sheetId="215">
        <row r="6">
          <cell r="E6" t="str">
            <v xml:space="preserve"> Upland Wildlife Habitat Management - Cave Gate</v>
          </cell>
        </row>
      </sheetData>
      <sheetData sheetId="216">
        <row r="6">
          <cell r="B6">
            <v>646</v>
          </cell>
        </row>
      </sheetData>
      <sheetData sheetId="217">
        <row r="6">
          <cell r="B6">
            <v>646</v>
          </cell>
        </row>
      </sheetData>
      <sheetData sheetId="218">
        <row r="6">
          <cell r="B6">
            <v>646</v>
          </cell>
        </row>
      </sheetData>
      <sheetData sheetId="219">
        <row r="6">
          <cell r="B6">
            <v>646</v>
          </cell>
        </row>
      </sheetData>
      <sheetData sheetId="220">
        <row r="6">
          <cell r="B6">
            <v>646</v>
          </cell>
        </row>
      </sheetData>
      <sheetData sheetId="221">
        <row r="6">
          <cell r="B6">
            <v>655</v>
          </cell>
        </row>
      </sheetData>
      <sheetData sheetId="222">
        <row r="6">
          <cell r="B6">
            <v>655</v>
          </cell>
        </row>
      </sheetData>
      <sheetData sheetId="223">
        <row r="6">
          <cell r="B6">
            <v>655</v>
          </cell>
        </row>
      </sheetData>
      <sheetData sheetId="224">
        <row r="6">
          <cell r="B6">
            <v>666</v>
          </cell>
        </row>
      </sheetData>
      <sheetData sheetId="225" refreshError="1"/>
      <sheetData sheetId="226" refreshError="1"/>
      <sheetData sheetId="227" refreshError="1"/>
      <sheetData sheetId="228" refreshError="1"/>
      <sheetData sheetId="229" refreshError="1"/>
      <sheetData sheetId="23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15-U Specie Ctrl Mow"/>
      <sheetName val="315-U Specie Ctrl M+S"/>
      <sheetName val="315-U Specie Ctrl  M+2S"/>
    </sheetNames>
    <sheetDataSet>
      <sheetData sheetId="0">
        <row r="146">
          <cell r="A146" t="str">
            <v>Herbicide Application (Including Selective Post-emergent Herbicide)</v>
          </cell>
          <cell r="C146">
            <v>25.741666666666667</v>
          </cell>
        </row>
        <row r="216">
          <cell r="A216" t="str">
            <v>Mowing</v>
          </cell>
          <cell r="C216">
            <v>15.5</v>
          </cell>
        </row>
      </sheetData>
      <sheetData sheetId="1" refreshError="1"/>
      <sheetData sheetId="2">
        <row r="146">
          <cell r="BE146">
            <v>36.5</v>
          </cell>
        </row>
      </sheetData>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17-W2 Hs-250 Sow"/>
      <sheetName val="317-W4 Hs-530 Sow"/>
      <sheetName val="317-W6 Hs-790 Sow"/>
      <sheetName val="317-W8 Hs-1060 Sow "/>
      <sheetName val="317-C2 Hs-250 Sow"/>
      <sheetName val="317-C4 Hs-530 Sow "/>
      <sheetName val="317-C6 Hs-790 Sow"/>
      <sheetName val="317-C8 Hs-1060 Sow"/>
    </sheetNames>
    <sheetDataSet>
      <sheetData sheetId="0">
        <row r="32">
          <cell r="AN32">
            <v>6.3125</v>
          </cell>
        </row>
        <row r="33">
          <cell r="AN33">
            <v>5.416666666666667</v>
          </cell>
        </row>
        <row r="34">
          <cell r="AN34">
            <v>5.5</v>
          </cell>
        </row>
        <row r="39">
          <cell r="A39" t="str">
            <v>Concrete (Slab in Place, includes wire mesh or fiber)</v>
          </cell>
          <cell r="B39" t="str">
            <v>Cu Yd</v>
          </cell>
          <cell r="C39">
            <v>146.05500000000001</v>
          </cell>
        </row>
        <row r="50">
          <cell r="A50" t="str">
            <v>Concrete Wall (4' ht. x 6" wide): Installed</v>
          </cell>
          <cell r="B50" t="str">
            <v>Lin Ft</v>
          </cell>
          <cell r="C50">
            <v>42.692999999999998</v>
          </cell>
        </row>
        <row r="104">
          <cell r="C104">
            <v>20</v>
          </cell>
        </row>
        <row r="111">
          <cell r="A111" t="str">
            <v>Earthmoving: Medium grading/shaping (2-6 hrs/ac)</v>
          </cell>
          <cell r="C111">
            <v>503.625</v>
          </cell>
        </row>
        <row r="203">
          <cell r="C203">
            <v>8.75</v>
          </cell>
        </row>
        <row r="217">
          <cell r="C217">
            <v>472.5</v>
          </cell>
        </row>
        <row r="228">
          <cell r="C228">
            <v>0.82427536231884069</v>
          </cell>
        </row>
        <row r="235">
          <cell r="C235">
            <v>1.1702898550724636</v>
          </cell>
        </row>
        <row r="241">
          <cell r="A241" t="str">
            <v>Pole Barn Type Structure (w/o floor or walls) *</v>
          </cell>
          <cell r="B241" t="str">
            <v>Sq Ft</v>
          </cell>
          <cell r="C241">
            <v>5.8983750000000006</v>
          </cell>
        </row>
        <row r="246">
          <cell r="C246">
            <v>0.58825136612021856</v>
          </cell>
        </row>
        <row r="266">
          <cell r="A266" t="str">
            <v>Rock/Geo-Textile (Installed)</v>
          </cell>
          <cell r="B266" t="str">
            <v>Sq Ft</v>
          </cell>
          <cell r="C266">
            <v>1.3482000000000001</v>
          </cell>
        </row>
        <row r="311">
          <cell r="C311">
            <v>2.0975000000000001</v>
          </cell>
        </row>
        <row r="312">
          <cell r="C312">
            <v>3.5</v>
          </cell>
        </row>
        <row r="313">
          <cell r="A313" t="str">
            <v>Seed (Tall Fescue KY-31)</v>
          </cell>
          <cell r="C313">
            <v>2.3449999999999998</v>
          </cell>
        </row>
        <row r="351">
          <cell r="A351" t="str">
            <v>Wood Wall (4 1/2' ht w/ 2" PT timbers): Installed</v>
          </cell>
          <cell r="B351" t="str">
            <v>Lin Ft</v>
          </cell>
          <cell r="C351">
            <v>26.964000000000002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27-Pollinator Mix"/>
      <sheetName val="327-IG Mix-Conv."/>
      <sheetName val="327-IG Mix-NT"/>
      <sheetName val="327-NG-Legumes- NT"/>
      <sheetName val="327-NG-1#Forbs Mix"/>
      <sheetName val="327-NG-2# Forbs Mix"/>
    </sheetNames>
    <sheetDataSet>
      <sheetData sheetId="0">
        <row r="32">
          <cell r="AN32">
            <v>6.3125</v>
          </cell>
        </row>
        <row r="33">
          <cell r="AN33">
            <v>5.416666666666667</v>
          </cell>
        </row>
        <row r="34">
          <cell r="AN34">
            <v>5.5</v>
          </cell>
        </row>
        <row r="99">
          <cell r="A99" t="str">
            <v>Disking</v>
          </cell>
          <cell r="C99">
            <v>15</v>
          </cell>
        </row>
        <row r="104">
          <cell r="C104">
            <v>20</v>
          </cell>
        </row>
        <row r="144">
          <cell r="C144">
            <v>10.5</v>
          </cell>
        </row>
        <row r="203">
          <cell r="C203">
            <v>8.75</v>
          </cell>
        </row>
        <row r="216">
          <cell r="A216" t="str">
            <v>Mowing</v>
          </cell>
          <cell r="C216">
            <v>15.5</v>
          </cell>
        </row>
        <row r="228">
          <cell r="C228">
            <v>0.82427536231884069</v>
          </cell>
        </row>
        <row r="235">
          <cell r="C235">
            <v>1.1702898550724636</v>
          </cell>
        </row>
        <row r="246">
          <cell r="C246">
            <v>0.58825136612021856</v>
          </cell>
        </row>
        <row r="307">
          <cell r="A307" t="str">
            <v>Seed (Prairie Dropseed)</v>
          </cell>
        </row>
        <row r="308">
          <cell r="A308" t="str">
            <v>Seed (Splitbeard Bluestem)</v>
          </cell>
        </row>
        <row r="309">
          <cell r="A309" t="str">
            <v>Seed (Native grass except Prairie Dropseed and Splitbeard Bluestem)</v>
          </cell>
        </row>
        <row r="312">
          <cell r="A312" t="str">
            <v>Seed (Red Clover)</v>
          </cell>
        </row>
      </sheetData>
      <sheetData sheetId="1" refreshError="1"/>
      <sheetData sheetId="2">
        <row r="145">
          <cell r="BE145">
            <v>36.5</v>
          </cell>
        </row>
        <row r="146">
          <cell r="BE146">
            <v>36.5</v>
          </cell>
        </row>
        <row r="291">
          <cell r="A291" t="str">
            <v>Seed (4 native forb species mix)</v>
          </cell>
          <cell r="BE291">
            <v>28.74</v>
          </cell>
        </row>
        <row r="304">
          <cell r="BE304">
            <v>165.75</v>
          </cell>
        </row>
        <row r="305">
          <cell r="BE305">
            <v>78.666666666666671</v>
          </cell>
        </row>
        <row r="306">
          <cell r="BE306">
            <v>8.57</v>
          </cell>
        </row>
        <row r="307">
          <cell r="BE307">
            <v>1.68</v>
          </cell>
        </row>
        <row r="308">
          <cell r="BE308">
            <v>1.61</v>
          </cell>
        </row>
        <row r="309">
          <cell r="BE309">
            <v>2.75</v>
          </cell>
        </row>
        <row r="365">
          <cell r="A365" t="str">
            <v>Pollinator Habitat Forb Mix (9 species)</v>
          </cell>
          <cell r="BE365">
            <v>53.8</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2009 WHIP Schedule"/>
      <sheetName val="2009 KY STATE PROG. Comparison"/>
      <sheetName val="2009 KY STATE PROG. EXPORT LIST"/>
      <sheetName val="102-Small"/>
      <sheetName val="102-Moderate"/>
      <sheetName val="102-Large"/>
      <sheetName val="106-10 to 50Ac"/>
      <sheetName val="106-51 to 100Ac"/>
      <sheetName val="106-101 to 200Ac"/>
      <sheetName val="106-201 to 299Ac"/>
      <sheetName val="106-300 to 500Ac"/>
      <sheetName val="313-Wet Sys 25AU"/>
      <sheetName val="313-Wet Sys 50AU"/>
      <sheetName val="313-Wet Sys 75AU"/>
      <sheetName val="313-Wet Sys 100AU"/>
      <sheetName val="313-Wet Sys 150AU"/>
      <sheetName val="313-Wet Sys 200AU"/>
      <sheetName val="313-Wet Sys 300AU"/>
      <sheetName val="313-Wet Sys 500AU"/>
      <sheetName val="313-Wet Sys Small"/>
      <sheetName val="313-Wet Sys Medium"/>
      <sheetName val="313-Wet Sys Large"/>
      <sheetName val="313-WDS 2 Hs 56-80 AU"/>
      <sheetName val="313-WDS 4 Hs 81-170 AU"/>
      <sheetName val="313-WDS to55 AU"/>
      <sheetName val="313-CDS to55 AU"/>
      <sheetName val="313-CDS 2 Hs 56-80 AU"/>
      <sheetName val="313-CDS 4 Hs 81-170 AU"/>
      <sheetName val="313-WODS to55 AU"/>
      <sheetName val="313-CODS to55 AU"/>
      <sheetName val="313-WODS 56-80 AU"/>
      <sheetName val="313-CODS 56-80 AU"/>
      <sheetName val="313-WODS 80+ AU"/>
      <sheetName val="313-CODS 80+ AU "/>
      <sheetName val="313-WLSDF 2 Hs "/>
      <sheetName val="313-CLSDF 2 Hs"/>
      <sheetName val="313-WLSDF 4 Hs"/>
      <sheetName val="313-CLSDF 4 Hs"/>
      <sheetName val="313-WLSDF 8 Hs"/>
      <sheetName val="313-CLSDF 8 Hs"/>
      <sheetName val="317-W2 Hs-250 Sow"/>
      <sheetName val="317-W4 Hs-530 Sow"/>
      <sheetName val="317-W6 Hs-790 Sow"/>
      <sheetName val="317-W8 Hs-1060 Sow "/>
      <sheetName val="317-C2 Hs-250 Sow"/>
      <sheetName val="317-C4 Hs-530 Sow "/>
      <sheetName val="317-C6 Hs-790 Sow"/>
      <sheetName val="317-C8 Hs-1060 Sow"/>
      <sheetName val="328-Organic"/>
      <sheetName val="329 STIR&lt;30"/>
      <sheetName val="329 STIR&lt;15"/>
      <sheetName val="329 STIR&lt;8"/>
      <sheetName val="338-Prescribed Burning"/>
      <sheetName val="340 Herbicide-WHEAT"/>
      <sheetName val="340 Herbicide-RYE"/>
      <sheetName val="340 Roller-RYE"/>
      <sheetName val="340 Roller &amp; Herbicide-RYE"/>
      <sheetName val="340 Green Manure"/>
      <sheetName val="342-IG Mix-LG"/>
      <sheetName val="342-IG Mix-MG"/>
      <sheetName val="342-IG Mix-HG"/>
      <sheetName val="342-IG Mix-LG-ECB"/>
      <sheetName val="342-IG Mix-MG-ECB"/>
      <sheetName val="342-IG Mix-HG-ECB"/>
      <sheetName val="342-NG-legume-LG"/>
      <sheetName val="342-NG-legume-MG"/>
      <sheetName val="342-NG-legume-HG"/>
      <sheetName val="342-NG-Forbs Mix-LG"/>
      <sheetName val="342-NG-Forbs Mix-MG"/>
      <sheetName val="342-NG-Forbs Mix-HG"/>
      <sheetName val="342-NG Mix X-MG-ECB"/>
      <sheetName val="342-NG Mix Y-MG-ECB"/>
      <sheetName val="359"/>
      <sheetName val="362"/>
      <sheetName val="378 EH up to 8 ft"/>
      <sheetName val="378 EH over 8 ft"/>
      <sheetName val="378 EXC"/>
      <sheetName val="381-just trees-conifers"/>
      <sheetName val="381-just trees-deciduous"/>
      <sheetName val="382-Deter."/>
      <sheetName val="382-Cont."/>
      <sheetName val="386-Nat. Regen."/>
      <sheetName val="386-IG Mix-Conv."/>
      <sheetName val="386-IG Mix-NT"/>
      <sheetName val="386-NG-Legumes- NT"/>
      <sheetName val="386-NG-1#Forbs Mix A-NT"/>
      <sheetName val="386-NG-1#Forbs Mix B-NT"/>
      <sheetName val="386-NG-2# Forbs Mix A-NT"/>
      <sheetName val="386-NG-2# Forbs Mix B-NT"/>
      <sheetName val="393-IG Mix-Conv."/>
      <sheetName val="393-IG Mix-NT"/>
      <sheetName val="393-NG-Legumes-NT"/>
      <sheetName val="393-NG-Forbs-NT"/>
      <sheetName val="410-Rock Chute 50 cfs 4 ft OF"/>
      <sheetName val="410-Rock Chute 100cfs 6 ft"/>
      <sheetName val="410-Rock Chute 150cfs 12 ft"/>
      <sheetName val="410-Rock Chute 200cfs 12 ft"/>
      <sheetName val="410-Rock Chute 250cfs 12 ft"/>
      <sheetName val="410-WPSD 8ftw-4ftOF"/>
      <sheetName val="410-WPSD 8ftw-4-8ftOF"/>
      <sheetName val="410-WPSD 16ftw-4ftOF"/>
      <sheetName val="410-WPSD 16ftw-4-8ftOF"/>
      <sheetName val="410-WPSD 24ftw-4ftOF"/>
      <sheetName val="410-WPSD 24ftw-4-8ftOF"/>
      <sheetName val="410-PIPE DROP STR"/>
      <sheetName val="412-ECB=80%"/>
      <sheetName val="412-ECB=80%+Tile"/>
      <sheetName val="412-ECB=40%"/>
      <sheetName val="412-ECB=40%+Tile"/>
      <sheetName val="412"/>
      <sheetName val="412-Tiled"/>
      <sheetName val="412-Rock Barriers+Tile"/>
      <sheetName val="412-Rock Barriers"/>
      <sheetName val="468-Type III Blanket"/>
      <sheetName val="468-Riprap"/>
      <sheetName val="472-WW w Setback"/>
      <sheetName val="472-Upland"/>
      <sheetName val="472-Upland w Setback"/>
      <sheetName val="511-Organic"/>
      <sheetName val="512-IG Mix-Conv"/>
      <sheetName val="512-IG Mix-NT"/>
      <sheetName val="512-NG Mix-NT"/>
      <sheetName val="512-NG-Gamagrass-NT"/>
      <sheetName val="516"/>
      <sheetName val="528 1st yr"/>
      <sheetName val="528 2nd yr"/>
      <sheetName val="528 3rd yr"/>
      <sheetName val="561"/>
      <sheetName val="574"/>
      <sheetName val="575"/>
      <sheetName val="578-6"/>
      <sheetName val="578-10"/>
      <sheetName val="578-15"/>
      <sheetName val="580-2-4"/>
      <sheetName val="580-4-6"/>
      <sheetName val="580-6-8"/>
      <sheetName val="580-8-10"/>
      <sheetName val="580-10-12"/>
      <sheetName val="580-12-16"/>
      <sheetName val="580-16"/>
      <sheetName val="590-Small"/>
      <sheetName val="590-Moderate"/>
      <sheetName val="590-Large"/>
      <sheetName val="595-Organic"/>
      <sheetName val="600"/>
      <sheetName val="612 (&lt;14.5 Acres) no cover"/>
      <sheetName val="612 (&lt;14.5 Acres) with  cover"/>
      <sheetName val="612 (&gt;14.5 Acres) no cover"/>
      <sheetName val="612 (&gt;14.5 Acres) with cover"/>
      <sheetName val="612 potted plants"/>
      <sheetName val="614-Rock"/>
      <sheetName val="614-Concrete"/>
      <sheetName val="638-250 cy"/>
      <sheetName val="638-500 cy"/>
      <sheetName val="638-750 cy"/>
      <sheetName val="642"/>
      <sheetName val="643-Clearing"/>
      <sheetName val="643-Mow"/>
      <sheetName val="643-Mow+Spray"/>
      <sheetName val="643-Mow+2Sprays"/>
      <sheetName val="643-Prairie Est.-NG-Forbs Mix A"/>
      <sheetName val="643-Prairie Est.-NG-Forbs Mix B"/>
      <sheetName val="645-OFR M"/>
      <sheetName val="645-OFR M+S"/>
      <sheetName val="645-OFR M+2S"/>
      <sheetName val="645-Strip Disk"/>
      <sheetName val="645-EF "/>
      <sheetName val="646-Ephemera Pool"/>
      <sheetName val="646-&lt;3Acres"/>
      <sheetName val="646- 3-7 Acres"/>
      <sheetName val="646- &gt;7 Acres"/>
      <sheetName val="646- Excavated"/>
      <sheetName val="655 - Med. Grading"/>
      <sheetName val="655 - Heavy Grading"/>
      <sheetName val="655 - Very Heavy Grading"/>
      <sheetName val="666-Clearing"/>
      <sheetName val="666-Foliar Spray of Inv."/>
      <sheetName val="666-Cut St. of Inv. ≤200"/>
      <sheetName val="666-Cut St. of Inv. 200&lt;X≤400"/>
      <sheetName val="666-Cut St. of Inv. 400&lt;X≤1000"/>
      <sheetName val="666-Cut St. of Inv. 1000&lt;X≤1600"/>
      <sheetName val="666-Cut Stump of Inv. &gt;1600"/>
      <sheetName val="313-Summary"/>
      <sheetName val="Core Rates"/>
      <sheetName val="Payment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ow r="229">
          <cell r="B229" t="str">
            <v>Hrs</v>
          </cell>
        </row>
      </sheetData>
      <sheetData sheetId="184">
        <row r="11">
          <cell r="D11">
            <v>0.75</v>
          </cell>
        </row>
        <row r="28">
          <cell r="C28">
            <v>1</v>
          </cell>
          <cell r="E28">
            <v>0.9</v>
          </cell>
        </row>
      </sheetData>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ore Rates"/>
      <sheetName val="Core Rates 2010"/>
      <sheetName val="328-CCR &lt;25Ac Organic Only"/>
      <sheetName val="328-CCR &gt;100Ac Organic Only"/>
      <sheetName val="328-CCR 25-100 Ac Organic Only"/>
      <sheetName val="Core Rates 2011"/>
      <sheetName val="Index of all Scenarios"/>
    </sheetNames>
    <sheetDataSet>
      <sheetData sheetId="0">
        <row r="229">
          <cell r="B229" t="str">
            <v>Hrs</v>
          </cell>
        </row>
      </sheetData>
      <sheetData sheetId="1"/>
      <sheetData sheetId="2"/>
      <sheetData sheetId="3"/>
      <sheetData sheetId="4"/>
      <sheetData sheetId="5">
        <row r="229">
          <cell r="B229" t="str">
            <v>Hrs</v>
          </cell>
        </row>
      </sheetData>
      <sheetData sheetId="6"/>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WHIP 2011 Payment Sched"/>
      <sheetName val="MRBI 2011 Payment Sched"/>
      <sheetName val="EQIP 2011 Payment Sched"/>
      <sheetName val="313-Summary"/>
      <sheetName val="Organic 2011 Pay Sched"/>
      <sheetName val="Core Rates"/>
      <sheetName val="Index of all Scenarios"/>
      <sheetName val="102-CAP-CNMP nonDairy"/>
      <sheetName val="102-CAP-CNMP Dairy"/>
      <sheetName val="102-CNMP Appl Plng"/>
      <sheetName val="104 CAP-NMP"/>
      <sheetName val="106 CAP-FMgt 10 to 50ac"/>
      <sheetName val="106 CAP-FMgt 51 to 150ac"/>
      <sheetName val="106 CAP-FMgt 151 to 300ac"/>
      <sheetName val="106 CAP-FMgt 301 to 500ac"/>
      <sheetName val="106 CAP-FMgt 500+ac"/>
      <sheetName val="110 CAP-Grazing Mgt Plan"/>
      <sheetName val="118 CAP-Irrig Water Mgt Plan"/>
      <sheetName val="138 CAP-Org Trans &lt;25ac"/>
      <sheetName val="138 CAP-Org Trans 26-100ac"/>
      <sheetName val="138 CAP-Org Trans &gt;100ac"/>
      <sheetName val="313-Wet Sys 25AU"/>
      <sheetName val="313-Wet Sys 50AU"/>
      <sheetName val="313-Wet Sys 75AU"/>
      <sheetName val="313-Wet Sys 100AU"/>
      <sheetName val="313-Wet Sys 150AU"/>
      <sheetName val="313-Wet Sys 200AU"/>
      <sheetName val="313-Wet Sys 300AU"/>
      <sheetName val="313-Wet Sys 500AU"/>
      <sheetName val="313-Wet Sys Small"/>
      <sheetName val="313-Wet Sys Medium"/>
      <sheetName val="313-Wet Sys Large"/>
      <sheetName val="313-WDS 2 Hs 56-80 AU"/>
      <sheetName val="313-WDS 4 Hs 81-170 AU"/>
      <sheetName val="313-WDS to55 AU"/>
      <sheetName val="313-CDS to55 AU"/>
      <sheetName val="313-CDS 2 Hs 56-80 AU"/>
      <sheetName val="313-CDS 4 Hs 81-170 AU"/>
      <sheetName val="313-WODS to55 AU"/>
      <sheetName val="313-CODS to55 AU"/>
      <sheetName val="313-WODS 56-80 AU"/>
      <sheetName val="313-CODS 56-80 AU"/>
      <sheetName val="313-WODS 80+ AU"/>
      <sheetName val="313-CODS 80+ AU "/>
      <sheetName val="313-WLSDF 2 Hs "/>
      <sheetName val="313-CLSDF 2 Hs"/>
      <sheetName val="313-WLSDF 4 Hs"/>
      <sheetName val="313-CLSDF 4 Hs"/>
      <sheetName val="313-WLSDF 8 Hs"/>
      <sheetName val="313-CLSDF 8 Hs"/>
      <sheetName val="314-Cut St. of Inv. ≤200"/>
      <sheetName val="314-Cut St. of Inv. 200&lt;X≤400"/>
      <sheetName val="314-Cut St. of Inv. 400&lt;X≤1000"/>
      <sheetName val="314-Cut St. of Inv. 1000&lt;X≤1600"/>
      <sheetName val="314-Cut Stump of Inv. &gt;1600"/>
      <sheetName val="314-Foliar Spray of Inv."/>
      <sheetName val="315-U Specie Ctrl Mow"/>
      <sheetName val="315-U Specie Ctrl M+S"/>
      <sheetName val="315-U Specie Ctrl  M+2S"/>
      <sheetName val="317-W2 Hs-250 Sow"/>
      <sheetName val="317-W4 Hs-530 Sow"/>
      <sheetName val="317-W6 Hs-790 Sow"/>
      <sheetName val="317-W8 Hs-1060 Sow "/>
      <sheetName val="317-C2 Hs-250 Sow"/>
      <sheetName val="317-C4 Hs-530 Sow "/>
      <sheetName val="317-C6 Hs-790 Sow"/>
      <sheetName val="317-C8 Hs-1060 Sow"/>
      <sheetName val="327-Pollinator Mix"/>
      <sheetName val="327-NG-2# Forbs Mix"/>
      <sheetName val="327-IG Mix-Conv"/>
      <sheetName val="327-IG Mix-NT"/>
      <sheetName val="327-NG-NT"/>
      <sheetName val="327-NG-1#Forbs Mix"/>
      <sheetName val="327-IG Enh1"/>
      <sheetName val="327-IG Enh2"/>
      <sheetName val="327-NG Enh1mow"/>
      <sheetName val="327-NG Enh1w_omow"/>
      <sheetName val="327-NG Enh2w_mow"/>
      <sheetName val="327-NG Enh2w_omow"/>
      <sheetName val="328-CCR &lt;25Ac Organic Only"/>
      <sheetName val="328-CCR 25-100 Ac Organic Only"/>
      <sheetName val="328-CCR &gt;100Ac Organic Only"/>
      <sheetName val="329 STIR&lt;30"/>
      <sheetName val="329 STIR&lt;15"/>
      <sheetName val="329 STIR&lt;8"/>
      <sheetName val="338 Prescribed Burn"/>
      <sheetName val="340 Aerial Seeding RYE"/>
      <sheetName val="340 RYE &amp; Herbicide"/>
      <sheetName val="340 Roller-Herb-RYE &amp; Legumes"/>
      <sheetName val="340 Herbicide-RYE &amp; Legume"/>
      <sheetName val="340 Roller-RYE"/>
      <sheetName val="340 Roller-RYE-ORG"/>
      <sheetName val="340 Roller &amp; Herbicide-RYE"/>
      <sheetName val="340 Green Manure"/>
      <sheetName val="340 Green Manure-ORG"/>
      <sheetName val="342-IG Mix-LG"/>
      <sheetName val="342-IG Mix-MG"/>
      <sheetName val="342-IG Mix-HG"/>
      <sheetName val="342-IG Mix-LG-ECB"/>
      <sheetName val="342-IG Mix-MG-ECB"/>
      <sheetName val="342-IG Mix-HG-ECB"/>
      <sheetName val="342-NG-legume-LG"/>
      <sheetName val="342-NG-legume-MG"/>
      <sheetName val="342-NG-legume-HG"/>
      <sheetName val="342-NG-Forbs Mix-LG"/>
      <sheetName val="342-NG-Forbs Mix-MG"/>
      <sheetName val="342-NG-Forbs Mix-HG"/>
      <sheetName val="342-NG Mix X-MG-ECB"/>
      <sheetName val="342-NG Mix Y-MG-ECB"/>
      <sheetName val="359"/>
      <sheetName val="362"/>
      <sheetName val="378 EH up to 8 ft"/>
      <sheetName val="378 EH over 8 ft"/>
      <sheetName val="378 EXC"/>
      <sheetName val="381-just trees-conifers"/>
      <sheetName val="381-just trees-deciduous"/>
      <sheetName val="382-Deter."/>
      <sheetName val="382-Cont."/>
      <sheetName val="386-Nat. Regen."/>
      <sheetName val="386-IG Mix-Conv."/>
      <sheetName val="386-IG Mix-NT"/>
      <sheetName val="386-NG-NT"/>
      <sheetName val="386-NG-1#Forbs Mix"/>
      <sheetName val="386-NG-2# Forbs Mix"/>
      <sheetName val="391 no cover"/>
      <sheetName val="391 with cover"/>
      <sheetName val="391-IG Mix-NT"/>
      <sheetName val="391-NG-NT"/>
      <sheetName val="393-IG Mix-Conv."/>
      <sheetName val="393-IG Mix-NT"/>
      <sheetName val="393-NG-Legumes-NT"/>
      <sheetName val="393-NG-Forbs-NT"/>
      <sheetName val="410-Rock Chute 50 cfs 4 ft OF"/>
      <sheetName val="410-Rock Chute 100cfs 6 ft"/>
      <sheetName val="410-Rock Chute 150cfs 12 ft"/>
      <sheetName val="410-Rock Chute 200cfs 12 ft"/>
      <sheetName val="410-Rock Chute 250cfs 12 ft"/>
      <sheetName val="410-WPSD 8ftw-4ftOF"/>
      <sheetName val="410-WPSD 8ftw-4-8ftOF"/>
      <sheetName val="410-WPSD 16ftw-4ftOF"/>
      <sheetName val="410-WPSD 16ftw-4-8ftOF"/>
      <sheetName val="410-WPSD 24ftw-4ftOF"/>
      <sheetName val="410-WPSD 24ftw-4-8ftOF"/>
      <sheetName val="410-PIPE DROP STR"/>
      <sheetName val="412-ECB=80%"/>
      <sheetName val="412-ECB=80%+Tile"/>
      <sheetName val="412-ECB=40%"/>
      <sheetName val="412-ECB=40%+Tile"/>
      <sheetName val="412"/>
      <sheetName val="412-Tiled"/>
      <sheetName val="412-Rock Barriers+Tile"/>
      <sheetName val="412-Rock Barriers"/>
      <sheetName val="468-Type III Blanket"/>
      <sheetName val="468-Riprap"/>
      <sheetName val="472-WW w Setback"/>
      <sheetName val="472-Upland"/>
      <sheetName val="472-Upland w Setback"/>
      <sheetName val="511-Organic"/>
      <sheetName val="512-IG Mix-Conv"/>
      <sheetName val="512-ORG-IG Mix-Conv"/>
      <sheetName val="512-IG Mix-NT"/>
      <sheetName val="512-ORG-NG Mix-Conv"/>
      <sheetName val="512-NG Mix-NT"/>
      <sheetName val="512-NG-Gamagrass-NT"/>
      <sheetName val="516-Typical"/>
      <sheetName val="516-Rock&lt;12in"/>
      <sheetName val="516-Rock&gt;12in"/>
      <sheetName val="528 1st yr"/>
      <sheetName val="528 2nd yr"/>
      <sheetName val="528 3rd yr"/>
      <sheetName val="560"/>
      <sheetName val="561"/>
      <sheetName val="574-SpDev typical"/>
      <sheetName val="574-SpDev w_storage"/>
      <sheetName val="575"/>
      <sheetName val="578-6"/>
      <sheetName val="578-10"/>
      <sheetName val="578-15"/>
      <sheetName val="580-2-4"/>
      <sheetName val="580-4-6"/>
      <sheetName val="580-6-8"/>
      <sheetName val="580-8-10"/>
      <sheetName val="580-10-12"/>
      <sheetName val="580-12-16"/>
      <sheetName val="580-16"/>
      <sheetName val="595-Organic&lt;25Acres"/>
      <sheetName val="595-Organic 25-99Acres"/>
      <sheetName val="595-Organic&gt;99Acres"/>
      <sheetName val="600"/>
      <sheetName val="612 no cover"/>
      <sheetName val="612 with cover"/>
      <sheetName val="612 potted plants"/>
      <sheetName val="612 EnPltg-100-200"/>
      <sheetName val="612 EnPltg 201-300"/>
      <sheetName val="612 EnPltg 100-200 herb appld"/>
      <sheetName val="612 EnPltg 201-300 herb appld"/>
      <sheetName val="614-Rock"/>
      <sheetName val="614-Concrete"/>
      <sheetName val="614-Rubber Tire"/>
      <sheetName val="635-IG Mix-Conv."/>
      <sheetName val="635-IG Mix-NT"/>
      <sheetName val="638-250 cy"/>
      <sheetName val="638-500 cy"/>
      <sheetName val="638-750 cy"/>
      <sheetName val="642"/>
      <sheetName val="643-Clearing"/>
      <sheetName val="643-Mow"/>
      <sheetName val="643-Mow+Spray"/>
      <sheetName val="643-Mow+2Sprays"/>
      <sheetName val="643-Woody Ctrl-Foliar Spray"/>
      <sheetName val="643-Woody Spec Ctrl&lt;200"/>
      <sheetName val="643-Woody Spec Ctrl &gt;200"/>
      <sheetName val="643-Prairie Est.-NG-7 Forb Mix"/>
      <sheetName val="645-Strip Disk"/>
      <sheetName val="Payment Factors"/>
      <sheetName val="645-EF "/>
      <sheetName val="645-Cave Gate"/>
      <sheetName val="646-Ephemera Pool"/>
      <sheetName val="646-&lt;3Acres"/>
      <sheetName val="646- 3-7 Acres"/>
      <sheetName val="646- &gt;7 Acres"/>
      <sheetName val="646- Excavated"/>
      <sheetName val="655 - Med. Grading"/>
      <sheetName val="655 - Heavy Grading"/>
      <sheetName val="655 - Very Heavy Grading"/>
      <sheetName val="666-Clearing"/>
    </sheetNames>
    <sheetDataSet>
      <sheetData sheetId="0"/>
      <sheetData sheetId="1"/>
      <sheetData sheetId="2"/>
      <sheetData sheetId="3"/>
      <sheetData sheetId="4"/>
      <sheetData sheetId="5">
        <row r="229">
          <cell r="C229">
            <v>42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29 STIR&lt;30"/>
      <sheetName val="329 STIR&lt;15"/>
      <sheetName val="329 STIR&lt;8"/>
    </sheetNames>
    <sheetDataSet>
      <sheetData sheetId="0">
        <row r="128">
          <cell r="A128" t="str">
            <v>Field Scouting (for insects, weeds or diseases)</v>
          </cell>
          <cell r="B128" t="str">
            <v>Hrs</v>
          </cell>
          <cell r="C128">
            <v>9.5</v>
          </cell>
        </row>
        <row r="229">
          <cell r="B229" t="str">
            <v>Hrs</v>
          </cell>
          <cell r="C229">
            <v>60</v>
          </cell>
        </row>
        <row r="276">
          <cell r="A276" t="str">
            <v>Sample Collection (Soil, Manure, Water and/or Plant Tissue Samples)</v>
          </cell>
          <cell r="B276" t="str">
            <v>Hrs</v>
          </cell>
          <cell r="C276">
            <v>20.399999999999999</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Typical Practices"/>
      <sheetName val="Components"/>
      <sheetName val="Supporting Data"/>
      <sheetName val="Eligible_Practice_Components"/>
      <sheetName val="Brush Management"/>
      <sheetName val="Conservation Cover"/>
      <sheetName val="Contour Buffer Strips"/>
      <sheetName val="Contour Farming"/>
      <sheetName val="Cover &amp; Green Manure Crop"/>
      <sheetName val="Critical Area Planting_WS"/>
      <sheetName val="Critical Area Planting (2)"/>
      <sheetName val="Early Successional Habitat M&amp;D"/>
      <sheetName val="Fence"/>
      <sheetName val="Fence (2)"/>
      <sheetName val="Fence_PaymentSchedule"/>
      <sheetName val="Fence_PaymentSchedule (2)"/>
      <sheetName val="Fence_PaymentSchedule (3)"/>
      <sheetName val="Field Border"/>
      <sheetName val="Field Border (2)"/>
      <sheetName val="Filter Strip"/>
      <sheetName val="Forest Stand Improvement"/>
      <sheetName val="Forest Stand Improvement (2)"/>
      <sheetName val="Hedgerow Planting"/>
      <sheetName val="Hedgerow Planting (2)"/>
      <sheetName val="Pasture &amp; Hayland Planting"/>
      <sheetName val="Pasture &amp; Hayland Planting (2)"/>
      <sheetName val="Pasture &amp; Hayland Planting (3)"/>
      <sheetName val="Pipeline"/>
      <sheetName val="Pipeline (2)"/>
      <sheetName val="Pipeline (3)"/>
      <sheetName val="Residue Mngt (Mulch Till)"/>
      <sheetName val="Residue Mngt (NoTill-StripTill)"/>
      <sheetName val="Restoration-Mngt Declining Hab."/>
      <sheetName val="Riparian Forest Buffer"/>
      <sheetName val="Riparian Forest Buffer (2)"/>
      <sheetName val="Riparian Forest Buffer (3)"/>
      <sheetName val="Riparian Forest Buffer (4)"/>
      <sheetName val="Riparian Herbaceous Buffer"/>
      <sheetName val="Riparian Herbaceous Buffer(2)"/>
      <sheetName val="Stream Hab. Improvement &amp; Mngt"/>
      <sheetName val="Stripcropping"/>
      <sheetName val="Tree &amp; Shrub Establishment"/>
      <sheetName val="Tree &amp; Shrub Establishment (2)"/>
      <sheetName val="Tree &amp; Shrub Establishment  (3)"/>
      <sheetName val="Upland Wildlife Habitat Mngt"/>
      <sheetName val="Waste Utilization"/>
      <sheetName val="Watering Facility"/>
      <sheetName val="Watering Facility (2)"/>
      <sheetName val="Wetland Creation"/>
      <sheetName val="Wetland Enhancement"/>
      <sheetName val="Wetland Restoration"/>
      <sheetName val="Wetland Wildlife Habitat Mngt"/>
      <sheetName val="Windbreak-Shelterbelt Estab."/>
      <sheetName val="Build-A-Practice"/>
    </sheetNames>
    <sheetDataSet>
      <sheetData sheetId="0"/>
      <sheetData sheetId="1">
        <row r="6">
          <cell r="B6" t="str">
            <v>CATEGORY--EROSION CONTROL</v>
          </cell>
        </row>
        <row r="7">
          <cell r="B7" t="str">
            <v>Geojute (erosion control netting)</v>
          </cell>
          <cell r="C7" t="str">
            <v>sy</v>
          </cell>
          <cell r="D7">
            <v>1.31</v>
          </cell>
        </row>
        <row r="8">
          <cell r="B8" t="str">
            <v>Geotextile (non-woven)</v>
          </cell>
          <cell r="C8" t="str">
            <v>sy</v>
          </cell>
          <cell r="D8">
            <v>1.45</v>
          </cell>
        </row>
        <row r="9">
          <cell r="B9" t="str">
            <v>Geotextile (woven)</v>
          </cell>
          <cell r="C9" t="str">
            <v>sy</v>
          </cell>
          <cell r="D9">
            <v>1.45</v>
          </cell>
        </row>
        <row r="10">
          <cell r="B10" t="str">
            <v>Hydroseeding / Mulching on critical area</v>
          </cell>
          <cell r="C10" t="str">
            <v>ac</v>
          </cell>
          <cell r="D10">
            <v>1913</v>
          </cell>
        </row>
        <row r="11">
          <cell r="B11" t="str">
            <v>Mulch, hay -- hand applied</v>
          </cell>
          <cell r="C11" t="str">
            <v>ac</v>
          </cell>
          <cell r="D11">
            <v>516</v>
          </cell>
        </row>
        <row r="12">
          <cell r="B12" t="str">
            <v>Mulch, straw -- cost per 40 lb bale</v>
          </cell>
          <cell r="C12" t="str">
            <v>ea</v>
          </cell>
          <cell r="D12">
            <v>5.2</v>
          </cell>
        </row>
        <row r="13">
          <cell r="B13" t="str">
            <v>Straw Erosion Control Mat</v>
          </cell>
          <cell r="C13" t="str">
            <v>sy</v>
          </cell>
          <cell r="D13">
            <v>1.44</v>
          </cell>
        </row>
        <row r="14">
          <cell r="B14" t="str">
            <v>Wood chips</v>
          </cell>
          <cell r="C14" t="str">
            <v>sy</v>
          </cell>
          <cell r="D14">
            <v>1.1200000000000001</v>
          </cell>
        </row>
        <row r="16">
          <cell r="B16" t="str">
            <v>CATEGORY--FARM EQUIPMENT + LABOR COSTS</v>
          </cell>
        </row>
        <row r="17">
          <cell r="B17" t="str">
            <v>Broadcasting Seed (not including seed)</v>
          </cell>
          <cell r="C17" t="str">
            <v>ac</v>
          </cell>
          <cell r="D17">
            <v>10.4</v>
          </cell>
        </row>
        <row r="18">
          <cell r="B18" t="str">
            <v>Broadcasting Seed, (by hand) (Not including seed)</v>
          </cell>
          <cell r="C18" t="str">
            <v>ac</v>
          </cell>
          <cell r="D18">
            <v>10.5</v>
          </cell>
        </row>
        <row r="19">
          <cell r="B19" t="str">
            <v>Chisel Plow</v>
          </cell>
          <cell r="C19" t="str">
            <v>ac</v>
          </cell>
          <cell r="D19">
            <v>16.399999999999999</v>
          </cell>
        </row>
        <row r="20">
          <cell r="B20" t="str">
            <v>Conventional Seeding (alfalfa, clover, etc., not including seed)</v>
          </cell>
          <cell r="C20" t="str">
            <v>ac</v>
          </cell>
          <cell r="D20">
            <v>15.4</v>
          </cell>
        </row>
        <row r="21">
          <cell r="B21" t="str">
            <v>Frost seeding legumes (Including 2 ton lime, fertilizer K, seed)</v>
          </cell>
          <cell r="C21" t="str">
            <v>ac</v>
          </cell>
          <cell r="D21">
            <v>158</v>
          </cell>
        </row>
        <row r="22">
          <cell r="B22" t="str">
            <v>Cultipaking (14')</v>
          </cell>
          <cell r="C22" t="str">
            <v>ac</v>
          </cell>
          <cell r="D22">
            <v>15.75</v>
          </cell>
        </row>
        <row r="23">
          <cell r="B23" t="str">
            <v>Cultivating</v>
          </cell>
          <cell r="C23" t="str">
            <v>ac</v>
          </cell>
          <cell r="D23">
            <v>11.8</v>
          </cell>
        </row>
        <row r="24">
          <cell r="B24" t="str">
            <v>Disking, Tandem</v>
          </cell>
          <cell r="C24" t="str">
            <v>ac</v>
          </cell>
          <cell r="D24">
            <v>13</v>
          </cell>
        </row>
        <row r="25">
          <cell r="B25" t="str">
            <v>Disc Harrow in tandem w/cultipacker</v>
          </cell>
          <cell r="C25" t="str">
            <v>ac</v>
          </cell>
          <cell r="D25">
            <v>15.25</v>
          </cell>
        </row>
        <row r="26">
          <cell r="B26" t="str">
            <v>Disk Plow</v>
          </cell>
          <cell r="C26" t="str">
            <v>ac</v>
          </cell>
          <cell r="D26">
            <v>15.7</v>
          </cell>
        </row>
        <row r="27">
          <cell r="B27" t="str">
            <v>Farm tractor with implement, labor, fuel (65 hp or less)</v>
          </cell>
          <cell r="C27" t="str">
            <v>hr</v>
          </cell>
          <cell r="D27">
            <v>47.25</v>
          </cell>
        </row>
        <row r="28">
          <cell r="B28" t="str">
            <v>Farm tractor with implement, labor, fuel (140 hp)</v>
          </cell>
          <cell r="C28" t="str">
            <v>hr</v>
          </cell>
          <cell r="D28">
            <v>73.5</v>
          </cell>
        </row>
        <row r="29">
          <cell r="B29" t="str">
            <v>Farm tractor with implement, labor, fuel (225 hp)</v>
          </cell>
          <cell r="C29" t="str">
            <v>hr</v>
          </cell>
          <cell r="D29">
            <v>105</v>
          </cell>
        </row>
        <row r="30">
          <cell r="B30" t="str">
            <v>Harrowing</v>
          </cell>
          <cell r="C30" t="str">
            <v>ac</v>
          </cell>
          <cell r="D30">
            <v>12.7</v>
          </cell>
        </row>
        <row r="31">
          <cell r="B31" t="str">
            <v>Manure spreading (liquid manure)</v>
          </cell>
          <cell r="C31" t="str">
            <v>hr</v>
          </cell>
          <cell r="D31">
            <v>67.7</v>
          </cell>
        </row>
        <row r="32">
          <cell r="B32" t="str">
            <v>Manure spreading (solid manure)</v>
          </cell>
          <cell r="C32" t="str">
            <v>hr</v>
          </cell>
          <cell r="D32">
            <v>48.5</v>
          </cell>
        </row>
        <row r="33">
          <cell r="B33" t="str">
            <v>Manure pumping</v>
          </cell>
          <cell r="C33" t="str">
            <v>hr</v>
          </cell>
          <cell r="D33">
            <v>33.200000000000003</v>
          </cell>
        </row>
        <row r="34">
          <cell r="B34" t="str">
            <v>Manure loading</v>
          </cell>
          <cell r="C34" t="str">
            <v>hr</v>
          </cell>
          <cell r="D34">
            <v>48.4</v>
          </cell>
        </row>
        <row r="35">
          <cell r="B35" t="str">
            <v>Molboard plow (stubble)</v>
          </cell>
          <cell r="C35" t="str">
            <v>ac</v>
          </cell>
          <cell r="D35">
            <v>17.600000000000001</v>
          </cell>
        </row>
        <row r="36">
          <cell r="B36" t="str">
            <v>Molboard plow (sod)</v>
          </cell>
          <cell r="C36" t="str">
            <v>ac</v>
          </cell>
          <cell r="D36">
            <v>21.15</v>
          </cell>
        </row>
        <row r="37">
          <cell r="B37" t="str">
            <v>Deep plowing (10" or more)</v>
          </cell>
          <cell r="C37" t="str">
            <v>ac</v>
          </cell>
          <cell r="D37">
            <v>19</v>
          </cell>
        </row>
        <row r="38">
          <cell r="B38" t="str">
            <v>Mowing/conditioning</v>
          </cell>
          <cell r="C38" t="str">
            <v>ac</v>
          </cell>
          <cell r="D38">
            <v>14.6</v>
          </cell>
        </row>
        <row r="39">
          <cell r="B39" t="str">
            <v>Mowing Hay</v>
          </cell>
          <cell r="C39" t="str">
            <v>ac</v>
          </cell>
          <cell r="D39">
            <v>14.15</v>
          </cell>
        </row>
        <row r="40">
          <cell r="B40" t="str">
            <v>Rotary Mower</v>
          </cell>
          <cell r="C40" t="str">
            <v>hr</v>
          </cell>
          <cell r="D40">
            <v>10.7</v>
          </cell>
        </row>
        <row r="41">
          <cell r="B41" t="str">
            <v>No-till drill</v>
          </cell>
          <cell r="C41" t="str">
            <v>ac</v>
          </cell>
          <cell r="D41">
            <v>17.43</v>
          </cell>
        </row>
        <row r="42">
          <cell r="B42" t="str">
            <v>No-till planter</v>
          </cell>
          <cell r="C42" t="str">
            <v>ac</v>
          </cell>
          <cell r="D42">
            <v>13</v>
          </cell>
        </row>
        <row r="43">
          <cell r="B43" t="str">
            <v>Raking Hay</v>
          </cell>
          <cell r="C43" t="str">
            <v>ac</v>
          </cell>
          <cell r="D43">
            <v>9.65</v>
          </cell>
        </row>
        <row r="44">
          <cell r="B44" t="str">
            <v>Speading Lime (lime not included)</v>
          </cell>
          <cell r="C44" t="str">
            <v>ac</v>
          </cell>
          <cell r="D44">
            <v>10.6</v>
          </cell>
        </row>
        <row r="45">
          <cell r="B45" t="str">
            <v>Spraying for weed control (chemicals not included)</v>
          </cell>
          <cell r="C45" t="str">
            <v>ac</v>
          </cell>
          <cell r="D45">
            <v>9</v>
          </cell>
        </row>
        <row r="46">
          <cell r="B46" t="str">
            <v>Side dressing (fertilizer not included)</v>
          </cell>
          <cell r="C46" t="str">
            <v>ac</v>
          </cell>
          <cell r="D46">
            <v>9.1999999999999993</v>
          </cell>
        </row>
        <row r="47">
          <cell r="B47" t="str">
            <v>Spreading bulk liquid fertilizer (not including fertilizer)</v>
          </cell>
          <cell r="C47" t="str">
            <v>ac</v>
          </cell>
          <cell r="D47">
            <v>9.1</v>
          </cell>
        </row>
        <row r="48">
          <cell r="B48" t="str">
            <v>Spreading bulk dry fertilizer (not including fertilizer)</v>
          </cell>
          <cell r="C48" t="str">
            <v>ac</v>
          </cell>
          <cell r="D48">
            <v>8.3000000000000007</v>
          </cell>
        </row>
        <row r="50">
          <cell r="B50" t="str">
            <v>CATEGORY--FENCE</v>
          </cell>
        </row>
        <row r="51">
          <cell r="B51" t="str">
            <v>Fencing, 12 Volt Solar Charger</v>
          </cell>
          <cell r="C51" t="str">
            <v>ea</v>
          </cell>
          <cell r="D51">
            <v>500</v>
          </cell>
        </row>
        <row r="52">
          <cell r="B52" t="str">
            <v xml:space="preserve">Fencing, 3 Board Wood </v>
          </cell>
          <cell r="C52" t="str">
            <v>ft</v>
          </cell>
          <cell r="D52">
            <v>6.5</v>
          </cell>
        </row>
        <row r="53">
          <cell r="B53" t="str">
            <v>Fencing, 3 Strand Barbed</v>
          </cell>
          <cell r="C53" t="str">
            <v>ft</v>
          </cell>
          <cell r="D53">
            <v>2.2999999999999998</v>
          </cell>
        </row>
        <row r="54">
          <cell r="B54" t="str">
            <v>Fencing, 4 Strand Barbed</v>
          </cell>
          <cell r="C54" t="str">
            <v>ft</v>
          </cell>
          <cell r="D54">
            <v>2.67</v>
          </cell>
        </row>
        <row r="55">
          <cell r="B55" t="str">
            <v>Fencing, Cedar Posts 6ft</v>
          </cell>
          <cell r="C55" t="str">
            <v>ea</v>
          </cell>
          <cell r="D55">
            <v>2.5</v>
          </cell>
        </row>
        <row r="56">
          <cell r="B56" t="str">
            <v>Fencing, Pressure Treated Post, 4" x4" - 8 ft</v>
          </cell>
          <cell r="C56" t="str">
            <v>ea</v>
          </cell>
          <cell r="D56">
            <v>12.5</v>
          </cell>
        </row>
        <row r="57">
          <cell r="B57" t="str">
            <v>Fencing, Corner Brace</v>
          </cell>
          <cell r="C57" t="str">
            <v>ea</v>
          </cell>
          <cell r="D57">
            <v>132</v>
          </cell>
        </row>
        <row r="58">
          <cell r="B58" t="str">
            <v>Fencing, Deer Net 8 ft</v>
          </cell>
          <cell r="C58" t="str">
            <v>ft</v>
          </cell>
          <cell r="D58">
            <v>0.65</v>
          </cell>
        </row>
        <row r="59">
          <cell r="B59" t="str">
            <v>Fencing, Electric 2 Strand (Non High Tensile)</v>
          </cell>
          <cell r="C59" t="str">
            <v>ft</v>
          </cell>
          <cell r="D59">
            <v>1.29</v>
          </cell>
        </row>
        <row r="60">
          <cell r="B60" t="str">
            <v>Fencing, End Brace</v>
          </cell>
          <cell r="C60" t="str">
            <v>ea</v>
          </cell>
          <cell r="D60">
            <v>79</v>
          </cell>
        </row>
        <row r="61">
          <cell r="B61" t="str">
            <v>Fencing, Energizer &gt; 2,000 ft</v>
          </cell>
          <cell r="C61" t="str">
            <v>ea</v>
          </cell>
          <cell r="D61">
            <v>550</v>
          </cell>
        </row>
        <row r="62">
          <cell r="B62" t="str">
            <v>Fencing, Heavy Duty Gate</v>
          </cell>
          <cell r="C62" t="str">
            <v>ft</v>
          </cell>
          <cell r="D62">
            <v>17.63</v>
          </cell>
        </row>
        <row r="63">
          <cell r="B63" t="str">
            <v>Fencing, High Tensile 2 Strand</v>
          </cell>
          <cell r="C63" t="str">
            <v>ft</v>
          </cell>
          <cell r="D63">
            <v>1.25</v>
          </cell>
        </row>
        <row r="64">
          <cell r="B64" t="str">
            <v>Fencing, High Tensile 3 Strand</v>
          </cell>
          <cell r="C64" t="str">
            <v>ft</v>
          </cell>
          <cell r="D64">
            <v>1.5</v>
          </cell>
        </row>
        <row r="65">
          <cell r="B65" t="str">
            <v>Fencing, High Tensile 4 Strand</v>
          </cell>
          <cell r="C65" t="str">
            <v>ft</v>
          </cell>
          <cell r="D65">
            <v>1.89</v>
          </cell>
        </row>
        <row r="66">
          <cell r="B66" t="str">
            <v>Fencing, High Tensile 5 Strand</v>
          </cell>
          <cell r="C66" t="str">
            <v>ft</v>
          </cell>
          <cell r="D66">
            <v>2.0699999999999998</v>
          </cell>
        </row>
        <row r="67">
          <cell r="B67" t="str">
            <v>Fencing, High Tensile 6 Strand</v>
          </cell>
          <cell r="C67" t="str">
            <v>ft</v>
          </cell>
          <cell r="D67">
            <v>3.25</v>
          </cell>
        </row>
        <row r="68">
          <cell r="B68" t="str">
            <v>Fencing, Light Duty Gate</v>
          </cell>
          <cell r="C68" t="str">
            <v>ft</v>
          </cell>
          <cell r="D68">
            <v>14.75</v>
          </cell>
        </row>
        <row r="69">
          <cell r="B69" t="str">
            <v>Fencing, Panel Gate</v>
          </cell>
          <cell r="C69" t="str">
            <v>ea</v>
          </cell>
          <cell r="D69">
            <v>175</v>
          </cell>
        </row>
        <row r="70">
          <cell r="B70" t="str">
            <v>Fencing, Poly Net (sheep and chicken)</v>
          </cell>
          <cell r="C70" t="str">
            <v>ft</v>
          </cell>
          <cell r="D70">
            <v>0.79</v>
          </cell>
        </row>
        <row r="71">
          <cell r="B71" t="str">
            <v>Fencing, Poly wire</v>
          </cell>
          <cell r="C71" t="str">
            <v>ft</v>
          </cell>
          <cell r="D71">
            <v>0.04</v>
          </cell>
        </row>
        <row r="72">
          <cell r="B72" t="str">
            <v>Fencing, Portable (electric) tape or polywire w/posts</v>
          </cell>
          <cell r="C72" t="str">
            <v>ft</v>
          </cell>
          <cell r="D72">
            <v>0.26</v>
          </cell>
        </row>
        <row r="73">
          <cell r="B73" t="str">
            <v xml:space="preserve">Fencing, Portable Posts </v>
          </cell>
          <cell r="C73" t="str">
            <v>ea</v>
          </cell>
          <cell r="D73">
            <v>3</v>
          </cell>
        </row>
        <row r="74">
          <cell r="B74" t="str">
            <v>Fencing, Ribbon Fence (for horses)</v>
          </cell>
          <cell r="C74" t="str">
            <v>ft</v>
          </cell>
          <cell r="D74">
            <v>0.14000000000000001</v>
          </cell>
        </row>
        <row r="75">
          <cell r="B75" t="str">
            <v>Fencing, Spring Gate - 2 Wire</v>
          </cell>
          <cell r="C75" t="str">
            <v>ea</v>
          </cell>
          <cell r="D75">
            <v>35</v>
          </cell>
        </row>
        <row r="76">
          <cell r="B76" t="str">
            <v>Fencing, Stainless Wire, 19 gauge for portable fence</v>
          </cell>
          <cell r="C76" t="str">
            <v>ft</v>
          </cell>
          <cell r="D76">
            <v>0.05</v>
          </cell>
        </row>
        <row r="77">
          <cell r="B77" t="str">
            <v>Steel braided flexible wire</v>
          </cell>
          <cell r="C77" t="str">
            <v>ft</v>
          </cell>
          <cell r="D77">
            <v>0.17</v>
          </cell>
        </row>
        <row r="78">
          <cell r="B78" t="str">
            <v xml:space="preserve">Fencing, Woven (Pagewire) 4 ft </v>
          </cell>
          <cell r="C78" t="str">
            <v>ft</v>
          </cell>
          <cell r="D78">
            <v>2.94</v>
          </cell>
        </row>
        <row r="79">
          <cell r="B79" t="str">
            <v>Fencing, Lock link woven wire w/offset &amp; top electric</v>
          </cell>
          <cell r="C79" t="str">
            <v>ft</v>
          </cell>
          <cell r="D79">
            <v>4.5</v>
          </cell>
        </row>
        <row r="80">
          <cell r="B80" t="str">
            <v>Gate Handle</v>
          </cell>
          <cell r="C80" t="str">
            <v>ea</v>
          </cell>
          <cell r="D80">
            <v>8</v>
          </cell>
        </row>
        <row r="81">
          <cell r="B81" t="str">
            <v>Post Hole Digging</v>
          </cell>
          <cell r="C81" t="str">
            <v>ea</v>
          </cell>
          <cell r="D81">
            <v>3.15</v>
          </cell>
        </row>
        <row r="82">
          <cell r="B82" t="str">
            <v>Remove old fenceline (3-6' wide)</v>
          </cell>
          <cell r="C82" t="str">
            <v>ft</v>
          </cell>
          <cell r="D82">
            <v>1.5</v>
          </cell>
        </row>
        <row r="84">
          <cell r="B84" t="str">
            <v>CATEGORY--FERTILIZER &amp; LIME</v>
          </cell>
        </row>
        <row r="85">
          <cell r="B85" t="str">
            <v>0-10-40- .2 boron</v>
          </cell>
          <cell r="C85" t="str">
            <v>ton</v>
          </cell>
          <cell r="D85">
            <v>252</v>
          </cell>
        </row>
        <row r="86">
          <cell r="B86" t="str">
            <v>10-10-10</v>
          </cell>
          <cell r="C86" t="str">
            <v>ton</v>
          </cell>
          <cell r="D86">
            <v>196.5</v>
          </cell>
        </row>
        <row r="87">
          <cell r="B87" t="str">
            <v>10-10-10 (50 lb bags)</v>
          </cell>
          <cell r="C87" t="str">
            <v>ton</v>
          </cell>
          <cell r="D87">
            <v>226.65</v>
          </cell>
        </row>
        <row r="88">
          <cell r="B88" t="str">
            <v>10-20-10</v>
          </cell>
          <cell r="C88" t="str">
            <v>ton</v>
          </cell>
          <cell r="D88">
            <v>242.35</v>
          </cell>
        </row>
        <row r="89">
          <cell r="B89" t="str">
            <v>14-30-15 (corn starter)</v>
          </cell>
          <cell r="C89" t="str">
            <v>ton</v>
          </cell>
          <cell r="D89">
            <v>287</v>
          </cell>
        </row>
        <row r="90">
          <cell r="B90" t="str">
            <v>23-12-18</v>
          </cell>
          <cell r="C90" t="str">
            <v>ton</v>
          </cell>
          <cell r="D90">
            <v>296.89999999999998</v>
          </cell>
        </row>
        <row r="91">
          <cell r="B91" t="str">
            <v>Ammonium sulfate (NH4) 2S04   0-0-20 w/24% sulfer</v>
          </cell>
          <cell r="C91" t="str">
            <v>ton</v>
          </cell>
          <cell r="D91">
            <v>385</v>
          </cell>
        </row>
        <row r="92">
          <cell r="B92" t="str">
            <v>DAP  18-46-0</v>
          </cell>
          <cell r="C92" t="str">
            <v>ton</v>
          </cell>
          <cell r="D92">
            <v>307</v>
          </cell>
        </row>
        <row r="93">
          <cell r="B93" t="str">
            <v>Foliar nutrient application on vegetables, (not including equipment)</v>
          </cell>
          <cell r="C93" t="str">
            <v>ac</v>
          </cell>
          <cell r="D93">
            <v>15</v>
          </cell>
        </row>
        <row r="94">
          <cell r="B94" t="str">
            <v>Hi-Mag lime</v>
          </cell>
          <cell r="C94" t="str">
            <v>ton</v>
          </cell>
          <cell r="D94">
            <v>45</v>
          </cell>
        </row>
        <row r="95">
          <cell r="B95" t="str">
            <v>Lime (bulk) (Not including trucking and spreading)</v>
          </cell>
          <cell r="C95" t="str">
            <v>ton</v>
          </cell>
          <cell r="D95">
            <v>13.25</v>
          </cell>
        </row>
        <row r="96">
          <cell r="B96" t="str">
            <v>Lime (calcium) delivered and spread</v>
          </cell>
          <cell r="C96" t="str">
            <v>ton</v>
          </cell>
          <cell r="D96">
            <v>32.75</v>
          </cell>
        </row>
        <row r="97">
          <cell r="B97" t="str">
            <v>Lime (calcium) in 50# bags</v>
          </cell>
          <cell r="C97" t="str">
            <v>ton</v>
          </cell>
          <cell r="D97">
            <v>100</v>
          </cell>
        </row>
        <row r="98">
          <cell r="B98" t="str">
            <v xml:space="preserve">Lime-Ash </v>
          </cell>
          <cell r="C98" t="str">
            <v>ton</v>
          </cell>
          <cell r="D98">
            <v>28</v>
          </cell>
        </row>
        <row r="99">
          <cell r="B99" t="str">
            <v>MAP  11-52-0</v>
          </cell>
          <cell r="C99" t="str">
            <v>ton</v>
          </cell>
          <cell r="D99">
            <v>290</v>
          </cell>
        </row>
        <row r="100">
          <cell r="B100" t="str">
            <v>Nitrogen (chemical)</v>
          </cell>
          <cell r="C100" t="str">
            <v>lb</v>
          </cell>
          <cell r="D100">
            <v>0.33</v>
          </cell>
        </row>
        <row r="101">
          <cell r="B101" t="str">
            <v>Organic Soil Amendments - Chilean Nitrate  16-0-0</v>
          </cell>
          <cell r="C101" t="str">
            <v>ton</v>
          </cell>
          <cell r="D101">
            <v>466</v>
          </cell>
        </row>
        <row r="102">
          <cell r="B102" t="str">
            <v xml:space="preserve">Organic Soil Amendments - Nitrogen </v>
          </cell>
          <cell r="C102" t="str">
            <v>lb</v>
          </cell>
          <cell r="D102">
            <v>1.49</v>
          </cell>
        </row>
        <row r="103">
          <cell r="B103" t="str">
            <v>Organic Soil Amendments - Phospate rock  0-30-0 (6-8%avilable)</v>
          </cell>
          <cell r="C103" t="str">
            <v>ton</v>
          </cell>
          <cell r="D103">
            <v>296</v>
          </cell>
        </row>
        <row r="104">
          <cell r="B104" t="str">
            <v>Organic Soil Amendments - Phosphorus (plant available form)</v>
          </cell>
          <cell r="C104" t="str">
            <v>lb</v>
          </cell>
          <cell r="D104">
            <v>1.7</v>
          </cell>
        </row>
        <row r="105">
          <cell r="B105" t="str">
            <v>Organic Soil Amendments - Potassium</v>
          </cell>
          <cell r="C105" t="str">
            <v>lb</v>
          </cell>
          <cell r="D105">
            <v>0.79</v>
          </cell>
        </row>
        <row r="106">
          <cell r="B106" t="str">
            <v>Organic Soil Amendments - Sulphate of Potash 0-0-52</v>
          </cell>
          <cell r="C106" t="str">
            <v>ton</v>
          </cell>
          <cell r="D106">
            <v>607</v>
          </cell>
        </row>
        <row r="107">
          <cell r="B107" t="str">
            <v>Organic Soil Amendments - Sul-Po-Mag      0-0-22   11Mg,  22S</v>
          </cell>
          <cell r="C107" t="str">
            <v>ton</v>
          </cell>
          <cell r="D107">
            <v>487</v>
          </cell>
        </row>
        <row r="108">
          <cell r="B108" t="str">
            <v>Phosphorus</v>
          </cell>
          <cell r="C108" t="str">
            <v>lb</v>
          </cell>
          <cell r="D108">
            <v>0.26</v>
          </cell>
        </row>
        <row r="109">
          <cell r="B109" t="str">
            <v>Potash  0-0-60</v>
          </cell>
          <cell r="C109" t="str">
            <v>ton</v>
          </cell>
          <cell r="D109">
            <v>223</v>
          </cell>
        </row>
        <row r="110">
          <cell r="B110" t="str">
            <v>Potassium</v>
          </cell>
          <cell r="C110" t="str">
            <v>lb</v>
          </cell>
          <cell r="D110">
            <v>0.14000000000000001</v>
          </cell>
        </row>
        <row r="111">
          <cell r="B111" t="str">
            <v>Urea  46-0-0</v>
          </cell>
          <cell r="C111" t="str">
            <v>ton</v>
          </cell>
          <cell r="D111">
            <v>309</v>
          </cell>
        </row>
        <row r="113">
          <cell r="B113" t="str">
            <v>CATEGORY--GRAZING MANAGEMENT</v>
          </cell>
        </row>
        <row r="114">
          <cell r="B114" t="str">
            <v>1 1/2" Hydro Ram</v>
          </cell>
          <cell r="C114" t="str">
            <v>ea</v>
          </cell>
          <cell r="D114">
            <v>300</v>
          </cell>
        </row>
        <row r="115">
          <cell r="B115" t="str">
            <v>1" Hydro Ram</v>
          </cell>
          <cell r="C115" t="str">
            <v>ea</v>
          </cell>
          <cell r="D115">
            <v>450</v>
          </cell>
        </row>
        <row r="116">
          <cell r="B116" t="str">
            <v>2" Hydro Ram (kit)  installed</v>
          </cell>
          <cell r="C116" t="str">
            <v>ea</v>
          </cell>
          <cell r="D116">
            <v>550</v>
          </cell>
        </row>
        <row r="117">
          <cell r="B117" t="str">
            <v>5 hp pump</v>
          </cell>
          <cell r="C117" t="str">
            <v>ea</v>
          </cell>
          <cell r="D117">
            <v>300</v>
          </cell>
        </row>
        <row r="118">
          <cell r="B118" t="str">
            <v>8' galvanized T post</v>
          </cell>
          <cell r="C118" t="str">
            <v>ea</v>
          </cell>
          <cell r="D118">
            <v>8.5</v>
          </cell>
        </row>
        <row r="119">
          <cell r="B119" t="str">
            <v>Float Valve Assembly</v>
          </cell>
          <cell r="C119" t="str">
            <v>ea</v>
          </cell>
          <cell r="D119">
            <v>40</v>
          </cell>
        </row>
        <row r="120">
          <cell r="B120" t="str">
            <v>Heat Tube</v>
          </cell>
          <cell r="C120" t="str">
            <v>ea</v>
          </cell>
          <cell r="D120">
            <v>80</v>
          </cell>
        </row>
        <row r="121">
          <cell r="B121" t="str">
            <v>Lead out hose</v>
          </cell>
          <cell r="C121" t="str">
            <v>ea</v>
          </cell>
          <cell r="D121">
            <v>10</v>
          </cell>
        </row>
        <row r="122">
          <cell r="B122" t="str">
            <v>Pasture Nose Pump (Installed)</v>
          </cell>
          <cell r="C122" t="str">
            <v>ea</v>
          </cell>
          <cell r="D122">
            <v>533</v>
          </cell>
        </row>
        <row r="123">
          <cell r="B123" t="str">
            <v>Permanently Mounted Water Pump</v>
          </cell>
          <cell r="C123" t="str">
            <v>ea</v>
          </cell>
          <cell r="D123">
            <v>600</v>
          </cell>
        </row>
        <row r="124">
          <cell r="B124" t="str">
            <v>Solar pump w/ two panels</v>
          </cell>
          <cell r="C124" t="str">
            <v>ea</v>
          </cell>
          <cell r="D124">
            <v>1830</v>
          </cell>
        </row>
        <row r="125">
          <cell r="B125" t="str">
            <v>Water Facility - 100 Gallon</v>
          </cell>
          <cell r="C125" t="str">
            <v>ea</v>
          </cell>
          <cell r="D125">
            <v>150</v>
          </cell>
        </row>
        <row r="126">
          <cell r="B126" t="str">
            <v>Water Facility - 300 Gallon</v>
          </cell>
          <cell r="C126" t="str">
            <v>ea</v>
          </cell>
          <cell r="D126">
            <v>300</v>
          </cell>
        </row>
        <row r="127">
          <cell r="B127" t="str">
            <v>Water Facility -1000 gal water tank not installed</v>
          </cell>
          <cell r="C127" t="str">
            <v>ea</v>
          </cell>
          <cell r="D127">
            <v>550</v>
          </cell>
        </row>
        <row r="128">
          <cell r="B128" t="str">
            <v>Water Facility -15 Gallon Insulated Tank</v>
          </cell>
          <cell r="C128" t="str">
            <v>ea</v>
          </cell>
          <cell r="D128">
            <v>560</v>
          </cell>
        </row>
        <row r="129">
          <cell r="B129" t="str">
            <v>Water Facility -20 Gallon Insulated Tank</v>
          </cell>
          <cell r="C129" t="str">
            <v>ea</v>
          </cell>
          <cell r="D129">
            <v>700</v>
          </cell>
        </row>
        <row r="130">
          <cell r="B130" t="str">
            <v>Water Facility -50 Gallon</v>
          </cell>
          <cell r="C130" t="str">
            <v>ea</v>
          </cell>
          <cell r="D130">
            <v>95</v>
          </cell>
        </row>
        <row r="131">
          <cell r="B131" t="str">
            <v>Water Facility -70 Gallon</v>
          </cell>
          <cell r="C131" t="str">
            <v>ea</v>
          </cell>
          <cell r="D131">
            <v>150</v>
          </cell>
        </row>
        <row r="132">
          <cell r="B132" t="str">
            <v>Coupling/Hydrant</v>
          </cell>
          <cell r="C132" t="str">
            <v>ea</v>
          </cell>
          <cell r="D132">
            <v>33</v>
          </cell>
        </row>
        <row r="133">
          <cell r="B133" t="str">
            <v>Frost Free Hydrant (installed)</v>
          </cell>
          <cell r="C133" t="str">
            <v>ea</v>
          </cell>
          <cell r="D133">
            <v>247</v>
          </cell>
        </row>
        <row r="134">
          <cell r="B134" t="str">
            <v>Frost Free Hydrant (uninstalled)</v>
          </cell>
          <cell r="C134" t="str">
            <v>ea</v>
          </cell>
          <cell r="D134">
            <v>122</v>
          </cell>
        </row>
        <row r="135">
          <cell r="B135" t="str">
            <v>Pipeline, 1 1/4" - 160 psi (not including installation)</v>
          </cell>
          <cell r="C135" t="str">
            <v>ft</v>
          </cell>
          <cell r="D135">
            <v>1.4</v>
          </cell>
        </row>
        <row r="136">
          <cell r="B136" t="str">
            <v>Pipeline, 1" - 160 psi (not including installation)</v>
          </cell>
          <cell r="C136" t="str">
            <v>ft</v>
          </cell>
          <cell r="D136">
            <v>0.71</v>
          </cell>
        </row>
        <row r="137">
          <cell r="B137" t="str">
            <v>Pipeline, 1" - 100 psi (not including installation)</v>
          </cell>
          <cell r="C137" t="str">
            <v>ft</v>
          </cell>
          <cell r="D137">
            <v>0.35</v>
          </cell>
        </row>
        <row r="138">
          <cell r="B138" t="str">
            <v>Pipeline, 3/4"  100 psi (not including installation)</v>
          </cell>
          <cell r="C138" t="str">
            <v>ft</v>
          </cell>
          <cell r="D138">
            <v>0.25</v>
          </cell>
        </row>
        <row r="139">
          <cell r="B139" t="str">
            <v>Pipeline, 3/4" 160psi    (not including installation)</v>
          </cell>
          <cell r="C139" t="str">
            <v>ft</v>
          </cell>
          <cell r="D139">
            <v>0.5</v>
          </cell>
        </row>
        <row r="140">
          <cell r="B140" t="str">
            <v>Quick Coupler Valves (female + male)</v>
          </cell>
          <cell r="C140" t="str">
            <v>ea</v>
          </cell>
          <cell r="D140">
            <v>22.5</v>
          </cell>
        </row>
        <row r="141">
          <cell r="B141" t="str">
            <v>Vacuum/Pressure Relief Valve</v>
          </cell>
          <cell r="C141" t="str">
            <v>ea</v>
          </cell>
          <cell r="D141">
            <v>17.45</v>
          </cell>
        </row>
        <row r="142">
          <cell r="B142" t="str">
            <v>3/4" Stainless Clamp</v>
          </cell>
          <cell r="C142" t="str">
            <v>ea</v>
          </cell>
          <cell r="D142">
            <v>0.99</v>
          </cell>
        </row>
        <row r="143">
          <cell r="B143" t="str">
            <v>Shallow trench for buried pipeline (installed with plow /back blade)</v>
          </cell>
          <cell r="C143" t="str">
            <v>ft</v>
          </cell>
          <cell r="D143">
            <v>0.5</v>
          </cell>
        </row>
        <row r="144">
          <cell r="B144" t="str">
            <v xml:space="preserve">Water tank valve w/mounting brackets </v>
          </cell>
          <cell r="C144" t="str">
            <v>ea</v>
          </cell>
          <cell r="D144">
            <v>44.25</v>
          </cell>
        </row>
        <row r="146">
          <cell r="B146" t="str">
            <v>CATEGORY--SEEDS</v>
          </cell>
        </row>
        <row r="147">
          <cell r="B147" t="str">
            <v>"Conservation Mix"</v>
          </cell>
          <cell r="C147" t="str">
            <v>lb</v>
          </cell>
          <cell r="D147">
            <v>2</v>
          </cell>
        </row>
        <row r="148">
          <cell r="B148" t="str">
            <v>"Pasture Mix" (Typical Cool Season)</v>
          </cell>
          <cell r="C148" t="str">
            <v>lb</v>
          </cell>
          <cell r="D148">
            <v>2.5</v>
          </cell>
        </row>
        <row r="149">
          <cell r="B149" t="str">
            <v>"Pasture Mix" (Typical Cool Season) (organic)</v>
          </cell>
          <cell r="C149" t="str">
            <v>lb</v>
          </cell>
          <cell r="D149">
            <v>3.7</v>
          </cell>
        </row>
        <row r="150">
          <cell r="B150" t="str">
            <v>Alfalfa</v>
          </cell>
          <cell r="C150" t="str">
            <v>lb</v>
          </cell>
          <cell r="D150">
            <v>2.5</v>
          </cell>
        </row>
        <row r="151">
          <cell r="B151" t="str">
            <v>Alfalfa (leaf hopper resistant)</v>
          </cell>
          <cell r="C151" t="str">
            <v>lb</v>
          </cell>
          <cell r="D151">
            <v>3.17</v>
          </cell>
        </row>
        <row r="152">
          <cell r="B152" t="str">
            <v>Alfalfa (organic)</v>
          </cell>
          <cell r="C152" t="str">
            <v>lb</v>
          </cell>
          <cell r="D152">
            <v>3.2</v>
          </cell>
        </row>
        <row r="153">
          <cell r="B153" t="str">
            <v>Annual ryegrass</v>
          </cell>
          <cell r="C153" t="str">
            <v>lb</v>
          </cell>
          <cell r="D153">
            <v>0.7</v>
          </cell>
        </row>
        <row r="154">
          <cell r="B154" t="str">
            <v>Annual Ryegrass (organic)</v>
          </cell>
          <cell r="C154" t="str">
            <v>lb</v>
          </cell>
        </row>
        <row r="155">
          <cell r="B155" t="str">
            <v xml:space="preserve">Barley </v>
          </cell>
          <cell r="C155" t="str">
            <v>lb</v>
          </cell>
          <cell r="D155">
            <v>0.25</v>
          </cell>
        </row>
        <row r="156">
          <cell r="B156" t="str">
            <v>Barley (organic)</v>
          </cell>
          <cell r="C156" t="str">
            <v>lb</v>
          </cell>
          <cell r="D156">
            <v>0.36</v>
          </cell>
        </row>
        <row r="157">
          <cell r="B157" t="str">
            <v>Birdsfoot trefoil</v>
          </cell>
          <cell r="C157" t="str">
            <v>lb</v>
          </cell>
          <cell r="D157">
            <v>3</v>
          </cell>
        </row>
        <row r="158">
          <cell r="B158" t="str">
            <v>Birdsfoot Trefoil (organic)</v>
          </cell>
          <cell r="C158" t="str">
            <v>lb</v>
          </cell>
        </row>
        <row r="159">
          <cell r="B159" t="str">
            <v>Buckwheat</v>
          </cell>
          <cell r="C159" t="str">
            <v>lb</v>
          </cell>
          <cell r="D159">
            <v>0.6</v>
          </cell>
        </row>
        <row r="160">
          <cell r="B160" t="str">
            <v>Buckwheat (organic)</v>
          </cell>
          <cell r="C160" t="str">
            <v>lb</v>
          </cell>
          <cell r="D160">
            <v>1.3</v>
          </cell>
        </row>
        <row r="161">
          <cell r="B161" t="str">
            <v>Chickory (organic)</v>
          </cell>
          <cell r="C161" t="str">
            <v>lb</v>
          </cell>
          <cell r="D161">
            <v>6.7</v>
          </cell>
        </row>
        <row r="162">
          <cell r="B162" t="str">
            <v>Clover - Alsike</v>
          </cell>
          <cell r="C162" t="str">
            <v>lb</v>
          </cell>
          <cell r="D162">
            <v>1.45</v>
          </cell>
        </row>
        <row r="163">
          <cell r="B163" t="str">
            <v>Clover - Alsike (organic)</v>
          </cell>
          <cell r="C163" t="str">
            <v>lb</v>
          </cell>
          <cell r="D163">
            <v>3.25</v>
          </cell>
        </row>
        <row r="164">
          <cell r="B164" t="str">
            <v>Clover - Dutch white (organic)</v>
          </cell>
          <cell r="C164" t="str">
            <v>lb</v>
          </cell>
          <cell r="D164">
            <v>2.6</v>
          </cell>
        </row>
        <row r="165">
          <cell r="B165" t="str">
            <v>Clover - Ladino</v>
          </cell>
          <cell r="C165" t="str">
            <v>lb</v>
          </cell>
          <cell r="D165">
            <v>3.15</v>
          </cell>
        </row>
        <row r="166">
          <cell r="B166" t="str">
            <v>Clover - Mammoth red</v>
          </cell>
          <cell r="C166" t="str">
            <v>lb</v>
          </cell>
          <cell r="D166">
            <v>1.75</v>
          </cell>
        </row>
        <row r="167">
          <cell r="B167" t="str">
            <v>Clover - Red</v>
          </cell>
          <cell r="C167" t="str">
            <v>lb</v>
          </cell>
          <cell r="D167">
            <v>1.65</v>
          </cell>
        </row>
        <row r="168">
          <cell r="B168" t="str">
            <v>Clover - Red (organic)</v>
          </cell>
          <cell r="C168" t="str">
            <v>lb</v>
          </cell>
          <cell r="D168">
            <v>4.1500000000000004</v>
          </cell>
        </row>
        <row r="169">
          <cell r="B169" t="str">
            <v>Clover - White</v>
          </cell>
          <cell r="C169" t="str">
            <v>lb</v>
          </cell>
          <cell r="D169">
            <v>3.1</v>
          </cell>
        </row>
        <row r="170">
          <cell r="B170" t="str">
            <v>Creeping Foxtail</v>
          </cell>
          <cell r="C170" t="str">
            <v>lb</v>
          </cell>
          <cell r="D170">
            <v>6.25</v>
          </cell>
        </row>
        <row r="171">
          <cell r="B171" t="str">
            <v>Creeping Red Fescue</v>
          </cell>
          <cell r="C171" t="str">
            <v>lb</v>
          </cell>
          <cell r="D171">
            <v>1.25</v>
          </cell>
        </row>
        <row r="172">
          <cell r="B172" t="str">
            <v>Hairy Vetch</v>
          </cell>
          <cell r="C172" t="str">
            <v>lb</v>
          </cell>
          <cell r="D172">
            <v>1.95</v>
          </cell>
        </row>
        <row r="173">
          <cell r="B173" t="str">
            <v>Hairy Vetch (organic)</v>
          </cell>
          <cell r="C173" t="str">
            <v>lb</v>
          </cell>
          <cell r="D173">
            <v>2.4500000000000002</v>
          </cell>
        </row>
        <row r="174">
          <cell r="B174" t="str">
            <v>Kentucky Bluegrass</v>
          </cell>
          <cell r="C174" t="str">
            <v>lb</v>
          </cell>
          <cell r="D174">
            <v>1.65</v>
          </cell>
        </row>
        <row r="175">
          <cell r="B175" t="str">
            <v>Millet, Japanese (organic)</v>
          </cell>
          <cell r="C175" t="str">
            <v>lb</v>
          </cell>
          <cell r="D175">
            <v>1.5</v>
          </cell>
        </row>
        <row r="176">
          <cell r="B176" t="str">
            <v>Millet, Japanese</v>
          </cell>
          <cell r="C176" t="str">
            <v>lb</v>
          </cell>
          <cell r="D176">
            <v>1</v>
          </cell>
        </row>
        <row r="177">
          <cell r="B177" t="str">
            <v>Oats, bulk</v>
          </cell>
          <cell r="C177" t="str">
            <v>lb</v>
          </cell>
          <cell r="D177">
            <v>0.2</v>
          </cell>
        </row>
        <row r="178">
          <cell r="B178" t="str">
            <v>Oats (organic)</v>
          </cell>
          <cell r="C178" t="str">
            <v>lb</v>
          </cell>
          <cell r="D178">
            <v>0.35</v>
          </cell>
        </row>
        <row r="179">
          <cell r="B179" t="str">
            <v>Orchardgrass</v>
          </cell>
          <cell r="C179" t="str">
            <v>lb</v>
          </cell>
          <cell r="D179">
            <v>1.8</v>
          </cell>
        </row>
        <row r="180">
          <cell r="B180" t="str">
            <v>Orchardgrass (organic)</v>
          </cell>
          <cell r="C180" t="str">
            <v>lb</v>
          </cell>
          <cell r="D180">
            <v>3.05</v>
          </cell>
        </row>
        <row r="181">
          <cell r="B181" t="str">
            <v>Perrenial Pea</v>
          </cell>
          <cell r="C181" t="str">
            <v>lb</v>
          </cell>
          <cell r="D181">
            <v>20</v>
          </cell>
        </row>
        <row r="182">
          <cell r="B182" t="str">
            <v>Perrenial Ryegrass (Pennfine)</v>
          </cell>
          <cell r="C182" t="str">
            <v>lb</v>
          </cell>
          <cell r="D182">
            <v>1.25</v>
          </cell>
        </row>
        <row r="183">
          <cell r="B183" t="str">
            <v>Perrenial Ryegrass (Organic)</v>
          </cell>
          <cell r="C183" t="str">
            <v>lb</v>
          </cell>
          <cell r="D183">
            <v>2.65</v>
          </cell>
        </row>
        <row r="184">
          <cell r="B184" t="str">
            <v xml:space="preserve">Rape </v>
          </cell>
          <cell r="C184" t="str">
            <v>lb</v>
          </cell>
          <cell r="D184">
            <v>1.1000000000000001</v>
          </cell>
        </row>
        <row r="185">
          <cell r="B185" t="str">
            <v>Rape (organic)</v>
          </cell>
          <cell r="C185" t="str">
            <v>lb</v>
          </cell>
          <cell r="D185">
            <v>0.79</v>
          </cell>
        </row>
        <row r="186">
          <cell r="B186" t="str">
            <v>Reed Canarygrass**</v>
          </cell>
          <cell r="C186" t="str">
            <v>lb</v>
          </cell>
          <cell r="D186">
            <v>2.5499999999999998</v>
          </cell>
        </row>
        <row r="187">
          <cell r="B187" t="str">
            <v>Red Top</v>
          </cell>
          <cell r="C187" t="str">
            <v>lb</v>
          </cell>
          <cell r="D187">
            <v>4.2</v>
          </cell>
        </row>
        <row r="188">
          <cell r="B188" t="str">
            <v>Smooth Bromegrass</v>
          </cell>
          <cell r="C188" t="str">
            <v>lb</v>
          </cell>
          <cell r="D188">
            <v>1.8</v>
          </cell>
        </row>
        <row r="189">
          <cell r="B189" t="str">
            <v>Sudangrass</v>
          </cell>
          <cell r="C189" t="str">
            <v>lb</v>
          </cell>
          <cell r="D189">
            <v>0.4</v>
          </cell>
        </row>
        <row r="190">
          <cell r="B190" t="str">
            <v>Sudangrass (organic)</v>
          </cell>
          <cell r="C190" t="str">
            <v>lb</v>
          </cell>
          <cell r="D190">
            <v>0.72</v>
          </cell>
        </row>
        <row r="191">
          <cell r="B191" t="str">
            <v>Tall Fescue (Ky-31) **</v>
          </cell>
          <cell r="C191" t="str">
            <v>lb</v>
          </cell>
          <cell r="D191">
            <v>1.7</v>
          </cell>
        </row>
        <row r="192">
          <cell r="B192" t="str">
            <v>Tall Fescue (Low Endophyte ) **</v>
          </cell>
          <cell r="C192" t="str">
            <v>lb</v>
          </cell>
          <cell r="D192">
            <v>1.5</v>
          </cell>
        </row>
        <row r="193">
          <cell r="B193" t="str">
            <v>Tall fescue (Low Endophyte) (organic) **</v>
          </cell>
          <cell r="C193" t="str">
            <v>lb</v>
          </cell>
          <cell r="D193">
            <v>3.1</v>
          </cell>
        </row>
        <row r="194">
          <cell r="B194" t="str">
            <v>Timothy</v>
          </cell>
          <cell r="C194" t="str">
            <v>lb</v>
          </cell>
          <cell r="D194">
            <v>1.35</v>
          </cell>
        </row>
        <row r="195">
          <cell r="B195" t="str">
            <v>Timothy (organic)</v>
          </cell>
          <cell r="C195" t="str">
            <v>lb</v>
          </cell>
          <cell r="D195">
            <v>2.4</v>
          </cell>
        </row>
        <row r="196">
          <cell r="B196" t="str">
            <v>Triticale</v>
          </cell>
          <cell r="C196" t="str">
            <v>lb</v>
          </cell>
          <cell r="D196">
            <v>0.26</v>
          </cell>
        </row>
        <row r="197">
          <cell r="B197" t="str">
            <v>Triticale (organic)</v>
          </cell>
          <cell r="C197" t="str">
            <v>lb</v>
          </cell>
          <cell r="D197">
            <v>0.77</v>
          </cell>
        </row>
        <row r="198">
          <cell r="B198" t="str">
            <v>Wetland Mix</v>
          </cell>
          <cell r="C198" t="str">
            <v>lb</v>
          </cell>
          <cell r="D198">
            <v>55</v>
          </cell>
        </row>
        <row r="199">
          <cell r="B199" t="str">
            <v>Wildflower mix</v>
          </cell>
          <cell r="C199" t="str">
            <v>lb</v>
          </cell>
          <cell r="D199">
            <v>35</v>
          </cell>
        </row>
        <row r="200">
          <cell r="B200" t="str">
            <v>Winter Cereal Rye (in 50 lb bulk bags)</v>
          </cell>
          <cell r="C200" t="str">
            <v>lb</v>
          </cell>
          <cell r="D200">
            <v>0.23</v>
          </cell>
        </row>
        <row r="201">
          <cell r="B201" t="str">
            <v>Winter Cereal Rye (organic)</v>
          </cell>
          <cell r="C201" t="str">
            <v>lb</v>
          </cell>
          <cell r="D201">
            <v>0.5</v>
          </cell>
        </row>
        <row r="202">
          <cell r="B202" t="str">
            <v>Winter Cereal Rye (small quantity)</v>
          </cell>
          <cell r="C202" t="str">
            <v>lb</v>
          </cell>
        </row>
        <row r="203">
          <cell r="B203" t="str">
            <v>Inoculant (treats 50-60 lbs of legume)</v>
          </cell>
          <cell r="C203" t="str">
            <v>pk</v>
          </cell>
          <cell r="D203">
            <v>3.7</v>
          </cell>
        </row>
        <row r="205">
          <cell r="B205" t="str">
            <v>CATEGORY--SEEDS-WARMSEASON GRASS</v>
          </cell>
        </row>
        <row r="206">
          <cell r="B206" t="str">
            <v>Big Bluestem</v>
          </cell>
          <cell r="C206" t="str">
            <v>lb</v>
          </cell>
          <cell r="D206">
            <v>12</v>
          </cell>
        </row>
        <row r="207">
          <cell r="B207" t="str">
            <v>Deertongue</v>
          </cell>
          <cell r="C207" t="str">
            <v>lb</v>
          </cell>
          <cell r="D207">
            <v>16</v>
          </cell>
        </row>
        <row r="208">
          <cell r="B208" t="str">
            <v>Indiangrass</v>
          </cell>
          <cell r="C208" t="str">
            <v>lb</v>
          </cell>
          <cell r="D208">
            <v>12</v>
          </cell>
        </row>
        <row r="209">
          <cell r="B209" t="str">
            <v>Little Bluestem</v>
          </cell>
          <cell r="C209" t="str">
            <v>lb</v>
          </cell>
          <cell r="D209">
            <v>15.5</v>
          </cell>
        </row>
        <row r="210">
          <cell r="B210" t="str">
            <v>Sand Lovegrass</v>
          </cell>
          <cell r="C210" t="str">
            <v>lb</v>
          </cell>
          <cell r="D210">
            <v>9.25</v>
          </cell>
        </row>
        <row r="211">
          <cell r="B211" t="str">
            <v>Switchgrass</v>
          </cell>
          <cell r="C211" t="str">
            <v>lb</v>
          </cell>
          <cell r="D211">
            <v>7.85</v>
          </cell>
        </row>
        <row r="213">
          <cell r="B213" t="str">
            <v>CATEGORY--TREES, SHRUBS &amp; FORESTRY</v>
          </cell>
        </row>
        <row r="214">
          <cell r="B214" t="str">
            <v>Site preparation - mechanical</v>
          </cell>
          <cell r="C214" t="str">
            <v>ea</v>
          </cell>
          <cell r="D214">
            <v>100</v>
          </cell>
        </row>
        <row r="215">
          <cell r="B215" t="str">
            <v>Site preparation- chemical</v>
          </cell>
          <cell r="C215" t="str">
            <v>ea</v>
          </cell>
          <cell r="D215">
            <v>200</v>
          </cell>
        </row>
        <row r="216">
          <cell r="B216" t="str">
            <v>Tree or shrub, deciduous - 1-2 ft bare root</v>
          </cell>
          <cell r="C216" t="str">
            <v>ea</v>
          </cell>
          <cell r="D216">
            <v>1</v>
          </cell>
        </row>
        <row r="217">
          <cell r="B217" t="str">
            <v>Tree or shrub, deciduous - 2-3 ft bare root</v>
          </cell>
          <cell r="C217" t="str">
            <v>ea</v>
          </cell>
          <cell r="D217">
            <v>2</v>
          </cell>
        </row>
        <row r="218">
          <cell r="B218" t="str">
            <v>Tree or shrub, deciduous - 3-4 ft bare root</v>
          </cell>
          <cell r="C218" t="str">
            <v>ea</v>
          </cell>
          <cell r="D218">
            <v>2.5</v>
          </cell>
        </row>
        <row r="219">
          <cell r="B219" t="str">
            <v>Tree or shrub, deciduous - 4-5 ft bare root</v>
          </cell>
          <cell r="C219" t="str">
            <v>ea</v>
          </cell>
          <cell r="D219">
            <v>5</v>
          </cell>
        </row>
        <row r="220">
          <cell r="B220" t="str">
            <v>Tree or shrub, conifer - 1-2 ft bare root</v>
          </cell>
          <cell r="C220" t="str">
            <v>ea</v>
          </cell>
          <cell r="D220">
            <v>2</v>
          </cell>
        </row>
        <row r="221">
          <cell r="B221" t="str">
            <v>Tree or shrub, conifer - 2-3 ft bare root</v>
          </cell>
          <cell r="C221" t="str">
            <v>ea</v>
          </cell>
          <cell r="D221">
            <v>4</v>
          </cell>
        </row>
        <row r="222">
          <cell r="B222" t="str">
            <v>Tree or shrub, conifer - 3-4 ft bare root</v>
          </cell>
          <cell r="C222" t="str">
            <v>ea</v>
          </cell>
          <cell r="D222">
            <v>6</v>
          </cell>
        </row>
        <row r="223">
          <cell r="B223" t="str">
            <v>Tree or shrub, conifer - 4-5 ft bare root</v>
          </cell>
          <cell r="C223" t="str">
            <v>ea</v>
          </cell>
          <cell r="D223">
            <v>8</v>
          </cell>
        </row>
        <row r="224">
          <cell r="B224" t="str">
            <v>Tree or shrub, deciduous - 6-8 ft balled root</v>
          </cell>
          <cell r="C224" t="str">
            <v>ea</v>
          </cell>
          <cell r="D224">
            <v>12</v>
          </cell>
        </row>
        <row r="225">
          <cell r="B225" t="str">
            <v>Tree or shrub, deciduous - 8-10 ft balled root</v>
          </cell>
          <cell r="C225" t="str">
            <v>ea</v>
          </cell>
          <cell r="D225">
            <v>15</v>
          </cell>
        </row>
        <row r="226">
          <cell r="B226" t="str">
            <v>Tree or shrub, deciduous - 10-12 ft balled root</v>
          </cell>
          <cell r="C226" t="str">
            <v>ea</v>
          </cell>
          <cell r="D226">
            <v>20</v>
          </cell>
        </row>
        <row r="227">
          <cell r="B227" t="str">
            <v>Tree or shrub, conifer - 3-4 ft balled root</v>
          </cell>
          <cell r="C227" t="str">
            <v>ea</v>
          </cell>
          <cell r="D227">
            <v>8</v>
          </cell>
        </row>
        <row r="228">
          <cell r="B228" t="str">
            <v>Tree or shrub, conifer - 4-5 ft balled root</v>
          </cell>
          <cell r="C228" t="str">
            <v>ea</v>
          </cell>
          <cell r="D228">
            <v>12</v>
          </cell>
        </row>
        <row r="229">
          <cell r="B229" t="str">
            <v>Tree or shrub, conifer - 5-6 ft balled root</v>
          </cell>
          <cell r="C229" t="str">
            <v>ea</v>
          </cell>
          <cell r="D229">
            <v>20</v>
          </cell>
        </row>
        <row r="230">
          <cell r="B230" t="str">
            <v>Tree or shrub, conifer - 6-8 ft balled root</v>
          </cell>
          <cell r="C230" t="str">
            <v>ea</v>
          </cell>
          <cell r="D230">
            <v>35</v>
          </cell>
        </row>
        <row r="231">
          <cell r="B231" t="str">
            <v>Tree or shrub - 1-2 ft bare root, native</v>
          </cell>
          <cell r="C231" t="str">
            <v>ea</v>
          </cell>
          <cell r="D231">
            <v>2.5</v>
          </cell>
        </row>
        <row r="232">
          <cell r="B232" t="str">
            <v>Tree or shrub - 3-5 ft bare root, native</v>
          </cell>
          <cell r="C232" t="str">
            <v>ea</v>
          </cell>
          <cell r="D232">
            <v>3.5</v>
          </cell>
        </row>
        <row r="233">
          <cell r="B233" t="str">
            <v>Tree or shrub - 5-7 ft bare root, native</v>
          </cell>
          <cell r="C233" t="str">
            <v>ea</v>
          </cell>
          <cell r="D233">
            <v>4.5</v>
          </cell>
        </row>
        <row r="234">
          <cell r="B234" t="str">
            <v>Tublings, 6" conifers</v>
          </cell>
          <cell r="C234" t="str">
            <v>ea</v>
          </cell>
          <cell r="D234">
            <v>0.5</v>
          </cell>
        </row>
        <row r="235">
          <cell r="B235" t="str">
            <v>Tublings, 6" native</v>
          </cell>
          <cell r="C235" t="str">
            <v>ea</v>
          </cell>
          <cell r="D235">
            <v>2</v>
          </cell>
        </row>
        <row r="236">
          <cell r="B236" t="str">
            <v>Tree protectors with ties</v>
          </cell>
          <cell r="C236" t="str">
            <v>ea</v>
          </cell>
          <cell r="D236">
            <v>1</v>
          </cell>
        </row>
        <row r="237">
          <cell r="B237" t="str">
            <v>Brush mats with staples - 2x2 ft</v>
          </cell>
          <cell r="C237" t="str">
            <v>ea</v>
          </cell>
          <cell r="D237">
            <v>0.7</v>
          </cell>
        </row>
        <row r="238">
          <cell r="B238" t="str">
            <v>Brush mats with staples - 3x3 ft</v>
          </cell>
          <cell r="C238" t="str">
            <v>ea</v>
          </cell>
          <cell r="D238">
            <v>1</v>
          </cell>
        </row>
        <row r="239">
          <cell r="B239" t="str">
            <v>Stakes - 4 ft hardwood</v>
          </cell>
          <cell r="C239" t="str">
            <v>ea</v>
          </cell>
          <cell r="D239">
            <v>0.5</v>
          </cell>
        </row>
        <row r="240">
          <cell r="B240" t="str">
            <v>Labor - planting tree or shrub only</v>
          </cell>
          <cell r="C240" t="str">
            <v>ea</v>
          </cell>
          <cell r="D240">
            <v>2</v>
          </cell>
        </row>
        <row r="241">
          <cell r="B241" t="str">
            <v>Labor - planting tree or shrub with protector, mat and stake</v>
          </cell>
          <cell r="C241" t="str">
            <v>ea</v>
          </cell>
          <cell r="D241">
            <v>4</v>
          </cell>
        </row>
        <row r="242">
          <cell r="B242" t="str">
            <v>Tree or Shrub, labor, protector, mat and stake</v>
          </cell>
          <cell r="C242" t="str">
            <v>ea</v>
          </cell>
          <cell r="D242">
            <v>8.6999999999999993</v>
          </cell>
        </row>
        <row r="243">
          <cell r="B243" t="str">
            <v>Forestry, Timber Stand Improvement (TSI) girdling</v>
          </cell>
          <cell r="C243" t="str">
            <v>ac</v>
          </cell>
          <cell r="D243">
            <v>100</v>
          </cell>
        </row>
        <row r="244">
          <cell r="B244" t="str">
            <v xml:space="preserve">Forestry, Timber Stand Improvement (TSI) Marking </v>
          </cell>
          <cell r="C244" t="str">
            <v>ac</v>
          </cell>
          <cell r="D244">
            <v>30</v>
          </cell>
        </row>
        <row r="245">
          <cell r="B245" t="str">
            <v>Forestry, Timber Stand Improvement (TSI), Brush saw</v>
          </cell>
          <cell r="C245" t="str">
            <v>ac</v>
          </cell>
          <cell r="D245">
            <v>159</v>
          </cell>
        </row>
        <row r="246">
          <cell r="B246" t="str">
            <v>Forestry, Timber Stand Improvement (TSI), chain saw</v>
          </cell>
          <cell r="C246" t="str">
            <v>ac</v>
          </cell>
          <cell r="D246">
            <v>150</v>
          </cell>
        </row>
        <row r="248">
          <cell r="B248" t="str">
            <v>CATEGORY--WETLAND &amp; WILDLIFE</v>
          </cell>
        </row>
        <row r="249">
          <cell r="B249" t="str">
            <v>Apple Tree Release and Pruning (10 trees an acre)</v>
          </cell>
          <cell r="C249" t="str">
            <v>ea</v>
          </cell>
          <cell r="D249">
            <v>24</v>
          </cell>
        </row>
        <row r="250">
          <cell r="B250" t="str">
            <v>Brush and Tree Cutting, manual and light mechanical (chainsaw, brushsaw, etc)</v>
          </cell>
          <cell r="C250" t="str">
            <v>ac</v>
          </cell>
          <cell r="D250">
            <v>460</v>
          </cell>
        </row>
        <row r="251">
          <cell r="B251" t="str">
            <v>Brush and Tree Cutting, mechanical (brontosaurus)</v>
          </cell>
          <cell r="C251" t="str">
            <v>ac</v>
          </cell>
          <cell r="D251">
            <v>900</v>
          </cell>
        </row>
        <row r="252">
          <cell r="B252" t="str">
            <v>Brush and Tree Cutting, post commercial harvest</v>
          </cell>
          <cell r="C252" t="str">
            <v>ac</v>
          </cell>
          <cell r="D252">
            <v>260</v>
          </cell>
        </row>
        <row r="253">
          <cell r="B253" t="str">
            <v>Delayed Mowing/Brushhogging, light duty</v>
          </cell>
          <cell r="C253" t="str">
            <v>ac</v>
          </cell>
          <cell r="D253">
            <v>28</v>
          </cell>
        </row>
        <row r="254">
          <cell r="B254" t="str">
            <v>Brushhogging, heavy duty</v>
          </cell>
          <cell r="C254" t="str">
            <v>ac</v>
          </cell>
          <cell r="D254">
            <v>52</v>
          </cell>
        </row>
        <row r="255">
          <cell r="B255" t="str">
            <v>Control of Invasive Plants, 1st application (mechanical, chemical or biological)</v>
          </cell>
          <cell r="C255" t="str">
            <v>ac</v>
          </cell>
          <cell r="D255">
            <v>260</v>
          </cell>
        </row>
        <row r="256">
          <cell r="B256" t="str">
            <v>Control of Invasive Plants, 2nd application (mechanical, chemical or biological)</v>
          </cell>
          <cell r="C256" t="str">
            <v>ac</v>
          </cell>
          <cell r="D256">
            <v>160</v>
          </cell>
        </row>
        <row r="257">
          <cell r="B257" t="str">
            <v>Control of Invasive Plants, Light infestation 1st application</v>
          </cell>
          <cell r="C257" t="str">
            <v>ac</v>
          </cell>
          <cell r="D257">
            <v>60</v>
          </cell>
        </row>
        <row r="258">
          <cell r="B258" t="str">
            <v xml:space="preserve">Control of Invasive Plants, Light infestation 2nd application </v>
          </cell>
          <cell r="C258" t="str">
            <v>ac</v>
          </cell>
          <cell r="D258">
            <v>40</v>
          </cell>
        </row>
        <row r="259">
          <cell r="B259" t="str">
            <v>Forest Wildlife Habitat Improvement</v>
          </cell>
          <cell r="C259" t="str">
            <v>ac</v>
          </cell>
          <cell r="D259">
            <v>460</v>
          </cell>
        </row>
        <row r="260">
          <cell r="B260" t="str">
            <v>Lunker box (installed)</v>
          </cell>
          <cell r="C260" t="str">
            <v>ea</v>
          </cell>
          <cell r="D260">
            <v>250</v>
          </cell>
        </row>
        <row r="261">
          <cell r="B261" t="str">
            <v>Mast Tree Release (10 trees an acre)</v>
          </cell>
          <cell r="C261" t="str">
            <v>ea</v>
          </cell>
          <cell r="D261">
            <v>24</v>
          </cell>
        </row>
        <row r="262">
          <cell r="B262" t="str">
            <v xml:space="preserve">Prescribed Burning </v>
          </cell>
          <cell r="C262" t="str">
            <v>ac</v>
          </cell>
          <cell r="D262">
            <v>500</v>
          </cell>
        </row>
        <row r="263">
          <cell r="B263" t="str">
            <v>Vegetation Restoration – herbaceous plants (2" plugs)</v>
          </cell>
          <cell r="C263" t="str">
            <v>ea</v>
          </cell>
          <cell r="D263">
            <v>2</v>
          </cell>
        </row>
        <row r="264">
          <cell r="B264" t="str">
            <v>Vegetative Restoration – wetland seeding</v>
          </cell>
          <cell r="C264" t="str">
            <v>ac</v>
          </cell>
          <cell r="D264">
            <v>750</v>
          </cell>
        </row>
        <row r="266">
          <cell r="B266" t="str">
            <v>CATEGORY--OTHER</v>
          </cell>
        </row>
        <row r="267">
          <cell r="B267" t="str">
            <v>Herbicides, cost per acre (for corn)</v>
          </cell>
          <cell r="C267" t="str">
            <v>ac</v>
          </cell>
          <cell r="D267">
            <v>29.6</v>
          </cell>
        </row>
        <row r="268">
          <cell r="B268" t="str">
            <v>Labor, unskilled</v>
          </cell>
          <cell r="C268" t="str">
            <v>hr</v>
          </cell>
          <cell r="D268">
            <v>15</v>
          </cell>
        </row>
        <row r="269">
          <cell r="B269" t="str">
            <v>Labor, unskilled, with chainsaw</v>
          </cell>
          <cell r="C269" t="str">
            <v>hr</v>
          </cell>
          <cell r="D269">
            <v>20</v>
          </cell>
        </row>
        <row r="270">
          <cell r="B270" t="str">
            <v>Soil test, (standard agricultural soil test)</v>
          </cell>
          <cell r="C270" t="str">
            <v>ea</v>
          </cell>
          <cell r="D270">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654-IG Mix-LG"/>
      <sheetName val="654-IG Mix-MG"/>
      <sheetName val="654-IG Mix-HG"/>
      <sheetName val="654-IG Mix-LG-ECB"/>
      <sheetName val="654-IG Mix-MG-ECB"/>
      <sheetName val="654-IG Mix-HG-ECB"/>
      <sheetName val="654-NG-legume-LG"/>
      <sheetName val="654-NG-legume-MG"/>
      <sheetName val="654-NG-legume-HG"/>
      <sheetName val="654-NG-Forbs Mix-LG"/>
      <sheetName val="654-NG-Forbs Mix-MG"/>
      <sheetName val="654-NG-Forbs Mix-HG"/>
      <sheetName val="654-NG Mix X-MG-ECB"/>
      <sheetName val="654-NG Mix Y-MG-ECB"/>
    </sheetNames>
    <sheetDataSet>
      <sheetData sheetId="0">
        <row r="32">
          <cell r="AN32">
            <v>6.3125</v>
          </cell>
        </row>
        <row r="33">
          <cell r="AN33">
            <v>5.416666666666667</v>
          </cell>
        </row>
        <row r="34">
          <cell r="AN34">
            <v>5.5</v>
          </cell>
        </row>
        <row r="104">
          <cell r="C104">
            <v>20</v>
          </cell>
        </row>
        <row r="109">
          <cell r="A109" t="str">
            <v>Earthmoving: Light grading/shaping (1-2 hrs/ac)</v>
          </cell>
          <cell r="C109">
            <v>165.75</v>
          </cell>
        </row>
        <row r="111">
          <cell r="A111" t="str">
            <v>Earthmoving: Medium grading/shaping (2-6 hrs/ac)</v>
          </cell>
          <cell r="C111">
            <v>503.625</v>
          </cell>
        </row>
        <row r="113">
          <cell r="A113" t="str">
            <v>Earthmoving: Heavy grading/shaping (6-10 hrs/ac)</v>
          </cell>
          <cell r="C113">
            <v>835.125</v>
          </cell>
        </row>
        <row r="123">
          <cell r="A123" t="str">
            <v>Erosion Control Blanket, Type II (Installed)</v>
          </cell>
          <cell r="B123" t="str">
            <v>Sq Yd</v>
          </cell>
          <cell r="C123">
            <v>1.5750000000000002</v>
          </cell>
        </row>
        <row r="203">
          <cell r="C203">
            <v>8.75</v>
          </cell>
        </row>
        <row r="216">
          <cell r="A216" t="str">
            <v>Mowing</v>
          </cell>
          <cell r="C216">
            <v>15.5</v>
          </cell>
        </row>
        <row r="217">
          <cell r="A217" t="str">
            <v>Mulching (2 tons/ac applied)</v>
          </cell>
          <cell r="C217">
            <v>472.5</v>
          </cell>
        </row>
        <row r="228">
          <cell r="C228">
            <v>0.82427536231884069</v>
          </cell>
        </row>
        <row r="235">
          <cell r="C235">
            <v>1.1702898550724636</v>
          </cell>
        </row>
        <row r="246">
          <cell r="C246">
            <v>0.58825136612021856</v>
          </cell>
        </row>
        <row r="293">
          <cell r="A293" t="str">
            <v>Seed (4 species Forb Mixes 3, 4, 6, 9)</v>
          </cell>
        </row>
        <row r="307">
          <cell r="A307" t="str">
            <v>Seed (Prairie Dropseed)</v>
          </cell>
        </row>
        <row r="308">
          <cell r="A308" t="str">
            <v>Seed (Splitbeard Bluestem)</v>
          </cell>
        </row>
        <row r="309">
          <cell r="A309" t="str">
            <v>Seed (Native grass except Prairie Dropseed and Splitbeard Bluestem)</v>
          </cell>
        </row>
      </sheetData>
      <sheetData sheetId="1" refreshError="1"/>
      <sheetData sheetId="2">
        <row r="291">
          <cell r="A291" t="str">
            <v>Seed (4 native forb species mix)</v>
          </cell>
          <cell r="BE291">
            <v>28.74</v>
          </cell>
        </row>
        <row r="304">
          <cell r="BE304">
            <v>165.75</v>
          </cell>
        </row>
        <row r="305">
          <cell r="BE305">
            <v>78.666666666666671</v>
          </cell>
        </row>
        <row r="306">
          <cell r="BE306">
            <v>8.57</v>
          </cell>
        </row>
        <row r="307">
          <cell r="BE307">
            <v>1.68</v>
          </cell>
        </row>
        <row r="308">
          <cell r="BE308">
            <v>1.61</v>
          </cell>
        </row>
        <row r="309">
          <cell r="BE309">
            <v>2.75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2010 MRBI-EQIP"/>
      <sheetName val="2011 EQIP Schedule"/>
      <sheetName val="2010 WHIP Schedule"/>
      <sheetName val="2009 KY STATE PROG. Comparison"/>
      <sheetName val="2009 KY STATE PROG. EXPORT LIST"/>
      <sheetName val="Core Rates (2)"/>
      <sheetName val="Core Rates"/>
      <sheetName val="Core Rates 2010"/>
      <sheetName val="102-Small"/>
      <sheetName val="102-Moderate"/>
      <sheetName val="102-Large"/>
      <sheetName val="ECP Sched"/>
      <sheetName val="Index of all Scenarios"/>
      <sheetName val="102-CAP-CNMP nonDairy"/>
      <sheetName val="102-CAP-CNMP Dairy"/>
      <sheetName val="102-CNMP Appl Plng"/>
      <sheetName val="106 CAP-FMgt 10 to 50ac"/>
      <sheetName val="106 CAP-FMgt 51 to 150ac"/>
      <sheetName val="106 CAP-FMgt 151 to 300ac"/>
      <sheetName val="106 CAP-FMgt 301 to 500ac"/>
      <sheetName val="106-10 to 50Ac"/>
      <sheetName val="106-51 to 100Ac"/>
      <sheetName val="106-101 to 200Ac"/>
      <sheetName val="106-201 to 299Ac"/>
      <sheetName val="106-300 to 500Ac"/>
      <sheetName val="106 CAP-FMgt 500+ac"/>
      <sheetName val="313-Wet Sys 25AU"/>
      <sheetName val="313-Wet Sys 50AU"/>
      <sheetName val="313-Wet Sys 75AU"/>
      <sheetName val="313-Wet Sys 100AU"/>
      <sheetName val="313-Wet Sys 150AU"/>
      <sheetName val="313-Wet Sys 200AU"/>
      <sheetName val="313-Wet Sys 300AU"/>
      <sheetName val="313-Wet Sys 500AU"/>
      <sheetName val="313-Wet Sys Small"/>
      <sheetName val="313-Wet Sys Medium"/>
      <sheetName val="313-Wet Sys Large"/>
      <sheetName val="313-WDS 2 Hs 56-80 AU"/>
      <sheetName val="313-WDS 4 Hs 81-170 AU"/>
      <sheetName val="313-WDS to55 AU"/>
      <sheetName val="313-CDS to55 AU"/>
      <sheetName val="313-CDS 2 Hs 56-80 AU"/>
      <sheetName val="313-CDS 4 Hs 81-170 AU"/>
      <sheetName val="313-WODS to55 AU"/>
      <sheetName val="313-CODS to55 AU"/>
      <sheetName val="313-WODS 56-80 AU"/>
      <sheetName val="313-CODS 56-80 AU"/>
      <sheetName val="313-WODS 80+ AU"/>
      <sheetName val="313-CODS 80+ AU "/>
      <sheetName val="313-WLSDF 2 Hs "/>
      <sheetName val="313-CLSDF 2 Hs"/>
      <sheetName val="313-WLSDF 4 Hs"/>
      <sheetName val="313-CLSDF 4 Hs"/>
      <sheetName val="313-WLSDF 8 Hs"/>
      <sheetName val="313-CLSDF 8 Hs"/>
      <sheetName val="314-Cut St. of Inv. ≤200"/>
      <sheetName val="314-Cut St. of Inv. 200&lt;X≤400"/>
      <sheetName val="314-Cut St. of Inv. 400&lt;X≤1000"/>
      <sheetName val="314-Cut St. of Inv. 1000&lt;X≤1600"/>
      <sheetName val="314-Cut Stump of Inv. &gt;1600"/>
      <sheetName val="314-Foliar Spray of Inv."/>
      <sheetName val="315-OFR M"/>
      <sheetName val="315-OFR M+S"/>
      <sheetName val="315-OFR M+2S"/>
      <sheetName val="317-W2 Hs-250 Sow"/>
      <sheetName val="317-W4 Hs-530 Sow"/>
      <sheetName val="317-W6 Hs-790 Sow"/>
      <sheetName val="317-W8 Hs-1060 Sow "/>
      <sheetName val="317-C2 Hs-250 Sow"/>
      <sheetName val="317-C4 Hs-530 Sow "/>
      <sheetName val="317-C6 Hs-790 Sow"/>
      <sheetName val="317-C8 Hs-1060 Sow"/>
      <sheetName val="327-Pollinator Mix"/>
      <sheetName val="327-IG Mix-Conv."/>
      <sheetName val="327-IG Mix-NT"/>
      <sheetName val="327-NG-Legumes- NT"/>
      <sheetName val="327-NG-1#Forbs Mix"/>
      <sheetName val="327-NG-2# Forbs Mix"/>
      <sheetName val="328-Organic"/>
      <sheetName val="329 STIR&lt;30"/>
      <sheetName val="329 STIR&lt;15"/>
      <sheetName val="329 STIR&lt;8"/>
      <sheetName val="338 Prescribed Burn"/>
      <sheetName val="340 Herbicide-WHEAT &amp; Legume"/>
      <sheetName val="340 Roller-Herb-WHEAT &amp; Legume"/>
      <sheetName val="340 Roller-Herb-RYE &amp; Legumes"/>
      <sheetName val="340 Herbicide-RYE &amp; Legume"/>
      <sheetName val="340 Roller-RYE"/>
      <sheetName val="340 Roller-RYE-ORG"/>
      <sheetName val="340 Roller &amp; Herbicide-RYE"/>
      <sheetName val="340 Green Manure"/>
      <sheetName val="340 Green Manure-ORG"/>
      <sheetName val="342-IG Mix-LG"/>
      <sheetName val="342-IG Mix-MG"/>
      <sheetName val="342-IG Mix-HG"/>
      <sheetName val="342-IG Mix-LG-ECB"/>
      <sheetName val="342-IG Mix-MG-ECB"/>
      <sheetName val="342-IG Mix-HG-ECB"/>
      <sheetName val="342-NG-legume-LG"/>
      <sheetName val="342-NG-legume-MG"/>
      <sheetName val="342-NG-legume-HG"/>
      <sheetName val="342-NG-Forbs Mix-LG"/>
      <sheetName val="342-NG-Forbs Mix-MG"/>
      <sheetName val="342-NG-Forbs Mix-HG"/>
      <sheetName val="342-NG Mix X-MG-ECB"/>
      <sheetName val="342-NG Mix Y-MG-ECB"/>
      <sheetName val="359"/>
      <sheetName val="362"/>
      <sheetName val="378 EH up to 8 ft"/>
      <sheetName val="378 EH over 8 ft"/>
      <sheetName val="378 EXC"/>
      <sheetName val="381-just trees-conifers"/>
      <sheetName val="381-just trees-deciduous"/>
      <sheetName val="382-Deter."/>
      <sheetName val="382-Cont."/>
      <sheetName val="386-Nat. Regen."/>
      <sheetName val="386-IG Mix-Conv."/>
      <sheetName val="386-IG Mix-NT"/>
      <sheetName val="386-NG-Legumes- NT"/>
      <sheetName val="386-NG-1#Forbs Mix"/>
      <sheetName val="386-NG-2# Forbs Mix"/>
      <sheetName val="393-IG Mix-Conv."/>
      <sheetName val="393-IG Mix-NT"/>
      <sheetName val="393-NG-Legumes-NT"/>
      <sheetName val="393-NG-Forbs-NT"/>
      <sheetName val="410-Rock Chute 50 cfs 4 ft OF"/>
      <sheetName val="410-Rock Chute 100cfs 6 ft"/>
      <sheetName val="410-Rock Chute 150cfs 12 ft"/>
      <sheetName val="410-Rock Chute 200cfs 12 ft"/>
      <sheetName val="410-Rock Chute 250cfs 12 ft"/>
      <sheetName val="410-WPSD 8ftw-4ftOF"/>
      <sheetName val="410-WPSD 8ftw-4-8ftOF"/>
      <sheetName val="410-WPSD 16ftw-4ftOF"/>
      <sheetName val="410-WPSD 16ftw-4-8ftOF"/>
      <sheetName val="410-WPSD 24ftw-4ftOF"/>
      <sheetName val="410-WPSD 24ftw-4-8ftOF"/>
      <sheetName val="410-PIPE DROP STR"/>
      <sheetName val="412-ECB=80%"/>
      <sheetName val="412-ECB=80%+Tile"/>
      <sheetName val="412-ECB=40%"/>
      <sheetName val="412-ECB=40%+Tile"/>
      <sheetName val="412"/>
      <sheetName val="412-Tiled"/>
      <sheetName val="412-Rock Barriers+Tile"/>
      <sheetName val="412-Rock Barriers"/>
      <sheetName val="468-Type III Blanket"/>
      <sheetName val="468-Riprap"/>
      <sheetName val="472-WW w Setback"/>
      <sheetName val="472-Upland"/>
      <sheetName val="472-Upland w Setback"/>
      <sheetName val="511-Organic"/>
      <sheetName val="512-IG Mix-Conv"/>
      <sheetName val="512-ORG-IG Mix-Conv"/>
      <sheetName val="512-ORG-NG Mix-Conv"/>
      <sheetName val="512-IG Mix-NT"/>
      <sheetName val="512-NG Mix-NT"/>
      <sheetName val="512-NG-Gamagrass-NT"/>
      <sheetName val="516-Typical"/>
      <sheetName val="528 1st yr"/>
      <sheetName val="528 2nd yr"/>
      <sheetName val="528 3rd yr"/>
      <sheetName val="561"/>
      <sheetName val="575"/>
      <sheetName val="578-6"/>
      <sheetName val="578-10"/>
      <sheetName val="578-15"/>
      <sheetName val="580-2-4"/>
      <sheetName val="580-4-6"/>
      <sheetName val="580-6-8"/>
      <sheetName val="580-8-10"/>
      <sheetName val="580-10-12"/>
      <sheetName val="580-12-16"/>
      <sheetName val="580-16"/>
      <sheetName val="590-Small"/>
      <sheetName val="590-Moderate"/>
      <sheetName val="590-Large"/>
      <sheetName val="600"/>
      <sheetName val="516-Rock&lt;12in"/>
      <sheetName val="516-Rock&gt;12in"/>
      <sheetName val="574-SpDev typical"/>
      <sheetName val="574-SpDev w_storage"/>
      <sheetName val="595-Organic"/>
      <sheetName val="612 no cover"/>
      <sheetName val="612 with cover"/>
      <sheetName val="612 potted plants"/>
      <sheetName val="614-Rock"/>
      <sheetName val="614-Concrete"/>
      <sheetName val="638-250 cy"/>
      <sheetName val="638-500 cy"/>
      <sheetName val="638-750 cy"/>
      <sheetName val="614-Rubber Tire"/>
      <sheetName val="635-IG Mix-Conv."/>
      <sheetName val="643-Clearing"/>
      <sheetName val="643-Mow"/>
      <sheetName val="643-Mow+Spray"/>
      <sheetName val="643-Mow+2Sprays"/>
      <sheetName val="643-Prairie Est.-NG-7 Forb Mix"/>
      <sheetName val="645-Strip Disk"/>
      <sheetName val="646-Ephemera Pool"/>
      <sheetName val="646-&lt;3Acres"/>
      <sheetName val="646- 3-7 Acres"/>
      <sheetName val="646- &gt;7 Acres"/>
      <sheetName val="646- Excavated"/>
      <sheetName val="313-Summary"/>
      <sheetName val="612 EnPltg-100-200"/>
      <sheetName val="612 EnPltg 201-300"/>
      <sheetName val="612 EnPltg 100-200 herb appld"/>
      <sheetName val="612 EnPltg 201-300 herb appld"/>
      <sheetName val="Payment Factors"/>
      <sheetName val="635-IG Mix-NT"/>
      <sheetName val="642"/>
      <sheetName val="645-EF "/>
      <sheetName val="645-Cave Gate"/>
      <sheetName val="655 - Med. Grading"/>
      <sheetName val="655 - Heavy Grading"/>
      <sheetName val="655 - Very Heavy Grading"/>
      <sheetName val="666-Clearing"/>
    </sheetNames>
    <sheetDataSet>
      <sheetData sheetId="0"/>
      <sheetData sheetId="1"/>
      <sheetData sheetId="2"/>
      <sheetData sheetId="3"/>
      <sheetData sheetId="4"/>
      <sheetData sheetId="5"/>
      <sheetData sheetId="6">
        <row r="99">
          <cell r="A99" t="str">
            <v>Disking</v>
          </cell>
        </row>
      </sheetData>
      <sheetData sheetId="7"/>
      <sheetData sheetId="8">
        <row r="6">
          <cell r="B6">
            <v>102</v>
          </cell>
        </row>
      </sheetData>
      <sheetData sheetId="9">
        <row r="6">
          <cell r="B6">
            <v>102</v>
          </cell>
        </row>
      </sheetData>
      <sheetData sheetId="10">
        <row r="6">
          <cell r="B6">
            <v>102</v>
          </cell>
        </row>
      </sheetData>
      <sheetData sheetId="11"/>
      <sheetData sheetId="12"/>
      <sheetData sheetId="13">
        <row r="6">
          <cell r="B6">
            <v>102</v>
          </cell>
        </row>
      </sheetData>
      <sheetData sheetId="14">
        <row r="6">
          <cell r="B6">
            <v>102</v>
          </cell>
        </row>
      </sheetData>
      <sheetData sheetId="15">
        <row r="6">
          <cell r="B6">
            <v>102</v>
          </cell>
        </row>
      </sheetData>
      <sheetData sheetId="16"/>
      <sheetData sheetId="17">
        <row r="6">
          <cell r="B6">
            <v>106</v>
          </cell>
        </row>
      </sheetData>
      <sheetData sheetId="18">
        <row r="6">
          <cell r="C6" t="str">
            <v>EQIP</v>
          </cell>
        </row>
      </sheetData>
      <sheetData sheetId="19">
        <row r="6">
          <cell r="C6" t="str">
            <v>EQIP</v>
          </cell>
        </row>
      </sheetData>
      <sheetData sheetId="20"/>
      <sheetData sheetId="21"/>
      <sheetData sheetId="22"/>
      <sheetData sheetId="23"/>
      <sheetData sheetId="24"/>
      <sheetData sheetId="25">
        <row r="6">
          <cell r="B6">
            <v>106</v>
          </cell>
        </row>
      </sheetData>
      <sheetData sheetId="26">
        <row r="6">
          <cell r="B6">
            <v>313</v>
          </cell>
        </row>
      </sheetData>
      <sheetData sheetId="27">
        <row r="6">
          <cell r="B6">
            <v>313</v>
          </cell>
        </row>
      </sheetData>
      <sheetData sheetId="28">
        <row r="6">
          <cell r="B6">
            <v>313</v>
          </cell>
        </row>
      </sheetData>
      <sheetData sheetId="29">
        <row r="6">
          <cell r="B6">
            <v>313</v>
          </cell>
        </row>
      </sheetData>
      <sheetData sheetId="30">
        <row r="6">
          <cell r="B6">
            <v>313</v>
          </cell>
        </row>
      </sheetData>
      <sheetData sheetId="31">
        <row r="6">
          <cell r="B6">
            <v>313</v>
          </cell>
        </row>
      </sheetData>
      <sheetData sheetId="32">
        <row r="6">
          <cell r="B6">
            <v>313</v>
          </cell>
        </row>
      </sheetData>
      <sheetData sheetId="33">
        <row r="6">
          <cell r="B6">
            <v>313</v>
          </cell>
        </row>
      </sheetData>
      <sheetData sheetId="34">
        <row r="6">
          <cell r="B6">
            <v>313</v>
          </cell>
        </row>
      </sheetData>
      <sheetData sheetId="35">
        <row r="6">
          <cell r="B6">
            <v>313</v>
          </cell>
        </row>
      </sheetData>
      <sheetData sheetId="36">
        <row r="6">
          <cell r="B6">
            <v>313</v>
          </cell>
        </row>
      </sheetData>
      <sheetData sheetId="37">
        <row r="6">
          <cell r="B6">
            <v>313</v>
          </cell>
        </row>
      </sheetData>
      <sheetData sheetId="38">
        <row r="6">
          <cell r="B6">
            <v>313</v>
          </cell>
        </row>
      </sheetData>
      <sheetData sheetId="39">
        <row r="6">
          <cell r="B6">
            <v>313</v>
          </cell>
        </row>
      </sheetData>
      <sheetData sheetId="40">
        <row r="6">
          <cell r="B6">
            <v>313</v>
          </cell>
        </row>
      </sheetData>
      <sheetData sheetId="41">
        <row r="6">
          <cell r="B6">
            <v>313</v>
          </cell>
        </row>
      </sheetData>
      <sheetData sheetId="42">
        <row r="6">
          <cell r="B6">
            <v>313</v>
          </cell>
        </row>
      </sheetData>
      <sheetData sheetId="43">
        <row r="6">
          <cell r="B6">
            <v>313</v>
          </cell>
        </row>
      </sheetData>
      <sheetData sheetId="44">
        <row r="6">
          <cell r="B6">
            <v>313</v>
          </cell>
        </row>
      </sheetData>
      <sheetData sheetId="45">
        <row r="6">
          <cell r="B6">
            <v>313</v>
          </cell>
        </row>
      </sheetData>
      <sheetData sheetId="46">
        <row r="6">
          <cell r="B6">
            <v>313</v>
          </cell>
        </row>
      </sheetData>
      <sheetData sheetId="47">
        <row r="6">
          <cell r="B6">
            <v>313</v>
          </cell>
        </row>
      </sheetData>
      <sheetData sheetId="48">
        <row r="6">
          <cell r="B6">
            <v>313</v>
          </cell>
        </row>
      </sheetData>
      <sheetData sheetId="49">
        <row r="6">
          <cell r="B6">
            <v>313</v>
          </cell>
        </row>
      </sheetData>
      <sheetData sheetId="50">
        <row r="6">
          <cell r="B6">
            <v>313</v>
          </cell>
        </row>
      </sheetData>
      <sheetData sheetId="51">
        <row r="6">
          <cell r="B6">
            <v>313</v>
          </cell>
        </row>
      </sheetData>
      <sheetData sheetId="52">
        <row r="6">
          <cell r="B6">
            <v>313</v>
          </cell>
        </row>
      </sheetData>
      <sheetData sheetId="53">
        <row r="6">
          <cell r="B6">
            <v>313</v>
          </cell>
        </row>
      </sheetData>
      <sheetData sheetId="54">
        <row r="6">
          <cell r="B6">
            <v>313</v>
          </cell>
        </row>
      </sheetData>
      <sheetData sheetId="55">
        <row r="6">
          <cell r="B6">
            <v>314</v>
          </cell>
        </row>
      </sheetData>
      <sheetData sheetId="56">
        <row r="6">
          <cell r="B6">
            <v>314</v>
          </cell>
        </row>
      </sheetData>
      <sheetData sheetId="57">
        <row r="6">
          <cell r="B6">
            <v>314</v>
          </cell>
        </row>
      </sheetData>
      <sheetData sheetId="58">
        <row r="6">
          <cell r="B6">
            <v>314</v>
          </cell>
        </row>
      </sheetData>
      <sheetData sheetId="59">
        <row r="6">
          <cell r="B6">
            <v>314</v>
          </cell>
        </row>
      </sheetData>
      <sheetData sheetId="60">
        <row r="6">
          <cell r="B6">
            <v>314</v>
          </cell>
        </row>
      </sheetData>
      <sheetData sheetId="61">
        <row r="6">
          <cell r="B6">
            <v>315</v>
          </cell>
        </row>
      </sheetData>
      <sheetData sheetId="62">
        <row r="6">
          <cell r="B6">
            <v>315</v>
          </cell>
        </row>
      </sheetData>
      <sheetData sheetId="63">
        <row r="6">
          <cell r="B6">
            <v>315</v>
          </cell>
        </row>
      </sheetData>
      <sheetData sheetId="64">
        <row r="6">
          <cell r="B6">
            <v>317</v>
          </cell>
        </row>
      </sheetData>
      <sheetData sheetId="65">
        <row r="6">
          <cell r="B6">
            <v>317</v>
          </cell>
        </row>
      </sheetData>
      <sheetData sheetId="66">
        <row r="6">
          <cell r="B6">
            <v>317</v>
          </cell>
        </row>
      </sheetData>
      <sheetData sheetId="67">
        <row r="6">
          <cell r="B6">
            <v>317</v>
          </cell>
        </row>
      </sheetData>
      <sheetData sheetId="68">
        <row r="6">
          <cell r="B6">
            <v>317</v>
          </cell>
        </row>
      </sheetData>
      <sheetData sheetId="69">
        <row r="6">
          <cell r="B6">
            <v>317</v>
          </cell>
        </row>
      </sheetData>
      <sheetData sheetId="70">
        <row r="6">
          <cell r="B6">
            <v>317</v>
          </cell>
        </row>
      </sheetData>
      <sheetData sheetId="71">
        <row r="6">
          <cell r="B6">
            <v>317</v>
          </cell>
        </row>
      </sheetData>
      <sheetData sheetId="72">
        <row r="6">
          <cell r="B6">
            <v>327</v>
          </cell>
        </row>
      </sheetData>
      <sheetData sheetId="73"/>
      <sheetData sheetId="74"/>
      <sheetData sheetId="75"/>
      <sheetData sheetId="76"/>
      <sheetData sheetId="77"/>
      <sheetData sheetId="78">
        <row r="6">
          <cell r="E6" t="str">
            <v>Conservation Crop Rotation - Develop and implement a crop rotation with average soil losses within acceptable levels (T) - 'ORGANIC' OR 'TRANSITION TO ORGANIC' ONLY</v>
          </cell>
        </row>
      </sheetData>
      <sheetData sheetId="79">
        <row r="6">
          <cell r="B6">
            <v>329</v>
          </cell>
        </row>
      </sheetData>
      <sheetData sheetId="80">
        <row r="6">
          <cell r="B6">
            <v>329</v>
          </cell>
        </row>
      </sheetData>
      <sheetData sheetId="81">
        <row r="6">
          <cell r="B6">
            <v>329</v>
          </cell>
        </row>
      </sheetData>
      <sheetData sheetId="82">
        <row r="6">
          <cell r="G6">
            <v>59.821875000000006</v>
          </cell>
        </row>
      </sheetData>
      <sheetData sheetId="83"/>
      <sheetData sheetId="84"/>
      <sheetData sheetId="85"/>
      <sheetData sheetId="86"/>
      <sheetData sheetId="87"/>
      <sheetData sheetId="88"/>
      <sheetData sheetId="89"/>
      <sheetData sheetId="90"/>
      <sheetData sheetId="91"/>
      <sheetData sheetId="92">
        <row r="6">
          <cell r="B6">
            <v>342</v>
          </cell>
        </row>
      </sheetData>
      <sheetData sheetId="93">
        <row r="6">
          <cell r="B6">
            <v>342</v>
          </cell>
        </row>
      </sheetData>
      <sheetData sheetId="94">
        <row r="6">
          <cell r="B6">
            <v>342</v>
          </cell>
        </row>
      </sheetData>
      <sheetData sheetId="95">
        <row r="6">
          <cell r="B6">
            <v>342</v>
          </cell>
        </row>
      </sheetData>
      <sheetData sheetId="96">
        <row r="6">
          <cell r="B6">
            <v>342</v>
          </cell>
        </row>
      </sheetData>
      <sheetData sheetId="97">
        <row r="6">
          <cell r="B6">
            <v>342</v>
          </cell>
        </row>
      </sheetData>
      <sheetData sheetId="98">
        <row r="6">
          <cell r="B6">
            <v>342</v>
          </cell>
        </row>
      </sheetData>
      <sheetData sheetId="99">
        <row r="6">
          <cell r="B6">
            <v>342</v>
          </cell>
        </row>
      </sheetData>
      <sheetData sheetId="100">
        <row r="6">
          <cell r="B6">
            <v>342</v>
          </cell>
        </row>
      </sheetData>
      <sheetData sheetId="101">
        <row r="6">
          <cell r="B6">
            <v>342</v>
          </cell>
        </row>
      </sheetData>
      <sheetData sheetId="102">
        <row r="6">
          <cell r="B6">
            <v>342</v>
          </cell>
        </row>
      </sheetData>
      <sheetData sheetId="103">
        <row r="6">
          <cell r="B6">
            <v>342</v>
          </cell>
        </row>
      </sheetData>
      <sheetData sheetId="104">
        <row r="6">
          <cell r="B6">
            <v>342</v>
          </cell>
        </row>
      </sheetData>
      <sheetData sheetId="105">
        <row r="6">
          <cell r="B6">
            <v>342</v>
          </cell>
        </row>
      </sheetData>
      <sheetData sheetId="106">
        <row r="6">
          <cell r="B6">
            <v>359</v>
          </cell>
        </row>
      </sheetData>
      <sheetData sheetId="107">
        <row r="6">
          <cell r="B6">
            <v>362</v>
          </cell>
        </row>
      </sheetData>
      <sheetData sheetId="108">
        <row r="6">
          <cell r="B6">
            <v>378</v>
          </cell>
        </row>
      </sheetData>
      <sheetData sheetId="109">
        <row r="6">
          <cell r="B6">
            <v>378</v>
          </cell>
        </row>
      </sheetData>
      <sheetData sheetId="110">
        <row r="6">
          <cell r="B6">
            <v>378</v>
          </cell>
        </row>
      </sheetData>
      <sheetData sheetId="111">
        <row r="6">
          <cell r="B6">
            <v>381</v>
          </cell>
        </row>
      </sheetData>
      <sheetData sheetId="112">
        <row r="6">
          <cell r="B6">
            <v>381</v>
          </cell>
        </row>
      </sheetData>
      <sheetData sheetId="113">
        <row r="6">
          <cell r="B6">
            <v>382</v>
          </cell>
        </row>
      </sheetData>
      <sheetData sheetId="114">
        <row r="6">
          <cell r="B6">
            <v>382</v>
          </cell>
        </row>
      </sheetData>
      <sheetData sheetId="115">
        <row r="6">
          <cell r="B6">
            <v>386</v>
          </cell>
        </row>
      </sheetData>
      <sheetData sheetId="116">
        <row r="6">
          <cell r="B6">
            <v>386</v>
          </cell>
        </row>
      </sheetData>
      <sheetData sheetId="117">
        <row r="6">
          <cell r="B6">
            <v>386</v>
          </cell>
        </row>
      </sheetData>
      <sheetData sheetId="118">
        <row r="6">
          <cell r="B6">
            <v>386</v>
          </cell>
        </row>
      </sheetData>
      <sheetData sheetId="119">
        <row r="6">
          <cell r="B6">
            <v>386</v>
          </cell>
        </row>
      </sheetData>
      <sheetData sheetId="120">
        <row r="6">
          <cell r="B6">
            <v>386</v>
          </cell>
        </row>
      </sheetData>
      <sheetData sheetId="121">
        <row r="6">
          <cell r="B6">
            <v>393</v>
          </cell>
        </row>
      </sheetData>
      <sheetData sheetId="122">
        <row r="6">
          <cell r="B6">
            <v>393</v>
          </cell>
        </row>
      </sheetData>
      <sheetData sheetId="123">
        <row r="6">
          <cell r="B6">
            <v>393</v>
          </cell>
        </row>
      </sheetData>
      <sheetData sheetId="124">
        <row r="6">
          <cell r="B6">
            <v>393</v>
          </cell>
        </row>
      </sheetData>
      <sheetData sheetId="125">
        <row r="6">
          <cell r="B6">
            <v>410</v>
          </cell>
        </row>
      </sheetData>
      <sheetData sheetId="126">
        <row r="6">
          <cell r="B6">
            <v>410</v>
          </cell>
        </row>
      </sheetData>
      <sheetData sheetId="127">
        <row r="6">
          <cell r="B6">
            <v>410</v>
          </cell>
        </row>
      </sheetData>
      <sheetData sheetId="128">
        <row r="6">
          <cell r="B6">
            <v>410</v>
          </cell>
        </row>
      </sheetData>
      <sheetData sheetId="129">
        <row r="6">
          <cell r="B6">
            <v>410</v>
          </cell>
        </row>
      </sheetData>
      <sheetData sheetId="130">
        <row r="6">
          <cell r="B6">
            <v>410</v>
          </cell>
        </row>
      </sheetData>
      <sheetData sheetId="131">
        <row r="6">
          <cell r="B6">
            <v>410</v>
          </cell>
        </row>
      </sheetData>
      <sheetData sheetId="132">
        <row r="6">
          <cell r="B6">
            <v>410</v>
          </cell>
        </row>
      </sheetData>
      <sheetData sheetId="133">
        <row r="6">
          <cell r="B6">
            <v>410</v>
          </cell>
        </row>
      </sheetData>
      <sheetData sheetId="134">
        <row r="6">
          <cell r="B6">
            <v>410</v>
          </cell>
        </row>
      </sheetData>
      <sheetData sheetId="135">
        <row r="6">
          <cell r="B6">
            <v>410</v>
          </cell>
        </row>
      </sheetData>
      <sheetData sheetId="136">
        <row r="6">
          <cell r="B6">
            <v>410</v>
          </cell>
        </row>
      </sheetData>
      <sheetData sheetId="137">
        <row r="6">
          <cell r="B6">
            <v>412</v>
          </cell>
        </row>
      </sheetData>
      <sheetData sheetId="138">
        <row r="6">
          <cell r="B6">
            <v>412</v>
          </cell>
        </row>
      </sheetData>
      <sheetData sheetId="139">
        <row r="6">
          <cell r="B6">
            <v>412</v>
          </cell>
        </row>
      </sheetData>
      <sheetData sheetId="140">
        <row r="6">
          <cell r="B6">
            <v>412</v>
          </cell>
        </row>
      </sheetData>
      <sheetData sheetId="141">
        <row r="6">
          <cell r="B6">
            <v>412</v>
          </cell>
        </row>
      </sheetData>
      <sheetData sheetId="142">
        <row r="6">
          <cell r="B6">
            <v>412</v>
          </cell>
        </row>
      </sheetData>
      <sheetData sheetId="143">
        <row r="6">
          <cell r="B6">
            <v>412</v>
          </cell>
        </row>
      </sheetData>
      <sheetData sheetId="144">
        <row r="6">
          <cell r="B6">
            <v>412</v>
          </cell>
        </row>
      </sheetData>
      <sheetData sheetId="145">
        <row r="6">
          <cell r="B6">
            <v>468</v>
          </cell>
        </row>
      </sheetData>
      <sheetData sheetId="146">
        <row r="6">
          <cell r="B6">
            <v>468</v>
          </cell>
        </row>
      </sheetData>
      <sheetData sheetId="147">
        <row r="6">
          <cell r="B6">
            <v>472</v>
          </cell>
        </row>
      </sheetData>
      <sheetData sheetId="148">
        <row r="6">
          <cell r="B6">
            <v>472</v>
          </cell>
        </row>
      </sheetData>
      <sheetData sheetId="149">
        <row r="6">
          <cell r="B6">
            <v>472</v>
          </cell>
        </row>
      </sheetData>
      <sheetData sheetId="150">
        <row r="6">
          <cell r="B6">
            <v>511</v>
          </cell>
        </row>
      </sheetData>
      <sheetData sheetId="151">
        <row r="6">
          <cell r="B6">
            <v>512</v>
          </cell>
        </row>
      </sheetData>
      <sheetData sheetId="152">
        <row r="6">
          <cell r="B6">
            <v>512</v>
          </cell>
        </row>
      </sheetData>
      <sheetData sheetId="153">
        <row r="6">
          <cell r="B6">
            <v>512</v>
          </cell>
        </row>
      </sheetData>
      <sheetData sheetId="154">
        <row r="6">
          <cell r="B6">
            <v>512</v>
          </cell>
        </row>
      </sheetData>
      <sheetData sheetId="155">
        <row r="6">
          <cell r="B6">
            <v>512</v>
          </cell>
        </row>
      </sheetData>
      <sheetData sheetId="156">
        <row r="6">
          <cell r="B6">
            <v>512</v>
          </cell>
        </row>
      </sheetData>
      <sheetData sheetId="157">
        <row r="6">
          <cell r="B6">
            <v>516</v>
          </cell>
        </row>
      </sheetData>
      <sheetData sheetId="158">
        <row r="6">
          <cell r="B6">
            <v>528</v>
          </cell>
        </row>
      </sheetData>
      <sheetData sheetId="159">
        <row r="6">
          <cell r="B6">
            <v>528</v>
          </cell>
        </row>
      </sheetData>
      <sheetData sheetId="160">
        <row r="6">
          <cell r="B6">
            <v>528</v>
          </cell>
        </row>
      </sheetData>
      <sheetData sheetId="161">
        <row r="6">
          <cell r="B6">
            <v>561</v>
          </cell>
        </row>
      </sheetData>
      <sheetData sheetId="162">
        <row r="6">
          <cell r="B6">
            <v>575</v>
          </cell>
        </row>
      </sheetData>
      <sheetData sheetId="163">
        <row r="6">
          <cell r="B6">
            <v>578</v>
          </cell>
        </row>
      </sheetData>
      <sheetData sheetId="164">
        <row r="6">
          <cell r="B6">
            <v>578</v>
          </cell>
        </row>
      </sheetData>
      <sheetData sheetId="165">
        <row r="6">
          <cell r="B6">
            <v>578</v>
          </cell>
        </row>
      </sheetData>
      <sheetData sheetId="166">
        <row r="6">
          <cell r="B6">
            <v>580</v>
          </cell>
        </row>
      </sheetData>
      <sheetData sheetId="167">
        <row r="6">
          <cell r="B6">
            <v>580</v>
          </cell>
        </row>
      </sheetData>
      <sheetData sheetId="168">
        <row r="6">
          <cell r="B6">
            <v>580</v>
          </cell>
        </row>
      </sheetData>
      <sheetData sheetId="169">
        <row r="6">
          <cell r="B6">
            <v>580</v>
          </cell>
        </row>
      </sheetData>
      <sheetData sheetId="170">
        <row r="6">
          <cell r="B6">
            <v>580</v>
          </cell>
        </row>
      </sheetData>
      <sheetData sheetId="171">
        <row r="6">
          <cell r="B6">
            <v>580</v>
          </cell>
        </row>
      </sheetData>
      <sheetData sheetId="172">
        <row r="6">
          <cell r="B6">
            <v>580</v>
          </cell>
        </row>
      </sheetData>
      <sheetData sheetId="173">
        <row r="6">
          <cell r="B6">
            <v>590</v>
          </cell>
        </row>
      </sheetData>
      <sheetData sheetId="174">
        <row r="6">
          <cell r="B6">
            <v>590</v>
          </cell>
        </row>
      </sheetData>
      <sheetData sheetId="175">
        <row r="6">
          <cell r="B6">
            <v>590</v>
          </cell>
        </row>
      </sheetData>
      <sheetData sheetId="176">
        <row r="6">
          <cell r="B6">
            <v>600</v>
          </cell>
        </row>
      </sheetData>
      <sheetData sheetId="177">
        <row r="6">
          <cell r="E6" t="str">
            <v>Pipeline - Installation in rock conditions &lt; 12 inches</v>
          </cell>
        </row>
      </sheetData>
      <sheetData sheetId="178">
        <row r="6">
          <cell r="E6" t="str">
            <v>Pipeline - Installation in rock conditions &gt; 12 inches</v>
          </cell>
        </row>
      </sheetData>
      <sheetData sheetId="179">
        <row r="6">
          <cell r="E6" t="str">
            <v>Spring Development - with concrete cutoff wall</v>
          </cell>
        </row>
      </sheetData>
      <sheetData sheetId="180">
        <row r="6">
          <cell r="B6">
            <v>574</v>
          </cell>
        </row>
      </sheetData>
      <sheetData sheetId="181">
        <row r="6">
          <cell r="B6">
            <v>595</v>
          </cell>
        </row>
      </sheetData>
      <sheetData sheetId="182">
        <row r="6">
          <cell r="B6">
            <v>612</v>
          </cell>
        </row>
      </sheetData>
      <sheetData sheetId="183">
        <row r="6">
          <cell r="B6">
            <v>612</v>
          </cell>
        </row>
      </sheetData>
      <sheetData sheetId="184">
        <row r="6">
          <cell r="B6">
            <v>612</v>
          </cell>
        </row>
      </sheetData>
      <sheetData sheetId="185">
        <row r="6">
          <cell r="B6">
            <v>614</v>
          </cell>
        </row>
      </sheetData>
      <sheetData sheetId="186">
        <row r="6">
          <cell r="B6">
            <v>614</v>
          </cell>
        </row>
      </sheetData>
      <sheetData sheetId="187">
        <row r="6">
          <cell r="B6">
            <v>638</v>
          </cell>
        </row>
      </sheetData>
      <sheetData sheetId="188">
        <row r="6">
          <cell r="B6">
            <v>638</v>
          </cell>
        </row>
      </sheetData>
      <sheetData sheetId="189">
        <row r="6">
          <cell r="B6">
            <v>638</v>
          </cell>
        </row>
      </sheetData>
      <sheetData sheetId="190"/>
      <sheetData sheetId="191">
        <row r="6">
          <cell r="G6">
            <v>243.71344678813256</v>
          </cell>
        </row>
      </sheetData>
      <sheetData sheetId="192">
        <row r="6">
          <cell r="B6">
            <v>643</v>
          </cell>
        </row>
      </sheetData>
      <sheetData sheetId="193">
        <row r="6">
          <cell r="B6">
            <v>643</v>
          </cell>
        </row>
      </sheetData>
      <sheetData sheetId="194">
        <row r="6">
          <cell r="B6">
            <v>643</v>
          </cell>
        </row>
      </sheetData>
      <sheetData sheetId="195">
        <row r="6">
          <cell r="B6">
            <v>643</v>
          </cell>
        </row>
      </sheetData>
      <sheetData sheetId="196">
        <row r="6">
          <cell r="B6">
            <v>643</v>
          </cell>
        </row>
      </sheetData>
      <sheetData sheetId="197">
        <row r="6">
          <cell r="B6">
            <v>645</v>
          </cell>
        </row>
      </sheetData>
      <sheetData sheetId="198">
        <row r="6">
          <cell r="B6">
            <v>646</v>
          </cell>
        </row>
      </sheetData>
      <sheetData sheetId="199">
        <row r="6">
          <cell r="B6">
            <v>646</v>
          </cell>
        </row>
      </sheetData>
      <sheetData sheetId="200">
        <row r="6">
          <cell r="B6">
            <v>646</v>
          </cell>
        </row>
      </sheetData>
      <sheetData sheetId="201">
        <row r="6">
          <cell r="B6">
            <v>646</v>
          </cell>
        </row>
      </sheetData>
      <sheetData sheetId="202">
        <row r="6">
          <cell r="B6">
            <v>646</v>
          </cell>
        </row>
      </sheetData>
      <sheetData sheetId="203"/>
      <sheetData sheetId="204">
        <row r="6">
          <cell r="E6" t="str">
            <v>Tree &amp; Shrub Est.-Enrichment Planting no herb. Req'd 100-200 seedlings</v>
          </cell>
        </row>
      </sheetData>
      <sheetData sheetId="205">
        <row r="6">
          <cell r="E6" t="str">
            <v>Tree &amp; Shrub Est.-Enrichment Planting no herb. Req'd 201-300 seedlings</v>
          </cell>
        </row>
      </sheetData>
      <sheetData sheetId="206">
        <row r="6">
          <cell r="E6" t="str">
            <v>Tree &amp; Shrub Est.-Enrichment Planting w/herb. Req'd 100-200 seedlings</v>
          </cell>
        </row>
      </sheetData>
      <sheetData sheetId="207">
        <row r="6">
          <cell r="E6" t="str">
            <v>Tree &amp; Shrub Est.-Enrichment Planting w/herb. Req'd 201-300 seedlings</v>
          </cell>
        </row>
      </sheetData>
      <sheetData sheetId="208">
        <row r="10">
          <cell r="C10">
            <v>1</v>
          </cell>
          <cell r="E10">
            <v>0.9</v>
          </cell>
        </row>
      </sheetData>
      <sheetData sheetId="209">
        <row r="6">
          <cell r="G6">
            <v>252.64817856938259</v>
          </cell>
        </row>
      </sheetData>
      <sheetData sheetId="210">
        <row r="6">
          <cell r="B6">
            <v>642</v>
          </cell>
        </row>
      </sheetData>
      <sheetData sheetId="211">
        <row r="6">
          <cell r="B6">
            <v>645</v>
          </cell>
        </row>
      </sheetData>
      <sheetData sheetId="212">
        <row r="6">
          <cell r="E6" t="str">
            <v xml:space="preserve"> Upland Wildlife Habitat Management - Cave Gate</v>
          </cell>
        </row>
      </sheetData>
      <sheetData sheetId="213">
        <row r="6">
          <cell r="B6">
            <v>655</v>
          </cell>
        </row>
      </sheetData>
      <sheetData sheetId="214">
        <row r="6">
          <cell r="B6">
            <v>655</v>
          </cell>
        </row>
      </sheetData>
      <sheetData sheetId="215">
        <row r="6">
          <cell r="B6">
            <v>655</v>
          </cell>
        </row>
      </sheetData>
      <sheetData sheetId="216">
        <row r="6">
          <cell r="B6">
            <v>666</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59"/>
    </sheetNames>
    <sheetDataSet>
      <sheetData sheetId="0">
        <row r="32">
          <cell r="AN32">
            <v>6.3125</v>
          </cell>
        </row>
        <row r="33">
          <cell r="AN33">
            <v>5.416666666666667</v>
          </cell>
        </row>
        <row r="34">
          <cell r="AN34">
            <v>5.5</v>
          </cell>
        </row>
        <row r="56">
          <cell r="A56" t="str">
            <v>Construction Site Prep - Medium</v>
          </cell>
          <cell r="C56">
            <v>573.81119999999999</v>
          </cell>
        </row>
        <row r="104">
          <cell r="C104">
            <v>20</v>
          </cell>
        </row>
        <row r="106">
          <cell r="A106" t="str">
            <v>Earthmoving: Design Storage Volume, Normal Conditions</v>
          </cell>
          <cell r="B106" t="str">
            <v>Cu Ft</v>
          </cell>
          <cell r="C106">
            <v>7.6499999999999999E-2</v>
          </cell>
        </row>
        <row r="138">
          <cell r="A138" t="str">
            <v>Geologic Investigation (Equipment &amp; Operator)</v>
          </cell>
          <cell r="B138" t="str">
            <v>Ea</v>
          </cell>
          <cell r="C138">
            <v>321.3</v>
          </cell>
        </row>
        <row r="203">
          <cell r="C203">
            <v>8.75</v>
          </cell>
        </row>
        <row r="217">
          <cell r="C217">
            <v>472.5</v>
          </cell>
        </row>
        <row r="228">
          <cell r="C228">
            <v>0.82427536231884069</v>
          </cell>
        </row>
        <row r="235">
          <cell r="C235">
            <v>1.1702898550724636</v>
          </cell>
        </row>
        <row r="244">
          <cell r="A244" t="str">
            <v>Pond Liner: Compacted Clay (Installed)</v>
          </cell>
          <cell r="B244" t="str">
            <v>Cu Yd</v>
          </cell>
          <cell r="C244">
            <v>2.2470000000000003</v>
          </cell>
        </row>
        <row r="246">
          <cell r="C246">
            <v>0.58825136612021856</v>
          </cell>
        </row>
        <row r="280">
          <cell r="A280" t="str">
            <v>Schd 40 PVC Pipe: 8" (Installed)</v>
          </cell>
          <cell r="B280" t="str">
            <v>Lin Ft</v>
          </cell>
          <cell r="C280">
            <v>7.4150999999999998</v>
          </cell>
        </row>
        <row r="313">
          <cell r="A313" t="str">
            <v>Seed (Tall Fescue KY-31)</v>
          </cell>
        </row>
        <row r="347">
          <cell r="A347" t="str">
            <v>Waste Structure Warning Sign: 12" x 10" Alum (Inst)</v>
          </cell>
          <cell r="B347" t="str">
            <v>Ea</v>
          </cell>
          <cell r="C347">
            <v>1.21275</v>
          </cell>
        </row>
      </sheetData>
      <sheetData sheetId="1" refreshError="1"/>
      <sheetData sheetId="2">
        <row r="308">
          <cell r="BE308">
            <v>1.61</v>
          </cell>
        </row>
        <row r="309">
          <cell r="BE309">
            <v>2.75</v>
          </cell>
        </row>
        <row r="310">
          <cell r="BE310">
            <v>2.35</v>
          </cell>
        </row>
      </sheetData>
      <sheetData sheetId="3" refreshError="1"/>
      <sheetData sheetId="4"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62"/>
    </sheetNames>
    <sheetDataSet>
      <sheetData sheetId="0">
        <row r="101">
          <cell r="A101" t="str">
            <v>Diversion (includes earthmoving &amp; vegetation establishment)</v>
          </cell>
          <cell r="B101" t="str">
            <v>Lin Ft</v>
          </cell>
          <cell r="C101">
            <v>2.4633000000000003</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78 EH up to 8 ft"/>
      <sheetName val="378 EH over 8 ft"/>
      <sheetName val="378 EXC"/>
    </sheetNames>
    <sheetDataSet>
      <sheetData sheetId="0">
        <row r="118">
          <cell r="A118" t="str">
            <v>Embankment Pond (height &lt;= 8 feet)</v>
          </cell>
          <cell r="B118" t="str">
            <v>Ea</v>
          </cell>
          <cell r="C118">
            <v>7692.3076923076924</v>
          </cell>
        </row>
        <row r="119">
          <cell r="A119" t="str">
            <v>Embankment Pond (height &gt; 8 feet)</v>
          </cell>
          <cell r="C119">
            <v>11538.461538461537</v>
          </cell>
        </row>
        <row r="125">
          <cell r="A125" t="str">
            <v>Excavated Pond 3/</v>
          </cell>
          <cell r="B125" t="str">
            <v>Ea</v>
          </cell>
          <cell r="C125">
            <v>4615.3846153846152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80-Windbreak"/>
      <sheetName val="380 with cover"/>
    </sheetNames>
    <sheetDataSet>
      <sheetData sheetId="0">
        <row r="32">
          <cell r="AN32">
            <v>6.3125</v>
          </cell>
        </row>
        <row r="33">
          <cell r="AN33">
            <v>5.416666666666667</v>
          </cell>
        </row>
        <row r="34">
          <cell r="AN34">
            <v>5.5</v>
          </cell>
        </row>
        <row r="104">
          <cell r="C104">
            <v>20</v>
          </cell>
        </row>
        <row r="203">
          <cell r="C203">
            <v>8.75</v>
          </cell>
        </row>
        <row r="216">
          <cell r="A216" t="str">
            <v>Mowing</v>
          </cell>
          <cell r="C216">
            <v>15.5</v>
          </cell>
        </row>
        <row r="228">
          <cell r="C228">
            <v>0.82427536231884069</v>
          </cell>
        </row>
        <row r="235">
          <cell r="C235">
            <v>1.1702898550724636</v>
          </cell>
        </row>
        <row r="246">
          <cell r="C246">
            <v>0.58825136612021856</v>
          </cell>
        </row>
        <row r="301">
          <cell r="A301" t="str">
            <v>Seed (Virgina Wildrye)</v>
          </cell>
        </row>
        <row r="310">
          <cell r="A310" t="str">
            <v>Seed (Orchard grass)</v>
          </cell>
        </row>
        <row r="312">
          <cell r="A312" t="str">
            <v>Seed (Red Clover)</v>
          </cell>
        </row>
        <row r="314">
          <cell r="A314" t="str">
            <v>Seed (Redtop)</v>
          </cell>
        </row>
        <row r="315">
          <cell r="A315" t="str">
            <v>Seed (Wheat)</v>
          </cell>
        </row>
        <row r="340">
          <cell r="C340">
            <v>90</v>
          </cell>
        </row>
        <row r="342">
          <cell r="A342" t="str">
            <v>Tree seedlings</v>
          </cell>
          <cell r="B342" t="str">
            <v>Ea</v>
          </cell>
          <cell r="C342">
            <v>0.5</v>
          </cell>
        </row>
      </sheetData>
      <sheetData sheetId="1" refreshError="1"/>
      <sheetData sheetId="2">
        <row r="145">
          <cell r="BE145">
            <v>36.5</v>
          </cell>
        </row>
        <row r="298">
          <cell r="BE298">
            <v>7</v>
          </cell>
        </row>
        <row r="307">
          <cell r="BE307">
            <v>1.68</v>
          </cell>
        </row>
        <row r="309">
          <cell r="BE309">
            <v>2.75</v>
          </cell>
        </row>
        <row r="311">
          <cell r="BE311">
            <v>7</v>
          </cell>
        </row>
        <row r="312">
          <cell r="BE312">
            <v>0.31</v>
          </cell>
        </row>
      </sheetData>
      <sheetData sheetId="3" refreshError="1"/>
      <sheetData sheetId="4" refreshError="1"/>
      <sheetData sheetId="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81-just trees-conifers"/>
      <sheetName val="381-just trees-deciduous"/>
    </sheetNames>
    <sheetDataSet>
      <sheetData sheetId="0">
        <row r="216">
          <cell r="A216" t="str">
            <v>Mowing</v>
          </cell>
          <cell r="C216">
            <v>15.5</v>
          </cell>
        </row>
        <row r="340">
          <cell r="A340" t="str">
            <v>Tree Planting</v>
          </cell>
          <cell r="C340">
            <v>90</v>
          </cell>
        </row>
        <row r="342">
          <cell r="A342" t="str">
            <v>Tree seedlings</v>
          </cell>
          <cell r="B342" t="str">
            <v>Ea</v>
          </cell>
          <cell r="C342">
            <v>0.5</v>
          </cell>
        </row>
      </sheetData>
      <sheetData sheetId="1" refreshError="1"/>
      <sheetData sheetId="2">
        <row r="145">
          <cell r="BE145">
            <v>36.5</v>
          </cell>
        </row>
      </sheetData>
      <sheetData sheetId="3" refreshError="1"/>
      <sheetData sheetId="4" refreshError="1"/>
      <sheetData sheetId="5"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386-Nat. Regen."/>
      <sheetName val="386-IG Mix-Conv."/>
      <sheetName val="386-IG Mix-NT"/>
      <sheetName val="386-NG-Legumes- NT"/>
      <sheetName val="386-NG-1#Forbs Mix"/>
      <sheetName val="386-NG-2# Forbs Mix"/>
    </sheetNames>
    <sheetDataSet>
      <sheetData sheetId="0">
        <row r="32">
          <cell r="AN32">
            <v>6.3125</v>
          </cell>
        </row>
        <row r="33">
          <cell r="AN33">
            <v>5.416666666666667</v>
          </cell>
        </row>
        <row r="34">
          <cell r="AN34">
            <v>5.5</v>
          </cell>
        </row>
        <row r="99">
          <cell r="A99" t="str">
            <v>Disking</v>
          </cell>
          <cell r="C99">
            <v>15</v>
          </cell>
        </row>
        <row r="104">
          <cell r="C104">
            <v>20</v>
          </cell>
        </row>
        <row r="144">
          <cell r="C144">
            <v>10.5</v>
          </cell>
        </row>
        <row r="203">
          <cell r="C203">
            <v>8.75</v>
          </cell>
        </row>
        <row r="216">
          <cell r="A216" t="str">
            <v>Mowing</v>
          </cell>
          <cell r="C216">
            <v>15.5</v>
          </cell>
        </row>
        <row r="228">
          <cell r="C228">
            <v>0.82427536231884069</v>
          </cell>
        </row>
        <row r="235">
          <cell r="C235">
            <v>1.1702898550724636</v>
          </cell>
        </row>
        <row r="246">
          <cell r="C246">
            <v>0.58825136612021856</v>
          </cell>
        </row>
        <row r="307">
          <cell r="A307" t="str">
            <v>Seed (Prairie Dropseed)</v>
          </cell>
        </row>
        <row r="308">
          <cell r="A308" t="str">
            <v>Seed (Splitbeard Bluestem)</v>
          </cell>
        </row>
        <row r="309">
          <cell r="A309" t="str">
            <v>Seed (Native grass except Prairie Dropseed and Splitbeard Bluestem)</v>
          </cell>
        </row>
        <row r="312">
          <cell r="A312" t="str">
            <v>Seed (Red Clover)</v>
          </cell>
        </row>
      </sheetData>
      <sheetData sheetId="1" refreshError="1"/>
      <sheetData sheetId="2">
        <row r="145">
          <cell r="BE145">
            <v>36.5</v>
          </cell>
        </row>
        <row r="146">
          <cell r="BE146">
            <v>36.5</v>
          </cell>
        </row>
        <row r="291">
          <cell r="A291" t="str">
            <v>Seed (4 native forb species mix)</v>
          </cell>
          <cell r="BE291">
            <v>28.74</v>
          </cell>
        </row>
        <row r="304">
          <cell r="BE304">
            <v>165.75</v>
          </cell>
        </row>
        <row r="305">
          <cell r="BE305">
            <v>78.666666666666671</v>
          </cell>
        </row>
        <row r="306">
          <cell r="BE306">
            <v>8.57</v>
          </cell>
        </row>
        <row r="307">
          <cell r="BE307">
            <v>1.68</v>
          </cell>
        </row>
        <row r="308">
          <cell r="BE308">
            <v>1.61</v>
          </cell>
        </row>
        <row r="309">
          <cell r="BE309">
            <v>2.75</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390-IG Mix-NT"/>
      <sheetName val="390-NG-2# Forbs Mix"/>
    </sheetNames>
    <sheetDataSet>
      <sheetData sheetId="0">
        <row r="32">
          <cell r="AN32">
            <v>6.3125</v>
          </cell>
        </row>
        <row r="33">
          <cell r="AN33">
            <v>5.416666666666667</v>
          </cell>
        </row>
        <row r="34">
          <cell r="AN34">
            <v>5.5</v>
          </cell>
        </row>
        <row r="104">
          <cell r="C104">
            <v>20</v>
          </cell>
        </row>
        <row r="203">
          <cell r="C203">
            <v>8.75</v>
          </cell>
        </row>
        <row r="216">
          <cell r="A216" t="str">
            <v>Mowing</v>
          </cell>
          <cell r="C216">
            <v>15.5</v>
          </cell>
        </row>
        <row r="228">
          <cell r="C228">
            <v>0.82427536231884069</v>
          </cell>
        </row>
        <row r="235">
          <cell r="C235">
            <v>1.1702898550724636</v>
          </cell>
        </row>
        <row r="246">
          <cell r="C246">
            <v>0.58825136612021856</v>
          </cell>
        </row>
        <row r="309">
          <cell r="A309" t="str">
            <v>Seed (Native grass except Prairie Dropseed and Splitbeard Bluestem)</v>
          </cell>
        </row>
        <row r="312">
          <cell r="A312" t="str">
            <v>Seed (Red Clover)</v>
          </cell>
        </row>
      </sheetData>
      <sheetData sheetId="1" refreshError="1"/>
      <sheetData sheetId="2">
        <row r="146">
          <cell r="BE146">
            <v>36.5</v>
          </cell>
        </row>
        <row r="291">
          <cell r="A291" t="str">
            <v>Seed (4 native forb species mix)</v>
          </cell>
          <cell r="BE291">
            <v>28.74</v>
          </cell>
        </row>
        <row r="306">
          <cell r="BE306">
            <v>8.57</v>
          </cell>
        </row>
        <row r="307">
          <cell r="BE307">
            <v>1.68</v>
          </cell>
        </row>
        <row r="308">
          <cell r="BE308">
            <v>1.61</v>
          </cell>
        </row>
        <row r="309">
          <cell r="BE309">
            <v>2.75</v>
          </cell>
        </row>
      </sheetData>
      <sheetData sheetId="3" refreshError="1"/>
      <sheetData sheetId="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410-Rock Chute 50 cfs 4 ft OF"/>
      <sheetName val="410-Rock Chute 100cfs 6 ft"/>
      <sheetName val="410-Rock Chute 150cfs 12 ft"/>
      <sheetName val="410-Rock Chute 200cfs 12 ft"/>
      <sheetName val="410-Rock Chute 250cfs 12 ft"/>
      <sheetName val="410-WPSD 8ftw-4ftOF"/>
      <sheetName val="410-WPSD 8ftw-4-8ftOF"/>
      <sheetName val="410-WPSD 16ftw-4ftOF"/>
      <sheetName val="410-WPSD 16ftw-4-8ftOF"/>
      <sheetName val="410-WPSD 24ftw-4ftOF"/>
      <sheetName val="410-WPSD 24ftw-4-8ftOF"/>
      <sheetName val="410-PIPE DROP STR"/>
    </sheetNames>
    <sheetDataSet>
      <sheetData sheetId="0">
        <row r="32">
          <cell r="AN32">
            <v>6.3125</v>
          </cell>
        </row>
        <row r="33">
          <cell r="AN33">
            <v>5.416666666666667</v>
          </cell>
        </row>
        <row r="34">
          <cell r="AN34">
            <v>5.5</v>
          </cell>
        </row>
        <row r="56">
          <cell r="A56" t="str">
            <v>Construction Site Prep - Medium</v>
          </cell>
          <cell r="B56" t="str">
            <v>Ac</v>
          </cell>
          <cell r="C56">
            <v>573.81119999999999</v>
          </cell>
        </row>
        <row r="75">
          <cell r="A75" t="str">
            <v>Corrugated Metal Pipe: 30" Dia, 14 gage - Galvanized (Inst)</v>
          </cell>
          <cell r="B75" t="str">
            <v>Lin Ft</v>
          </cell>
          <cell r="C75">
            <v>22.470000000000002</v>
          </cell>
        </row>
        <row r="104">
          <cell r="C104">
            <v>20</v>
          </cell>
        </row>
        <row r="105">
          <cell r="A105" t="str">
            <v>Earthmoving: Compacted Embankment</v>
          </cell>
          <cell r="B105" t="str">
            <v>Cu Yd</v>
          </cell>
          <cell r="C105">
            <v>2.5499999999999998</v>
          </cell>
        </row>
        <row r="139">
          <cell r="A139" t="str">
            <v>Geo-Textile (Installed)</v>
          </cell>
          <cell r="B139" t="str">
            <v>Sq Yd</v>
          </cell>
          <cell r="C139">
            <v>2.2050000000000001</v>
          </cell>
        </row>
        <row r="203">
          <cell r="C203">
            <v>8.75</v>
          </cell>
        </row>
        <row r="206">
          <cell r="A206" t="str">
            <v>Metal Pipe, Anti-Vortex Baffle (pipe diameter installed)</v>
          </cell>
          <cell r="B206" t="str">
            <v>Inches</v>
          </cell>
          <cell r="C206">
            <v>13.482000000000001</v>
          </cell>
        </row>
        <row r="213">
          <cell r="A213" t="str">
            <v>Metal, Anti-Seep Collar, 24" Dia, 14 gage</v>
          </cell>
          <cell r="B213" t="str">
            <v>Ea</v>
          </cell>
          <cell r="C213">
            <v>230.31750000000002</v>
          </cell>
        </row>
        <row r="217">
          <cell r="C217">
            <v>472.5</v>
          </cell>
        </row>
        <row r="228">
          <cell r="C228">
            <v>0.82427536231884069</v>
          </cell>
        </row>
        <row r="235">
          <cell r="C235">
            <v>1.1702898550724636</v>
          </cell>
        </row>
        <row r="246">
          <cell r="C246">
            <v>0.58825136612021856</v>
          </cell>
        </row>
        <row r="261">
          <cell r="A261" t="str">
            <v>Riprap (Chute in Place)</v>
          </cell>
          <cell r="B261" t="str">
            <v>Ton</v>
          </cell>
        </row>
        <row r="264">
          <cell r="C264">
            <v>28.9542</v>
          </cell>
        </row>
        <row r="265">
          <cell r="A265" t="str">
            <v>Rock, Filter Fabric, Pipe, Cattle Panel, Labor (Installed)</v>
          </cell>
          <cell r="B265" t="str">
            <v>Ton</v>
          </cell>
          <cell r="C265">
            <v>40.312249999999999</v>
          </cell>
        </row>
      </sheetData>
      <sheetData sheetId="1" refreshError="1"/>
      <sheetData sheetId="2">
        <row r="307">
          <cell r="BE307">
            <v>1.68</v>
          </cell>
        </row>
        <row r="308">
          <cell r="BE308">
            <v>1.61</v>
          </cell>
        </row>
        <row r="309">
          <cell r="BE309">
            <v>2.75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structions"/>
      <sheetName val="Counties"/>
      <sheetName val="CntyTwnZIPFIPS"/>
      <sheetName val="FIPS_FO"/>
      <sheetName val="Categories"/>
      <sheetName val="Cost Estimate"/>
      <sheetName val="AllItems"/>
      <sheetName val="AllItemsSortByItem#"/>
      <sheetName val="LocalItems"/>
      <sheetName val="RSMeansMod"/>
      <sheetName val="RSMeansRaw"/>
      <sheetName val="LocFactors"/>
      <sheetName val="Assembly Items"/>
      <sheetName val="CostRulesItems"/>
      <sheetName val="Labor Rates"/>
    </sheetNames>
    <sheetDataSet>
      <sheetData sheetId="0"/>
      <sheetData sheetId="1"/>
      <sheetData sheetId="2"/>
      <sheetData sheetId="3"/>
      <sheetData sheetId="4"/>
      <sheetData sheetId="5"/>
      <sheetData sheetId="6">
        <row r="9">
          <cell r="B9" t="str">
            <v>Conservation Cover (327)-plow, harrow, lime, NPK, weed spray &amp; seed</v>
          </cell>
          <cell r="C9" t="str">
            <v>ACRE</v>
          </cell>
          <cell r="D9">
            <v>52</v>
          </cell>
          <cell r="E9" t="str">
            <v>1.15.1</v>
          </cell>
          <cell r="F9">
            <v>156.5</v>
          </cell>
          <cell r="G9">
            <v>156.5</v>
          </cell>
        </row>
        <row r="10">
          <cell r="B10" t="str">
            <v>Contour Buffer Strips (332)-plow, harrow, orchardgrass &amp; clover</v>
          </cell>
          <cell r="C10" t="str">
            <v>ACRE</v>
          </cell>
          <cell r="D10">
            <v>52</v>
          </cell>
          <cell r="E10" t="str">
            <v>1.15.2</v>
          </cell>
          <cell r="F10">
            <v>67.8</v>
          </cell>
          <cell r="G10">
            <v>67.8</v>
          </cell>
        </row>
        <row r="11">
          <cell r="B11" t="str">
            <v>Contour Farming (330)-plow &amp; harrowing</v>
          </cell>
          <cell r="C11" t="str">
            <v>ACRE</v>
          </cell>
          <cell r="D11">
            <v>52</v>
          </cell>
          <cell r="E11" t="str">
            <v>1.15.3</v>
          </cell>
          <cell r="F11">
            <v>22.8</v>
          </cell>
          <cell r="G11">
            <v>22.8</v>
          </cell>
        </row>
        <row r="12">
          <cell r="B12" t="str">
            <v>Cover &amp; Green Manure Crop (340)- Rye drilled</v>
          </cell>
          <cell r="C12" t="str">
            <v>ACRE</v>
          </cell>
          <cell r="D12">
            <v>52</v>
          </cell>
          <cell r="E12" t="str">
            <v>1.15.4</v>
          </cell>
          <cell r="F12">
            <v>37</v>
          </cell>
          <cell r="G12">
            <v>37</v>
          </cell>
        </row>
        <row r="13">
          <cell r="B13" t="str">
            <v>Critical Area Planting (393)-plow, harrow, lime, NPK, &amp; seed</v>
          </cell>
          <cell r="C13" t="str">
            <v>ACRE</v>
          </cell>
          <cell r="D13">
            <v>52</v>
          </cell>
          <cell r="E13" t="str">
            <v>1.15.5</v>
          </cell>
          <cell r="F13">
            <v>321.2</v>
          </cell>
          <cell r="G13">
            <v>321.2</v>
          </cell>
        </row>
        <row r="14">
          <cell r="B14" t="str">
            <v>Critical Area Planting(2) (393)-plow, harrow, lime, NPK, &amp; consv. mix</v>
          </cell>
          <cell r="C14" t="str">
            <v>ACRE</v>
          </cell>
          <cell r="D14">
            <v>52</v>
          </cell>
          <cell r="E14" t="str">
            <v>1.15.6</v>
          </cell>
          <cell r="F14">
            <v>263</v>
          </cell>
          <cell r="G14">
            <v>263</v>
          </cell>
        </row>
        <row r="15">
          <cell r="B15" t="str">
            <v>Field Border (386)-plow, harrow,lime, NPK &amp; seed</v>
          </cell>
          <cell r="C15" t="str">
            <v>ACRE</v>
          </cell>
          <cell r="D15">
            <v>52</v>
          </cell>
          <cell r="E15" t="str">
            <v>1.15.7</v>
          </cell>
          <cell r="F15">
            <v>189.85000000000002</v>
          </cell>
          <cell r="G15">
            <v>189.85</v>
          </cell>
        </row>
        <row r="16">
          <cell r="B16" t="str">
            <v>Filter Strip (Agronomic 393)-plow, harrow, lime, NPK, &amp; consv. mix</v>
          </cell>
          <cell r="C16" t="str">
            <v>ACRE</v>
          </cell>
          <cell r="D16">
            <v>52</v>
          </cell>
          <cell r="E16" t="str">
            <v>1.15.8</v>
          </cell>
          <cell r="F16">
            <v>207.60000000000002</v>
          </cell>
          <cell r="G16">
            <v>207.6</v>
          </cell>
        </row>
        <row r="17">
          <cell r="B17" t="str">
            <v>Pasture &amp; Hayland Planting (512)-plow, harrow,lime, NPK &amp; seed</v>
          </cell>
          <cell r="C17" t="str">
            <v>ACRE</v>
          </cell>
          <cell r="D17">
            <v>52</v>
          </cell>
          <cell r="E17" t="str">
            <v>1.15.9</v>
          </cell>
          <cell r="F17">
            <v>241.45000000000002</v>
          </cell>
          <cell r="G17">
            <v>241.45</v>
          </cell>
        </row>
        <row r="18">
          <cell r="B18" t="str">
            <v>Pasture &amp; Hayland Planting(2) (512)-plow, harrow, NPK &amp; seed</v>
          </cell>
          <cell r="C18" t="str">
            <v>ACRE</v>
          </cell>
          <cell r="D18">
            <v>52</v>
          </cell>
          <cell r="E18" t="str">
            <v>1.15.10</v>
          </cell>
          <cell r="F18">
            <v>151.44999999999999</v>
          </cell>
          <cell r="G18">
            <v>151.44999999999999</v>
          </cell>
        </row>
        <row r="19">
          <cell r="B19" t="str">
            <v>Pasture &amp; Hayland Planting(3) (512)-organic NPK and clover</v>
          </cell>
          <cell r="C19" t="str">
            <v>ACRE</v>
          </cell>
          <cell r="D19">
            <v>52</v>
          </cell>
          <cell r="E19" t="str">
            <v>1.15.11</v>
          </cell>
          <cell r="F19">
            <v>170.6</v>
          </cell>
          <cell r="G19">
            <v>170.6</v>
          </cell>
        </row>
        <row r="20">
          <cell r="B20" t="str">
            <v>Residue Mngt (Mulch Till) (329B) - chisel plow</v>
          </cell>
          <cell r="C20" t="str">
            <v>ACRE</v>
          </cell>
          <cell r="D20">
            <v>52</v>
          </cell>
          <cell r="E20" t="str">
            <v>1.15.12</v>
          </cell>
          <cell r="F20">
            <v>12.7</v>
          </cell>
          <cell r="G20">
            <v>12.7</v>
          </cell>
        </row>
        <row r="21">
          <cell r="B21" t="str">
            <v>Residue Management (No Till/Strip Till) (329A)-no till and spraying</v>
          </cell>
          <cell r="C21" t="str">
            <v>ACRE</v>
          </cell>
          <cell r="D21">
            <v>52</v>
          </cell>
          <cell r="E21" t="str">
            <v>1.15.13</v>
          </cell>
          <cell r="F21">
            <v>51.870000000000005</v>
          </cell>
          <cell r="G21">
            <v>51.87</v>
          </cell>
        </row>
        <row r="22">
          <cell r="B22" t="str">
            <v>Riparian Herbaceous Buffer (390) - plow, harrow, lime, NPK &amp; conser. Mix</v>
          </cell>
          <cell r="C22" t="str">
            <v>ACRE</v>
          </cell>
          <cell r="D22">
            <v>52</v>
          </cell>
          <cell r="E22" t="str">
            <v>1.15.14</v>
          </cell>
          <cell r="F22">
            <v>207.60000000000002</v>
          </cell>
          <cell r="G22">
            <v>207.6</v>
          </cell>
        </row>
        <row r="23">
          <cell r="B23" t="str">
            <v>Riparian Herbaceous Buffer(2) (390) - spray, no-till and seed</v>
          </cell>
          <cell r="C23" t="str">
            <v>ACRE</v>
          </cell>
          <cell r="D23">
            <v>52</v>
          </cell>
          <cell r="E23" t="str">
            <v>1.15.15</v>
          </cell>
          <cell r="F23">
            <v>173.62</v>
          </cell>
          <cell r="G23">
            <v>173.62</v>
          </cell>
        </row>
        <row r="24">
          <cell r="B24" t="str">
            <v>Watering Facility (614) - 50 gals w/ float</v>
          </cell>
          <cell r="C24" t="str">
            <v>EA.</v>
          </cell>
          <cell r="D24" t="str">
            <v>-</v>
          </cell>
          <cell r="E24" t="str">
            <v>25.1.6</v>
          </cell>
          <cell r="F24">
            <v>110</v>
          </cell>
          <cell r="G24">
            <v>110</v>
          </cell>
        </row>
        <row r="25">
          <cell r="B25" t="str">
            <v>Saw cutting, asphalt, up to 3" deep</v>
          </cell>
          <cell r="C25" t="str">
            <v>L.F.</v>
          </cell>
          <cell r="D25">
            <v>31</v>
          </cell>
          <cell r="E25">
            <v>0</v>
          </cell>
          <cell r="F25">
            <v>0.95</v>
          </cell>
          <cell r="G25">
            <v>1.03</v>
          </cell>
        </row>
        <row r="26">
          <cell r="B26" t="str">
            <v>Saw cutting, asphalt, over 1000', each additional inch of depth over 3"</v>
          </cell>
          <cell r="C26" t="str">
            <v>L.F.</v>
          </cell>
          <cell r="D26">
            <v>31</v>
          </cell>
          <cell r="E26">
            <v>0</v>
          </cell>
          <cell r="F26">
            <v>0.46</v>
          </cell>
          <cell r="G26">
            <v>0.5</v>
          </cell>
        </row>
        <row r="27">
          <cell r="B27" t="str">
            <v>Fine grade, small area, to be paved with grader</v>
          </cell>
          <cell r="C27" t="str">
            <v>S.Y.</v>
          </cell>
          <cell r="D27" t="str">
            <v>5,11</v>
          </cell>
          <cell r="E27">
            <v>0</v>
          </cell>
          <cell r="F27">
            <v>2.84</v>
          </cell>
          <cell r="G27">
            <v>3.09</v>
          </cell>
        </row>
        <row r="28">
          <cell r="B28" t="str">
            <v>Fine grade, for roadway, large area, 6,000 S.Y. or more</v>
          </cell>
          <cell r="C28" t="str">
            <v>S.Y.</v>
          </cell>
          <cell r="D28" t="str">
            <v>5,11</v>
          </cell>
          <cell r="E28">
            <v>0</v>
          </cell>
          <cell r="F28">
            <v>0.56999999999999995</v>
          </cell>
          <cell r="G28">
            <v>0.62</v>
          </cell>
        </row>
        <row r="29">
          <cell r="B29" t="str">
            <v>Asphalt, parking &amp; driveway, 6" stone base, 2" binder course, 1" topping</v>
          </cell>
          <cell r="C29" t="str">
            <v>S.F.</v>
          </cell>
          <cell r="D29" t="str">
            <v>11,31</v>
          </cell>
          <cell r="E29">
            <v>0</v>
          </cell>
          <cell r="F29">
            <v>1.94</v>
          </cell>
          <cell r="G29">
            <v>2.16</v>
          </cell>
        </row>
        <row r="30">
          <cell r="B30" t="str">
            <v>Asphalt, parking lots &amp; driveways, binder course, 2" thick</v>
          </cell>
          <cell r="C30" t="str">
            <v>S.F.</v>
          </cell>
          <cell r="D30">
            <v>31</v>
          </cell>
          <cell r="E30">
            <v>0</v>
          </cell>
          <cell r="F30">
            <v>0.6</v>
          </cell>
          <cell r="G30">
            <v>0.67</v>
          </cell>
        </row>
        <row r="31">
          <cell r="B31" t="str">
            <v>Asphalt, parking lots &amp; driveways, binder course, 3" thick</v>
          </cell>
          <cell r="C31" t="str">
            <v>S.F.</v>
          </cell>
          <cell r="D31">
            <v>31</v>
          </cell>
          <cell r="E31">
            <v>0</v>
          </cell>
          <cell r="F31">
            <v>0.94</v>
          </cell>
          <cell r="G31">
            <v>1.05</v>
          </cell>
        </row>
        <row r="32">
          <cell r="B32" t="str">
            <v>Asphalt, parking lots &amp; driveways, binder course, 4" thick</v>
          </cell>
          <cell r="C32" t="str">
            <v>S.F.</v>
          </cell>
          <cell r="D32">
            <v>31</v>
          </cell>
          <cell r="E32">
            <v>0</v>
          </cell>
          <cell r="F32">
            <v>1.25</v>
          </cell>
          <cell r="G32">
            <v>1.39</v>
          </cell>
        </row>
        <row r="33">
          <cell r="B33" t="str">
            <v>Asphalt, parking lots &amp; driveways, sand finish course, 3/4" thick</v>
          </cell>
          <cell r="C33" t="str">
            <v>S.F.</v>
          </cell>
          <cell r="D33">
            <v>31</v>
          </cell>
          <cell r="E33">
            <v>0</v>
          </cell>
          <cell r="F33">
            <v>0.31</v>
          </cell>
          <cell r="G33">
            <v>0.35</v>
          </cell>
        </row>
        <row r="34">
          <cell r="B34" t="str">
            <v>Asphalt, parking lots &amp; driveways, sand finish course, 1" thick</v>
          </cell>
          <cell r="C34" t="str">
            <v>S.F.</v>
          </cell>
          <cell r="D34">
            <v>31</v>
          </cell>
          <cell r="E34">
            <v>0</v>
          </cell>
          <cell r="F34">
            <v>0.37</v>
          </cell>
          <cell r="G34">
            <v>0.41</v>
          </cell>
        </row>
        <row r="35">
          <cell r="B35" t="str">
            <v>Barnyard-incl subgrade, slab, curbs, fence, gates, seed, runoff control</v>
          </cell>
          <cell r="C35" t="str">
            <v>S.F.</v>
          </cell>
          <cell r="D35" t="str">
            <v>1,5,11,31,50,52</v>
          </cell>
          <cell r="E35" t="str">
            <v>27.1.0</v>
          </cell>
          <cell r="F35" t="str">
            <v>NoCostYet</v>
          </cell>
          <cell r="G35" t="str">
            <v>NoCostYet</v>
          </cell>
        </row>
        <row r="36">
          <cell r="B36" t="str">
            <v>Demolition-footing, floor, concrete slab on grade, plain concrete, 4" thick</v>
          </cell>
          <cell r="C36" t="str">
            <v>S.F.</v>
          </cell>
          <cell r="D36">
            <v>31</v>
          </cell>
          <cell r="E36">
            <v>0</v>
          </cell>
          <cell r="F36">
            <v>3.15</v>
          </cell>
          <cell r="G36">
            <v>3.41</v>
          </cell>
        </row>
        <row r="37">
          <cell r="B37" t="str">
            <v>Demolition-footings, floors, concrete slab on grade, concrete, wwf, 4" thick</v>
          </cell>
          <cell r="C37" t="str">
            <v>S.F.</v>
          </cell>
          <cell r="D37">
            <v>31</v>
          </cell>
          <cell r="E37">
            <v>0</v>
          </cell>
          <cell r="F37">
            <v>3.35</v>
          </cell>
          <cell r="G37">
            <v>3.62</v>
          </cell>
        </row>
        <row r="38">
          <cell r="B38" t="str">
            <v>Demolition-footings, floors, concrete slab on grade, plain concrete, 6" thick</v>
          </cell>
          <cell r="C38" t="str">
            <v>S.F.</v>
          </cell>
          <cell r="D38">
            <v>31</v>
          </cell>
          <cell r="E38">
            <v>0</v>
          </cell>
          <cell r="F38">
            <v>4.2</v>
          </cell>
          <cell r="G38">
            <v>4.54</v>
          </cell>
        </row>
        <row r="39">
          <cell r="B39" t="str">
            <v>Demolition-footings, floors, concrete slab on grade, concrete, wwf, 6" thick</v>
          </cell>
          <cell r="C39" t="str">
            <v>S.F.</v>
          </cell>
          <cell r="D39">
            <v>31</v>
          </cell>
          <cell r="E39">
            <v>0</v>
          </cell>
          <cell r="F39">
            <v>4.6399999999999997</v>
          </cell>
          <cell r="G39">
            <v>5.0199999999999996</v>
          </cell>
        </row>
        <row r="40">
          <cell r="B40" t="str">
            <v>Minor demolition, slab on grade, plain, remove, excludes hauling</v>
          </cell>
          <cell r="C40" t="str">
            <v>C.Y.</v>
          </cell>
          <cell r="D40">
            <v>31</v>
          </cell>
          <cell r="E40">
            <v>0</v>
          </cell>
          <cell r="F40">
            <v>55.5</v>
          </cell>
          <cell r="G40">
            <v>60</v>
          </cell>
        </row>
        <row r="41">
          <cell r="B41" t="str">
            <v>Minor demolition, slab on grade , wwf, 8" thick, remove, exc. hauling</v>
          </cell>
          <cell r="C41" t="str">
            <v>C.Y.</v>
          </cell>
          <cell r="D41">
            <v>31</v>
          </cell>
          <cell r="E41">
            <v>0</v>
          </cell>
          <cell r="F41">
            <v>76.5</v>
          </cell>
          <cell r="G41">
            <v>82.7</v>
          </cell>
        </row>
        <row r="42">
          <cell r="B42" t="str">
            <v>Minor demolition, slab on grade , rebar, 8" thick, remove, exc. hauling</v>
          </cell>
          <cell r="C42" t="str">
            <v>C.Y.</v>
          </cell>
          <cell r="D42">
            <v>31</v>
          </cell>
          <cell r="E42">
            <v>0</v>
          </cell>
          <cell r="F42">
            <v>101</v>
          </cell>
          <cell r="G42">
            <v>109.18</v>
          </cell>
        </row>
        <row r="43">
          <cell r="B43" t="str">
            <v>Cutout demolition, slab on grade, non-reinforced, to 6" thick, under 8 S.F., excludes loading and disposal</v>
          </cell>
          <cell r="C43" t="str">
            <v>S.F.</v>
          </cell>
          <cell r="D43">
            <v>31</v>
          </cell>
          <cell r="E43">
            <v>0</v>
          </cell>
          <cell r="F43">
            <v>18.55</v>
          </cell>
          <cell r="G43">
            <v>20.05</v>
          </cell>
        </row>
        <row r="44">
          <cell r="B44" t="str">
            <v>Cutout demolition, slab on grade, non-reinforced, to 6" thick, 8-16 S.F., excludes loading and disposal</v>
          </cell>
          <cell r="C44" t="str">
            <v>S.F.</v>
          </cell>
          <cell r="D44">
            <v>31</v>
          </cell>
          <cell r="E44">
            <v>0</v>
          </cell>
          <cell r="F44">
            <v>9</v>
          </cell>
          <cell r="G44">
            <v>9.73</v>
          </cell>
        </row>
        <row r="45">
          <cell r="B45" t="str">
            <v>Saw cutting, concrete slabs, mesh reinforcing, per inch of depth to 3" deep</v>
          </cell>
          <cell r="C45" t="str">
            <v>L.F.</v>
          </cell>
          <cell r="D45">
            <v>31</v>
          </cell>
          <cell r="E45">
            <v>0</v>
          </cell>
          <cell r="F45">
            <v>1.1000000000000001</v>
          </cell>
          <cell r="G45">
            <v>1.19</v>
          </cell>
        </row>
        <row r="46">
          <cell r="B46" t="str">
            <v>Saw cutting, concrete slab, rebar, each additional inch of depth over 3"</v>
          </cell>
          <cell r="C46" t="str">
            <v>L.F.</v>
          </cell>
          <cell r="D46">
            <v>31</v>
          </cell>
          <cell r="E46">
            <v>0</v>
          </cell>
          <cell r="F46">
            <v>0.56000000000000005</v>
          </cell>
          <cell r="G46">
            <v>0.61</v>
          </cell>
        </row>
        <row r="47">
          <cell r="B47" t="str">
            <v>Concrete testing, compressive strength test, incl. delivery to lab per cylinder</v>
          </cell>
          <cell r="C47" t="str">
            <v>Ea.</v>
          </cell>
          <cell r="D47">
            <v>31</v>
          </cell>
          <cell r="E47">
            <v>0</v>
          </cell>
          <cell r="F47">
            <v>13</v>
          </cell>
          <cell r="G47">
            <v>14.95</v>
          </cell>
        </row>
        <row r="48">
          <cell r="B48" t="str">
            <v>Concrete testing, compressive strength test, incl. picked up by lab, average</v>
          </cell>
          <cell r="C48" t="str">
            <v>Ea.</v>
          </cell>
          <cell r="D48">
            <v>31</v>
          </cell>
          <cell r="E48">
            <v>0</v>
          </cell>
          <cell r="F48">
            <v>20</v>
          </cell>
          <cell r="G48">
            <v>23</v>
          </cell>
        </row>
        <row r="49">
          <cell r="B49" t="str">
            <v>Winter Protection, for heated ready mix, includes material only, add, min.</v>
          </cell>
          <cell r="C49" t="str">
            <v>C.Y.</v>
          </cell>
          <cell r="D49">
            <v>31</v>
          </cell>
          <cell r="E49">
            <v>0</v>
          </cell>
          <cell r="F49">
            <v>4.95</v>
          </cell>
          <cell r="G49">
            <v>4.6100000000000003</v>
          </cell>
        </row>
        <row r="50">
          <cell r="B50" t="str">
            <v>Winter Protection, for heated ready mix, includes material only, add, max.</v>
          </cell>
          <cell r="C50" t="str">
            <v>C.Y.</v>
          </cell>
          <cell r="D50">
            <v>31</v>
          </cell>
          <cell r="E50">
            <v>0</v>
          </cell>
          <cell r="F50">
            <v>6.2</v>
          </cell>
          <cell r="G50">
            <v>5.78</v>
          </cell>
        </row>
        <row r="51">
          <cell r="B51" t="str">
            <v>Winter Protection, protecting concrete and temp heat</v>
          </cell>
          <cell r="C51" t="str">
            <v>M.S.F.</v>
          </cell>
          <cell r="D51">
            <v>31</v>
          </cell>
          <cell r="E51">
            <v>0</v>
          </cell>
          <cell r="F51">
            <v>157</v>
          </cell>
          <cell r="G51">
            <v>146.25</v>
          </cell>
        </row>
        <row r="52">
          <cell r="B52" t="str">
            <v>Winter Protection, temp. shelter, slab on grade, wood frame and poly, min.</v>
          </cell>
          <cell r="C52" t="str">
            <v>M.S.F.</v>
          </cell>
          <cell r="D52">
            <v>31</v>
          </cell>
          <cell r="E52">
            <v>0</v>
          </cell>
          <cell r="F52">
            <v>355</v>
          </cell>
          <cell r="G52">
            <v>330.68</v>
          </cell>
        </row>
        <row r="53">
          <cell r="B53" t="str">
            <v>Winter Protection, temp. shelter, slab on grade, wood frame and poly, max.</v>
          </cell>
          <cell r="C53" t="str">
            <v>M.S.F.</v>
          </cell>
          <cell r="D53">
            <v>31</v>
          </cell>
          <cell r="E53">
            <v>0</v>
          </cell>
          <cell r="F53">
            <v>580</v>
          </cell>
          <cell r="G53">
            <v>540.27</v>
          </cell>
        </row>
        <row r="54">
          <cell r="B54" t="str">
            <v>Waterstop, PVC, ribbed, 3/16" thick x 6" wide</v>
          </cell>
          <cell r="C54" t="str">
            <v>L.F.</v>
          </cell>
          <cell r="D54">
            <v>31</v>
          </cell>
          <cell r="E54">
            <v>0</v>
          </cell>
          <cell r="F54">
            <v>3.97</v>
          </cell>
          <cell r="G54">
            <v>2.61</v>
          </cell>
        </row>
        <row r="55">
          <cell r="B55" t="str">
            <v>Fibrous reinforcing, synthetic fibers, add to concrete, 1-1/2 lb. per C.Y.</v>
          </cell>
          <cell r="C55" t="str">
            <v>C.Y.</v>
          </cell>
          <cell r="D55">
            <v>31</v>
          </cell>
          <cell r="E55">
            <v>0</v>
          </cell>
          <cell r="F55">
            <v>6.6</v>
          </cell>
          <cell r="G55">
            <v>6.21</v>
          </cell>
        </row>
        <row r="56">
          <cell r="B56" t="str">
            <v>Fibrous reinforcing, steel fibers, add to concrete, 25 lb. per C.Y.</v>
          </cell>
          <cell r="C56" t="str">
            <v>C.Y.</v>
          </cell>
          <cell r="D56">
            <v>31</v>
          </cell>
          <cell r="E56">
            <v>0</v>
          </cell>
          <cell r="F56">
            <v>12.1</v>
          </cell>
          <cell r="G56">
            <v>11.38</v>
          </cell>
        </row>
        <row r="57">
          <cell r="B57" t="str">
            <v>Concrete finishing, floor, dustproofing, epoxy coating, clear, 1 coat</v>
          </cell>
          <cell r="C57" t="str">
            <v>S.F.</v>
          </cell>
          <cell r="D57">
            <v>31</v>
          </cell>
          <cell r="E57">
            <v>0</v>
          </cell>
          <cell r="F57">
            <v>0.68</v>
          </cell>
          <cell r="G57">
            <v>0.65</v>
          </cell>
        </row>
        <row r="58">
          <cell r="B58" t="str">
            <v>Concrete finishing, floor, dustproofing, epoxy coating, clear, 2 coats</v>
          </cell>
          <cell r="C58" t="str">
            <v>S.F.</v>
          </cell>
          <cell r="D58">
            <v>31</v>
          </cell>
          <cell r="E58">
            <v>0</v>
          </cell>
          <cell r="F58">
            <v>0.68</v>
          </cell>
          <cell r="G58">
            <v>0.65</v>
          </cell>
        </row>
        <row r="59">
          <cell r="B59" t="str">
            <v>Concrete finishing, walls, includes breaking ties and patching voids</v>
          </cell>
          <cell r="C59" t="str">
            <v>S.F.</v>
          </cell>
          <cell r="D59">
            <v>31</v>
          </cell>
          <cell r="E59">
            <v>0</v>
          </cell>
          <cell r="F59">
            <v>0.64</v>
          </cell>
          <cell r="G59">
            <v>0.62</v>
          </cell>
        </row>
        <row r="60">
          <cell r="B60" t="str">
            <v>Construction Joint - floor, sawed, backer rod and waterstop</v>
          </cell>
          <cell r="C60" t="str">
            <v>EA.</v>
          </cell>
          <cell r="D60" t="str">
            <v>-</v>
          </cell>
          <cell r="E60" t="str">
            <v>2.9.15</v>
          </cell>
          <cell r="F60">
            <v>2.86</v>
          </cell>
          <cell r="G60">
            <v>2.75</v>
          </cell>
        </row>
        <row r="61">
          <cell r="B61" t="str">
            <v>4" Pipe Seal, modular, i.e. Linkseal - material cost only</v>
          </cell>
          <cell r="C61" t="str">
            <v>EA.</v>
          </cell>
          <cell r="D61" t="str">
            <v>-</v>
          </cell>
          <cell r="E61" t="str">
            <v>2.12.2</v>
          </cell>
          <cell r="F61">
            <v>33</v>
          </cell>
          <cell r="G61">
            <v>37.950000000000003</v>
          </cell>
        </row>
        <row r="62">
          <cell r="B62" t="str">
            <v>Pumping, Concrete, Footings &amp; Slabs, 18.75cy/hr (include drive time)</v>
          </cell>
          <cell r="C62" t="str">
            <v>HR.</v>
          </cell>
          <cell r="D62">
            <v>31</v>
          </cell>
          <cell r="E62" t="str">
            <v>2.4.2</v>
          </cell>
          <cell r="F62">
            <v>160</v>
          </cell>
          <cell r="G62">
            <v>184</v>
          </cell>
        </row>
        <row r="63">
          <cell r="B63" t="str">
            <v>Pumping, Concrete, Walls, 12.5cy/hr (include drive time)</v>
          </cell>
          <cell r="C63" t="str">
            <v>HR.</v>
          </cell>
          <cell r="D63">
            <v>31</v>
          </cell>
          <cell r="E63" t="str">
            <v>2.4.3</v>
          </cell>
          <cell r="F63">
            <v>160</v>
          </cell>
          <cell r="G63">
            <v>184</v>
          </cell>
        </row>
        <row r="64">
          <cell r="B64" t="str">
            <v>Waterstop, Bentonite, in place</v>
          </cell>
          <cell r="C64" t="str">
            <v>L.F.</v>
          </cell>
          <cell r="D64">
            <v>31</v>
          </cell>
          <cell r="E64" t="str">
            <v>2.12.0</v>
          </cell>
          <cell r="F64">
            <v>4.5733788395904442</v>
          </cell>
          <cell r="G64">
            <v>3.01</v>
          </cell>
        </row>
        <row r="65">
          <cell r="B65" t="str">
            <v>Block, Concrete, 2'x2'x4'</v>
          </cell>
          <cell r="C65" t="str">
            <v>EA.</v>
          </cell>
          <cell r="D65">
            <v>31</v>
          </cell>
          <cell r="E65" t="str">
            <v>2.14.0</v>
          </cell>
          <cell r="F65">
            <v>50</v>
          </cell>
          <cell r="G65">
            <v>57.5</v>
          </cell>
        </row>
        <row r="66">
          <cell r="B66" t="str">
            <v>Block, Concrete, 2'x2'x6'</v>
          </cell>
          <cell r="C66" t="str">
            <v>EA.</v>
          </cell>
          <cell r="D66">
            <v>31</v>
          </cell>
          <cell r="E66" t="str">
            <v>2.14.1</v>
          </cell>
          <cell r="F66">
            <v>60</v>
          </cell>
          <cell r="G66">
            <v>69</v>
          </cell>
        </row>
        <row r="67">
          <cell r="B67" t="str">
            <v>Hopper, Precast, 6' dia. x 6' deep, delivered, no excavation</v>
          </cell>
          <cell r="C67" t="str">
            <v>EA.</v>
          </cell>
          <cell r="D67">
            <v>31</v>
          </cell>
          <cell r="E67" t="str">
            <v>2.8.2</v>
          </cell>
          <cell r="F67">
            <v>1450</v>
          </cell>
          <cell r="G67">
            <v>1667.5</v>
          </cell>
        </row>
        <row r="68">
          <cell r="B68" t="str">
            <v>Hopper, Precast, 6' dia. x 8' deep, delivered, no excavation</v>
          </cell>
          <cell r="C68" t="str">
            <v>EA.</v>
          </cell>
          <cell r="D68">
            <v>31</v>
          </cell>
          <cell r="E68" t="str">
            <v>2.8.3</v>
          </cell>
          <cell r="F68">
            <v>1720</v>
          </cell>
          <cell r="G68">
            <v>1978</v>
          </cell>
        </row>
        <row r="69">
          <cell r="B69" t="str">
            <v>Manhole, Precast, 4' dia, Cover, delivered, no excavation</v>
          </cell>
          <cell r="C69" t="str">
            <v>EA.</v>
          </cell>
          <cell r="D69">
            <v>31</v>
          </cell>
          <cell r="E69" t="str">
            <v>22.2.0</v>
          </cell>
          <cell r="F69">
            <v>120</v>
          </cell>
          <cell r="G69">
            <v>138</v>
          </cell>
        </row>
        <row r="70">
          <cell r="B70" t="str">
            <v>Manhole, Precast, 4' dia, Section, delivered, no excavation</v>
          </cell>
          <cell r="C70" t="str">
            <v>L.F.</v>
          </cell>
          <cell r="D70">
            <v>31</v>
          </cell>
          <cell r="E70" t="str">
            <v>22.2.1</v>
          </cell>
          <cell r="F70">
            <v>75</v>
          </cell>
          <cell r="G70">
            <v>86.25</v>
          </cell>
        </row>
        <row r="71">
          <cell r="B71" t="str">
            <v>Manhole, Precast, 4' dia, Base, delivered, no excavation</v>
          </cell>
          <cell r="C71" t="str">
            <v>EA.</v>
          </cell>
          <cell r="D71">
            <v>31</v>
          </cell>
          <cell r="E71" t="str">
            <v>22.2.2</v>
          </cell>
          <cell r="F71">
            <v>86</v>
          </cell>
          <cell r="G71">
            <v>98.9</v>
          </cell>
        </row>
        <row r="72">
          <cell r="B72" t="str">
            <v>Manhole, Precast, 5' dia, Cover, delivered, no excavation</v>
          </cell>
          <cell r="C72" t="str">
            <v>EA.</v>
          </cell>
          <cell r="D72">
            <v>31</v>
          </cell>
          <cell r="E72" t="str">
            <v>22.3.0</v>
          </cell>
          <cell r="F72">
            <v>216</v>
          </cell>
          <cell r="G72">
            <v>248.4</v>
          </cell>
        </row>
        <row r="73">
          <cell r="B73" t="str">
            <v>Manhole, Precast, 5' dia, Section, delivered, no excavation</v>
          </cell>
          <cell r="C73" t="str">
            <v>L.F.</v>
          </cell>
          <cell r="D73">
            <v>31</v>
          </cell>
          <cell r="E73" t="str">
            <v>22.3.1</v>
          </cell>
          <cell r="F73">
            <v>136</v>
          </cell>
          <cell r="G73">
            <v>156.4</v>
          </cell>
        </row>
        <row r="74">
          <cell r="B74" t="str">
            <v>Manhole, Precast, 5' dia, Base, delivered, no excavation</v>
          </cell>
          <cell r="C74" t="str">
            <v>EA.</v>
          </cell>
          <cell r="D74">
            <v>31</v>
          </cell>
          <cell r="E74" t="str">
            <v>22.3.2</v>
          </cell>
          <cell r="F74">
            <v>163</v>
          </cell>
          <cell r="G74">
            <v>187.45</v>
          </cell>
        </row>
        <row r="75">
          <cell r="B75" t="str">
            <v>Manhole, Precast, 6' dia, Cover, delivered, no excavation</v>
          </cell>
          <cell r="C75" t="str">
            <v>EA.</v>
          </cell>
          <cell r="D75">
            <v>31</v>
          </cell>
          <cell r="E75" t="str">
            <v>22.4.0</v>
          </cell>
          <cell r="F75">
            <v>440</v>
          </cell>
          <cell r="G75">
            <v>506</v>
          </cell>
        </row>
        <row r="76">
          <cell r="B76" t="str">
            <v>Manhole, Precast,6' dia, Section, delivered, no excavation</v>
          </cell>
          <cell r="C76" t="str">
            <v>L.F.</v>
          </cell>
          <cell r="D76">
            <v>31</v>
          </cell>
          <cell r="E76" t="str">
            <v>22.4.1</v>
          </cell>
          <cell r="F76">
            <v>189</v>
          </cell>
          <cell r="G76">
            <v>217.35</v>
          </cell>
        </row>
        <row r="77">
          <cell r="B77" t="str">
            <v>Manhole, Precast, 6' dia, Base, delivered, no excavation</v>
          </cell>
          <cell r="C77" t="str">
            <v>EA.</v>
          </cell>
          <cell r="D77">
            <v>31</v>
          </cell>
          <cell r="E77" t="str">
            <v>22.4.2</v>
          </cell>
          <cell r="F77">
            <v>244</v>
          </cell>
          <cell r="G77">
            <v>280.60000000000002</v>
          </cell>
        </row>
        <row r="78">
          <cell r="B78" t="str">
            <v>Well tile, Precast, 3' dia, Base, delivered, no excavation</v>
          </cell>
          <cell r="C78" t="str">
            <v>EA.</v>
          </cell>
          <cell r="D78">
            <v>31</v>
          </cell>
          <cell r="E78" t="str">
            <v>22.5.0</v>
          </cell>
          <cell r="F78">
            <v>79</v>
          </cell>
          <cell r="G78">
            <v>90.85</v>
          </cell>
        </row>
        <row r="79">
          <cell r="B79" t="str">
            <v>Well tile, Precast, 3' dia, Cover, delivered, no excavation</v>
          </cell>
          <cell r="C79" t="str">
            <v>EA.</v>
          </cell>
          <cell r="D79">
            <v>31</v>
          </cell>
          <cell r="E79" t="str">
            <v>22.5.1</v>
          </cell>
          <cell r="F79">
            <v>79</v>
          </cell>
          <cell r="G79">
            <v>90.85</v>
          </cell>
        </row>
        <row r="80">
          <cell r="B80" t="str">
            <v>Well tile, Precast, 3' dia, Section, delivered, no excavation</v>
          </cell>
          <cell r="C80" t="str">
            <v>L.F.</v>
          </cell>
          <cell r="D80">
            <v>31</v>
          </cell>
          <cell r="E80" t="str">
            <v>22.5.2</v>
          </cell>
          <cell r="F80">
            <v>56</v>
          </cell>
          <cell r="G80">
            <v>64.400000000000006</v>
          </cell>
        </row>
        <row r="81">
          <cell r="B81" t="str">
            <v>Septic Tank, Precast, 1000gal, exc. &amp; bkfill incl.</v>
          </cell>
          <cell r="C81" t="str">
            <v>EA.</v>
          </cell>
          <cell r="D81" t="str">
            <v>1,5,11,31</v>
          </cell>
          <cell r="E81" t="str">
            <v>24.6.0</v>
          </cell>
          <cell r="F81">
            <v>799</v>
          </cell>
          <cell r="G81">
            <v>918.85</v>
          </cell>
        </row>
        <row r="82">
          <cell r="B82" t="str">
            <v>Septic Tank, Precast, 1500gal, exc. &amp; bkfill incl.</v>
          </cell>
          <cell r="C82" t="str">
            <v>EA.</v>
          </cell>
          <cell r="D82" t="str">
            <v>1,5,11,31</v>
          </cell>
          <cell r="E82" t="str">
            <v>24.6.1</v>
          </cell>
          <cell r="F82">
            <v>1255</v>
          </cell>
          <cell r="G82">
            <v>1443.25</v>
          </cell>
        </row>
        <row r="83">
          <cell r="B83" t="str">
            <v>Pump Station, Precast, heavy duty, 2000gal, exc. &amp; bkfill incl., no pump</v>
          </cell>
          <cell r="C83" t="str">
            <v>EA.</v>
          </cell>
          <cell r="D83" t="str">
            <v>1,5,11,31</v>
          </cell>
          <cell r="E83" t="str">
            <v>24.6.10</v>
          </cell>
          <cell r="F83">
            <v>2807</v>
          </cell>
          <cell r="G83">
            <v>3228.05</v>
          </cell>
        </row>
        <row r="84">
          <cell r="B84" t="str">
            <v>Septic Tank, Precast, 2000gal, exc. &amp; bkfill incl.</v>
          </cell>
          <cell r="C84" t="str">
            <v>EA.</v>
          </cell>
          <cell r="D84" t="str">
            <v>1,5,11,31</v>
          </cell>
          <cell r="E84" t="str">
            <v>24.6.2</v>
          </cell>
          <cell r="F84">
            <v>1590</v>
          </cell>
          <cell r="G84">
            <v>1828.5</v>
          </cell>
        </row>
        <row r="85">
          <cell r="B85" t="str">
            <v>Septic Tank, Precast, Heavy Duty, 1000gal, exc. &amp; bkfill incl.</v>
          </cell>
          <cell r="C85" t="str">
            <v>EA.</v>
          </cell>
          <cell r="D85" t="str">
            <v>1,5,11,31</v>
          </cell>
          <cell r="E85" t="str">
            <v>24.6.3</v>
          </cell>
          <cell r="F85">
            <v>1810</v>
          </cell>
          <cell r="G85">
            <v>2081.5</v>
          </cell>
        </row>
        <row r="86">
          <cell r="B86" t="str">
            <v>Septic Tank, Precast, Heavy Duty, 1500gal, exc. &amp; bkfill incl.</v>
          </cell>
          <cell r="C86" t="str">
            <v>EA.</v>
          </cell>
          <cell r="D86" t="str">
            <v>1,5,11,31</v>
          </cell>
          <cell r="E86" t="str">
            <v>24.6.4</v>
          </cell>
          <cell r="F86">
            <v>2983</v>
          </cell>
          <cell r="G86">
            <v>3430.45</v>
          </cell>
        </row>
        <row r="87">
          <cell r="B87" t="str">
            <v>Septic Tank, Precast, Heavy Duty, 2000gal, exc. &amp; bkfill incl.</v>
          </cell>
          <cell r="C87" t="str">
            <v>EA.</v>
          </cell>
          <cell r="D87" t="str">
            <v>1,5,11,31</v>
          </cell>
          <cell r="E87" t="str">
            <v>24.6.5</v>
          </cell>
          <cell r="F87">
            <v>3487</v>
          </cell>
          <cell r="G87">
            <v>4010.05</v>
          </cell>
        </row>
        <row r="88">
          <cell r="B88" t="str">
            <v>Grease Trap, 1000gal, exc. &amp; bkfill incl., w/ 8" effluent filter</v>
          </cell>
          <cell r="C88" t="str">
            <v>EA.</v>
          </cell>
          <cell r="D88" t="str">
            <v>1,5,11,31</v>
          </cell>
          <cell r="E88" t="str">
            <v>24.6.6</v>
          </cell>
          <cell r="F88">
            <v>1050</v>
          </cell>
          <cell r="G88">
            <v>1207.5</v>
          </cell>
        </row>
        <row r="89">
          <cell r="B89" t="str">
            <v>Pump Station, Precast, 1000gal, exc. &amp; bkfill incl., small pump included</v>
          </cell>
          <cell r="C89" t="str">
            <v>EA.</v>
          </cell>
          <cell r="D89" t="str">
            <v>1,5,11,31,51</v>
          </cell>
          <cell r="E89" t="str">
            <v>24.6.7</v>
          </cell>
          <cell r="F89">
            <v>1990</v>
          </cell>
          <cell r="G89">
            <v>2288.5</v>
          </cell>
        </row>
        <row r="90">
          <cell r="B90" t="str">
            <v xml:space="preserve">Pump Station, Precast, heavy duty, 1000gal, exc. &amp; bkfill incl., no pump </v>
          </cell>
          <cell r="C90" t="str">
            <v>EA.</v>
          </cell>
          <cell r="D90" t="str">
            <v>1,5,11,31</v>
          </cell>
          <cell r="E90" t="str">
            <v>24.6.8</v>
          </cell>
          <cell r="F90">
            <v>2175</v>
          </cell>
          <cell r="G90">
            <v>2501.25</v>
          </cell>
        </row>
        <row r="91">
          <cell r="B91" t="str">
            <v>Pump Station, Precast,heavy duty, 1500gal, exc. &amp; bkfill incl., no pump</v>
          </cell>
          <cell r="C91" t="str">
            <v>EA.</v>
          </cell>
          <cell r="D91" t="str">
            <v>1,5,11,31</v>
          </cell>
          <cell r="E91" t="str">
            <v>24.6.9</v>
          </cell>
          <cell r="F91">
            <v>2550</v>
          </cell>
          <cell r="G91">
            <v>2932.5</v>
          </cell>
        </row>
        <row r="92">
          <cell r="B92" t="str">
            <v>4'-8' Conc. Wall, 3000 psi, 8" thick, #4@12" E.W., Chute, Curing Compound</v>
          </cell>
          <cell r="C92" t="str">
            <v>C.Y.</v>
          </cell>
          <cell r="D92">
            <v>31</v>
          </cell>
          <cell r="E92" t="str">
            <v>2.10.1</v>
          </cell>
          <cell r="F92">
            <v>368.66575</v>
          </cell>
          <cell r="G92">
            <v>400.99</v>
          </cell>
        </row>
        <row r="93">
          <cell r="B93" t="str">
            <v>4'-8' Conc. Wall, 3000 psi, 8" thick, #5@12" E.W., Chute, Curing Compound</v>
          </cell>
          <cell r="C93" t="str">
            <v>C.Y.</v>
          </cell>
          <cell r="D93">
            <v>31</v>
          </cell>
          <cell r="E93" t="str">
            <v>2.10.2</v>
          </cell>
          <cell r="F93">
            <v>389.54787500000003</v>
          </cell>
          <cell r="G93">
            <v>423.7</v>
          </cell>
        </row>
        <row r="94">
          <cell r="B94" t="str">
            <v>4'-8' Conc. Wall, 3000 psi, 8" thick, #4@12" V, #4@6" H, Chute, Curing Compd.</v>
          </cell>
          <cell r="C94" t="str">
            <v>C.Y.</v>
          </cell>
          <cell r="D94">
            <v>31</v>
          </cell>
          <cell r="E94" t="str">
            <v>2.10.3</v>
          </cell>
          <cell r="F94">
            <v>387.26537500000001</v>
          </cell>
          <cell r="G94">
            <v>421.22</v>
          </cell>
        </row>
        <row r="95">
          <cell r="B95" t="str">
            <v>4'-8' Conc. Wall, 3000 psi, 8" thick, #5@12" V, #5@6" H, Chute, Curing Compd.</v>
          </cell>
          <cell r="C95" t="str">
            <v>C.Y.</v>
          </cell>
          <cell r="D95">
            <v>31</v>
          </cell>
          <cell r="E95" t="str">
            <v>2.10.4</v>
          </cell>
          <cell r="F95">
            <v>418.58924999999999</v>
          </cell>
          <cell r="G95">
            <v>455.29</v>
          </cell>
        </row>
        <row r="96">
          <cell r="B96" t="str">
            <v>4'-8' Conc. Wall, 4000 psi, 8" thick, #4@12" E.W., Chute, Curing Compound</v>
          </cell>
          <cell r="C96" t="str">
            <v>C.Y.</v>
          </cell>
          <cell r="D96">
            <v>31</v>
          </cell>
          <cell r="E96" t="str">
            <v>2.10.5</v>
          </cell>
          <cell r="F96">
            <v>372.16575</v>
          </cell>
          <cell r="G96">
            <v>404.8</v>
          </cell>
        </row>
        <row r="97">
          <cell r="B97" t="str">
            <v>4'-8' Conc. Wall, 4000 psi, 8" thick, #5@12" E.W., Chute, Curing Compound</v>
          </cell>
          <cell r="C97" t="str">
            <v>C.Y.</v>
          </cell>
          <cell r="D97">
            <v>31</v>
          </cell>
          <cell r="E97" t="str">
            <v>2.10.6</v>
          </cell>
          <cell r="F97">
            <v>393.04787500000003</v>
          </cell>
          <cell r="G97">
            <v>427.51</v>
          </cell>
        </row>
        <row r="98">
          <cell r="B98" t="str">
            <v>4'-8' Conc. Wall, 4000 psi, 8" thick, #4@12" V, #4@6" H, Chute, Curing Compd.</v>
          </cell>
          <cell r="C98" t="str">
            <v>C.Y.</v>
          </cell>
          <cell r="D98">
            <v>31</v>
          </cell>
          <cell r="E98" t="str">
            <v>2.10.7</v>
          </cell>
          <cell r="F98">
            <v>390.76537500000001</v>
          </cell>
          <cell r="G98">
            <v>425.03</v>
          </cell>
        </row>
        <row r="99">
          <cell r="B99" t="str">
            <v>4'-8' Conc. Wall, 4000 psi, 8" thick, #5@12" V, #5@6" H, Chute, Curing Compd.</v>
          </cell>
          <cell r="C99" t="str">
            <v>C.Y.</v>
          </cell>
          <cell r="D99">
            <v>31</v>
          </cell>
          <cell r="E99" t="str">
            <v>2.10.8</v>
          </cell>
          <cell r="F99">
            <v>422.08924999999999</v>
          </cell>
          <cell r="G99">
            <v>459.1</v>
          </cell>
        </row>
        <row r="100">
          <cell r="B100" t="str">
            <v>10' Conc. Wall, 3000 psi, 10" thick, #4@12" E.W., Chute, Curing Compound</v>
          </cell>
          <cell r="C100" t="str">
            <v>C.Y.</v>
          </cell>
          <cell r="D100">
            <v>31</v>
          </cell>
          <cell r="E100" t="str">
            <v>2.10.9</v>
          </cell>
          <cell r="F100">
            <v>400.63819999999998</v>
          </cell>
          <cell r="G100">
            <v>435.77</v>
          </cell>
        </row>
        <row r="101">
          <cell r="B101" t="str">
            <v>10' Conc. Wall, 3000 psi, 10" thick, #5@12" E.W., Chute, Curing Compound</v>
          </cell>
          <cell r="C101" t="str">
            <v>C.Y.</v>
          </cell>
          <cell r="D101">
            <v>31</v>
          </cell>
          <cell r="E101" t="str">
            <v>2.10.10</v>
          </cell>
          <cell r="F101">
            <v>417.96319999999997</v>
          </cell>
          <cell r="G101">
            <v>454.61</v>
          </cell>
        </row>
        <row r="102">
          <cell r="B102" t="str">
            <v>10' Conc. Wall, 3000 psi, 10" thick, #4@12" V, #4@6" H, Chute, Curing Compd.</v>
          </cell>
          <cell r="C102" t="str">
            <v>C.Y.</v>
          </cell>
          <cell r="D102">
            <v>31</v>
          </cell>
          <cell r="E102" t="str">
            <v>2.10.11</v>
          </cell>
          <cell r="F102">
            <v>415.21319999999997</v>
          </cell>
          <cell r="G102">
            <v>451.62</v>
          </cell>
        </row>
        <row r="103">
          <cell r="B103" t="str">
            <v>10' Conc. Wall, 3000 psi, 10" thick, #5@12" V, #5@6" H, Chute, Curing Compd.</v>
          </cell>
          <cell r="C103" t="str">
            <v>C.Y.</v>
          </cell>
          <cell r="D103">
            <v>31</v>
          </cell>
          <cell r="E103" t="str">
            <v>2.10.12</v>
          </cell>
          <cell r="F103">
            <v>441.33819999999997</v>
          </cell>
          <cell r="G103">
            <v>480.04</v>
          </cell>
        </row>
        <row r="104">
          <cell r="B104" t="str">
            <v>10' Conc. Wall, 4000 psi, 10" thick, #4@12" E.W., Chute, Curing Compound</v>
          </cell>
          <cell r="C104" t="str">
            <v>C.Y.</v>
          </cell>
          <cell r="D104">
            <v>31</v>
          </cell>
          <cell r="E104" t="str">
            <v>2.10.13</v>
          </cell>
          <cell r="F104">
            <v>404.13819999999998</v>
          </cell>
          <cell r="G104">
            <v>439.57</v>
          </cell>
        </row>
        <row r="105">
          <cell r="B105" t="str">
            <v>10' Conc. Wall, 4000 psi, 10" thick, #5@12" E.W., Chute, Curing Compound</v>
          </cell>
          <cell r="C105" t="str">
            <v>C.Y.</v>
          </cell>
          <cell r="D105">
            <v>31</v>
          </cell>
          <cell r="E105" t="str">
            <v>2.10.14</v>
          </cell>
          <cell r="F105">
            <v>421.46319999999997</v>
          </cell>
          <cell r="G105">
            <v>458.42</v>
          </cell>
        </row>
        <row r="106">
          <cell r="B106" t="str">
            <v>10' Conc. Wall, 4000 psi, 10" thick, #4@12" V, #4@6" H, Chute, Curing Compd.</v>
          </cell>
          <cell r="C106" t="str">
            <v>C.Y.</v>
          </cell>
          <cell r="D106">
            <v>31</v>
          </cell>
          <cell r="E106" t="str">
            <v>2.10.15</v>
          </cell>
          <cell r="F106">
            <v>418.71319999999997</v>
          </cell>
          <cell r="G106">
            <v>455.43</v>
          </cell>
        </row>
        <row r="107">
          <cell r="B107" t="str">
            <v>10' Conc. Wall, 4000 psi, 10" thick, #5@12" V, #5@6" H, Chute, Curing Compd.</v>
          </cell>
          <cell r="C107" t="str">
            <v>C.Y.</v>
          </cell>
          <cell r="D107">
            <v>31</v>
          </cell>
          <cell r="E107" t="str">
            <v>2.10.16</v>
          </cell>
          <cell r="F107">
            <v>444.83819999999997</v>
          </cell>
          <cell r="G107">
            <v>483.84</v>
          </cell>
        </row>
        <row r="108">
          <cell r="B108" t="str">
            <v>12' Conc. Wall, 3000 psi, 10" thick, #5@12" E.W., Chute, Curing Compound</v>
          </cell>
          <cell r="C108" t="str">
            <v>C.Y.</v>
          </cell>
          <cell r="D108">
            <v>31</v>
          </cell>
          <cell r="E108" t="str">
            <v>2.10.17</v>
          </cell>
          <cell r="F108">
            <v>416.01319999999998</v>
          </cell>
          <cell r="G108">
            <v>452.49</v>
          </cell>
        </row>
        <row r="109">
          <cell r="B109" t="str">
            <v>12' Conc. Wall, 4000 psi, 10" thick, #5@12" E.W., Chute, Curing Compound</v>
          </cell>
          <cell r="C109" t="str">
            <v>C.Y.</v>
          </cell>
          <cell r="D109">
            <v>31</v>
          </cell>
          <cell r="E109" t="str">
            <v>2.10.18</v>
          </cell>
          <cell r="F109">
            <v>419.51319999999998</v>
          </cell>
          <cell r="G109">
            <v>456.3</v>
          </cell>
        </row>
        <row r="110">
          <cell r="B110" t="str">
            <v>12' Conc. Wall, 3000 psi, 10" thick, #5@12" V, #5@6" H, Chute, Curing Compd.</v>
          </cell>
          <cell r="C110" t="str">
            <v>C.Y.</v>
          </cell>
          <cell r="D110">
            <v>31</v>
          </cell>
          <cell r="E110" t="str">
            <v>2.10.19</v>
          </cell>
          <cell r="F110">
            <v>441.33819999999997</v>
          </cell>
          <cell r="G110">
            <v>480.04</v>
          </cell>
        </row>
        <row r="111">
          <cell r="B111" t="str">
            <v>12' Conc. Wall, 4000 psi, 10" thick, #5@12" V, #5@6" H, Chute, Curing Compd.</v>
          </cell>
          <cell r="C111" t="str">
            <v>C.Y.</v>
          </cell>
          <cell r="D111">
            <v>31</v>
          </cell>
          <cell r="E111" t="str">
            <v>2.10.20</v>
          </cell>
          <cell r="F111">
            <v>444.83819999999997</v>
          </cell>
          <cell r="G111">
            <v>483.84</v>
          </cell>
        </row>
        <row r="112">
          <cell r="B112" t="str">
            <v>Concrete Footing, 10" thick, &gt; 3' wide, reinforced, #4 &amp; #5</v>
          </cell>
          <cell r="C112" t="str">
            <v>C.Y.</v>
          </cell>
          <cell r="D112">
            <v>31</v>
          </cell>
          <cell r="E112" t="str">
            <v>2.11.1</v>
          </cell>
          <cell r="F112">
            <v>320.75540000000007</v>
          </cell>
          <cell r="G112">
            <v>348.88</v>
          </cell>
        </row>
        <row r="113">
          <cell r="B113" t="str">
            <v>Concrete Footing, 10" thick, &lt; 3' wide, reinforced, #4 E.W. Typ.</v>
          </cell>
          <cell r="C113" t="str">
            <v>C.Y.</v>
          </cell>
          <cell r="D113">
            <v>31</v>
          </cell>
          <cell r="E113" t="str">
            <v>2.11.2</v>
          </cell>
          <cell r="F113">
            <v>346.76450000000006</v>
          </cell>
          <cell r="G113">
            <v>377.17</v>
          </cell>
        </row>
        <row r="114">
          <cell r="B114" t="str">
            <v>Conc. Hopper, 6'x6'x8', 8" Wall &amp; Floor, No Exc. or Drainage, 6" Drainfill</v>
          </cell>
          <cell r="C114" t="str">
            <v>E.A.</v>
          </cell>
          <cell r="D114" t="str">
            <v>1,5,11,31</v>
          </cell>
          <cell r="E114" t="str">
            <v>2.8.4</v>
          </cell>
          <cell r="F114">
            <v>3258.509</v>
          </cell>
          <cell r="G114">
            <v>3544.22</v>
          </cell>
        </row>
        <row r="115">
          <cell r="B115" t="str">
            <v>Unreinforced Concrete</v>
          </cell>
          <cell r="C115" t="str">
            <v>C.Y.</v>
          </cell>
          <cell r="D115">
            <v>31</v>
          </cell>
          <cell r="E115" t="str">
            <v>2.5.0</v>
          </cell>
          <cell r="F115">
            <v>131.25</v>
          </cell>
          <cell r="G115">
            <v>122.26</v>
          </cell>
        </row>
        <row r="116">
          <cell r="B116" t="str">
            <v>Slab, Concrete,  4", 3000psi, WWF, Curing cmpd., saw 10' o.c.</v>
          </cell>
          <cell r="C116" t="str">
            <v>C.Y.</v>
          </cell>
          <cell r="D116">
            <v>31</v>
          </cell>
          <cell r="E116" t="str">
            <v>2.9.10</v>
          </cell>
          <cell r="F116">
            <v>211.81856400000004</v>
          </cell>
          <cell r="G116">
            <v>230.39</v>
          </cell>
        </row>
        <row r="117">
          <cell r="B117" t="str">
            <v>Slab, Concrete,  4", 3000psi, Curing cmpd., saw 10' o.c.</v>
          </cell>
          <cell r="C117" t="str">
            <v>C.Y.</v>
          </cell>
          <cell r="D117">
            <v>31</v>
          </cell>
          <cell r="E117" t="str">
            <v>2.9.4</v>
          </cell>
          <cell r="F117">
            <v>167.673564</v>
          </cell>
          <cell r="G117">
            <v>182.38</v>
          </cell>
        </row>
        <row r="118">
          <cell r="B118" t="str">
            <v>Slab, Concrete, 5", 3000psi, Curing cmpd., #4@18" e.w.</v>
          </cell>
          <cell r="C118" t="str">
            <v>C.Y.</v>
          </cell>
          <cell r="D118">
            <v>31</v>
          </cell>
          <cell r="E118" t="str">
            <v>2.9.11</v>
          </cell>
          <cell r="F118">
            <v>253.79438400000004</v>
          </cell>
          <cell r="G118">
            <v>276.05</v>
          </cell>
        </row>
        <row r="119">
          <cell r="B119" t="str">
            <v>Curb, Concrete, 6"x12"h, 3000psi, #4 @ 12" E.W., Curing compd. (LF)</v>
          </cell>
          <cell r="C119" t="str">
            <v>L.F.</v>
          </cell>
          <cell r="D119">
            <v>31</v>
          </cell>
          <cell r="E119" t="str">
            <v>2.9.2</v>
          </cell>
          <cell r="F119">
            <v>12.451755000000002</v>
          </cell>
          <cell r="G119">
            <v>13.54</v>
          </cell>
        </row>
        <row r="120">
          <cell r="B120" t="str">
            <v>Curb, Concrete, 8"x12"h, 3000psi, #4 @ 12" E.W., Curing compd. (LF)</v>
          </cell>
          <cell r="C120" t="str">
            <v>L.F.</v>
          </cell>
          <cell r="D120">
            <v>31</v>
          </cell>
          <cell r="E120" t="str">
            <v>2.9.3</v>
          </cell>
          <cell r="F120">
            <v>12.985755000000001</v>
          </cell>
          <cell r="G120">
            <v>14.12</v>
          </cell>
        </row>
        <row r="121">
          <cell r="B121" t="str">
            <v>Curb, Concrete, Speed Bump, 3000psi, #4 @ 12" E.W., Curing compd. (LF)</v>
          </cell>
          <cell r="C121" t="str">
            <v>L.F.</v>
          </cell>
          <cell r="D121">
            <v>31</v>
          </cell>
          <cell r="E121" t="str">
            <v>2.9.6</v>
          </cell>
          <cell r="F121">
            <v>12.985755000000001</v>
          </cell>
          <cell r="G121">
            <v>14.12</v>
          </cell>
        </row>
        <row r="122">
          <cell r="B122" t="str">
            <v>Curb, Concrete, 6"x24"h, 3000psi, #4 @ 12" E.W., Curing compd. (LF)</v>
          </cell>
          <cell r="C122" t="str">
            <v>L.F.</v>
          </cell>
          <cell r="D122">
            <v>31</v>
          </cell>
          <cell r="E122" t="str">
            <v>2.9.1</v>
          </cell>
          <cell r="F122">
            <v>20.098949999999999</v>
          </cell>
          <cell r="G122">
            <v>21.86</v>
          </cell>
        </row>
        <row r="123">
          <cell r="B123" t="str">
            <v>Curb, Concrete, 8"x24"h, 3000psi, #4 @ 12" E.W., Curing compd. (LF)</v>
          </cell>
          <cell r="C123" t="str">
            <v>L.F.</v>
          </cell>
          <cell r="D123">
            <v>31</v>
          </cell>
          <cell r="E123" t="str">
            <v>2.9.5</v>
          </cell>
          <cell r="F123">
            <v>21.279250000000001</v>
          </cell>
          <cell r="G123">
            <v>23.15</v>
          </cell>
        </row>
        <row r="124">
          <cell r="B124" t="str">
            <v>Chisel Plowing</v>
          </cell>
          <cell r="C124" t="str">
            <v>ACRE</v>
          </cell>
          <cell r="D124" t="str">
            <v>-</v>
          </cell>
          <cell r="E124" t="str">
            <v>3.1.0</v>
          </cell>
          <cell r="F124">
            <v>12.7</v>
          </cell>
          <cell r="G124">
            <v>12.7</v>
          </cell>
        </row>
        <row r="125">
          <cell r="B125" t="str">
            <v>Disk Plow</v>
          </cell>
          <cell r="C125" t="str">
            <v>ACRE</v>
          </cell>
          <cell r="D125" t="str">
            <v>-</v>
          </cell>
          <cell r="E125" t="str">
            <v>3.1.1</v>
          </cell>
          <cell r="F125">
            <v>13.4</v>
          </cell>
          <cell r="G125">
            <v>13.4</v>
          </cell>
        </row>
        <row r="126">
          <cell r="B126" t="str">
            <v>Harrowing</v>
          </cell>
          <cell r="C126" t="str">
            <v>ACRE</v>
          </cell>
          <cell r="D126" t="str">
            <v>-</v>
          </cell>
          <cell r="E126" t="str">
            <v>3.1.2</v>
          </cell>
          <cell r="F126">
            <v>9.4</v>
          </cell>
          <cell r="G126">
            <v>9.4</v>
          </cell>
        </row>
        <row r="127">
          <cell r="B127" t="str">
            <v>Harrowing w/ cultipacker</v>
          </cell>
          <cell r="C127" t="str">
            <v>ACRE</v>
          </cell>
          <cell r="D127" t="str">
            <v>-</v>
          </cell>
          <cell r="E127" t="str">
            <v>3.1.3</v>
          </cell>
          <cell r="F127">
            <v>12.8</v>
          </cell>
          <cell r="G127">
            <v>12.8</v>
          </cell>
        </row>
        <row r="128">
          <cell r="B128" t="str">
            <v>Moldboard Plow</v>
          </cell>
          <cell r="C128" t="str">
            <v>ACRE</v>
          </cell>
          <cell r="D128" t="str">
            <v>-</v>
          </cell>
          <cell r="E128" t="str">
            <v>3.1.4</v>
          </cell>
          <cell r="F128">
            <v>16.899999999999999</v>
          </cell>
          <cell r="G128">
            <v>16.899999999999999</v>
          </cell>
        </row>
        <row r="129">
          <cell r="B129" t="str">
            <v>Moldboard Plow - Sod</v>
          </cell>
          <cell r="C129" t="str">
            <v>ACRE</v>
          </cell>
          <cell r="D129" t="str">
            <v>-</v>
          </cell>
          <cell r="E129" t="str">
            <v>3.1.5</v>
          </cell>
          <cell r="F129">
            <v>20.65</v>
          </cell>
          <cell r="G129">
            <v>20.65</v>
          </cell>
        </row>
        <row r="130">
          <cell r="B130" t="str">
            <v>Cultipacking (14')</v>
          </cell>
          <cell r="C130" t="str">
            <v>ACRE</v>
          </cell>
          <cell r="D130" t="str">
            <v>-</v>
          </cell>
          <cell r="E130" t="str">
            <v>3.1.6</v>
          </cell>
          <cell r="F130">
            <v>11.3</v>
          </cell>
          <cell r="G130">
            <v>11.3</v>
          </cell>
        </row>
        <row r="131">
          <cell r="B131" t="str">
            <v>Cultivating</v>
          </cell>
          <cell r="C131" t="str">
            <v>ACRE</v>
          </cell>
          <cell r="D131" t="str">
            <v>-</v>
          </cell>
          <cell r="E131" t="str">
            <v>3.1.7</v>
          </cell>
          <cell r="F131">
            <v>8.9</v>
          </cell>
          <cell r="G131">
            <v>8.9</v>
          </cell>
        </row>
        <row r="132">
          <cell r="B132" t="str">
            <v>Conventional Seeding</v>
          </cell>
          <cell r="C132" t="str">
            <v>ACRE</v>
          </cell>
          <cell r="D132" t="str">
            <v>-</v>
          </cell>
          <cell r="E132" t="str">
            <v>3.1.8</v>
          </cell>
          <cell r="F132">
            <v>13.5</v>
          </cell>
          <cell r="G132">
            <v>13.5</v>
          </cell>
        </row>
        <row r="133">
          <cell r="B133" t="str">
            <v>No-Till Drill (15')</v>
          </cell>
          <cell r="C133" t="str">
            <v>ACRE</v>
          </cell>
          <cell r="D133" t="str">
            <v>-</v>
          </cell>
          <cell r="E133" t="str">
            <v>3.1.9</v>
          </cell>
          <cell r="F133">
            <v>13.87</v>
          </cell>
          <cell r="G133">
            <v>13.87</v>
          </cell>
        </row>
        <row r="134">
          <cell r="B134" t="str">
            <v>Mowing</v>
          </cell>
          <cell r="C134" t="str">
            <v>ACRE</v>
          </cell>
          <cell r="D134" t="str">
            <v>-</v>
          </cell>
          <cell r="E134" t="str">
            <v>3.2.1</v>
          </cell>
          <cell r="F134">
            <v>12.9</v>
          </cell>
          <cell r="G134">
            <v>12.9</v>
          </cell>
        </row>
        <row r="135">
          <cell r="B135" t="str">
            <v>Mowing w/ conditioner</v>
          </cell>
          <cell r="C135" t="str">
            <v>ACRE</v>
          </cell>
          <cell r="D135" t="str">
            <v>-</v>
          </cell>
          <cell r="E135" t="str">
            <v>3.2.2</v>
          </cell>
          <cell r="F135">
            <v>14</v>
          </cell>
          <cell r="G135">
            <v>14</v>
          </cell>
        </row>
        <row r="136">
          <cell r="B136" t="str">
            <v>Raking Hay</v>
          </cell>
          <cell r="C136" t="str">
            <v>ACRE</v>
          </cell>
          <cell r="D136" t="str">
            <v>-</v>
          </cell>
          <cell r="E136" t="str">
            <v>3.2.3</v>
          </cell>
          <cell r="F136">
            <v>7</v>
          </cell>
          <cell r="G136">
            <v>7</v>
          </cell>
        </row>
        <row r="137">
          <cell r="B137" t="str">
            <v>Manure Spreading (semisolid, min. 10 acres)</v>
          </cell>
          <cell r="C137" t="str">
            <v>ACRE</v>
          </cell>
          <cell r="D137" t="str">
            <v>-</v>
          </cell>
          <cell r="E137" t="str">
            <v>3.3.1</v>
          </cell>
          <cell r="F137">
            <v>8.75</v>
          </cell>
          <cell r="G137">
            <v>8.75</v>
          </cell>
        </row>
        <row r="138">
          <cell r="B138" t="str">
            <v>Lime Spreading</v>
          </cell>
          <cell r="C138" t="str">
            <v>ACRE</v>
          </cell>
          <cell r="D138" t="str">
            <v>-</v>
          </cell>
          <cell r="E138" t="str">
            <v>3.3.2</v>
          </cell>
          <cell r="F138">
            <v>9.6</v>
          </cell>
          <cell r="G138">
            <v>9.6</v>
          </cell>
        </row>
        <row r="139">
          <cell r="B139" t="str">
            <v>Fertilizer Spreading (Bulk)</v>
          </cell>
          <cell r="C139" t="str">
            <v>ACRE</v>
          </cell>
          <cell r="D139" t="str">
            <v>-</v>
          </cell>
          <cell r="E139" t="str">
            <v>3.3.3</v>
          </cell>
          <cell r="F139">
            <v>8</v>
          </cell>
          <cell r="G139">
            <v>8</v>
          </cell>
        </row>
        <row r="140">
          <cell r="B140" t="str">
            <v>Spraying for Weed Control</v>
          </cell>
          <cell r="C140" t="str">
            <v>ACRE</v>
          </cell>
          <cell r="D140" t="str">
            <v>-</v>
          </cell>
          <cell r="E140" t="str">
            <v>3.3.4</v>
          </cell>
          <cell r="F140">
            <v>8.4</v>
          </cell>
          <cell r="G140">
            <v>8.4</v>
          </cell>
        </row>
        <row r="141">
          <cell r="B141" t="str">
            <v>Tractor w/ Implement (custom field work)</v>
          </cell>
          <cell r="C141" t="str">
            <v>HR.</v>
          </cell>
          <cell r="D141" t="str">
            <v>-</v>
          </cell>
          <cell r="E141" t="str">
            <v>3.4.1</v>
          </cell>
          <cell r="F141">
            <v>45</v>
          </cell>
          <cell r="G141">
            <v>45</v>
          </cell>
        </row>
        <row r="142">
          <cell r="B142" t="str">
            <v xml:space="preserve">4" Perf. Footing Drain, stone, geotextile </v>
          </cell>
          <cell r="C142" t="str">
            <v>L.F.</v>
          </cell>
          <cell r="D142" t="str">
            <v>1,5,11,41</v>
          </cell>
          <cell r="E142" t="str">
            <v>5.2.10</v>
          </cell>
          <cell r="F142">
            <v>4.0013000000000005</v>
          </cell>
          <cell r="G142">
            <v>4.3600000000000003</v>
          </cell>
        </row>
        <row r="143">
          <cell r="B143" t="str">
            <v>4" Perf. Field Drain, 4-6' deep, bankrun gravel, incls. Mob</v>
          </cell>
          <cell r="C143" t="str">
            <v>L.F.</v>
          </cell>
          <cell r="D143" t="str">
            <v>1,5,11,41</v>
          </cell>
          <cell r="E143" t="str">
            <v>5.2.1</v>
          </cell>
          <cell r="F143">
            <v>7.0507555555555559</v>
          </cell>
          <cell r="G143">
            <v>7.68</v>
          </cell>
        </row>
        <row r="144">
          <cell r="B144" t="str">
            <v>4" Perf. Field Drain, 4-6' deep, geotextile, bankrun gravel, incls. Mob</v>
          </cell>
          <cell r="C144" t="str">
            <v>L.F.</v>
          </cell>
          <cell r="D144" t="str">
            <v>1,5,11,41</v>
          </cell>
          <cell r="E144" t="str">
            <v>5.2.2</v>
          </cell>
          <cell r="F144">
            <v>7.3282555555555557</v>
          </cell>
          <cell r="G144">
            <v>7.98</v>
          </cell>
        </row>
        <row r="145">
          <cell r="B145" t="str">
            <v>4" Perf. Field Drain, 7-9' deep, bankrun gravel, incls. Mob</v>
          </cell>
          <cell r="C145" t="str">
            <v>L.F.</v>
          </cell>
          <cell r="D145" t="str">
            <v>1,5,11,41</v>
          </cell>
          <cell r="E145" t="str">
            <v>5.2.4</v>
          </cell>
          <cell r="F145">
            <v>8.1653333333333329</v>
          </cell>
          <cell r="G145">
            <v>8.89</v>
          </cell>
        </row>
        <row r="146">
          <cell r="B146" t="str">
            <v>4" Perf. Field Drain, 7-9' deep, geotextile, bankrun gravel, incls. Mob</v>
          </cell>
          <cell r="C146" t="str">
            <v>L.F.</v>
          </cell>
          <cell r="D146" t="str">
            <v>1,5,11,41</v>
          </cell>
          <cell r="E146" t="str">
            <v>5.2.11</v>
          </cell>
          <cell r="F146">
            <v>8.4428333333333327</v>
          </cell>
          <cell r="G146">
            <v>9.19</v>
          </cell>
        </row>
        <row r="147">
          <cell r="B147" t="str">
            <v>6" Perf. Field Drain, 4-6' deep, bankrun gravel, incls. Mob</v>
          </cell>
          <cell r="C147" t="str">
            <v>L.F.</v>
          </cell>
          <cell r="D147" t="str">
            <v>1,5,11,41</v>
          </cell>
          <cell r="E147" t="str">
            <v>5.2.5</v>
          </cell>
          <cell r="F147">
            <v>7.9612555555555558</v>
          </cell>
          <cell r="G147">
            <v>8.67</v>
          </cell>
        </row>
        <row r="148">
          <cell r="B148" t="str">
            <v>6" Perf. Field Drain, 4-6' deep, geotextile, bankrun gravel, incls. Mob</v>
          </cell>
          <cell r="C148" t="str">
            <v>L.F.</v>
          </cell>
          <cell r="D148" t="str">
            <v>1,5,11,41</v>
          </cell>
          <cell r="E148" t="str">
            <v>5.2.6</v>
          </cell>
          <cell r="F148">
            <v>8.2387555555555547</v>
          </cell>
          <cell r="G148">
            <v>8.9700000000000006</v>
          </cell>
        </row>
        <row r="149">
          <cell r="B149" t="str">
            <v>6" Perf. Field Drain, 7-9' deep, bankrun gravel, incls. Mob</v>
          </cell>
          <cell r="C149" t="str">
            <v>L.F.</v>
          </cell>
          <cell r="D149" t="str">
            <v>1,5,11,41</v>
          </cell>
          <cell r="E149" t="str">
            <v>5.2.7</v>
          </cell>
          <cell r="F149">
            <v>9.0758333333333336</v>
          </cell>
          <cell r="G149">
            <v>9.8800000000000008</v>
          </cell>
        </row>
        <row r="150">
          <cell r="B150" t="str">
            <v>6" Perf. Field Drain, 7-9' deep, geotextile, bankrun gravel, incls. Mob</v>
          </cell>
          <cell r="C150" t="str">
            <v>L.F.</v>
          </cell>
          <cell r="D150" t="str">
            <v>1,5,11,41</v>
          </cell>
          <cell r="E150" t="str">
            <v>5.2.12</v>
          </cell>
          <cell r="F150">
            <v>9.3533333333333335</v>
          </cell>
          <cell r="G150">
            <v>10.19</v>
          </cell>
        </row>
        <row r="151">
          <cell r="B151" t="str">
            <v>4" Perf. Field Drain, 12' deep, bankrun gravel, incls. Mob</v>
          </cell>
          <cell r="C151" t="str">
            <v>L.F.</v>
          </cell>
          <cell r="D151" t="str">
            <v>1,5,11,41</v>
          </cell>
          <cell r="E151" t="str">
            <v>5.2.13</v>
          </cell>
          <cell r="F151">
            <v>13.605833333333333</v>
          </cell>
          <cell r="G151">
            <v>14.82</v>
          </cell>
        </row>
        <row r="152">
          <cell r="B152" t="str">
            <v>4" Perf. Field Drain, 12' deep, geotextile, bankrun gravel, incls. Mob</v>
          </cell>
          <cell r="C152" t="str">
            <v>L.F.</v>
          </cell>
          <cell r="D152" t="str">
            <v>1,5,11,41</v>
          </cell>
          <cell r="E152" t="str">
            <v>5.2.14</v>
          </cell>
          <cell r="F152">
            <v>13.883333333333333</v>
          </cell>
          <cell r="G152">
            <v>15.12</v>
          </cell>
        </row>
        <row r="153">
          <cell r="B153" t="str">
            <v>Diversion or Waterway, Grassed</v>
          </cell>
          <cell r="C153" t="str">
            <v>L.F.</v>
          </cell>
          <cell r="D153" t="str">
            <v>21,22</v>
          </cell>
          <cell r="E153" t="str">
            <v>4.1.1</v>
          </cell>
          <cell r="F153">
            <v>3.5564282641920006</v>
          </cell>
          <cell r="G153">
            <v>3.87</v>
          </cell>
        </row>
        <row r="154">
          <cell r="B154" t="str">
            <v>Diversion or Waterway, Grassed, w/ Erosion Control Netting</v>
          </cell>
          <cell r="C154" t="str">
            <v>L.F.</v>
          </cell>
          <cell r="D154" t="str">
            <v>21,22</v>
          </cell>
          <cell r="E154" t="str">
            <v>4.1.2</v>
          </cell>
          <cell r="F154">
            <v>4.4820282641920004</v>
          </cell>
          <cell r="G154">
            <v>4.88</v>
          </cell>
        </row>
        <row r="155">
          <cell r="B155" t="str">
            <v>Diversion or Waterway, Stone Centered</v>
          </cell>
          <cell r="C155" t="str">
            <v>L.F.</v>
          </cell>
          <cell r="D155" t="str">
            <v>21,22</v>
          </cell>
          <cell r="E155" t="str">
            <v>4.1.3</v>
          </cell>
          <cell r="F155">
            <v>13.274428264192002</v>
          </cell>
          <cell r="G155">
            <v>14.46</v>
          </cell>
        </row>
        <row r="156">
          <cell r="B156" t="str">
            <v>Bar Guard, 12" Heavy Duty, Trash Rack</v>
          </cell>
          <cell r="C156" t="str">
            <v>EA.</v>
          </cell>
          <cell r="D156">
            <v>41</v>
          </cell>
          <cell r="E156" t="str">
            <v>4.4.1</v>
          </cell>
          <cell r="F156">
            <v>63</v>
          </cell>
          <cell r="G156">
            <v>72.45</v>
          </cell>
        </row>
        <row r="157">
          <cell r="B157" t="str">
            <v>Bar Guard, 18" Heavy Duty, Trash Rack</v>
          </cell>
          <cell r="C157" t="str">
            <v>EA.</v>
          </cell>
          <cell r="D157">
            <v>41</v>
          </cell>
          <cell r="E157" t="str">
            <v>4.4.2</v>
          </cell>
          <cell r="F157">
            <v>80</v>
          </cell>
          <cell r="G157">
            <v>92</v>
          </cell>
        </row>
        <row r="158">
          <cell r="B158" t="str">
            <v>Bar Guard, 24" Heavy Duty, Trash Rack</v>
          </cell>
          <cell r="C158" t="str">
            <v>EA.</v>
          </cell>
          <cell r="D158">
            <v>41</v>
          </cell>
          <cell r="E158" t="str">
            <v>4.4.3</v>
          </cell>
          <cell r="F158">
            <v>114</v>
          </cell>
          <cell r="G158">
            <v>131.1</v>
          </cell>
        </row>
        <row r="159">
          <cell r="B159" t="str">
            <v>Riser, perforated, for diversion or terrace 6" SDR 35</v>
          </cell>
          <cell r="C159" t="str">
            <v>EA.</v>
          </cell>
          <cell r="D159">
            <v>41</v>
          </cell>
          <cell r="E159" t="str">
            <v>4.2.4</v>
          </cell>
          <cell r="F159">
            <v>260.66350710900474</v>
          </cell>
          <cell r="G159">
            <v>253</v>
          </cell>
        </row>
        <row r="160">
          <cell r="B160" t="str">
            <v>Riser, perforated, for diversion or terrace 8" SDR 35</v>
          </cell>
          <cell r="C160" t="str">
            <v>EA.</v>
          </cell>
          <cell r="D160">
            <v>41</v>
          </cell>
          <cell r="E160" t="str">
            <v>4.2.5</v>
          </cell>
          <cell r="F160">
            <v>364.92890995260666</v>
          </cell>
          <cell r="G160">
            <v>354.2</v>
          </cell>
        </row>
        <row r="161">
          <cell r="B161" t="str">
            <v>Riser, perforated, for diversion or terrace 10" SDR 35</v>
          </cell>
          <cell r="C161" t="str">
            <v>EA.</v>
          </cell>
          <cell r="D161">
            <v>41</v>
          </cell>
          <cell r="E161" t="str">
            <v>4.2.6</v>
          </cell>
          <cell r="F161">
            <v>805.68720379146919</v>
          </cell>
          <cell r="G161">
            <v>782</v>
          </cell>
        </row>
        <row r="162">
          <cell r="B162" t="str">
            <v>Grate, 24" dia., Cast Iron w/ Ears</v>
          </cell>
          <cell r="C162" t="str">
            <v>EA.</v>
          </cell>
          <cell r="D162">
            <v>41</v>
          </cell>
          <cell r="E162" t="str">
            <v>4.3.1</v>
          </cell>
          <cell r="F162">
            <v>158.69017632241813</v>
          </cell>
          <cell r="G162">
            <v>154.02000000000001</v>
          </cell>
        </row>
        <row r="163">
          <cell r="B163" t="str">
            <v>Excavator, Small, 1/2 CY Bucket</v>
          </cell>
          <cell r="C163" t="str">
            <v>HR.</v>
          </cell>
          <cell r="D163" t="str">
            <v>-</v>
          </cell>
          <cell r="E163" t="str">
            <v>6.9.6</v>
          </cell>
          <cell r="F163">
            <v>90.563453850000002</v>
          </cell>
          <cell r="G163">
            <v>105.81</v>
          </cell>
        </row>
        <row r="164">
          <cell r="B164" t="str">
            <v>Excavator, Medium, 1.0 CY Bucket</v>
          </cell>
          <cell r="C164" t="str">
            <v>HR.</v>
          </cell>
          <cell r="D164" t="str">
            <v>-</v>
          </cell>
          <cell r="E164" t="str">
            <v>6.9.7</v>
          </cell>
          <cell r="F164">
            <v>121.50095385</v>
          </cell>
          <cell r="G164">
            <v>141.96</v>
          </cell>
        </row>
        <row r="165">
          <cell r="B165" t="str">
            <v>Excavator, Large, 1.5 CY Bucket</v>
          </cell>
          <cell r="C165" t="str">
            <v>HR.</v>
          </cell>
          <cell r="D165" t="str">
            <v>-</v>
          </cell>
          <cell r="E165" t="str">
            <v>6.9.8</v>
          </cell>
          <cell r="F165">
            <v>146.93845385</v>
          </cell>
          <cell r="G165">
            <v>171.68</v>
          </cell>
        </row>
        <row r="166">
          <cell r="B166" t="str">
            <v>Dozer, Small -  Finish Work, 75 Hp</v>
          </cell>
          <cell r="C166" t="str">
            <v>HR.</v>
          </cell>
          <cell r="D166" t="str">
            <v>-</v>
          </cell>
          <cell r="E166" t="str">
            <v>6.9.2</v>
          </cell>
          <cell r="F166">
            <v>84.191244850000004</v>
          </cell>
          <cell r="G166">
            <v>98.37</v>
          </cell>
        </row>
        <row r="167">
          <cell r="B167" t="str">
            <v>Dozer, Medium, 105 Hp</v>
          </cell>
          <cell r="C167" t="str">
            <v>HR.</v>
          </cell>
          <cell r="D167" t="str">
            <v>-</v>
          </cell>
          <cell r="E167" t="str">
            <v>6.9.3</v>
          </cell>
          <cell r="F167">
            <v>104.81624485</v>
          </cell>
          <cell r="G167">
            <v>122.47</v>
          </cell>
        </row>
        <row r="168">
          <cell r="B168" t="str">
            <v>Dozer, Medium, 140 Hp</v>
          </cell>
          <cell r="C168" t="str">
            <v>HR.</v>
          </cell>
          <cell r="D168" t="str">
            <v>-</v>
          </cell>
          <cell r="E168" t="str">
            <v>6.9.4</v>
          </cell>
          <cell r="F168">
            <v>122.69124485</v>
          </cell>
          <cell r="G168">
            <v>143.35</v>
          </cell>
        </row>
        <row r="169">
          <cell r="B169" t="str">
            <v>Dozer, Large, 200 Hp</v>
          </cell>
          <cell r="C169" t="str">
            <v>HR.</v>
          </cell>
          <cell r="D169" t="str">
            <v>-</v>
          </cell>
          <cell r="E169" t="str">
            <v>6.9.5</v>
          </cell>
          <cell r="F169">
            <v>177.00374485</v>
          </cell>
          <cell r="G169">
            <v>206.81</v>
          </cell>
        </row>
        <row r="170">
          <cell r="B170" t="str">
            <v>Backhoe, 40-45 Hp, 1/2 CY Capacity</v>
          </cell>
          <cell r="C170" t="str">
            <v>HR.</v>
          </cell>
          <cell r="D170" t="str">
            <v>-</v>
          </cell>
          <cell r="E170" t="str">
            <v>6.9.0</v>
          </cell>
          <cell r="F170">
            <v>67.463453849999993</v>
          </cell>
          <cell r="G170">
            <v>78.819999999999993</v>
          </cell>
        </row>
        <row r="171">
          <cell r="B171" t="str">
            <v>Backhoe, Large, 100 Hp, 3/4 C.Y. Capacity</v>
          </cell>
          <cell r="C171" t="str">
            <v>HR.</v>
          </cell>
          <cell r="D171" t="str">
            <v>-</v>
          </cell>
          <cell r="E171" t="str">
            <v>6.9.1</v>
          </cell>
          <cell r="F171">
            <v>73.100953849999996</v>
          </cell>
          <cell r="G171">
            <v>85.41</v>
          </cell>
        </row>
        <row r="172">
          <cell r="B172" t="str">
            <v>Skid Steer Loader, Large, 78 Hp, 1.0 C.Y. Capacity</v>
          </cell>
          <cell r="C172" t="str">
            <v>HR.</v>
          </cell>
          <cell r="D172" t="str">
            <v>-</v>
          </cell>
          <cell r="E172" t="str">
            <v>6.9.11</v>
          </cell>
          <cell r="F172">
            <v>66.094594049999998</v>
          </cell>
          <cell r="G172">
            <v>77.22</v>
          </cell>
        </row>
        <row r="173">
          <cell r="B173" t="str">
            <v>Excavator, Medium, 3/4 CY Bucket</v>
          </cell>
          <cell r="C173" t="str">
            <v>HR.</v>
          </cell>
          <cell r="D173" t="str">
            <v>-</v>
          </cell>
          <cell r="E173" t="str">
            <v>6.9.10</v>
          </cell>
          <cell r="F173">
            <v>110.50095385</v>
          </cell>
          <cell r="G173">
            <v>129.11000000000001</v>
          </cell>
        </row>
        <row r="174">
          <cell r="B174" t="str">
            <v>Dump Truck, tandum axle, 12 ton capacity</v>
          </cell>
          <cell r="C174" t="str">
            <v>HR.</v>
          </cell>
          <cell r="D174" t="str">
            <v>-</v>
          </cell>
          <cell r="E174" t="str">
            <v>6.9.12</v>
          </cell>
          <cell r="F174">
            <v>71.773258999999996</v>
          </cell>
          <cell r="G174">
            <v>83.86</v>
          </cell>
        </row>
        <row r="175">
          <cell r="B175" t="str">
            <v>Dump Truck, tri-axle, 12 ton capacity</v>
          </cell>
          <cell r="C175" t="str">
            <v>HR.</v>
          </cell>
          <cell r="D175" t="str">
            <v>-</v>
          </cell>
          <cell r="E175" t="str">
            <v>6.9.13</v>
          </cell>
          <cell r="F175">
            <v>92.123259000000004</v>
          </cell>
          <cell r="G175">
            <v>107.64</v>
          </cell>
        </row>
        <row r="176">
          <cell r="B176" t="str">
            <v>Dump Truck, off-road, 25 ton capacity</v>
          </cell>
          <cell r="C176" t="str">
            <v>HR.</v>
          </cell>
          <cell r="D176" t="str">
            <v>-</v>
          </cell>
          <cell r="E176" t="str">
            <v>6.9.14</v>
          </cell>
          <cell r="F176">
            <v>169.12325900000002</v>
          </cell>
          <cell r="G176">
            <v>197.6</v>
          </cell>
        </row>
        <row r="177">
          <cell r="B177" t="str">
            <v>Topsoil, weed free, spread with 200 H.P. dozer, includes load and haul, 2 miles RT.</v>
          </cell>
          <cell r="C177" t="str">
            <v>C.Y.</v>
          </cell>
          <cell r="D177" t="str">
            <v>1,5,11</v>
          </cell>
          <cell r="E177">
            <v>0</v>
          </cell>
          <cell r="F177">
            <v>28.5</v>
          </cell>
          <cell r="G177">
            <v>30.81</v>
          </cell>
        </row>
        <row r="178">
          <cell r="B178" t="str">
            <v>Borrow, 1.5" Crushed Stone, 5 mile round trip</v>
          </cell>
          <cell r="C178" t="str">
            <v>C.Y.</v>
          </cell>
          <cell r="D178" t="str">
            <v>1,5,11</v>
          </cell>
          <cell r="E178" t="str">
            <v>5.1.1</v>
          </cell>
          <cell r="F178">
            <v>14.893617021276597</v>
          </cell>
          <cell r="G178">
            <v>16.100000000000001</v>
          </cell>
        </row>
        <row r="179">
          <cell r="B179" t="str">
            <v>Borrow, Common-incl. Clay, 5 mile round trip</v>
          </cell>
          <cell r="C179" t="str">
            <v>C.Y.</v>
          </cell>
          <cell r="D179" t="str">
            <v>1,5,11</v>
          </cell>
          <cell r="E179" t="str">
            <v>5.1.10</v>
          </cell>
          <cell r="F179">
            <v>5.5</v>
          </cell>
          <cell r="G179">
            <v>5.95</v>
          </cell>
        </row>
        <row r="180">
          <cell r="B180" t="str">
            <v>Borrow, Common-incl. Clay, 10 mile round trip</v>
          </cell>
          <cell r="C180" t="str">
            <v>C.Y.</v>
          </cell>
          <cell r="D180" t="str">
            <v>1,5,11</v>
          </cell>
          <cell r="E180" t="str">
            <v>5.1.11</v>
          </cell>
          <cell r="F180">
            <v>6.5</v>
          </cell>
          <cell r="G180">
            <v>7.03</v>
          </cell>
        </row>
        <row r="181">
          <cell r="B181" t="str">
            <v>Borrow, Common-incl. Clay, 20 mile round trip</v>
          </cell>
          <cell r="C181" t="str">
            <v>C.Y.</v>
          </cell>
          <cell r="D181" t="str">
            <v>1,5,11</v>
          </cell>
          <cell r="E181" t="str">
            <v>5.1.12</v>
          </cell>
          <cell r="F181">
            <v>9.0425531914893629</v>
          </cell>
          <cell r="G181">
            <v>9.7799999999999994</v>
          </cell>
        </row>
        <row r="182">
          <cell r="B182" t="str">
            <v>Borrow, Washed Mfg. Sand, 5 mile round trip</v>
          </cell>
          <cell r="C182" t="str">
            <v>C.Y.</v>
          </cell>
          <cell r="D182" t="str">
            <v>1,5,11</v>
          </cell>
          <cell r="E182" t="str">
            <v>5.1.13</v>
          </cell>
          <cell r="F182">
            <v>17.553191489361701</v>
          </cell>
          <cell r="G182">
            <v>18.98</v>
          </cell>
        </row>
        <row r="183">
          <cell r="B183" t="str">
            <v>Borrow, Washed Mfg. Sand, 10 mile round trip</v>
          </cell>
          <cell r="C183" t="str">
            <v>C.Y.</v>
          </cell>
          <cell r="D183" t="str">
            <v>1,5,11</v>
          </cell>
          <cell r="E183" t="str">
            <v>5.1.14</v>
          </cell>
          <cell r="F183">
            <v>18.617021276595747</v>
          </cell>
          <cell r="G183">
            <v>20.13</v>
          </cell>
        </row>
        <row r="184">
          <cell r="B184" t="str">
            <v>Borrow, Washed Mfg. Sand, 20 mile round trip</v>
          </cell>
          <cell r="C184" t="str">
            <v>C.Y.</v>
          </cell>
          <cell r="D184" t="str">
            <v>1,5,11</v>
          </cell>
          <cell r="E184" t="str">
            <v>5.1.15</v>
          </cell>
          <cell r="F184">
            <v>20.74468085106383</v>
          </cell>
          <cell r="G184">
            <v>22.43</v>
          </cell>
        </row>
        <row r="185">
          <cell r="B185" t="str">
            <v>Borrow, Bank Sand, 5 mile round trip</v>
          </cell>
          <cell r="C185" t="str">
            <v>C.Y.</v>
          </cell>
          <cell r="D185" t="str">
            <v>1,5,11</v>
          </cell>
          <cell r="E185" t="str">
            <v>5.1.16</v>
          </cell>
          <cell r="F185">
            <v>7.9787234042553195</v>
          </cell>
          <cell r="G185">
            <v>8.6300000000000008</v>
          </cell>
        </row>
        <row r="186">
          <cell r="B186" t="str">
            <v>Borrow, Bank Sand, 10 mile round trip</v>
          </cell>
          <cell r="C186" t="str">
            <v>C.Y.</v>
          </cell>
          <cell r="D186" t="str">
            <v>1,5,11</v>
          </cell>
          <cell r="E186" t="str">
            <v>5.1.17</v>
          </cell>
          <cell r="F186">
            <v>9.0425531914893629</v>
          </cell>
          <cell r="G186">
            <v>9.7799999999999994</v>
          </cell>
        </row>
        <row r="187">
          <cell r="B187" t="str">
            <v>Borrow, Bank Sand, 20 mile round trip</v>
          </cell>
          <cell r="C187" t="str">
            <v>C.Y.</v>
          </cell>
          <cell r="D187" t="str">
            <v>1,5,11</v>
          </cell>
          <cell r="E187" t="str">
            <v>5.1.18</v>
          </cell>
          <cell r="F187">
            <v>11.170212765957448</v>
          </cell>
          <cell r="G187">
            <v>12.08</v>
          </cell>
        </row>
        <row r="188">
          <cell r="B188" t="str">
            <v>Borrow, 3/4" Plant Mix, 5 mile round trip</v>
          </cell>
          <cell r="C188" t="str">
            <v>C.Y.</v>
          </cell>
          <cell r="D188" t="str">
            <v>1,5,11</v>
          </cell>
          <cell r="E188" t="str">
            <v>5.1.19</v>
          </cell>
          <cell r="F188">
            <v>16.223404255319149</v>
          </cell>
          <cell r="G188">
            <v>17.54</v>
          </cell>
        </row>
        <row r="189">
          <cell r="B189" t="str">
            <v>Borrow, 1.5" Crushed Stone, 10 mile round trip</v>
          </cell>
          <cell r="C189" t="str">
            <v>C.Y.</v>
          </cell>
          <cell r="D189" t="str">
            <v>1,5,11</v>
          </cell>
          <cell r="E189" t="str">
            <v>5.1.2</v>
          </cell>
          <cell r="F189">
            <v>15.957446808510639</v>
          </cell>
          <cell r="G189">
            <v>17.25</v>
          </cell>
        </row>
        <row r="190">
          <cell r="B190" t="str">
            <v>Borrow, 3/4" Plant Mix, 10 mile round trip</v>
          </cell>
          <cell r="C190" t="str">
            <v>C.Y.</v>
          </cell>
          <cell r="D190" t="str">
            <v>1,5,11</v>
          </cell>
          <cell r="E190" t="str">
            <v>5.1.20</v>
          </cell>
          <cell r="F190">
            <v>17.287234042553191</v>
          </cell>
          <cell r="G190">
            <v>18.690000000000001</v>
          </cell>
        </row>
        <row r="191">
          <cell r="B191" t="str">
            <v>Borrow, 3/4" Plant Mix, 20 mile round trip</v>
          </cell>
          <cell r="C191" t="str">
            <v>C.Y.</v>
          </cell>
          <cell r="D191" t="str">
            <v>1,5,11</v>
          </cell>
          <cell r="E191" t="str">
            <v>5.1.21</v>
          </cell>
          <cell r="F191">
            <v>19.414893617021278</v>
          </cell>
          <cell r="G191">
            <v>20.99</v>
          </cell>
        </row>
        <row r="192">
          <cell r="B192" t="str">
            <v>Borrow, Rock RipRap, 5 mile round trip</v>
          </cell>
          <cell r="C192" t="str">
            <v>C.Y.</v>
          </cell>
          <cell r="D192" t="str">
            <v>1,5,11</v>
          </cell>
          <cell r="E192" t="str">
            <v>5.1.25</v>
          </cell>
          <cell r="F192">
            <v>18.085106382978726</v>
          </cell>
          <cell r="G192">
            <v>19.55</v>
          </cell>
        </row>
        <row r="193">
          <cell r="B193" t="str">
            <v>Borrow, Rock RipRap, 10 mile round trip</v>
          </cell>
          <cell r="C193" t="str">
            <v>C.Y.</v>
          </cell>
          <cell r="D193" t="str">
            <v>1,5,11</v>
          </cell>
          <cell r="E193" t="str">
            <v>5.1.26</v>
          </cell>
          <cell r="F193">
            <v>19.148936170212767</v>
          </cell>
          <cell r="G193">
            <v>20.7</v>
          </cell>
        </row>
        <row r="194">
          <cell r="B194" t="str">
            <v>Borrow, Rock RipRap, 20 mile round trip</v>
          </cell>
          <cell r="C194" t="str">
            <v>C.Y.</v>
          </cell>
          <cell r="D194" t="str">
            <v>1,5,11</v>
          </cell>
          <cell r="E194" t="str">
            <v>5.1.27</v>
          </cell>
          <cell r="F194">
            <v>21.276595744680851</v>
          </cell>
          <cell r="G194">
            <v>23</v>
          </cell>
        </row>
        <row r="195">
          <cell r="B195" t="str">
            <v>Borrow, 1.5" Crushed Stone, 20 mile round trip</v>
          </cell>
          <cell r="C195" t="str">
            <v>C.Y.</v>
          </cell>
          <cell r="D195" t="str">
            <v>1,5,11</v>
          </cell>
          <cell r="E195" t="str">
            <v>5.1.3</v>
          </cell>
          <cell r="F195">
            <v>18.085106382978726</v>
          </cell>
          <cell r="G195">
            <v>19.55</v>
          </cell>
        </row>
        <row r="196">
          <cell r="B196" t="str">
            <v>Borrow, 3/4" Crushed Stone, 5 mile round trip</v>
          </cell>
          <cell r="C196" t="str">
            <v>C.Y.</v>
          </cell>
          <cell r="D196" t="str">
            <v>1,5,11</v>
          </cell>
          <cell r="E196" t="str">
            <v>5.1.4</v>
          </cell>
          <cell r="F196">
            <v>16.223404255319149</v>
          </cell>
          <cell r="G196">
            <v>17.54</v>
          </cell>
        </row>
        <row r="197">
          <cell r="B197" t="str">
            <v>Borrow, 3/4" Crushed Stone, 10 mile round trip</v>
          </cell>
          <cell r="C197" t="str">
            <v>C.Y.</v>
          </cell>
          <cell r="D197" t="str">
            <v>1,5,11</v>
          </cell>
          <cell r="E197" t="str">
            <v>5.1.5</v>
          </cell>
          <cell r="F197">
            <v>17.287234042553191</v>
          </cell>
          <cell r="G197">
            <v>18.690000000000001</v>
          </cell>
        </row>
        <row r="198">
          <cell r="B198" t="str">
            <v>Borrow, 3/4" Crushed Stone, 20 mile round trip</v>
          </cell>
          <cell r="C198" t="str">
            <v>C.Y.</v>
          </cell>
          <cell r="D198" t="str">
            <v>1,5,11</v>
          </cell>
          <cell r="E198" t="str">
            <v>5.1.6</v>
          </cell>
          <cell r="F198">
            <v>19.414893617021278</v>
          </cell>
          <cell r="G198">
            <v>20.99</v>
          </cell>
        </row>
        <row r="199">
          <cell r="B199" t="str">
            <v>Borrow, Bank Run Gravel, 5 mile round trip</v>
          </cell>
          <cell r="C199" t="str">
            <v>C.Y.</v>
          </cell>
          <cell r="D199" t="str">
            <v>1,5,11</v>
          </cell>
          <cell r="E199" t="str">
            <v>5.1.7</v>
          </cell>
          <cell r="F199">
            <v>7.9787234042553195</v>
          </cell>
          <cell r="G199">
            <v>8.6300000000000008</v>
          </cell>
        </row>
        <row r="200">
          <cell r="B200" t="str">
            <v>Borrow, Bank Run Gravel, 10 mile round trip</v>
          </cell>
          <cell r="C200" t="str">
            <v>C.Y.</v>
          </cell>
          <cell r="D200" t="str">
            <v>1,5,11</v>
          </cell>
          <cell r="E200" t="str">
            <v>5.1.8</v>
          </cell>
          <cell r="F200">
            <v>9.0425531914893629</v>
          </cell>
          <cell r="G200">
            <v>9.7799999999999994</v>
          </cell>
        </row>
        <row r="201">
          <cell r="B201" t="str">
            <v>Borrow, Bank Run Gravel, 20 mile round trip</v>
          </cell>
          <cell r="C201" t="str">
            <v>C.Y.</v>
          </cell>
          <cell r="D201" t="str">
            <v>1,5,11</v>
          </cell>
          <cell r="E201" t="str">
            <v>5.1.9</v>
          </cell>
          <cell r="F201">
            <v>11.170212765957448</v>
          </cell>
          <cell r="G201">
            <v>12.08</v>
          </cell>
        </row>
        <row r="202">
          <cell r="B202" t="str">
            <v>Hauling, Borrow, 2 mi. RT, inc. loading &amp; spread w/ dozer, no mat. $</v>
          </cell>
          <cell r="C202" t="str">
            <v>C.Y.</v>
          </cell>
          <cell r="D202" t="str">
            <v>1,5,11</v>
          </cell>
          <cell r="E202" t="str">
            <v>5.3.1</v>
          </cell>
          <cell r="F202">
            <v>4.0252897787144359</v>
          </cell>
          <cell r="G202">
            <v>4.38</v>
          </cell>
        </row>
        <row r="203">
          <cell r="B203" t="str">
            <v>Hauling, Borrow, 5 mi. RT, inc. loading &amp; spread w/ dozer, no mat. $</v>
          </cell>
          <cell r="C203" t="str">
            <v>C.Y.</v>
          </cell>
          <cell r="D203" t="str">
            <v>1,5,11</v>
          </cell>
          <cell r="E203" t="str">
            <v>5.3.2</v>
          </cell>
          <cell r="F203">
            <v>4.4678609062170711</v>
          </cell>
          <cell r="G203">
            <v>4.87</v>
          </cell>
        </row>
        <row r="204">
          <cell r="B204" t="str">
            <v>Hauling, Borrow, 10 mi. RT, inc. loading &amp; spread w/ dozer, no mat. $</v>
          </cell>
          <cell r="C204" t="str">
            <v>C.Y.</v>
          </cell>
          <cell r="D204" t="str">
            <v>1,5,11</v>
          </cell>
          <cell r="E204" t="str">
            <v>5.3.3</v>
          </cell>
          <cell r="F204">
            <v>5.3424657534246585</v>
          </cell>
          <cell r="G204">
            <v>5.82</v>
          </cell>
        </row>
        <row r="205">
          <cell r="B205" t="str">
            <v>Hauling, Borrow, 20 mi. RT, inc. loading &amp; spread w/ dozer, no mat. $</v>
          </cell>
          <cell r="C205" t="str">
            <v>C.Y.</v>
          </cell>
          <cell r="D205" t="str">
            <v>1,5,11</v>
          </cell>
          <cell r="E205" t="str">
            <v>5.3.4</v>
          </cell>
          <cell r="F205">
            <v>6.74</v>
          </cell>
          <cell r="G205">
            <v>7.34</v>
          </cell>
        </row>
        <row r="206">
          <cell r="B206" t="str">
            <v>Stripping, topsoil, sandy loam, ideal conditions, 200 H.P. dozer, stripping &amp; stockpile</v>
          </cell>
          <cell r="C206" t="str">
            <v>C.Y.</v>
          </cell>
          <cell r="D206" t="str">
            <v>1,5,11</v>
          </cell>
          <cell r="E206">
            <v>0</v>
          </cell>
          <cell r="F206">
            <v>0.59</v>
          </cell>
          <cell r="G206">
            <v>0.64</v>
          </cell>
        </row>
        <row r="207">
          <cell r="B207" t="str">
            <v>Stripping, topsoil, sandy loam, adverse cond., 200 H.P. dozer, stripping and stockpile</v>
          </cell>
          <cell r="C207" t="str">
            <v>C.Y.</v>
          </cell>
          <cell r="D207" t="str">
            <v>1,5,11</v>
          </cell>
          <cell r="E207">
            <v>0</v>
          </cell>
          <cell r="F207">
            <v>1.19</v>
          </cell>
          <cell r="G207">
            <v>1.29</v>
          </cell>
        </row>
        <row r="208">
          <cell r="B208" t="str">
            <v>Stripping and stockpiling, topsoil, clay, dry and soft, ideal conditions, 200 H.P. dozer</v>
          </cell>
          <cell r="C208" t="str">
            <v>C.Y.</v>
          </cell>
          <cell r="D208" t="str">
            <v>1,5,11</v>
          </cell>
          <cell r="E208">
            <v>0</v>
          </cell>
          <cell r="F208">
            <v>0.85</v>
          </cell>
          <cell r="G208">
            <v>0.92</v>
          </cell>
        </row>
        <row r="209">
          <cell r="B209" t="str">
            <v>Stripping and stockpiling, topsoil, clay, dry and soft,adverse conditions, 200 H.P. dozer</v>
          </cell>
          <cell r="C209" t="str">
            <v>C.Y.</v>
          </cell>
          <cell r="D209" t="str">
            <v>1,5,11</v>
          </cell>
          <cell r="E209">
            <v>0</v>
          </cell>
          <cell r="F209">
            <v>1.7</v>
          </cell>
          <cell r="G209">
            <v>1.84</v>
          </cell>
        </row>
        <row r="210">
          <cell r="B210" t="str">
            <v>Loam or topsoil, remove and stockpile on site, 200 HP dozer, 6" deep, 200' haul</v>
          </cell>
          <cell r="C210" t="str">
            <v>C.Y.</v>
          </cell>
          <cell r="D210" t="str">
            <v>1,5,11</v>
          </cell>
          <cell r="E210">
            <v>0</v>
          </cell>
          <cell r="F210">
            <v>1.58</v>
          </cell>
          <cell r="G210">
            <v>1.71</v>
          </cell>
        </row>
        <row r="211">
          <cell r="B211" t="str">
            <v>Loam or topsoil, remove and stockpile on site, 200 HP dozer, 6" deep, 300' haul</v>
          </cell>
          <cell r="C211" t="str">
            <v>C.Y.</v>
          </cell>
          <cell r="D211" t="str">
            <v>1,5,11</v>
          </cell>
          <cell r="E211">
            <v>0</v>
          </cell>
          <cell r="F211">
            <v>2.62</v>
          </cell>
          <cell r="G211">
            <v>2.83</v>
          </cell>
        </row>
        <row r="212">
          <cell r="B212" t="str">
            <v>Drilling and blasting rock, open face, under 1500 C.Y.</v>
          </cell>
          <cell r="C212" t="str">
            <v>B.C.Y.</v>
          </cell>
          <cell r="D212" t="str">
            <v>1,5,11</v>
          </cell>
          <cell r="E212">
            <v>0</v>
          </cell>
          <cell r="F212">
            <v>9.5500000000000007</v>
          </cell>
          <cell r="G212">
            <v>10.4</v>
          </cell>
        </row>
        <row r="213">
          <cell r="B213" t="str">
            <v>Drilling and blasting, only, rock, blasting mats are required, under 1500 C.Y.</v>
          </cell>
          <cell r="C213" t="str">
            <v>B.C.Y.</v>
          </cell>
          <cell r="D213" t="str">
            <v>1,5,11</v>
          </cell>
          <cell r="E213">
            <v>0</v>
          </cell>
          <cell r="F213">
            <v>11.65</v>
          </cell>
          <cell r="G213">
            <v>12.69</v>
          </cell>
        </row>
        <row r="214">
          <cell r="B214" t="str">
            <v>Excavating, bulk, 1 C.Y. capacity = 75 C.Y./hr, backhoe, hydraulic, crawler mounted</v>
          </cell>
          <cell r="C214" t="str">
            <v>B.C.Y.</v>
          </cell>
          <cell r="D214" t="str">
            <v>1,5,11</v>
          </cell>
          <cell r="E214">
            <v>0</v>
          </cell>
          <cell r="F214">
            <v>2.09</v>
          </cell>
          <cell r="G214">
            <v>2.2799999999999998</v>
          </cell>
        </row>
        <row r="215">
          <cell r="B215" t="str">
            <v>Excavating, bulk, 1-1/2 C.Y. cap. = 100 C.Y./hr, backhoe, hydraulic, crawler mounted</v>
          </cell>
          <cell r="C215" t="str">
            <v>B.C.Y.</v>
          </cell>
          <cell r="D215" t="str">
            <v>1,5,11</v>
          </cell>
          <cell r="E215">
            <v>0</v>
          </cell>
          <cell r="F215">
            <v>1.79</v>
          </cell>
          <cell r="G215">
            <v>1.95</v>
          </cell>
        </row>
        <row r="216">
          <cell r="B216" t="str">
            <v>Excavating, bulk, 2 C.Y. cap. = 130 C.Y./hour, backhoe, hydraulic, crawler mounted</v>
          </cell>
          <cell r="C216" t="str">
            <v>B.C.Y.</v>
          </cell>
          <cell r="D216" t="str">
            <v>1,5,11</v>
          </cell>
          <cell r="E216">
            <v>0</v>
          </cell>
          <cell r="F216">
            <v>1.58</v>
          </cell>
          <cell r="G216">
            <v>1.72</v>
          </cell>
        </row>
        <row r="217">
          <cell r="B217" t="str">
            <v>Excavating, bulk, open site, bank measure, sand &amp; gravel, 105 H.P., 150' haul, dozer</v>
          </cell>
          <cell r="C217" t="str">
            <v>B.C.Y.</v>
          </cell>
          <cell r="D217" t="str">
            <v>1,5,11</v>
          </cell>
          <cell r="E217">
            <v>0</v>
          </cell>
          <cell r="F217">
            <v>2.74</v>
          </cell>
          <cell r="G217">
            <v>2.98</v>
          </cell>
        </row>
        <row r="218">
          <cell r="B218" t="str">
            <v>Excavating, bulk, open site, bank measure, common earth, 105 H.P. dozer, 150' haul</v>
          </cell>
          <cell r="C218" t="str">
            <v>B.C.Y.</v>
          </cell>
          <cell r="D218" t="str">
            <v>1,5,11</v>
          </cell>
          <cell r="E218">
            <v>0</v>
          </cell>
          <cell r="F218">
            <v>3.15</v>
          </cell>
          <cell r="G218">
            <v>3.43</v>
          </cell>
        </row>
        <row r="219">
          <cell r="B219" t="str">
            <v>Excavating, bulk, open site, bank measure, clay, 105 H.P. dozer, 150' haul</v>
          </cell>
          <cell r="C219" t="str">
            <v>B.C.Y.</v>
          </cell>
          <cell r="D219" t="str">
            <v>1,5,11</v>
          </cell>
          <cell r="E219">
            <v>0</v>
          </cell>
          <cell r="F219">
            <v>5</v>
          </cell>
          <cell r="G219">
            <v>5.45</v>
          </cell>
        </row>
        <row r="220">
          <cell r="B220" t="str">
            <v>Excavating, bulk, open site, bank measure, sand &amp; gravel, 105 H.P., 300' haul, dozer</v>
          </cell>
          <cell r="C220" t="str">
            <v>B.C.Y.</v>
          </cell>
          <cell r="D220" t="str">
            <v>1,5,11</v>
          </cell>
          <cell r="E220">
            <v>0</v>
          </cell>
          <cell r="F220">
            <v>6.1</v>
          </cell>
          <cell r="G220">
            <v>6.64</v>
          </cell>
        </row>
        <row r="221">
          <cell r="B221" t="str">
            <v>Excavating, bulk, open site, bank measure, common earth, 105 H.P. dozer, 300' haul</v>
          </cell>
          <cell r="C221" t="str">
            <v>B.C.Y.</v>
          </cell>
          <cell r="D221" t="str">
            <v>1,5,11</v>
          </cell>
          <cell r="E221">
            <v>0</v>
          </cell>
          <cell r="F221">
            <v>7.1</v>
          </cell>
          <cell r="G221">
            <v>7.73</v>
          </cell>
        </row>
        <row r="222">
          <cell r="B222" t="str">
            <v>Excavating, bulk, open site, bank measure, clay, 105 H.P. dozer, 300' haul</v>
          </cell>
          <cell r="C222" t="str">
            <v>B.C.Y.</v>
          </cell>
          <cell r="D222" t="str">
            <v>1,5,11</v>
          </cell>
          <cell r="E222">
            <v>0</v>
          </cell>
          <cell r="F222">
            <v>8.5</v>
          </cell>
          <cell r="G222">
            <v>9.26</v>
          </cell>
        </row>
        <row r="223">
          <cell r="B223" t="str">
            <v>Excavating, bulk, open site, bank measure, sand &amp; gravel, 200 H.P., 150' haul, dozer</v>
          </cell>
          <cell r="C223" t="str">
            <v>B.C.Y.</v>
          </cell>
          <cell r="D223" t="str">
            <v>1,5,11</v>
          </cell>
          <cell r="E223">
            <v>0</v>
          </cell>
          <cell r="F223">
            <v>2.29</v>
          </cell>
          <cell r="G223">
            <v>2.4900000000000002</v>
          </cell>
        </row>
        <row r="224">
          <cell r="B224" t="str">
            <v>Excavating, bulk, open site, bank measure, common earth, 200 H.P. dozer, 150' push</v>
          </cell>
          <cell r="C224" t="str">
            <v>B.C.Y.</v>
          </cell>
          <cell r="D224" t="str">
            <v>1,5,11</v>
          </cell>
          <cell r="E224">
            <v>0</v>
          </cell>
          <cell r="F224">
            <v>2.64</v>
          </cell>
          <cell r="G224">
            <v>2.88</v>
          </cell>
        </row>
        <row r="225">
          <cell r="B225" t="str">
            <v>Excavating, bulk, open site, bank measure, clay, 200 H.P. dozer, 150' push</v>
          </cell>
          <cell r="C225" t="str">
            <v>B.C.Y.</v>
          </cell>
          <cell r="D225" t="str">
            <v>1,5,11</v>
          </cell>
          <cell r="E225">
            <v>0</v>
          </cell>
          <cell r="F225">
            <v>4.1900000000000004</v>
          </cell>
          <cell r="G225">
            <v>4.5599999999999996</v>
          </cell>
        </row>
        <row r="226">
          <cell r="B226" t="str">
            <v>Excavating, bulk, open site, bank measure, sand &amp; gravel, 200 H.P., 300' haul, dozer</v>
          </cell>
          <cell r="C226" t="str">
            <v>B.C.Y.</v>
          </cell>
          <cell r="D226" t="str">
            <v>1,5,11</v>
          </cell>
          <cell r="E226">
            <v>0</v>
          </cell>
          <cell r="F226">
            <v>4.3899999999999997</v>
          </cell>
          <cell r="G226">
            <v>4.78</v>
          </cell>
        </row>
        <row r="227">
          <cell r="B227" t="str">
            <v>Excavating, bulk, open site, bank measure, common earth, 200 H.P. dozer, 300' push</v>
          </cell>
          <cell r="C227" t="str">
            <v>B.C.Y.</v>
          </cell>
          <cell r="D227" t="str">
            <v>1,5,11</v>
          </cell>
          <cell r="E227">
            <v>0</v>
          </cell>
          <cell r="F227">
            <v>5.05</v>
          </cell>
          <cell r="G227">
            <v>5.5</v>
          </cell>
        </row>
        <row r="228">
          <cell r="B228" t="str">
            <v>Excavating, bulk, open site, bank measure, clay, 200 H.P. dozer, 300' push</v>
          </cell>
          <cell r="C228" t="str">
            <v>B.C.Y.</v>
          </cell>
          <cell r="D228" t="str">
            <v>1,5,11</v>
          </cell>
          <cell r="E228">
            <v>0</v>
          </cell>
          <cell r="F228">
            <v>8</v>
          </cell>
          <cell r="G228">
            <v>8.7100000000000009</v>
          </cell>
        </row>
        <row r="229">
          <cell r="B229" t="str">
            <v>Excavating, structural, bank measure, common earth, 1 C.Y. bucket, hydr. backhoe</v>
          </cell>
          <cell r="C229" t="str">
            <v>B.C.Y.</v>
          </cell>
          <cell r="D229" t="str">
            <v>1,5,11</v>
          </cell>
          <cell r="E229">
            <v>0</v>
          </cell>
          <cell r="F229">
            <v>11.65</v>
          </cell>
          <cell r="G229">
            <v>12.69</v>
          </cell>
        </row>
        <row r="230">
          <cell r="B230" t="str">
            <v>Excavating, trench, common earth, 1' to 4' deep, 1/2 C.Y. cap., tractor loader/backhoe</v>
          </cell>
          <cell r="C230" t="str">
            <v>B.C.Y.</v>
          </cell>
          <cell r="D230" t="str">
            <v>1,5,11</v>
          </cell>
          <cell r="E230">
            <v>0</v>
          </cell>
          <cell r="F230">
            <v>4.5599999999999996</v>
          </cell>
          <cell r="G230">
            <v>4.97</v>
          </cell>
        </row>
        <row r="231">
          <cell r="B231" t="str">
            <v>Excavating, trench, 4' to 6' deep, 5/8 C.Y. bucket, hydraulic backhoe</v>
          </cell>
          <cell r="C231" t="str">
            <v>B.C.Y.</v>
          </cell>
          <cell r="D231" t="str">
            <v>1,5,11</v>
          </cell>
          <cell r="E231">
            <v>0</v>
          </cell>
          <cell r="F231">
            <v>4.47</v>
          </cell>
          <cell r="G231">
            <v>4.87</v>
          </cell>
        </row>
        <row r="232">
          <cell r="B232" t="str">
            <v>Excavating, trench, 4' to 6' deep, 3/4 C.Y. bucket, expose pipe, hydraulic backhoe</v>
          </cell>
          <cell r="C232" t="str">
            <v>B.C.Y.</v>
          </cell>
          <cell r="D232" t="str">
            <v>1,5,11</v>
          </cell>
          <cell r="E232">
            <v>0</v>
          </cell>
          <cell r="F232">
            <v>3.88</v>
          </cell>
          <cell r="G232">
            <v>4.2300000000000004</v>
          </cell>
        </row>
        <row r="233">
          <cell r="B233" t="str">
            <v>Excavating, trench, 6' to 10' deep, 3/4 C.Y. bucket, hydraulic backhoe</v>
          </cell>
          <cell r="C233" t="str">
            <v>B.C.Y.</v>
          </cell>
          <cell r="D233" t="str">
            <v>1,5,11</v>
          </cell>
          <cell r="E233">
            <v>0</v>
          </cell>
          <cell r="F233">
            <v>5.2</v>
          </cell>
          <cell r="G233">
            <v>5.66</v>
          </cell>
        </row>
        <row r="234">
          <cell r="B234" t="str">
            <v>Excavating, trench, 6' to 10' deep, 1 C.Y. bucket, hydraulic backhoe</v>
          </cell>
          <cell r="C234" t="str">
            <v>B.C.Y.</v>
          </cell>
          <cell r="D234" t="str">
            <v>1,5,11</v>
          </cell>
          <cell r="E234">
            <v>0</v>
          </cell>
          <cell r="F234">
            <v>3.14</v>
          </cell>
          <cell r="G234">
            <v>3.42</v>
          </cell>
        </row>
        <row r="235">
          <cell r="B235" t="str">
            <v>Excavating, trench, 10' to 14' deep, 1 C.Y. bucket, hydraulic backhoe</v>
          </cell>
          <cell r="C235" t="str">
            <v>B.C.Y.</v>
          </cell>
          <cell r="D235" t="str">
            <v>1,5,11</v>
          </cell>
          <cell r="E235">
            <v>0</v>
          </cell>
          <cell r="F235">
            <v>3.49</v>
          </cell>
          <cell r="G235">
            <v>3.8</v>
          </cell>
        </row>
        <row r="236">
          <cell r="B236" t="str">
            <v>Loam or topsoil, F.E. loader, remove, stockpile on site, spread frm pile to rough grade</v>
          </cell>
          <cell r="C236" t="str">
            <v>E.C.Y.</v>
          </cell>
          <cell r="D236" t="str">
            <v>1,5,11</v>
          </cell>
          <cell r="E236">
            <v>0</v>
          </cell>
          <cell r="F236">
            <v>3.09</v>
          </cell>
          <cell r="G236">
            <v>3.23</v>
          </cell>
        </row>
        <row r="237">
          <cell r="B237" t="str">
            <v>Excavation-Rock, drilling, blasting, hauling away 4 mi RT, &gt;225 C.Y.</v>
          </cell>
          <cell r="C237" t="str">
            <v>C.Y.</v>
          </cell>
          <cell r="D237" t="str">
            <v>1,5,11</v>
          </cell>
          <cell r="E237" t="str">
            <v>6.3.2</v>
          </cell>
          <cell r="F237">
            <v>32.972048000000001</v>
          </cell>
          <cell r="G237">
            <v>35.909999999999997</v>
          </cell>
        </row>
        <row r="238">
          <cell r="B238" t="str">
            <v>Excavation-Rock, blasting, &lt;100 C.Y.</v>
          </cell>
          <cell r="C238" t="str">
            <v>C.Y.</v>
          </cell>
          <cell r="D238" t="str">
            <v>1,5,11</v>
          </cell>
          <cell r="E238" t="str">
            <v>6.3.1</v>
          </cell>
          <cell r="F238">
            <v>52.687038988408851</v>
          </cell>
          <cell r="G238">
            <v>57.38</v>
          </cell>
        </row>
        <row r="239">
          <cell r="B239" t="str">
            <v>Excavation-Rock, ripped</v>
          </cell>
          <cell r="C239" t="str">
            <v>C.Y.</v>
          </cell>
          <cell r="D239" t="str">
            <v>1,5,11</v>
          </cell>
          <cell r="E239" t="str">
            <v>6.3.3</v>
          </cell>
          <cell r="F239">
            <v>15.806111696522656</v>
          </cell>
          <cell r="G239">
            <v>17.21</v>
          </cell>
        </row>
        <row r="240">
          <cell r="B240" t="str">
            <v>Dewatering, pumping, 8 hr., attended 2 hours per day, 2" diaphragm pump</v>
          </cell>
          <cell r="C240" t="str">
            <v>Day</v>
          </cell>
          <cell r="D240" t="str">
            <v>1,5,11</v>
          </cell>
          <cell r="E240">
            <v>0</v>
          </cell>
          <cell r="F240">
            <v>104</v>
          </cell>
          <cell r="G240">
            <v>112.42</v>
          </cell>
        </row>
        <row r="241">
          <cell r="B241" t="str">
            <v>Dewatering, pumping, 8 hr., attended 8 hours per day, 2" diaphragm pump</v>
          </cell>
          <cell r="C241" t="str">
            <v>Day</v>
          </cell>
          <cell r="D241" t="str">
            <v>1,5,11</v>
          </cell>
          <cell r="E241">
            <v>0</v>
          </cell>
          <cell r="F241">
            <v>415</v>
          </cell>
          <cell r="G241">
            <v>448.62</v>
          </cell>
        </row>
        <row r="242">
          <cell r="B242" t="str">
            <v>Mob. or demob. dozer, loader, backhoe or excavator, 70 H.P. to 250 H.P., up to 50 mi.</v>
          </cell>
          <cell r="C242" t="str">
            <v>Ea.</v>
          </cell>
          <cell r="D242" t="str">
            <v>-</v>
          </cell>
          <cell r="E242">
            <v>0</v>
          </cell>
          <cell r="F242">
            <v>196</v>
          </cell>
          <cell r="G242">
            <v>213.45</v>
          </cell>
        </row>
        <row r="243">
          <cell r="B243" t="str">
            <v>Mob. or demob., dozer, loader, backhoe or excavator, above 250 H.P., up to 50 miles</v>
          </cell>
          <cell r="C243" t="str">
            <v>Ea.</v>
          </cell>
          <cell r="D243" t="str">
            <v>-</v>
          </cell>
          <cell r="E243">
            <v>0</v>
          </cell>
          <cell r="F243">
            <v>289</v>
          </cell>
          <cell r="G243">
            <v>314.74</v>
          </cell>
        </row>
        <row r="244">
          <cell r="B244" t="str">
            <v>Mobilization or demobilization, for small equipment on flatbed trailer, maximum</v>
          </cell>
          <cell r="C244" t="str">
            <v>Ea.</v>
          </cell>
          <cell r="D244" t="str">
            <v>-</v>
          </cell>
          <cell r="E244">
            <v>0</v>
          </cell>
          <cell r="F244">
            <v>118</v>
          </cell>
          <cell r="G244">
            <v>128.51</v>
          </cell>
        </row>
        <row r="245">
          <cell r="B245" t="str">
            <v>Backfill, bulk, up to 300' haul, dozer backfilling, excludes compaction</v>
          </cell>
          <cell r="C245" t="str">
            <v>L.C.Y.</v>
          </cell>
          <cell r="D245" t="str">
            <v>1,5,11</v>
          </cell>
          <cell r="E245">
            <v>0</v>
          </cell>
          <cell r="F245">
            <v>1.1299999999999999</v>
          </cell>
          <cell r="G245">
            <v>1.23</v>
          </cell>
        </row>
        <row r="246">
          <cell r="B246" t="str">
            <v>Backfill, trench, 6" to 12" lifts, dozer backfilling, compaction with vibrating roller</v>
          </cell>
          <cell r="C246" t="str">
            <v>E.C.Y.</v>
          </cell>
          <cell r="D246" t="str">
            <v>1,5,11</v>
          </cell>
          <cell r="E246">
            <v>0</v>
          </cell>
          <cell r="F246">
            <v>2.88</v>
          </cell>
          <cell r="G246">
            <v>3.14</v>
          </cell>
        </row>
        <row r="247">
          <cell r="B247" t="str">
            <v>Backfill, trench, 6" to 12" lifts, dozer backfilling, compaction with sheepsfoot roller</v>
          </cell>
          <cell r="C247" t="str">
            <v>E.C.Y.</v>
          </cell>
          <cell r="D247" t="str">
            <v>1,5,11</v>
          </cell>
          <cell r="E247">
            <v>0</v>
          </cell>
          <cell r="F247">
            <v>3.13</v>
          </cell>
          <cell r="G247">
            <v>3.41</v>
          </cell>
        </row>
        <row r="248">
          <cell r="B248" t="str">
            <v>Compaction, structural, 5 tons, steel wheel tandem roller</v>
          </cell>
          <cell r="C248" t="str">
            <v>Hr.</v>
          </cell>
          <cell r="D248" t="str">
            <v>1,5,11</v>
          </cell>
          <cell r="E248">
            <v>0</v>
          </cell>
          <cell r="F248">
            <v>59</v>
          </cell>
          <cell r="G248">
            <v>64.25</v>
          </cell>
        </row>
        <row r="249">
          <cell r="B249" t="str">
            <v>Compaction, structural, 10 tons, steel wheel tandem roller</v>
          </cell>
          <cell r="C249" t="str">
            <v>Hr.</v>
          </cell>
          <cell r="D249" t="str">
            <v>1,5,11</v>
          </cell>
          <cell r="E249">
            <v>0</v>
          </cell>
          <cell r="F249">
            <v>68.5</v>
          </cell>
          <cell r="G249">
            <v>74.599999999999994</v>
          </cell>
        </row>
        <row r="250">
          <cell r="B250" t="str">
            <v>Compaction, structural, common fill, 8" lifts, sheepsfoot or wobbly wheel roller</v>
          </cell>
          <cell r="C250" t="str">
            <v>E.C.Y.</v>
          </cell>
          <cell r="D250" t="str">
            <v>1,5,11</v>
          </cell>
          <cell r="E250">
            <v>0</v>
          </cell>
          <cell r="F250">
            <v>0.94</v>
          </cell>
          <cell r="G250">
            <v>1.02</v>
          </cell>
        </row>
        <row r="251">
          <cell r="B251" t="str">
            <v>Compaction, structural, common fill, 8" lifts, vibratory plate</v>
          </cell>
          <cell r="C251" t="str">
            <v>E.C.Y.</v>
          </cell>
          <cell r="D251" t="str">
            <v>1,5,11</v>
          </cell>
          <cell r="E251">
            <v>0</v>
          </cell>
          <cell r="F251">
            <v>1.53</v>
          </cell>
          <cell r="G251">
            <v>1.67</v>
          </cell>
        </row>
        <row r="252">
          <cell r="B252" t="str">
            <v>Bedding, for pipe and conduit, crushed or screened bank run gravel, exc. compaction</v>
          </cell>
          <cell r="C252" t="str">
            <v>L.C.Y.</v>
          </cell>
          <cell r="D252" t="str">
            <v>-</v>
          </cell>
          <cell r="E252">
            <v>0</v>
          </cell>
          <cell r="F252">
            <v>29.5</v>
          </cell>
          <cell r="G252">
            <v>32.130000000000003</v>
          </cell>
        </row>
        <row r="253">
          <cell r="B253" t="str">
            <v>Bedding, for pipe and conduit, crushed stone, 3/4" to 1-1/2", excludes compaction</v>
          </cell>
          <cell r="C253" t="str">
            <v>L.C.Y.</v>
          </cell>
          <cell r="D253" t="str">
            <v>-</v>
          </cell>
          <cell r="E253">
            <v>0</v>
          </cell>
          <cell r="F253">
            <v>37.5</v>
          </cell>
          <cell r="G253">
            <v>40.840000000000003</v>
          </cell>
        </row>
        <row r="254">
          <cell r="B254" t="str">
            <v>Bedding, for pipe and conduit, sand, dead or bank, excludes compaction</v>
          </cell>
          <cell r="C254" t="str">
            <v>L.C.Y.</v>
          </cell>
          <cell r="D254" t="str">
            <v>-</v>
          </cell>
          <cell r="E254">
            <v>0</v>
          </cell>
          <cell r="F254">
            <v>12.05</v>
          </cell>
          <cell r="G254">
            <v>13.12</v>
          </cell>
        </row>
        <row r="255">
          <cell r="B255" t="str">
            <v>Bedding, for pipe and conduit, compacting bedding in trench</v>
          </cell>
          <cell r="C255" t="str">
            <v>E.C.Y.</v>
          </cell>
          <cell r="D255" t="str">
            <v>-</v>
          </cell>
          <cell r="E255">
            <v>0</v>
          </cell>
          <cell r="F255">
            <v>3.41</v>
          </cell>
          <cell r="G255">
            <v>3.71</v>
          </cell>
        </row>
        <row r="256">
          <cell r="B256" t="str">
            <v>Fence, Chain Link, 5' high, 1 5/8" posts 10' o.c.</v>
          </cell>
          <cell r="C256" t="str">
            <v>L.F.</v>
          </cell>
          <cell r="D256">
            <v>50</v>
          </cell>
          <cell r="E256">
            <v>0</v>
          </cell>
          <cell r="F256">
            <v>6.95</v>
          </cell>
          <cell r="G256">
            <v>7.75</v>
          </cell>
        </row>
        <row r="257">
          <cell r="B257" t="str">
            <v>Fence, Chain Link, 6' high, 1 5/8" posts 10' o.c.</v>
          </cell>
          <cell r="C257" t="str">
            <v>L.F.</v>
          </cell>
          <cell r="D257">
            <v>50</v>
          </cell>
          <cell r="E257">
            <v>0</v>
          </cell>
          <cell r="F257">
            <v>10.35</v>
          </cell>
          <cell r="G257">
            <v>11.55</v>
          </cell>
        </row>
        <row r="258">
          <cell r="B258" t="str">
            <v>Safety Signs, Structure, attached to fence</v>
          </cell>
          <cell r="C258" t="str">
            <v>EA.</v>
          </cell>
          <cell r="D258">
            <v>50</v>
          </cell>
          <cell r="E258" t="str">
            <v>24.12.2</v>
          </cell>
          <cell r="F258">
            <v>15</v>
          </cell>
          <cell r="G258">
            <v>17.25</v>
          </cell>
        </row>
        <row r="259">
          <cell r="B259" t="str">
            <v xml:space="preserve">Fence, High Tensile, 3 strand </v>
          </cell>
          <cell r="C259" t="str">
            <v>L.F.</v>
          </cell>
          <cell r="D259">
            <v>50</v>
          </cell>
          <cell r="E259" t="str">
            <v>7.1.10</v>
          </cell>
          <cell r="F259">
            <v>1.3</v>
          </cell>
          <cell r="G259">
            <v>1.5</v>
          </cell>
        </row>
        <row r="260">
          <cell r="B260" t="str">
            <v xml:space="preserve">Fence, High Tensile, 4 strand </v>
          </cell>
          <cell r="C260" t="str">
            <v>L.F.</v>
          </cell>
          <cell r="D260">
            <v>50</v>
          </cell>
          <cell r="E260" t="str">
            <v>7.1.11</v>
          </cell>
          <cell r="F260">
            <v>1.64</v>
          </cell>
          <cell r="G260">
            <v>1.89</v>
          </cell>
        </row>
        <row r="261">
          <cell r="B261" t="str">
            <v xml:space="preserve">Fence, High Tensile, 5 strand </v>
          </cell>
          <cell r="C261" t="str">
            <v>L.F.</v>
          </cell>
          <cell r="D261">
            <v>50</v>
          </cell>
          <cell r="E261" t="str">
            <v>7.1.12</v>
          </cell>
          <cell r="F261">
            <v>1.89</v>
          </cell>
          <cell r="G261">
            <v>2.17</v>
          </cell>
        </row>
        <row r="262">
          <cell r="B262" t="str">
            <v xml:space="preserve">Fence, High Tensile, 6 strand </v>
          </cell>
          <cell r="C262" t="str">
            <v>L.F.</v>
          </cell>
          <cell r="D262">
            <v>50</v>
          </cell>
          <cell r="E262" t="str">
            <v>7.1.13</v>
          </cell>
          <cell r="F262">
            <v>2.17</v>
          </cell>
          <cell r="G262">
            <v>2.5</v>
          </cell>
        </row>
        <row r="263">
          <cell r="B263" t="str">
            <v>Fence, High Tensile, 6 strand, straight &amp; long lengths (field fencing)</v>
          </cell>
          <cell r="C263" t="str">
            <v>L.F.</v>
          </cell>
          <cell r="D263">
            <v>50</v>
          </cell>
          <cell r="E263" t="str">
            <v>7.1.14</v>
          </cell>
          <cell r="F263">
            <v>1.6</v>
          </cell>
          <cell r="G263">
            <v>1.84</v>
          </cell>
        </row>
        <row r="264">
          <cell r="B264" t="str">
            <v>Fence, Woven Wire</v>
          </cell>
          <cell r="C264" t="str">
            <v>L.F.</v>
          </cell>
          <cell r="D264">
            <v>50</v>
          </cell>
          <cell r="E264" t="str">
            <v>7.1.15</v>
          </cell>
          <cell r="F264">
            <v>2.94</v>
          </cell>
          <cell r="G264">
            <v>3.38</v>
          </cell>
        </row>
        <row r="265">
          <cell r="B265" t="str">
            <v>Fencing, 19 ga.Stainless Steel Wire, Portable Fencing</v>
          </cell>
          <cell r="C265" t="str">
            <v>L.F.</v>
          </cell>
          <cell r="D265">
            <v>50</v>
          </cell>
          <cell r="E265" t="str">
            <v>7.1.16</v>
          </cell>
          <cell r="F265">
            <v>0.05</v>
          </cell>
          <cell r="G265">
            <v>0.05</v>
          </cell>
        </row>
        <row r="266">
          <cell r="B266" t="str">
            <v>Fencing, Deer Net, 8ft - material cost only</v>
          </cell>
          <cell r="C266" t="str">
            <v>L.F.</v>
          </cell>
          <cell r="D266">
            <v>50</v>
          </cell>
          <cell r="E266" t="str">
            <v>7.1.17</v>
          </cell>
          <cell r="F266">
            <v>0.65</v>
          </cell>
          <cell r="G266">
            <v>0.65</v>
          </cell>
        </row>
        <row r="267">
          <cell r="B267" t="str">
            <v>Fencing, Poly Net (sheep &amp; chickens) - material cost only</v>
          </cell>
          <cell r="C267" t="str">
            <v>L.F.</v>
          </cell>
          <cell r="D267">
            <v>50</v>
          </cell>
          <cell r="E267" t="str">
            <v>7.1.18</v>
          </cell>
          <cell r="F267">
            <v>0.79</v>
          </cell>
          <cell r="G267">
            <v>0.79</v>
          </cell>
        </row>
        <row r="268">
          <cell r="B268" t="str">
            <v>Fencing, Poly Wire - material cost only</v>
          </cell>
          <cell r="C268" t="str">
            <v>L.F.</v>
          </cell>
          <cell r="D268">
            <v>50</v>
          </cell>
          <cell r="E268" t="str">
            <v>7.1.19</v>
          </cell>
          <cell r="F268">
            <v>0.04</v>
          </cell>
          <cell r="G268">
            <v>0.04</v>
          </cell>
        </row>
        <row r="269">
          <cell r="B269" t="str">
            <v xml:space="preserve">Fence, Electric, 2 strand </v>
          </cell>
          <cell r="C269" t="str">
            <v>L.F.</v>
          </cell>
          <cell r="D269">
            <v>50</v>
          </cell>
          <cell r="E269" t="str">
            <v>7.1.2</v>
          </cell>
          <cell r="F269">
            <v>1.29</v>
          </cell>
          <cell r="G269">
            <v>1.29</v>
          </cell>
        </row>
        <row r="270">
          <cell r="B270" t="str">
            <v>Fencing, Ribbon Type (horses) - material cost only</v>
          </cell>
          <cell r="C270" t="str">
            <v>L.F.</v>
          </cell>
          <cell r="D270">
            <v>50</v>
          </cell>
          <cell r="E270" t="str">
            <v>7.1.20</v>
          </cell>
          <cell r="F270">
            <v>0.14000000000000001</v>
          </cell>
          <cell r="G270">
            <v>0.14000000000000001</v>
          </cell>
        </row>
        <row r="271">
          <cell r="B271" t="str">
            <v>Fence, Electric, portable polywire or tape w/ posts</v>
          </cell>
          <cell r="C271" t="str">
            <v>L.F.</v>
          </cell>
          <cell r="D271">
            <v>50</v>
          </cell>
          <cell r="E271" t="str">
            <v>7.1.21</v>
          </cell>
          <cell r="F271">
            <v>0.18</v>
          </cell>
          <cell r="G271">
            <v>0.18</v>
          </cell>
        </row>
        <row r="272">
          <cell r="B272" t="str">
            <v>Brace, Corner Type, Fence</v>
          </cell>
          <cell r="C272" t="str">
            <v>L.F.</v>
          </cell>
          <cell r="D272">
            <v>50</v>
          </cell>
          <cell r="E272" t="str">
            <v>7.1.22</v>
          </cell>
          <cell r="F272">
            <v>132</v>
          </cell>
          <cell r="G272">
            <v>132</v>
          </cell>
        </row>
        <row r="273">
          <cell r="B273" t="str">
            <v>Brace, End Type, Fence</v>
          </cell>
          <cell r="C273" t="str">
            <v>L.F.</v>
          </cell>
          <cell r="D273">
            <v>50</v>
          </cell>
          <cell r="E273" t="str">
            <v>7.1.23</v>
          </cell>
          <cell r="F273">
            <v>79</v>
          </cell>
          <cell r="G273">
            <v>79</v>
          </cell>
        </row>
        <row r="274">
          <cell r="B274" t="str">
            <v>Charger, Fence, &gt; 2000ft</v>
          </cell>
          <cell r="C274" t="str">
            <v>L.F.</v>
          </cell>
          <cell r="D274">
            <v>50</v>
          </cell>
          <cell r="E274" t="str">
            <v>7.1.24</v>
          </cell>
          <cell r="F274">
            <v>550</v>
          </cell>
          <cell r="G274">
            <v>550</v>
          </cell>
        </row>
        <row r="275">
          <cell r="B275" t="str">
            <v>Charger, Fence, 12V Solar Powered, &lt; 15 acres</v>
          </cell>
          <cell r="C275" t="str">
            <v>L.F.</v>
          </cell>
          <cell r="D275">
            <v>50</v>
          </cell>
          <cell r="E275" t="str">
            <v>7.1.25</v>
          </cell>
          <cell r="F275">
            <v>300</v>
          </cell>
          <cell r="G275">
            <v>300</v>
          </cell>
        </row>
        <row r="276">
          <cell r="B276" t="str">
            <v>Post, Fence, Cedar 6 ft, material cost only</v>
          </cell>
          <cell r="C276" t="str">
            <v>EA.</v>
          </cell>
          <cell r="D276">
            <v>50</v>
          </cell>
          <cell r="E276" t="str">
            <v>7.1.26</v>
          </cell>
          <cell r="F276">
            <v>2.5</v>
          </cell>
          <cell r="G276">
            <v>2.5</v>
          </cell>
        </row>
        <row r="277">
          <cell r="B277" t="str">
            <v>Post, Portable Fence, material cost only</v>
          </cell>
          <cell r="C277" t="str">
            <v>EA.</v>
          </cell>
          <cell r="D277">
            <v>50</v>
          </cell>
          <cell r="E277" t="str">
            <v>7.1.27</v>
          </cell>
          <cell r="F277">
            <v>2</v>
          </cell>
          <cell r="G277">
            <v>2</v>
          </cell>
        </row>
        <row r="278">
          <cell r="B278" t="str">
            <v>Charger, Fence, 12V Solar Powered &gt; 15 acres</v>
          </cell>
          <cell r="C278" t="str">
            <v>L.F.</v>
          </cell>
          <cell r="D278">
            <v>50</v>
          </cell>
          <cell r="E278" t="str">
            <v>7.1.28</v>
          </cell>
          <cell r="F278">
            <v>1100</v>
          </cell>
          <cell r="G278">
            <v>1100</v>
          </cell>
        </row>
        <row r="279">
          <cell r="B279" t="str">
            <v xml:space="preserve">Fence, Wood, 3 board </v>
          </cell>
          <cell r="C279" t="str">
            <v>L.F.</v>
          </cell>
          <cell r="D279">
            <v>50</v>
          </cell>
          <cell r="E279" t="str">
            <v>7.1.4</v>
          </cell>
          <cell r="F279">
            <v>4.7</v>
          </cell>
          <cell r="G279">
            <v>5.41</v>
          </cell>
        </row>
        <row r="280">
          <cell r="B280" t="str">
            <v>Fence, Steel post w/ 2 steel rails</v>
          </cell>
          <cell r="C280" t="str">
            <v>L.F.</v>
          </cell>
          <cell r="D280">
            <v>50</v>
          </cell>
          <cell r="E280" t="str">
            <v>7.1.5</v>
          </cell>
          <cell r="F280">
            <v>6.36</v>
          </cell>
          <cell r="G280">
            <v>7.31</v>
          </cell>
        </row>
        <row r="281">
          <cell r="B281" t="str">
            <v xml:space="preserve">Fence, Barbed Wire, 3 strand </v>
          </cell>
          <cell r="C281" t="str">
            <v>L.F.</v>
          </cell>
          <cell r="D281">
            <v>50</v>
          </cell>
          <cell r="E281" t="str">
            <v>7.1.6</v>
          </cell>
          <cell r="F281">
            <v>2</v>
          </cell>
          <cell r="G281">
            <v>2.2999999999999998</v>
          </cell>
        </row>
        <row r="282">
          <cell r="B282" t="str">
            <v xml:space="preserve">Fence, Barbed Wire, 4 strand </v>
          </cell>
          <cell r="C282" t="str">
            <v>L.F.</v>
          </cell>
          <cell r="D282">
            <v>50</v>
          </cell>
          <cell r="E282" t="str">
            <v>7.1.7</v>
          </cell>
          <cell r="F282">
            <v>2.3199999999999998</v>
          </cell>
          <cell r="G282">
            <v>2.67</v>
          </cell>
        </row>
        <row r="283">
          <cell r="B283" t="str">
            <v xml:space="preserve">Fence, Barbed Wire, 5 strand </v>
          </cell>
          <cell r="C283" t="str">
            <v>L.F.</v>
          </cell>
          <cell r="D283">
            <v>50</v>
          </cell>
          <cell r="E283" t="str">
            <v>7.1.8</v>
          </cell>
          <cell r="F283">
            <v>2.59</v>
          </cell>
          <cell r="G283">
            <v>2.98</v>
          </cell>
        </row>
        <row r="284">
          <cell r="B284" t="str">
            <v xml:space="preserve">Fence, High Tensile, 2 strand </v>
          </cell>
          <cell r="C284" t="str">
            <v>L.F.</v>
          </cell>
          <cell r="D284">
            <v>50</v>
          </cell>
          <cell r="E284" t="str">
            <v>7.1.9</v>
          </cell>
          <cell r="F284">
            <v>1.1200000000000001</v>
          </cell>
          <cell r="G284">
            <v>1.29</v>
          </cell>
        </row>
        <row r="285">
          <cell r="B285" t="str">
            <v>Gate, Fence, light duty</v>
          </cell>
          <cell r="C285" t="str">
            <v>L.F.</v>
          </cell>
          <cell r="D285">
            <v>50</v>
          </cell>
          <cell r="E285" t="str">
            <v>7.2.1</v>
          </cell>
          <cell r="F285">
            <v>14.75</v>
          </cell>
          <cell r="G285">
            <v>14.75</v>
          </cell>
        </row>
        <row r="286">
          <cell r="B286" t="str">
            <v>Gate, Fence, heavy duty</v>
          </cell>
          <cell r="C286" t="str">
            <v>L.F.</v>
          </cell>
          <cell r="D286">
            <v>50</v>
          </cell>
          <cell r="E286" t="str">
            <v>7.2.2</v>
          </cell>
          <cell r="F286">
            <v>17.649999999999999</v>
          </cell>
          <cell r="G286">
            <v>17.649999999999999</v>
          </cell>
        </row>
        <row r="287">
          <cell r="B287" t="str">
            <v>Gate, Fence, Panel Type</v>
          </cell>
          <cell r="C287" t="str">
            <v>EA.</v>
          </cell>
          <cell r="D287">
            <v>50</v>
          </cell>
          <cell r="E287" t="str">
            <v>7.2.3</v>
          </cell>
          <cell r="F287">
            <v>175</v>
          </cell>
          <cell r="G287">
            <v>175</v>
          </cell>
        </row>
        <row r="288">
          <cell r="B288" t="str">
            <v>Gate, Fence, Spring Type, 2 Wire</v>
          </cell>
          <cell r="C288" t="str">
            <v>EA.</v>
          </cell>
          <cell r="D288">
            <v>50</v>
          </cell>
          <cell r="E288" t="str">
            <v>7.2.4</v>
          </cell>
          <cell r="F288">
            <v>35</v>
          </cell>
          <cell r="G288">
            <v>35</v>
          </cell>
        </row>
        <row r="289">
          <cell r="B289" t="str">
            <v>0-10-40- .2 boron</v>
          </cell>
          <cell r="C289" t="str">
            <v>TON</v>
          </cell>
          <cell r="D289" t="str">
            <v>-</v>
          </cell>
          <cell r="E289" t="str">
            <v>1.2.1</v>
          </cell>
          <cell r="F289">
            <v>252</v>
          </cell>
          <cell r="G289">
            <v>252</v>
          </cell>
        </row>
        <row r="290">
          <cell r="B290" t="str">
            <v>Foliar nutrient application on vegetables, (not including equipment)</v>
          </cell>
          <cell r="C290" t="str">
            <v>ACRE</v>
          </cell>
          <cell r="D290" t="str">
            <v>-</v>
          </cell>
          <cell r="E290" t="str">
            <v>1.2.10</v>
          </cell>
          <cell r="F290">
            <v>15</v>
          </cell>
          <cell r="G290">
            <v>15</v>
          </cell>
        </row>
        <row r="291">
          <cell r="B291" t="str">
            <v>Hi-Mag lime</v>
          </cell>
          <cell r="C291" t="str">
            <v>TON</v>
          </cell>
          <cell r="D291" t="str">
            <v>-</v>
          </cell>
          <cell r="E291" t="str">
            <v>1.2.11</v>
          </cell>
          <cell r="F291">
            <v>45</v>
          </cell>
          <cell r="G291">
            <v>45</v>
          </cell>
        </row>
        <row r="292">
          <cell r="B292" t="str">
            <v>Lime (bulk)</v>
          </cell>
          <cell r="C292" t="str">
            <v>TON</v>
          </cell>
          <cell r="D292" t="str">
            <v>-</v>
          </cell>
          <cell r="E292" t="str">
            <v>1.2.12</v>
          </cell>
          <cell r="F292">
            <v>13.25</v>
          </cell>
          <cell r="G292">
            <v>13.25</v>
          </cell>
        </row>
        <row r="293">
          <cell r="B293" t="str">
            <v>Lime (calcium) delivered and spread</v>
          </cell>
          <cell r="C293" t="str">
            <v>TON</v>
          </cell>
          <cell r="D293" t="str">
            <v>-</v>
          </cell>
          <cell r="E293" t="str">
            <v>1.2.13</v>
          </cell>
          <cell r="F293">
            <v>32.75</v>
          </cell>
          <cell r="G293">
            <v>32.75</v>
          </cell>
        </row>
        <row r="294">
          <cell r="B294" t="str">
            <v>Lime (calcium) in 50# bags</v>
          </cell>
          <cell r="C294" t="str">
            <v>TON</v>
          </cell>
          <cell r="D294" t="str">
            <v>-</v>
          </cell>
          <cell r="E294" t="str">
            <v>1.2.14</v>
          </cell>
          <cell r="F294">
            <v>100</v>
          </cell>
          <cell r="G294">
            <v>100</v>
          </cell>
        </row>
        <row r="295">
          <cell r="B295" t="str">
            <v xml:space="preserve">Lime-Ash </v>
          </cell>
          <cell r="C295" t="str">
            <v>TON</v>
          </cell>
          <cell r="D295" t="str">
            <v>-</v>
          </cell>
          <cell r="E295" t="str">
            <v>1.2.15</v>
          </cell>
          <cell r="F295">
            <v>28</v>
          </cell>
          <cell r="G295">
            <v>28</v>
          </cell>
        </row>
        <row r="296">
          <cell r="B296" t="str">
            <v>MAP  11-52-0</v>
          </cell>
          <cell r="C296" t="str">
            <v>TON</v>
          </cell>
          <cell r="D296" t="str">
            <v>-</v>
          </cell>
          <cell r="E296" t="str">
            <v>1.2.16</v>
          </cell>
          <cell r="F296">
            <v>290</v>
          </cell>
          <cell r="G296">
            <v>290</v>
          </cell>
        </row>
        <row r="297">
          <cell r="B297" t="str">
            <v>Nitrogen (chemical)</v>
          </cell>
          <cell r="C297" t="str">
            <v>LB</v>
          </cell>
          <cell r="D297" t="str">
            <v>-</v>
          </cell>
          <cell r="E297" t="str">
            <v>1.2.17</v>
          </cell>
          <cell r="F297">
            <v>0.33</v>
          </cell>
          <cell r="G297">
            <v>0.33</v>
          </cell>
        </row>
        <row r="298">
          <cell r="B298" t="str">
            <v>Organic Soil Amendments - Chilean Nitrate  16-0-0</v>
          </cell>
          <cell r="C298" t="str">
            <v>TON</v>
          </cell>
          <cell r="D298" t="str">
            <v>-</v>
          </cell>
          <cell r="E298" t="str">
            <v>1.2.18</v>
          </cell>
          <cell r="F298">
            <v>466</v>
          </cell>
          <cell r="G298">
            <v>466</v>
          </cell>
        </row>
        <row r="299">
          <cell r="B299" t="str">
            <v xml:space="preserve">Organic Soil Amendments - Nitrogen </v>
          </cell>
          <cell r="C299" t="str">
            <v>LB</v>
          </cell>
          <cell r="D299" t="str">
            <v>-</v>
          </cell>
          <cell r="E299" t="str">
            <v>1.2.19</v>
          </cell>
          <cell r="F299">
            <v>1.49</v>
          </cell>
          <cell r="G299">
            <v>1.49</v>
          </cell>
        </row>
        <row r="300">
          <cell r="B300" t="str">
            <v>10-10-10</v>
          </cell>
          <cell r="C300" t="str">
            <v>TON</v>
          </cell>
          <cell r="D300" t="str">
            <v>-</v>
          </cell>
          <cell r="E300" t="str">
            <v>1.2.2</v>
          </cell>
          <cell r="F300">
            <v>196.5</v>
          </cell>
          <cell r="G300">
            <v>196.5</v>
          </cell>
        </row>
        <row r="301">
          <cell r="B301" t="str">
            <v>Organic Soil Amendments - Phospate rock  0-30-0 (6-8%avilable)</v>
          </cell>
          <cell r="C301" t="str">
            <v>TON</v>
          </cell>
          <cell r="D301" t="str">
            <v>-</v>
          </cell>
          <cell r="E301" t="str">
            <v>1.2.20</v>
          </cell>
          <cell r="F301">
            <v>296</v>
          </cell>
          <cell r="G301">
            <v>296</v>
          </cell>
        </row>
        <row r="302">
          <cell r="B302" t="str">
            <v>Organic Soil Amendments - Phosphorus (plant available form)</v>
          </cell>
          <cell r="C302" t="str">
            <v>LB</v>
          </cell>
          <cell r="D302" t="str">
            <v>-</v>
          </cell>
          <cell r="E302" t="str">
            <v>1.2.21</v>
          </cell>
          <cell r="F302">
            <v>1.7</v>
          </cell>
          <cell r="G302">
            <v>1.7</v>
          </cell>
        </row>
        <row r="303">
          <cell r="B303" t="str">
            <v>Organic Soil Amendments - Potassium</v>
          </cell>
          <cell r="C303" t="str">
            <v>LB</v>
          </cell>
          <cell r="D303" t="str">
            <v>-</v>
          </cell>
          <cell r="E303" t="str">
            <v>1.2.22</v>
          </cell>
          <cell r="F303">
            <v>0.79</v>
          </cell>
          <cell r="G303">
            <v>0.79</v>
          </cell>
        </row>
        <row r="304">
          <cell r="B304" t="str">
            <v>Organic Soil Amendments - Sulphate of Potash 0-0-52</v>
          </cell>
          <cell r="C304" t="str">
            <v>TON</v>
          </cell>
          <cell r="D304" t="str">
            <v>-</v>
          </cell>
          <cell r="E304" t="str">
            <v>1.2.23</v>
          </cell>
          <cell r="F304">
            <v>607</v>
          </cell>
          <cell r="G304">
            <v>607</v>
          </cell>
        </row>
        <row r="305">
          <cell r="B305" t="str">
            <v>Organic Soil Amendments - Sul-Po-Mag      0-0-22   11Mg,  22S</v>
          </cell>
          <cell r="C305" t="str">
            <v>TON</v>
          </cell>
          <cell r="D305" t="str">
            <v>-</v>
          </cell>
          <cell r="E305" t="str">
            <v>1.2.24</v>
          </cell>
          <cell r="F305">
            <v>487</v>
          </cell>
          <cell r="G305">
            <v>487</v>
          </cell>
        </row>
        <row r="306">
          <cell r="B306" t="str">
            <v>Phosphorus</v>
          </cell>
          <cell r="C306" t="str">
            <v>LB</v>
          </cell>
          <cell r="D306" t="str">
            <v>-</v>
          </cell>
          <cell r="E306" t="str">
            <v>1.2.25</v>
          </cell>
          <cell r="F306">
            <v>0.26</v>
          </cell>
          <cell r="G306">
            <v>0.26</v>
          </cell>
        </row>
        <row r="307">
          <cell r="B307" t="str">
            <v>Potash  0-0-60</v>
          </cell>
          <cell r="C307" t="str">
            <v>TON</v>
          </cell>
          <cell r="D307" t="str">
            <v>-</v>
          </cell>
          <cell r="E307" t="str">
            <v>1.2.26</v>
          </cell>
          <cell r="F307">
            <v>223</v>
          </cell>
          <cell r="G307">
            <v>223</v>
          </cell>
        </row>
        <row r="308">
          <cell r="B308" t="str">
            <v>Potassium</v>
          </cell>
          <cell r="C308" t="str">
            <v>LB</v>
          </cell>
          <cell r="D308" t="str">
            <v>-</v>
          </cell>
          <cell r="E308" t="str">
            <v>1.2.27</v>
          </cell>
          <cell r="F308">
            <v>0.14000000000000001</v>
          </cell>
          <cell r="G308">
            <v>0.14000000000000001</v>
          </cell>
        </row>
        <row r="309">
          <cell r="B309" t="str">
            <v>Urea  46-0-0</v>
          </cell>
          <cell r="C309" t="str">
            <v>TON</v>
          </cell>
          <cell r="D309" t="str">
            <v>-</v>
          </cell>
          <cell r="E309" t="str">
            <v>1.2.28</v>
          </cell>
          <cell r="F309">
            <v>309</v>
          </cell>
          <cell r="G309">
            <v>309</v>
          </cell>
        </row>
        <row r="310">
          <cell r="B310" t="str">
            <v>Herbicides, cost per acre (for corn)</v>
          </cell>
          <cell r="C310" t="str">
            <v>ACRE</v>
          </cell>
          <cell r="D310" t="str">
            <v>-</v>
          </cell>
          <cell r="E310" t="str">
            <v>1.2.29</v>
          </cell>
          <cell r="F310">
            <v>29.6</v>
          </cell>
          <cell r="G310">
            <v>29.6</v>
          </cell>
        </row>
        <row r="311">
          <cell r="B311" t="str">
            <v>10-10-10 (50 lb bags)</v>
          </cell>
          <cell r="C311" t="str">
            <v>TON</v>
          </cell>
          <cell r="D311" t="str">
            <v>-</v>
          </cell>
          <cell r="E311" t="str">
            <v>1.2.3</v>
          </cell>
          <cell r="F311">
            <v>226.65</v>
          </cell>
          <cell r="G311">
            <v>226.65</v>
          </cell>
        </row>
        <row r="312">
          <cell r="B312" t="str">
            <v>Soil test, (standard agricultural soil test)</v>
          </cell>
          <cell r="C312" t="str">
            <v>EA.</v>
          </cell>
          <cell r="D312" t="str">
            <v>-</v>
          </cell>
          <cell r="E312" t="str">
            <v>1.2.30</v>
          </cell>
          <cell r="F312">
            <v>15</v>
          </cell>
          <cell r="G312">
            <v>15</v>
          </cell>
        </row>
        <row r="313">
          <cell r="B313" t="str">
            <v>10-20-10</v>
          </cell>
          <cell r="C313" t="str">
            <v>TON</v>
          </cell>
          <cell r="D313" t="str">
            <v>-</v>
          </cell>
          <cell r="E313" t="str">
            <v>1.2.4</v>
          </cell>
          <cell r="F313">
            <v>242.35</v>
          </cell>
          <cell r="G313">
            <v>242.35</v>
          </cell>
        </row>
        <row r="314">
          <cell r="B314" t="str">
            <v>14-30-15 (corn starter)</v>
          </cell>
          <cell r="C314" t="str">
            <v>TON</v>
          </cell>
          <cell r="D314" t="str">
            <v>-</v>
          </cell>
          <cell r="E314" t="str">
            <v>1.2.5</v>
          </cell>
          <cell r="F314">
            <v>287</v>
          </cell>
          <cell r="G314">
            <v>287</v>
          </cell>
        </row>
        <row r="315">
          <cell r="B315" t="str">
            <v>14-30-15 corn starter</v>
          </cell>
          <cell r="C315" t="str">
            <v>TON</v>
          </cell>
          <cell r="D315" t="str">
            <v>-</v>
          </cell>
          <cell r="E315" t="str">
            <v>1.2.6</v>
          </cell>
          <cell r="F315">
            <v>287</v>
          </cell>
          <cell r="G315">
            <v>287</v>
          </cell>
        </row>
        <row r="316">
          <cell r="B316" t="str">
            <v>23-12-18</v>
          </cell>
          <cell r="C316" t="str">
            <v>TON</v>
          </cell>
          <cell r="D316" t="str">
            <v>-</v>
          </cell>
          <cell r="E316" t="str">
            <v>1.2.7</v>
          </cell>
          <cell r="F316">
            <v>296.89999999999998</v>
          </cell>
          <cell r="G316">
            <v>296.89999999999998</v>
          </cell>
        </row>
        <row r="317">
          <cell r="B317" t="str">
            <v>Ammonium sulfate (NH4) 2S04   0-0-20 w/24% sulfer</v>
          </cell>
          <cell r="C317" t="str">
            <v>TON</v>
          </cell>
          <cell r="D317" t="str">
            <v>-</v>
          </cell>
          <cell r="E317" t="str">
            <v>1.2.8</v>
          </cell>
          <cell r="F317">
            <v>385</v>
          </cell>
          <cell r="G317">
            <v>385</v>
          </cell>
        </row>
        <row r="318">
          <cell r="B318" t="str">
            <v>DAP  18-46-0</v>
          </cell>
          <cell r="C318" t="str">
            <v>TON</v>
          </cell>
          <cell r="D318" t="str">
            <v>-</v>
          </cell>
          <cell r="E318" t="str">
            <v>1.2.9</v>
          </cell>
          <cell r="F318">
            <v>307</v>
          </cell>
          <cell r="G318">
            <v>307</v>
          </cell>
        </row>
        <row r="319">
          <cell r="B319" t="str">
            <v>Fuel Tank, steel, above grd, double wall, 500 gal, incl. cradles, coating &amp; fittings</v>
          </cell>
          <cell r="C319" t="str">
            <v>Ea.</v>
          </cell>
          <cell r="D319" t="str">
            <v>-</v>
          </cell>
          <cell r="E319">
            <v>0</v>
          </cell>
          <cell r="F319">
            <v>2975</v>
          </cell>
          <cell r="G319">
            <v>2567.4299999999998</v>
          </cell>
        </row>
        <row r="320">
          <cell r="B320" t="str">
            <v>Fuel Tank, steel, above grd, double wall, 2,000 gal, incl. cradles, coating &amp; fittings</v>
          </cell>
          <cell r="C320" t="str">
            <v>Ea.</v>
          </cell>
          <cell r="D320" t="str">
            <v>-</v>
          </cell>
          <cell r="E320">
            <v>0</v>
          </cell>
          <cell r="F320">
            <v>6475</v>
          </cell>
          <cell r="G320">
            <v>5587.93</v>
          </cell>
        </row>
        <row r="321">
          <cell r="B321" t="str">
            <v>Fuel Storage Struc. 275 gal, - septic tank, posts, roof &amp; lattice</v>
          </cell>
          <cell r="C321" t="str">
            <v>E.A.</v>
          </cell>
          <cell r="D321" t="str">
            <v>31,48</v>
          </cell>
          <cell r="E321" t="str">
            <v>29.1.7</v>
          </cell>
          <cell r="F321">
            <v>2376.4269076999999</v>
          </cell>
          <cell r="G321">
            <v>2732.89</v>
          </cell>
        </row>
        <row r="322">
          <cell r="B322" t="str">
            <v>Fuel Storage Struc. 500 or 550gal, - septic tank, posts, roof &amp; lattice</v>
          </cell>
          <cell r="C322" t="str">
            <v>E.A.</v>
          </cell>
          <cell r="D322" t="str">
            <v>31,48</v>
          </cell>
          <cell r="E322" t="str">
            <v>29.1.8</v>
          </cell>
          <cell r="F322">
            <v>2832.4269076999999</v>
          </cell>
          <cell r="G322">
            <v>3257.29</v>
          </cell>
        </row>
        <row r="323">
          <cell r="B323" t="str">
            <v>Fuel Storage Struc. 1000gal, - septic tank, posts, roof &amp; lattice</v>
          </cell>
          <cell r="C323" t="str">
            <v>E.A.</v>
          </cell>
          <cell r="D323" t="str">
            <v>31,48</v>
          </cell>
          <cell r="E323" t="str">
            <v>29.1.9</v>
          </cell>
          <cell r="F323">
            <v>4126.3169077000002</v>
          </cell>
          <cell r="G323">
            <v>4745.26</v>
          </cell>
        </row>
        <row r="324">
          <cell r="B324" t="str">
            <v>Erosion control, plastic netting, 20 mil, 2" x 1" mesh, stapled</v>
          </cell>
          <cell r="C324" t="str">
            <v>S.Y.</v>
          </cell>
          <cell r="D324">
            <v>54</v>
          </cell>
          <cell r="E324">
            <v>0</v>
          </cell>
          <cell r="F324">
            <v>1.04</v>
          </cell>
          <cell r="G324">
            <v>1.1299999999999999</v>
          </cell>
        </row>
        <row r="325">
          <cell r="B325" t="str">
            <v>Erosion control, silt fence, polypropylene, ideal conditions, 3' high</v>
          </cell>
          <cell r="C325" t="str">
            <v>L.F.</v>
          </cell>
          <cell r="D325">
            <v>54</v>
          </cell>
          <cell r="E325">
            <v>0</v>
          </cell>
          <cell r="F325">
            <v>0.7</v>
          </cell>
          <cell r="G325">
            <v>0.76</v>
          </cell>
        </row>
        <row r="326">
          <cell r="B326" t="str">
            <v>Erosion control, silt fence, polypropylene, adverse conditions, 3' high</v>
          </cell>
          <cell r="C326" t="str">
            <v>L.F.</v>
          </cell>
          <cell r="D326">
            <v>54</v>
          </cell>
          <cell r="E326">
            <v>0</v>
          </cell>
          <cell r="F326">
            <v>0.94</v>
          </cell>
          <cell r="G326">
            <v>1.02</v>
          </cell>
        </row>
        <row r="327">
          <cell r="B327" t="str">
            <v>Geojute Erosion Control Blanket</v>
          </cell>
          <cell r="C327" t="str">
            <v>S.Y.</v>
          </cell>
          <cell r="D327">
            <v>54</v>
          </cell>
          <cell r="E327" t="str">
            <v>10.2.2</v>
          </cell>
          <cell r="F327">
            <v>1.31</v>
          </cell>
          <cell r="G327">
            <v>1.31</v>
          </cell>
        </row>
        <row r="328">
          <cell r="B328" t="str">
            <v>Straw Erosion Control Blanket</v>
          </cell>
          <cell r="C328" t="str">
            <v>S.Y.</v>
          </cell>
          <cell r="D328">
            <v>54</v>
          </cell>
          <cell r="E328" t="str">
            <v>10.2.3</v>
          </cell>
          <cell r="F328">
            <v>1.2</v>
          </cell>
          <cell r="G328">
            <v>1.2</v>
          </cell>
        </row>
        <row r="329">
          <cell r="B329" t="str">
            <v>Liner, pond, LLDPE, 40 mil., includes geotextile, up to two boots &amp; field welding</v>
          </cell>
          <cell r="C329" t="str">
            <v>S.F.</v>
          </cell>
          <cell r="D329">
            <v>54</v>
          </cell>
          <cell r="E329" t="str">
            <v>10.3.3</v>
          </cell>
          <cell r="F329">
            <v>1</v>
          </cell>
          <cell r="G329">
            <v>1.1499999999999999</v>
          </cell>
        </row>
        <row r="330">
          <cell r="B330" t="str">
            <v>Liner, pond, LLDPE, 60 mil., includes geotextile, up to two boots &amp; field welding</v>
          </cell>
          <cell r="C330" t="str">
            <v>S.F.</v>
          </cell>
          <cell r="D330">
            <v>54</v>
          </cell>
          <cell r="E330" t="str">
            <v>10.3.4</v>
          </cell>
          <cell r="F330">
            <v>1.1499999999999999</v>
          </cell>
          <cell r="G330">
            <v>1.32</v>
          </cell>
        </row>
        <row r="331">
          <cell r="B331" t="str">
            <v>Compost cover</v>
          </cell>
          <cell r="C331" t="str">
            <v>S.Y.</v>
          </cell>
          <cell r="D331">
            <v>54</v>
          </cell>
          <cell r="E331" t="str">
            <v>10.5.0</v>
          </cell>
          <cell r="F331">
            <v>1.33</v>
          </cell>
          <cell r="G331">
            <v>1.33</v>
          </cell>
        </row>
        <row r="332">
          <cell r="B332" t="str">
            <v>Geotextile - Non Woven (drainage), small areas</v>
          </cell>
          <cell r="C332" t="str">
            <v>S.Y.</v>
          </cell>
          <cell r="D332">
            <v>54</v>
          </cell>
          <cell r="E332" t="str">
            <v>10.1.1</v>
          </cell>
          <cell r="F332">
            <v>1.2618296529968454</v>
          </cell>
          <cell r="G332">
            <v>1.37</v>
          </cell>
        </row>
        <row r="333">
          <cell r="B333" t="str">
            <v>Geotextile - Woven (reinforcement), small areas</v>
          </cell>
          <cell r="C333" t="str">
            <v>S.Y.</v>
          </cell>
          <cell r="D333">
            <v>54</v>
          </cell>
          <cell r="E333" t="str">
            <v>10.1.3</v>
          </cell>
          <cell r="F333">
            <v>1.8927444794952684</v>
          </cell>
          <cell r="G333">
            <v>2.06</v>
          </cell>
        </row>
        <row r="334">
          <cell r="B334" t="str">
            <v>Pipeline, Black Poly, 1/2", 125 psi, material cost only</v>
          </cell>
          <cell r="C334" t="str">
            <v>L.F.</v>
          </cell>
          <cell r="D334">
            <v>41</v>
          </cell>
          <cell r="E334" t="str">
            <v>16.2.0</v>
          </cell>
          <cell r="F334">
            <v>0.14000000000000001</v>
          </cell>
          <cell r="G334">
            <v>0.14000000000000001</v>
          </cell>
        </row>
        <row r="335">
          <cell r="B335" t="str">
            <v>Pipeline, Black Poly, 3/4", 160 psi, material cost only</v>
          </cell>
          <cell r="C335" t="str">
            <v>L.F.</v>
          </cell>
          <cell r="D335">
            <v>41</v>
          </cell>
          <cell r="E335" t="str">
            <v>16.2.1</v>
          </cell>
          <cell r="F335">
            <v>0.24</v>
          </cell>
          <cell r="G335">
            <v>0.24</v>
          </cell>
        </row>
        <row r="336">
          <cell r="B336" t="str">
            <v>Pipeline, Black Poly, 1", 160 psi, material cost only</v>
          </cell>
          <cell r="C336" t="str">
            <v>L.F.</v>
          </cell>
          <cell r="D336">
            <v>41</v>
          </cell>
          <cell r="E336" t="str">
            <v>16.2.2</v>
          </cell>
          <cell r="F336">
            <v>0.4</v>
          </cell>
          <cell r="G336">
            <v>0.4</v>
          </cell>
        </row>
        <row r="337">
          <cell r="B337" t="str">
            <v>Pipeline, Black Poly, 1-1/4", 160 psi, material cost only</v>
          </cell>
          <cell r="C337" t="str">
            <v>L.F.</v>
          </cell>
          <cell r="D337">
            <v>41</v>
          </cell>
          <cell r="E337" t="str">
            <v>16.2.3</v>
          </cell>
          <cell r="F337">
            <v>0.7</v>
          </cell>
          <cell r="G337">
            <v>0.7</v>
          </cell>
        </row>
        <row r="338">
          <cell r="B338" t="str">
            <v>Pipeline, Black Poly, 1-1/2", 160 psi, material cost only</v>
          </cell>
          <cell r="C338" t="str">
            <v>L.F.</v>
          </cell>
          <cell r="D338">
            <v>41</v>
          </cell>
          <cell r="E338" t="str">
            <v>16.2.4</v>
          </cell>
          <cell r="F338">
            <v>0.79</v>
          </cell>
          <cell r="G338">
            <v>0.79</v>
          </cell>
        </row>
        <row r="339">
          <cell r="B339" t="str">
            <v>Pipeline, Black Poly, 2", 160 psi, material cost only</v>
          </cell>
          <cell r="C339" t="str">
            <v>L.F.</v>
          </cell>
          <cell r="D339">
            <v>41</v>
          </cell>
          <cell r="E339" t="str">
            <v>16.2.5</v>
          </cell>
          <cell r="F339">
            <v>1.32</v>
          </cell>
          <cell r="G339">
            <v>1.32</v>
          </cell>
        </row>
        <row r="340">
          <cell r="B340" t="str">
            <v>Water Facility, 70 gal., non-insulated</v>
          </cell>
          <cell r="C340" t="str">
            <v>EA.</v>
          </cell>
          <cell r="D340" t="str">
            <v>-</v>
          </cell>
          <cell r="E340" t="str">
            <v>23.5.6</v>
          </cell>
          <cell r="F340">
            <v>90</v>
          </cell>
          <cell r="G340">
            <v>90</v>
          </cell>
        </row>
        <row r="341">
          <cell r="B341" t="str">
            <v>Water Tank Valve, w/ mounting brackets</v>
          </cell>
          <cell r="C341" t="str">
            <v>EA.</v>
          </cell>
          <cell r="D341" t="str">
            <v>-</v>
          </cell>
          <cell r="E341" t="str">
            <v>23.5.7</v>
          </cell>
          <cell r="F341">
            <v>44.25</v>
          </cell>
          <cell r="G341">
            <v>44.25</v>
          </cell>
        </row>
        <row r="342">
          <cell r="B342" t="str">
            <v>Hydrant, Frost Free - installed</v>
          </cell>
          <cell r="C342" t="str">
            <v>EA.</v>
          </cell>
          <cell r="D342">
            <v>41</v>
          </cell>
          <cell r="E342" t="str">
            <v>25.1.0</v>
          </cell>
          <cell r="F342">
            <v>127</v>
          </cell>
          <cell r="G342">
            <v>127</v>
          </cell>
        </row>
        <row r="343">
          <cell r="B343" t="str">
            <v>Hydrant, Frost Free Hydrant - material cost only</v>
          </cell>
          <cell r="C343" t="str">
            <v>EA.</v>
          </cell>
          <cell r="D343">
            <v>41</v>
          </cell>
          <cell r="E343" t="str">
            <v>25.1.1</v>
          </cell>
          <cell r="F343">
            <v>80</v>
          </cell>
          <cell r="G343">
            <v>80</v>
          </cell>
        </row>
        <row r="344">
          <cell r="B344" t="str">
            <v>Float Valve Assembly</v>
          </cell>
          <cell r="C344" t="str">
            <v>EA.</v>
          </cell>
          <cell r="D344">
            <v>41</v>
          </cell>
          <cell r="E344" t="str">
            <v>25.1.2</v>
          </cell>
          <cell r="F344">
            <v>40</v>
          </cell>
          <cell r="G344">
            <v>40</v>
          </cell>
        </row>
        <row r="345">
          <cell r="B345" t="str">
            <v>"T" Post, 8' galvanized</v>
          </cell>
          <cell r="C345" t="str">
            <v>EA.</v>
          </cell>
          <cell r="D345" t="str">
            <v>-</v>
          </cell>
          <cell r="E345" t="str">
            <v>25.1.3</v>
          </cell>
          <cell r="F345">
            <v>8.5</v>
          </cell>
          <cell r="G345">
            <v>8.5</v>
          </cell>
        </row>
        <row r="346">
          <cell r="B346" t="str">
            <v>Clearing old Fenceline</v>
          </cell>
          <cell r="C346" t="str">
            <v>L.F.</v>
          </cell>
          <cell r="D346" t="str">
            <v>-</v>
          </cell>
          <cell r="E346" t="str">
            <v>25.1.4</v>
          </cell>
          <cell r="F346">
            <v>0.5</v>
          </cell>
          <cell r="G346">
            <v>0.5</v>
          </cell>
        </row>
        <row r="347">
          <cell r="B347" t="str">
            <v>Water Facility, 100 gal., non-insulated</v>
          </cell>
          <cell r="C347" t="str">
            <v>EA.</v>
          </cell>
          <cell r="D347" t="str">
            <v>-</v>
          </cell>
          <cell r="E347" t="str">
            <v>25.3.0</v>
          </cell>
          <cell r="F347">
            <v>100</v>
          </cell>
          <cell r="G347">
            <v>100</v>
          </cell>
        </row>
        <row r="348">
          <cell r="B348" t="str">
            <v>Water Facility, 1000 gal., non-insulated, material cost only</v>
          </cell>
          <cell r="C348" t="str">
            <v>EA.</v>
          </cell>
          <cell r="D348" t="str">
            <v>-</v>
          </cell>
          <cell r="E348" t="str">
            <v>25.3.1</v>
          </cell>
          <cell r="F348">
            <v>450</v>
          </cell>
          <cell r="G348">
            <v>450</v>
          </cell>
        </row>
        <row r="349">
          <cell r="B349" t="str">
            <v>Water Facility, 15 gal., insulated</v>
          </cell>
          <cell r="C349" t="str">
            <v>EA.</v>
          </cell>
          <cell r="D349" t="str">
            <v>-</v>
          </cell>
          <cell r="E349" t="str">
            <v>25.3.2</v>
          </cell>
          <cell r="F349">
            <v>540</v>
          </cell>
          <cell r="G349">
            <v>540</v>
          </cell>
        </row>
        <row r="350">
          <cell r="B350" t="str">
            <v>Water Facility, 20 gal., insulated</v>
          </cell>
          <cell r="C350" t="str">
            <v>EA.</v>
          </cell>
          <cell r="D350" t="str">
            <v>-</v>
          </cell>
          <cell r="E350" t="str">
            <v>25.3.3</v>
          </cell>
          <cell r="F350">
            <v>700</v>
          </cell>
          <cell r="G350">
            <v>700</v>
          </cell>
        </row>
        <row r="351">
          <cell r="B351" t="str">
            <v>Water Facility, 300 gal., non-insulated</v>
          </cell>
          <cell r="C351" t="str">
            <v>EA.</v>
          </cell>
          <cell r="D351" t="str">
            <v>-</v>
          </cell>
          <cell r="E351" t="str">
            <v>25.3.4</v>
          </cell>
          <cell r="F351">
            <v>200</v>
          </cell>
          <cell r="G351">
            <v>200</v>
          </cell>
        </row>
        <row r="352">
          <cell r="B352" t="str">
            <v>Water Facility, 50 gal., non-insulated</v>
          </cell>
          <cell r="C352" t="str">
            <v>EA.</v>
          </cell>
          <cell r="D352" t="str">
            <v>-</v>
          </cell>
          <cell r="E352" t="str">
            <v>25.3.5</v>
          </cell>
          <cell r="F352">
            <v>70</v>
          </cell>
          <cell r="G352">
            <v>70</v>
          </cell>
        </row>
        <row r="353">
          <cell r="B353" t="str">
            <v>Heat Tube</v>
          </cell>
          <cell r="C353" t="str">
            <v>EA.</v>
          </cell>
          <cell r="D353">
            <v>41</v>
          </cell>
          <cell r="E353" t="str">
            <v>25.5.0</v>
          </cell>
          <cell r="F353">
            <v>80</v>
          </cell>
          <cell r="G353">
            <v>80</v>
          </cell>
        </row>
        <row r="354">
          <cell r="B354" t="str">
            <v>Valve, Vacuum or Pressure Relief</v>
          </cell>
          <cell r="C354" t="str">
            <v>EA.</v>
          </cell>
          <cell r="D354">
            <v>41</v>
          </cell>
          <cell r="E354" t="str">
            <v>25.5.1</v>
          </cell>
          <cell r="F354">
            <v>17.45</v>
          </cell>
          <cell r="G354">
            <v>17.45</v>
          </cell>
        </row>
        <row r="355">
          <cell r="B355" t="str">
            <v>Valve, Quick Coupler (male + female)</v>
          </cell>
          <cell r="C355" t="str">
            <v>EA.</v>
          </cell>
          <cell r="D355">
            <v>41</v>
          </cell>
          <cell r="E355" t="str">
            <v>25.5.2</v>
          </cell>
          <cell r="F355">
            <v>17.7</v>
          </cell>
          <cell r="G355">
            <v>17.7</v>
          </cell>
        </row>
        <row r="356">
          <cell r="B356" t="str">
            <v>Coupling/Hydrant</v>
          </cell>
          <cell r="C356" t="str">
            <v>EA.</v>
          </cell>
          <cell r="D356">
            <v>41</v>
          </cell>
          <cell r="E356" t="str">
            <v>25.5.3</v>
          </cell>
          <cell r="F356">
            <v>33</v>
          </cell>
          <cell r="G356">
            <v>33</v>
          </cell>
        </row>
        <row r="357">
          <cell r="B357" t="str">
            <v>Pump, Electric, 5hp</v>
          </cell>
          <cell r="C357" t="str">
            <v>EA.</v>
          </cell>
          <cell r="D357">
            <v>51</v>
          </cell>
          <cell r="E357" t="str">
            <v>25.6.1</v>
          </cell>
          <cell r="F357">
            <v>275</v>
          </cell>
          <cell r="G357">
            <v>275</v>
          </cell>
        </row>
        <row r="358">
          <cell r="B358" t="str">
            <v>Pump, HydroRam, 1"</v>
          </cell>
          <cell r="C358" t="str">
            <v>EA.</v>
          </cell>
          <cell r="D358">
            <v>51</v>
          </cell>
          <cell r="E358" t="str">
            <v>25.6.2</v>
          </cell>
          <cell r="F358">
            <v>450</v>
          </cell>
          <cell r="G358">
            <v>450</v>
          </cell>
        </row>
        <row r="359">
          <cell r="B359" t="str">
            <v>Pump, HydroRam, 1-1/2"</v>
          </cell>
          <cell r="C359" t="str">
            <v>EA.</v>
          </cell>
          <cell r="D359">
            <v>51</v>
          </cell>
          <cell r="E359" t="str">
            <v>25.6.3</v>
          </cell>
          <cell r="F359">
            <v>300</v>
          </cell>
          <cell r="G359">
            <v>300</v>
          </cell>
        </row>
        <row r="360">
          <cell r="B360" t="str">
            <v>Pump, HydroRam, 2"</v>
          </cell>
          <cell r="C360" t="str">
            <v>EA.</v>
          </cell>
          <cell r="D360">
            <v>51</v>
          </cell>
          <cell r="E360" t="str">
            <v>25.6.4</v>
          </cell>
          <cell r="F360">
            <v>550</v>
          </cell>
          <cell r="G360">
            <v>550</v>
          </cell>
        </row>
        <row r="361">
          <cell r="B361" t="str">
            <v>Pump, Nose Operated</v>
          </cell>
          <cell r="C361" t="str">
            <v>EA.</v>
          </cell>
          <cell r="D361">
            <v>51</v>
          </cell>
          <cell r="E361" t="str">
            <v>25.6.5</v>
          </cell>
          <cell r="F361">
            <v>475</v>
          </cell>
          <cell r="G361">
            <v>475</v>
          </cell>
        </row>
        <row r="362">
          <cell r="B362" t="str">
            <v>Pump, Permanently Mounted</v>
          </cell>
          <cell r="C362" t="str">
            <v>EA.</v>
          </cell>
          <cell r="D362">
            <v>51</v>
          </cell>
          <cell r="E362" t="str">
            <v>25.6.6</v>
          </cell>
          <cell r="F362">
            <v>600</v>
          </cell>
          <cell r="G362">
            <v>600</v>
          </cell>
        </row>
        <row r="363">
          <cell r="B363" t="str">
            <v>Pump, Solar, 2 panels</v>
          </cell>
          <cell r="C363" t="str">
            <v>EA.</v>
          </cell>
          <cell r="D363">
            <v>51</v>
          </cell>
          <cell r="E363" t="str">
            <v>25.6.7</v>
          </cell>
          <cell r="F363">
            <v>1830</v>
          </cell>
          <cell r="G363">
            <v>1830</v>
          </cell>
        </row>
        <row r="364">
          <cell r="B364" t="str">
            <v>Pipe - PVC, Perforated,  4" diameter, SDR 35, excludes excavation or backfill</v>
          </cell>
          <cell r="C364" t="str">
            <v>L.F.</v>
          </cell>
          <cell r="D364" t="str">
            <v>1,5,11,41</v>
          </cell>
          <cell r="E364">
            <v>0</v>
          </cell>
          <cell r="F364">
            <v>4.41</v>
          </cell>
          <cell r="G364">
            <v>4.12</v>
          </cell>
        </row>
        <row r="365">
          <cell r="B365" t="str">
            <v>Distribution box - concrete, 7 outlets, excludes excavation or piping</v>
          </cell>
          <cell r="C365" t="str">
            <v>Ea.</v>
          </cell>
          <cell r="D365" t="str">
            <v>1,5,11,31</v>
          </cell>
          <cell r="E365">
            <v>0</v>
          </cell>
          <cell r="F365">
            <v>149</v>
          </cell>
          <cell r="G365">
            <v>139.31</v>
          </cell>
        </row>
        <row r="366">
          <cell r="B366" t="str">
            <v>Trench for disposal field, 4' wide, excavation w/ backhoe</v>
          </cell>
          <cell r="C366" t="str">
            <v>L.F.</v>
          </cell>
          <cell r="D366" t="str">
            <v>1,5,11</v>
          </cell>
          <cell r="E366">
            <v>0</v>
          </cell>
          <cell r="F366">
            <v>3.48</v>
          </cell>
          <cell r="G366">
            <v>3.25</v>
          </cell>
        </row>
        <row r="367">
          <cell r="B367" t="str">
            <v>Crushed stone for trench, 3/4", excludes excavation,  piping &amp; fabric</v>
          </cell>
          <cell r="C367" t="str">
            <v>C.Y.</v>
          </cell>
          <cell r="D367" t="str">
            <v>1,5,11</v>
          </cell>
          <cell r="E367">
            <v>0</v>
          </cell>
          <cell r="F367">
            <v>33.5</v>
          </cell>
          <cell r="G367">
            <v>31.32</v>
          </cell>
        </row>
        <row r="368">
          <cell r="B368" t="str">
            <v>Infiltration trench - excav., stone, pipe, geotextile &amp; backfill included</v>
          </cell>
          <cell r="C368" t="str">
            <v>L.F.</v>
          </cell>
          <cell r="D368" t="str">
            <v>1,5,11,41</v>
          </cell>
          <cell r="E368" t="str">
            <v>24.8.1</v>
          </cell>
          <cell r="F368">
            <v>38.795079600000001</v>
          </cell>
          <cell r="G368">
            <v>36.270000000000003</v>
          </cell>
        </row>
        <row r="369">
          <cell r="B369" t="str">
            <v>Geotextile - Non Woven (drainage), small areas</v>
          </cell>
          <cell r="C369" t="str">
            <v>S.Y.</v>
          </cell>
          <cell r="D369">
            <v>54</v>
          </cell>
          <cell r="E369" t="str">
            <v>10.1.4</v>
          </cell>
          <cell r="F369">
            <v>1.2</v>
          </cell>
          <cell r="G369">
            <v>1.31</v>
          </cell>
        </row>
        <row r="370">
          <cell r="B370" t="str">
            <v>Leaching Camber - incl. perf. Pipe, no exc. Or backfill</v>
          </cell>
          <cell r="C370" t="str">
            <v>L.F.</v>
          </cell>
          <cell r="D370">
            <v>41</v>
          </cell>
          <cell r="E370" t="str">
            <v>6.7.1</v>
          </cell>
          <cell r="F370">
            <v>15.901442307692308</v>
          </cell>
          <cell r="G370">
            <v>14.87</v>
          </cell>
        </row>
        <row r="371">
          <cell r="B371" t="str">
            <v>Wall Insulation, Rigid, expanded polystyrene, 1" thick, R3.85</v>
          </cell>
          <cell r="C371" t="str">
            <v>S.F.</v>
          </cell>
          <cell r="D371" t="str">
            <v>-</v>
          </cell>
          <cell r="E371">
            <v>0</v>
          </cell>
          <cell r="F371">
            <v>0.64</v>
          </cell>
          <cell r="G371">
            <v>0.6</v>
          </cell>
        </row>
        <row r="372">
          <cell r="B372" t="str">
            <v>Wall Insulation, Rigid, expanded polystyrene, 2" thick, R7.69</v>
          </cell>
          <cell r="C372" t="str">
            <v>S.F.</v>
          </cell>
          <cell r="D372" t="str">
            <v>-</v>
          </cell>
          <cell r="E372">
            <v>0</v>
          </cell>
          <cell r="F372">
            <v>0.96</v>
          </cell>
          <cell r="G372">
            <v>0.9</v>
          </cell>
        </row>
        <row r="373">
          <cell r="B373" t="str">
            <v>Wall Insulation, Rigid, expanded polystyrene, 3" thick, R11.49</v>
          </cell>
          <cell r="C373" t="str">
            <v>S.F.</v>
          </cell>
          <cell r="D373" t="str">
            <v>-</v>
          </cell>
          <cell r="E373">
            <v>0</v>
          </cell>
          <cell r="F373">
            <v>1.07</v>
          </cell>
          <cell r="G373">
            <v>1</v>
          </cell>
        </row>
        <row r="374">
          <cell r="B374" t="str">
            <v>Labor, unskilled</v>
          </cell>
          <cell r="C374" t="str">
            <v>HR.</v>
          </cell>
          <cell r="D374" t="str">
            <v>-</v>
          </cell>
          <cell r="E374" t="str">
            <v>6.13.1</v>
          </cell>
          <cell r="F374">
            <v>15</v>
          </cell>
          <cell r="G374">
            <v>15</v>
          </cell>
        </row>
        <row r="375">
          <cell r="B375" t="str">
            <v>Labor, unskilled w/ chainsaw</v>
          </cell>
          <cell r="C375" t="str">
            <v>HR.</v>
          </cell>
          <cell r="D375" t="str">
            <v>-</v>
          </cell>
          <cell r="E375" t="str">
            <v>6.13.2</v>
          </cell>
          <cell r="F375">
            <v>20</v>
          </cell>
          <cell r="G375">
            <v>20</v>
          </cell>
        </row>
        <row r="376">
          <cell r="B376" t="str">
            <v>Access Road, 12' wide, strip, geotextile fabric, 12" gravel - incls. Mob.</v>
          </cell>
          <cell r="C376" t="str">
            <v>L.F.</v>
          </cell>
          <cell r="D376" t="str">
            <v>1,5,11,54</v>
          </cell>
          <cell r="E376" t="str">
            <v>12.3.3</v>
          </cell>
          <cell r="F376">
            <v>7.9602680000000001</v>
          </cell>
          <cell r="G376">
            <v>8.61</v>
          </cell>
        </row>
        <row r="377">
          <cell r="B377" t="str">
            <v>Access Road, 12' wide, strip, geotextile fabric, 18" gravel - incls. Mob.</v>
          </cell>
          <cell r="C377" t="str">
            <v>L.F.</v>
          </cell>
          <cell r="D377" t="str">
            <v>1,5,11,54</v>
          </cell>
          <cell r="E377" t="str">
            <v>12.3.5</v>
          </cell>
          <cell r="F377">
            <v>10.595700000000003</v>
          </cell>
          <cell r="G377">
            <v>11.45</v>
          </cell>
        </row>
        <row r="378">
          <cell r="B378" t="str">
            <v xml:space="preserve">Access Road, 12' wide, strip, geotextile fabric, 12" gravel </v>
          </cell>
          <cell r="C378" t="str">
            <v>L.F.</v>
          </cell>
          <cell r="D378" t="str">
            <v>1,5,11,54</v>
          </cell>
          <cell r="E378" t="str">
            <v>12.3.4</v>
          </cell>
          <cell r="F378">
            <v>7.3070000000000004</v>
          </cell>
          <cell r="G378">
            <v>7.9</v>
          </cell>
        </row>
        <row r="379">
          <cell r="B379" t="str">
            <v xml:space="preserve">Access Road, 12' wide, strip, geotextile fabric, 18" gravel </v>
          </cell>
          <cell r="C379" t="str">
            <v>L.F.</v>
          </cell>
          <cell r="D379" t="str">
            <v>1,5,11,54</v>
          </cell>
          <cell r="E379" t="str">
            <v>12.3.6</v>
          </cell>
          <cell r="F379">
            <v>9.9489000000000019</v>
          </cell>
          <cell r="G379">
            <v>10.75</v>
          </cell>
        </row>
        <row r="380">
          <cell r="B380" t="str">
            <v>Access Road, 16' wide, strip, geotextile fabric, 12" gravel - incls. Mob.</v>
          </cell>
          <cell r="C380" t="str">
            <v>L.F.</v>
          </cell>
          <cell r="D380" t="str">
            <v>1,5,11,54</v>
          </cell>
          <cell r="E380" t="str">
            <v>12.3.7</v>
          </cell>
          <cell r="F380">
            <v>10.45068</v>
          </cell>
          <cell r="G380">
            <v>11.3</v>
          </cell>
        </row>
        <row r="381">
          <cell r="B381" t="str">
            <v>Access Road, 16' wide, strip, geotextile fabric, 18" gravel - incls. Mob.</v>
          </cell>
          <cell r="C381" t="str">
            <v>L.F.</v>
          </cell>
          <cell r="D381" t="str">
            <v>1,5,11,54</v>
          </cell>
          <cell r="E381" t="str">
            <v>12.3.9</v>
          </cell>
          <cell r="F381">
            <v>13.963800000000001</v>
          </cell>
          <cell r="G381">
            <v>15.09</v>
          </cell>
        </row>
        <row r="382">
          <cell r="B382" t="str">
            <v xml:space="preserve">Access Road, 16' wide, strip, geotextile fabric, 12" gravel </v>
          </cell>
          <cell r="C382" t="str">
            <v>L.F.</v>
          </cell>
          <cell r="D382" t="str">
            <v>1,5,11,54</v>
          </cell>
          <cell r="E382" t="str">
            <v>12.3.8</v>
          </cell>
          <cell r="F382">
            <v>9.798</v>
          </cell>
          <cell r="G382">
            <v>10.59</v>
          </cell>
        </row>
        <row r="383">
          <cell r="B383" t="str">
            <v xml:space="preserve">Access Road, 16' wide, strip, geotextile fabric, 18" gravel </v>
          </cell>
          <cell r="C383" t="str">
            <v>L.F.</v>
          </cell>
          <cell r="D383" t="str">
            <v>1,5,11,54</v>
          </cell>
          <cell r="E383" t="str">
            <v>12.3.10</v>
          </cell>
          <cell r="F383">
            <v>13.317</v>
          </cell>
          <cell r="G383">
            <v>14.4</v>
          </cell>
        </row>
        <row r="384">
          <cell r="B384" t="str">
            <v>Walkway, 4' wide, strip, geotextile fabric, 8" stone,  360'/day</v>
          </cell>
          <cell r="C384" t="str">
            <v>L.F.</v>
          </cell>
          <cell r="D384" t="str">
            <v>1,5,11,54</v>
          </cell>
          <cell r="E384" t="str">
            <v>12.1.5</v>
          </cell>
          <cell r="F384">
            <v>4.2549159879099996</v>
          </cell>
          <cell r="G384">
            <v>4.5999999999999996</v>
          </cell>
        </row>
        <row r="385">
          <cell r="B385" t="str">
            <v>Lane, 8' wide, strip, geotextile fabric, 8" gravel - incls. Mob.</v>
          </cell>
          <cell r="C385" t="str">
            <v>L.F.</v>
          </cell>
          <cell r="D385" t="str">
            <v>1,5,11,54</v>
          </cell>
          <cell r="E385" t="str">
            <v>12.1.1</v>
          </cell>
          <cell r="F385">
            <v>4.5638800000000002</v>
          </cell>
          <cell r="G385">
            <v>4.93</v>
          </cell>
        </row>
        <row r="386">
          <cell r="B386" t="str">
            <v>Lane, 8' wide, strip, geotextile fabric, 12" gravel - incls. Mob.</v>
          </cell>
          <cell r="C386" t="str">
            <v>L.F.</v>
          </cell>
          <cell r="D386" t="str">
            <v>1,5,11,54</v>
          </cell>
          <cell r="E386" t="str">
            <v>12.1.3</v>
          </cell>
          <cell r="F386">
            <v>5.7718800000000003</v>
          </cell>
          <cell r="G386">
            <v>6.24</v>
          </cell>
        </row>
        <row r="387">
          <cell r="B387" t="str">
            <v>Lane, 8' wide, strip, geotextile fabric, 8" gravel</v>
          </cell>
          <cell r="C387" t="str">
            <v>L.F.</v>
          </cell>
          <cell r="D387" t="str">
            <v>1,5,11,54</v>
          </cell>
          <cell r="E387" t="str">
            <v>12.1.2</v>
          </cell>
          <cell r="F387">
            <v>3.9112</v>
          </cell>
          <cell r="G387">
            <v>4.2300000000000004</v>
          </cell>
        </row>
        <row r="388">
          <cell r="B388" t="str">
            <v>Lane, 8' wide, strip, geotextile fabric, 12" gravel</v>
          </cell>
          <cell r="C388" t="str">
            <v>L.F.</v>
          </cell>
          <cell r="D388" t="str">
            <v>1,5,11,54</v>
          </cell>
          <cell r="E388" t="str">
            <v>12.1.4</v>
          </cell>
          <cell r="F388">
            <v>5.1192000000000002</v>
          </cell>
          <cell r="G388">
            <v>5.53</v>
          </cell>
        </row>
        <row r="389">
          <cell r="B389" t="str">
            <v>Lane, 12' wide, strip, geotextile fabric, 8" gravel - incls. Mob.</v>
          </cell>
          <cell r="C389" t="str">
            <v>L.F.</v>
          </cell>
          <cell r="D389" t="str">
            <v>1,5,11,54</v>
          </cell>
          <cell r="E389" t="str">
            <v>12.3.1</v>
          </cell>
          <cell r="F389">
            <v>6.5051999999999994</v>
          </cell>
          <cell r="G389">
            <v>7.03</v>
          </cell>
        </row>
        <row r="390">
          <cell r="B390" t="str">
            <v>Lane, 12' wide, strip, geotextile fabric, 8" gravel</v>
          </cell>
          <cell r="C390" t="str">
            <v>L.F.</v>
          </cell>
          <cell r="D390" t="str">
            <v>1,5,11,54</v>
          </cell>
          <cell r="E390" t="str">
            <v>12.3.2</v>
          </cell>
          <cell r="F390">
            <v>5.8583999999999996</v>
          </cell>
          <cell r="G390">
            <v>6.33</v>
          </cell>
        </row>
        <row r="391">
          <cell r="B391" t="str">
            <v>Geotextile fabric, reinforcement, 6 oz/sy, large areas</v>
          </cell>
          <cell r="C391" t="str">
            <v>S.Y.</v>
          </cell>
          <cell r="D391">
            <v>54</v>
          </cell>
          <cell r="E391" t="str">
            <v>10.1.2</v>
          </cell>
          <cell r="F391">
            <v>1.139</v>
          </cell>
          <cell r="G391">
            <v>1.27</v>
          </cell>
        </row>
        <row r="392">
          <cell r="B392" t="str">
            <v>Framing, porch or deck, treated lattice panel, 4' x 8'</v>
          </cell>
          <cell r="C392" t="str">
            <v>S.F.</v>
          </cell>
          <cell r="D392">
            <v>48</v>
          </cell>
          <cell r="E392">
            <v>0</v>
          </cell>
          <cell r="F392">
            <v>1.18</v>
          </cell>
          <cell r="G392">
            <v>0.81</v>
          </cell>
        </row>
        <row r="393">
          <cell r="B393" t="str">
            <v>Lumber, pressure treated ,  2" x 4"</v>
          </cell>
          <cell r="C393" t="str">
            <v>M.B.F.</v>
          </cell>
          <cell r="D393">
            <v>48</v>
          </cell>
          <cell r="E393">
            <v>0</v>
          </cell>
          <cell r="F393">
            <v>805</v>
          </cell>
          <cell r="G393">
            <v>555.45000000000005</v>
          </cell>
        </row>
        <row r="394">
          <cell r="B394" t="str">
            <v>Lumber, pressure treated ,  2" x 6"</v>
          </cell>
          <cell r="C394" t="str">
            <v>M.B.F.</v>
          </cell>
          <cell r="D394">
            <v>48</v>
          </cell>
          <cell r="E394">
            <v>0</v>
          </cell>
          <cell r="F394">
            <v>850</v>
          </cell>
          <cell r="G394">
            <v>586.5</v>
          </cell>
        </row>
        <row r="395">
          <cell r="B395" t="str">
            <v>Lumber, pressure treated ,  2" x 8"</v>
          </cell>
          <cell r="C395" t="str">
            <v>M.B.F.</v>
          </cell>
          <cell r="D395">
            <v>48</v>
          </cell>
          <cell r="E395">
            <v>0</v>
          </cell>
          <cell r="F395">
            <v>825</v>
          </cell>
          <cell r="G395">
            <v>569.25</v>
          </cell>
        </row>
        <row r="396">
          <cell r="B396" t="str">
            <v>Lumber, pressure treated ,  2" x 10"</v>
          </cell>
          <cell r="C396" t="str">
            <v>M.B.F.</v>
          </cell>
          <cell r="D396">
            <v>48</v>
          </cell>
          <cell r="E396">
            <v>0</v>
          </cell>
          <cell r="F396">
            <v>980</v>
          </cell>
          <cell r="G396">
            <v>676.2</v>
          </cell>
        </row>
        <row r="397">
          <cell r="B397" t="str">
            <v>Lumber, pressure treated ,  2" x 12"</v>
          </cell>
          <cell r="C397" t="str">
            <v>M.B.F.</v>
          </cell>
          <cell r="D397">
            <v>48</v>
          </cell>
          <cell r="E397">
            <v>0</v>
          </cell>
          <cell r="F397">
            <v>1050</v>
          </cell>
          <cell r="G397">
            <v>724.5</v>
          </cell>
        </row>
        <row r="398">
          <cell r="B398" t="str">
            <v>Lumber, pressure treated ,  4" x 4"</v>
          </cell>
          <cell r="C398" t="str">
            <v>M.B.F.</v>
          </cell>
          <cell r="D398">
            <v>48</v>
          </cell>
          <cell r="E398">
            <v>0</v>
          </cell>
          <cell r="F398">
            <v>1125</v>
          </cell>
          <cell r="G398">
            <v>776.25</v>
          </cell>
        </row>
        <row r="399">
          <cell r="B399" t="str">
            <v>Lumber, pressure treated ,  4" x 6"</v>
          </cell>
          <cell r="C399" t="str">
            <v>M.B.F.</v>
          </cell>
          <cell r="D399">
            <v>48</v>
          </cell>
          <cell r="E399">
            <v>0</v>
          </cell>
          <cell r="F399">
            <v>1650</v>
          </cell>
          <cell r="G399">
            <v>1138.5</v>
          </cell>
        </row>
        <row r="400">
          <cell r="B400" t="str">
            <v>Lumber, pressure treated ,  4" x 8"</v>
          </cell>
          <cell r="C400" t="str">
            <v>M.B.F.</v>
          </cell>
          <cell r="D400">
            <v>48</v>
          </cell>
          <cell r="E400">
            <v>0</v>
          </cell>
          <cell r="F400">
            <v>2450</v>
          </cell>
          <cell r="G400">
            <v>1690.5</v>
          </cell>
        </row>
        <row r="401">
          <cell r="B401" t="str">
            <v>Lumber, pressure treated,  6" x 6"</v>
          </cell>
          <cell r="C401" t="str">
            <v>B.F.</v>
          </cell>
          <cell r="D401">
            <v>48</v>
          </cell>
          <cell r="E401" t="str">
            <v>23.2.0</v>
          </cell>
          <cell r="F401">
            <v>0.96</v>
          </cell>
          <cell r="G401">
            <v>1.1000000000000001</v>
          </cell>
        </row>
        <row r="402">
          <cell r="B402" t="str">
            <v>Lumber, pressure treated,  8 "x 8"</v>
          </cell>
          <cell r="C402" t="str">
            <v>B.F.</v>
          </cell>
          <cell r="D402">
            <v>48</v>
          </cell>
          <cell r="E402" t="str">
            <v>23.2.1</v>
          </cell>
          <cell r="F402">
            <v>1.28</v>
          </cell>
          <cell r="G402">
            <v>1.47</v>
          </cell>
        </row>
        <row r="403">
          <cell r="B403" t="str">
            <v>Fan, Exhaust Ventilation, in hopper bldg or barn</v>
          </cell>
          <cell r="C403" t="str">
            <v>EA.</v>
          </cell>
          <cell r="D403" t="str">
            <v>-</v>
          </cell>
          <cell r="E403" t="str">
            <v>23.5.3</v>
          </cell>
          <cell r="F403">
            <v>450</v>
          </cell>
          <cell r="G403">
            <v>517.5</v>
          </cell>
        </row>
        <row r="404">
          <cell r="B404" t="str">
            <v>Hopper Building, wood structure, no concrete included (EACH)</v>
          </cell>
          <cell r="C404" t="str">
            <v>EA.</v>
          </cell>
          <cell r="D404" t="str">
            <v>48,49,215,216</v>
          </cell>
          <cell r="E404" t="str">
            <v>23.5.1</v>
          </cell>
          <cell r="F404">
            <v>4431.3146233382568</v>
          </cell>
          <cell r="G404">
            <v>3057.61</v>
          </cell>
        </row>
        <row r="405">
          <cell r="B405" t="str">
            <v>Hopper Building, w/ slab, frost wall &amp; exhaust fan (per SF)</v>
          </cell>
          <cell r="C405" t="str">
            <v>S.F.</v>
          </cell>
          <cell r="D405" t="str">
            <v>1,5,11,31,48</v>
          </cell>
          <cell r="E405" t="str">
            <v>23.5.2</v>
          </cell>
          <cell r="F405">
            <v>59.981060606060609</v>
          </cell>
          <cell r="G405">
            <v>41.39</v>
          </cell>
        </row>
        <row r="406">
          <cell r="B406" t="str">
            <v>Stone Wall, Removal (w/ Archaeologist Approval)</v>
          </cell>
          <cell r="C406" t="str">
            <v>L.F.</v>
          </cell>
          <cell r="D406" t="str">
            <v>1,5,11,41</v>
          </cell>
          <cell r="E406" t="str">
            <v>6.4.0</v>
          </cell>
          <cell r="F406">
            <v>7.5</v>
          </cell>
          <cell r="G406">
            <v>8.6300000000000008</v>
          </cell>
        </row>
        <row r="407">
          <cell r="B407" t="str">
            <v>Disposal, Obstruction Removal</v>
          </cell>
          <cell r="C407" t="str">
            <v>C.Y.</v>
          </cell>
          <cell r="D407" t="str">
            <v>1,5,11,41</v>
          </cell>
          <cell r="E407" t="str">
            <v>6.4.1</v>
          </cell>
          <cell r="F407">
            <v>2</v>
          </cell>
          <cell r="G407">
            <v>2.2999999999999998</v>
          </cell>
        </row>
        <row r="408">
          <cell r="B408" t="str">
            <v>Pipe, CMP, 15", 16ga., material only</v>
          </cell>
          <cell r="C408" t="str">
            <v>L.F.</v>
          </cell>
          <cell r="D408">
            <v>41</v>
          </cell>
          <cell r="E408" t="str">
            <v>14.1.10</v>
          </cell>
          <cell r="F408">
            <v>10.35</v>
          </cell>
          <cell r="G408">
            <v>11.9</v>
          </cell>
        </row>
        <row r="409">
          <cell r="B409" t="str">
            <v>Pipe, CMP, 18", 16ga., material only</v>
          </cell>
          <cell r="C409" t="str">
            <v>L.F.</v>
          </cell>
          <cell r="D409">
            <v>41</v>
          </cell>
          <cell r="E409" t="str">
            <v>14.1.12</v>
          </cell>
          <cell r="F409">
            <v>12.38</v>
          </cell>
          <cell r="G409">
            <v>14.24</v>
          </cell>
        </row>
        <row r="410">
          <cell r="B410" t="str">
            <v>Pipe, CMP, 21", 16ga., material only</v>
          </cell>
          <cell r="C410" t="str">
            <v>L.F.</v>
          </cell>
          <cell r="D410">
            <v>41</v>
          </cell>
          <cell r="E410" t="str">
            <v>14.1.14</v>
          </cell>
          <cell r="F410">
            <v>15.17</v>
          </cell>
          <cell r="G410">
            <v>17.45</v>
          </cell>
        </row>
        <row r="411">
          <cell r="B411" t="str">
            <v>Pipe, CMP, 24", 16ga., material only</v>
          </cell>
          <cell r="C411" t="str">
            <v>L.F.</v>
          </cell>
          <cell r="D411">
            <v>41</v>
          </cell>
          <cell r="E411" t="str">
            <v>14.1.16</v>
          </cell>
          <cell r="F411">
            <v>17.239999999999998</v>
          </cell>
          <cell r="G411">
            <v>19.829999999999998</v>
          </cell>
        </row>
        <row r="412">
          <cell r="B412" t="str">
            <v>Pipe, CMP, 30", 14ga., material only</v>
          </cell>
          <cell r="C412" t="str">
            <v>L.F.</v>
          </cell>
          <cell r="D412">
            <v>41</v>
          </cell>
          <cell r="E412" t="str">
            <v>14.1.18</v>
          </cell>
          <cell r="F412">
            <v>24.87</v>
          </cell>
          <cell r="G412">
            <v>28.6</v>
          </cell>
        </row>
        <row r="413">
          <cell r="B413" t="str">
            <v>Pipe, CMP, 6", 18ga., material only</v>
          </cell>
          <cell r="C413" t="str">
            <v>L.F.</v>
          </cell>
          <cell r="D413">
            <v>41</v>
          </cell>
          <cell r="E413" t="str">
            <v>14.1.2</v>
          </cell>
          <cell r="F413">
            <v>4.24</v>
          </cell>
          <cell r="G413">
            <v>4.88</v>
          </cell>
        </row>
        <row r="414">
          <cell r="B414" t="str">
            <v>Pipe, CMP, 36", 14ga., material only</v>
          </cell>
          <cell r="C414" t="str">
            <v>L.F.</v>
          </cell>
          <cell r="D414">
            <v>41</v>
          </cell>
          <cell r="E414" t="str">
            <v>14.1.20</v>
          </cell>
          <cell r="F414">
            <v>30.25</v>
          </cell>
          <cell r="G414">
            <v>34.79</v>
          </cell>
        </row>
        <row r="415">
          <cell r="B415" t="str">
            <v>Pipe, CMP, 42", 12ga., material only</v>
          </cell>
          <cell r="C415" t="str">
            <v>L.F.</v>
          </cell>
          <cell r="D415">
            <v>41</v>
          </cell>
          <cell r="E415" t="str">
            <v>14.1.22</v>
          </cell>
          <cell r="F415">
            <v>37.01</v>
          </cell>
          <cell r="G415">
            <v>42.56</v>
          </cell>
        </row>
        <row r="416">
          <cell r="B416" t="str">
            <v>Pipe, CMP, 48", 12ga., material only</v>
          </cell>
          <cell r="C416" t="str">
            <v>L.F.</v>
          </cell>
          <cell r="D416">
            <v>41</v>
          </cell>
          <cell r="E416" t="str">
            <v>14.1.24</v>
          </cell>
          <cell r="F416">
            <v>53.74</v>
          </cell>
          <cell r="G416">
            <v>61.8</v>
          </cell>
        </row>
        <row r="417">
          <cell r="B417" t="str">
            <v>Pipe, CMP, 60", 10ga., material only</v>
          </cell>
          <cell r="C417" t="str">
            <v>L.F.</v>
          </cell>
          <cell r="D417">
            <v>41</v>
          </cell>
          <cell r="E417" t="str">
            <v>14.1.26</v>
          </cell>
          <cell r="F417">
            <v>73.94</v>
          </cell>
          <cell r="G417">
            <v>85.03</v>
          </cell>
        </row>
        <row r="418">
          <cell r="B418" t="str">
            <v>Pipe, CMP, 72", 10ga., material only</v>
          </cell>
          <cell r="C418" t="str">
            <v>L.F.</v>
          </cell>
          <cell r="D418">
            <v>41</v>
          </cell>
          <cell r="E418" t="str">
            <v>14.1.29</v>
          </cell>
          <cell r="F418">
            <v>86.74</v>
          </cell>
          <cell r="G418">
            <v>99.75</v>
          </cell>
        </row>
        <row r="419">
          <cell r="B419" t="str">
            <v>Pipe, CMP, 8", 18ga., material only</v>
          </cell>
          <cell r="C419" t="str">
            <v>L.F.</v>
          </cell>
          <cell r="D419">
            <v>41</v>
          </cell>
          <cell r="E419" t="str">
            <v>14.1.4</v>
          </cell>
          <cell r="F419">
            <v>5.7</v>
          </cell>
          <cell r="G419">
            <v>6.56</v>
          </cell>
        </row>
        <row r="420">
          <cell r="B420" t="str">
            <v>Pipe, CMP, 10", 16ga., material only</v>
          </cell>
          <cell r="C420" t="str">
            <v>L.F.</v>
          </cell>
          <cell r="D420">
            <v>41</v>
          </cell>
          <cell r="E420" t="str">
            <v>14.1.6</v>
          </cell>
          <cell r="F420">
            <v>6.89</v>
          </cell>
          <cell r="G420">
            <v>7.92</v>
          </cell>
        </row>
        <row r="421">
          <cell r="B421" t="str">
            <v>Pipe, CMP, 12", 16ga., material only</v>
          </cell>
          <cell r="C421" t="str">
            <v>L.F.</v>
          </cell>
          <cell r="D421">
            <v>41</v>
          </cell>
          <cell r="E421" t="str">
            <v>14.1.8</v>
          </cell>
          <cell r="F421">
            <v>8.2899999999999991</v>
          </cell>
          <cell r="G421">
            <v>9.5299999999999994</v>
          </cell>
        </row>
        <row r="422">
          <cell r="B422" t="str">
            <v>Pipe, HDPE 30", SOIL TIGHT, material only</v>
          </cell>
          <cell r="C422" t="str">
            <v>L.F.</v>
          </cell>
          <cell r="D422">
            <v>41</v>
          </cell>
          <cell r="E422" t="str">
            <v>16.1.10</v>
          </cell>
          <cell r="F422">
            <v>27.19</v>
          </cell>
          <cell r="G422">
            <v>31.27</v>
          </cell>
        </row>
        <row r="423">
          <cell r="B423" t="str">
            <v>Pipe, HDPE 36", SOIL TIGHT, material only</v>
          </cell>
          <cell r="C423" t="str">
            <v>L.F.</v>
          </cell>
          <cell r="D423">
            <v>41</v>
          </cell>
          <cell r="E423" t="str">
            <v>16.1.12</v>
          </cell>
          <cell r="F423">
            <v>33.9</v>
          </cell>
          <cell r="G423">
            <v>38.99</v>
          </cell>
        </row>
        <row r="424">
          <cell r="B424" t="str">
            <v>Pipe, HDPE 48", SOIL TIGHT, material only</v>
          </cell>
          <cell r="C424" t="str">
            <v>L.F.</v>
          </cell>
          <cell r="D424">
            <v>41</v>
          </cell>
          <cell r="E424" t="str">
            <v>16.1.13</v>
          </cell>
          <cell r="F424">
            <v>56.96</v>
          </cell>
          <cell r="G424">
            <v>65.5</v>
          </cell>
        </row>
        <row r="425">
          <cell r="B425" t="str">
            <v>Pipe, HDPE 6", SOIL TIGHT, material only</v>
          </cell>
          <cell r="C425" t="str">
            <v>L.F.</v>
          </cell>
          <cell r="D425">
            <v>41</v>
          </cell>
          <cell r="E425" t="str">
            <v>16.1.2</v>
          </cell>
          <cell r="F425">
            <v>2.0299999999999998</v>
          </cell>
          <cell r="G425">
            <v>2.33</v>
          </cell>
        </row>
        <row r="426">
          <cell r="B426" t="str">
            <v>Pipe, HDPE 8", SOIL TIGHT, material only</v>
          </cell>
          <cell r="C426" t="str">
            <v>L.F.</v>
          </cell>
          <cell r="D426">
            <v>41</v>
          </cell>
          <cell r="E426" t="str">
            <v>16.1.3</v>
          </cell>
          <cell r="F426">
            <v>3.49</v>
          </cell>
          <cell r="G426">
            <v>4.01</v>
          </cell>
        </row>
        <row r="427">
          <cell r="B427" t="str">
            <v>Pipe, HDPE 10", SOIL TIGHT, material only</v>
          </cell>
          <cell r="C427" t="str">
            <v>L.F.</v>
          </cell>
          <cell r="D427">
            <v>41</v>
          </cell>
          <cell r="E427" t="str">
            <v>16.1.4</v>
          </cell>
          <cell r="F427">
            <v>4.9400000000000004</v>
          </cell>
          <cell r="G427">
            <v>5.68</v>
          </cell>
        </row>
        <row r="428">
          <cell r="B428" t="str">
            <v>Pipe, HDPE 12", SOIL TIGHT, material only</v>
          </cell>
          <cell r="C428" t="str">
            <v>L.F.</v>
          </cell>
          <cell r="D428">
            <v>41</v>
          </cell>
          <cell r="E428" t="str">
            <v>16.1.5</v>
          </cell>
          <cell r="F428">
            <v>5.65</v>
          </cell>
          <cell r="G428">
            <v>6.5</v>
          </cell>
        </row>
        <row r="429">
          <cell r="B429" t="str">
            <v>Pipe, HDPE 15", SOIL TIGHT, material only</v>
          </cell>
          <cell r="C429" t="str">
            <v>L.F.</v>
          </cell>
          <cell r="D429">
            <v>41</v>
          </cell>
          <cell r="E429" t="str">
            <v>16.1.6</v>
          </cell>
          <cell r="F429">
            <v>7.29</v>
          </cell>
          <cell r="G429">
            <v>8.3800000000000008</v>
          </cell>
        </row>
        <row r="430">
          <cell r="B430" t="str">
            <v>Pipe, HDPE 18", SOIL TIGHT, material only</v>
          </cell>
          <cell r="C430" t="str">
            <v>L.F.</v>
          </cell>
          <cell r="D430">
            <v>41</v>
          </cell>
          <cell r="E430" t="str">
            <v>16.1.7</v>
          </cell>
          <cell r="F430">
            <v>11.88</v>
          </cell>
          <cell r="G430">
            <v>13.66</v>
          </cell>
        </row>
        <row r="431">
          <cell r="B431" t="str">
            <v>Pipe, HDPE 24", SOIL TIGHT, material only</v>
          </cell>
          <cell r="C431" t="str">
            <v>L.F.</v>
          </cell>
          <cell r="D431">
            <v>41</v>
          </cell>
          <cell r="E431" t="str">
            <v>16.1.8</v>
          </cell>
          <cell r="F431">
            <v>17.440000000000001</v>
          </cell>
          <cell r="G431">
            <v>20.059999999999999</v>
          </cell>
        </row>
        <row r="432">
          <cell r="B432" t="str">
            <v>Pipe, Corrugated Plastic Tubing, 4", laid in trench - no excavation</v>
          </cell>
          <cell r="C432" t="str">
            <v>L.F.</v>
          </cell>
          <cell r="D432">
            <v>41</v>
          </cell>
          <cell r="E432" t="str">
            <v>16.1.0</v>
          </cell>
          <cell r="F432">
            <v>1.9311193111931122</v>
          </cell>
          <cell r="G432">
            <v>1.81</v>
          </cell>
        </row>
        <row r="433">
          <cell r="B433" t="str">
            <v>Pipe, Corrugated Plastic Tubing, 6", laid in trench - no excavation</v>
          </cell>
          <cell r="C433" t="str">
            <v>L.F.</v>
          </cell>
          <cell r="D433">
            <v>41</v>
          </cell>
          <cell r="E433" t="str">
            <v>16.1.1</v>
          </cell>
          <cell r="F433">
            <v>2.9028290282902831</v>
          </cell>
          <cell r="G433">
            <v>2.71</v>
          </cell>
        </row>
        <row r="434">
          <cell r="B434" t="str">
            <v xml:space="preserve">Horizontal boring, 24" diameter casing, includes casing only, 100' min., exc. pits </v>
          </cell>
          <cell r="C434" t="str">
            <v>L.F.</v>
          </cell>
          <cell r="D434" t="str">
            <v>-</v>
          </cell>
          <cell r="E434">
            <v>0</v>
          </cell>
          <cell r="F434">
            <v>242</v>
          </cell>
          <cell r="G434">
            <v>261.60000000000002</v>
          </cell>
        </row>
        <row r="435">
          <cell r="B435" t="str">
            <v xml:space="preserve">Horizontal boring, 36" diameter casing, includes casing only, 100' min., exc. pits </v>
          </cell>
          <cell r="C435" t="str">
            <v>L.F.</v>
          </cell>
          <cell r="D435" t="str">
            <v>-</v>
          </cell>
          <cell r="E435">
            <v>0</v>
          </cell>
          <cell r="F435">
            <v>325</v>
          </cell>
          <cell r="G435">
            <v>351.33</v>
          </cell>
        </row>
        <row r="436">
          <cell r="B436" t="str">
            <v xml:space="preserve">Horizontal boring, 48" diameter casing, includes casing only, 100' min., exc. pits </v>
          </cell>
          <cell r="C436" t="str">
            <v>L.F.</v>
          </cell>
          <cell r="D436" t="str">
            <v>-</v>
          </cell>
          <cell r="E436">
            <v>0</v>
          </cell>
          <cell r="F436">
            <v>395</v>
          </cell>
          <cell r="G436">
            <v>427</v>
          </cell>
        </row>
        <row r="437">
          <cell r="B437" t="str">
            <v>For Ledge, horizontal boring, 100' minimum, ADD</v>
          </cell>
          <cell r="C437" t="str">
            <v>L.F.</v>
          </cell>
          <cell r="D437" t="str">
            <v>-</v>
          </cell>
          <cell r="E437">
            <v>0</v>
          </cell>
          <cell r="F437">
            <v>190</v>
          </cell>
          <cell r="G437">
            <v>205.39</v>
          </cell>
        </row>
        <row r="438">
          <cell r="B438" t="str">
            <v>Pipe, HDPE 24" WATER TIGHT - incl. excav.&amp; initial backfill w/ stone</v>
          </cell>
          <cell r="C438" t="str">
            <v>L.F.</v>
          </cell>
          <cell r="D438" t="str">
            <v>1,5,11,41</v>
          </cell>
          <cell r="E438" t="str">
            <v>24.1.6</v>
          </cell>
          <cell r="F438">
            <v>33.64</v>
          </cell>
          <cell r="G438">
            <v>36.64</v>
          </cell>
        </row>
        <row r="439">
          <cell r="B439" t="str">
            <v>Pipe, HDPE 30" WATER TIGHT - incl. excav.&amp; initial backfill w/ stone</v>
          </cell>
          <cell r="C439" t="str">
            <v>L.F.</v>
          </cell>
          <cell r="D439" t="str">
            <v>1,5,11,41</v>
          </cell>
          <cell r="E439" t="str">
            <v>24.1.12</v>
          </cell>
          <cell r="F439">
            <v>45.55</v>
          </cell>
          <cell r="G439">
            <v>49.61</v>
          </cell>
        </row>
        <row r="440">
          <cell r="B440" t="str">
            <v>Pipe, HDPE 36" WATER TIGHT - incl. excav.&amp; initial backfill w/ stone</v>
          </cell>
          <cell r="C440" t="str">
            <v>L.F.</v>
          </cell>
          <cell r="D440" t="str">
            <v>1,5,11,41</v>
          </cell>
          <cell r="E440" t="str">
            <v>24.1.16</v>
          </cell>
          <cell r="F440">
            <v>55.41</v>
          </cell>
          <cell r="G440">
            <v>60.34</v>
          </cell>
        </row>
        <row r="441">
          <cell r="B441" t="str">
            <v>Elbow, HDPE 24" WATER TIGHT - incl. excav.&amp; initial backfill w/ stone</v>
          </cell>
          <cell r="C441" t="str">
            <v>L.F.</v>
          </cell>
          <cell r="D441" t="str">
            <v>1,5,11,41</v>
          </cell>
          <cell r="E441" t="str">
            <v>24.1.29</v>
          </cell>
          <cell r="F441">
            <v>620.13</v>
          </cell>
          <cell r="G441">
            <v>675.35</v>
          </cell>
        </row>
        <row r="442">
          <cell r="B442" t="str">
            <v>Elbow, HDPE 30" WATER TIGHT - incl. excav.&amp; initial backfill w/ stone</v>
          </cell>
          <cell r="C442" t="str">
            <v>L.F.</v>
          </cell>
          <cell r="D442" t="str">
            <v>1,5,11,41</v>
          </cell>
          <cell r="E442" t="str">
            <v>24.1.30</v>
          </cell>
          <cell r="F442">
            <v>921.71</v>
          </cell>
          <cell r="G442">
            <v>1003.79</v>
          </cell>
        </row>
        <row r="443">
          <cell r="B443" t="str">
            <v>Elbow, HDPE 36" WATER TIGHT - incl. excav.&amp; initial backfill w/ stone</v>
          </cell>
          <cell r="C443" t="str">
            <v>L.F.</v>
          </cell>
          <cell r="D443" t="str">
            <v>1,5,11,41</v>
          </cell>
          <cell r="E443" t="str">
            <v>24.1.31</v>
          </cell>
          <cell r="F443">
            <v>1166.75</v>
          </cell>
          <cell r="G443">
            <v>1270.6500000000001</v>
          </cell>
        </row>
        <row r="444">
          <cell r="B444" t="str">
            <v>Elbow, HDPE 24" WATER TIGHT - material $$ only</v>
          </cell>
          <cell r="C444" t="str">
            <v>EA.</v>
          </cell>
          <cell r="D444" t="str">
            <v>1,5,11,41</v>
          </cell>
          <cell r="E444" t="str">
            <v>24.1.23</v>
          </cell>
          <cell r="F444">
            <v>335.58</v>
          </cell>
          <cell r="G444">
            <v>385.92</v>
          </cell>
        </row>
        <row r="445">
          <cell r="B445" t="str">
            <v>Elbow, HDPE 30" WATER TIGHT - material $$ only</v>
          </cell>
          <cell r="C445" t="str">
            <v>EA.</v>
          </cell>
          <cell r="D445" t="str">
            <v>1,5,11,41</v>
          </cell>
          <cell r="E445" t="str">
            <v>24.1.24</v>
          </cell>
          <cell r="F445">
            <v>577.26</v>
          </cell>
          <cell r="G445">
            <v>663.85</v>
          </cell>
        </row>
        <row r="446">
          <cell r="B446" t="str">
            <v>Elbow, HDPE 36" WATER TIGHT - material $$ only</v>
          </cell>
          <cell r="C446" t="str">
            <v>EA.</v>
          </cell>
          <cell r="D446" t="str">
            <v>1,5,11,41</v>
          </cell>
          <cell r="E446" t="str">
            <v>24.1.25</v>
          </cell>
          <cell r="F446">
            <v>792.35</v>
          </cell>
          <cell r="G446">
            <v>911.2</v>
          </cell>
        </row>
        <row r="447">
          <cell r="B447" t="str">
            <v>Pipe, HDPE 24", WATER TIGHT, material $$ only</v>
          </cell>
          <cell r="C447" t="str">
            <v>L.F.</v>
          </cell>
          <cell r="D447">
            <v>41</v>
          </cell>
          <cell r="E447" t="str">
            <v>24.1.26</v>
          </cell>
          <cell r="F447">
            <v>21.04</v>
          </cell>
          <cell r="G447">
            <v>24.2</v>
          </cell>
        </row>
        <row r="448">
          <cell r="B448" t="str">
            <v>Pipe, HDPE 30", WATER TIGHT, material $$ only</v>
          </cell>
          <cell r="C448" t="str">
            <v>L.F.</v>
          </cell>
          <cell r="D448">
            <v>41</v>
          </cell>
          <cell r="E448" t="str">
            <v>24.1.27</v>
          </cell>
          <cell r="F448">
            <v>31.23</v>
          </cell>
          <cell r="G448">
            <v>35.909999999999997</v>
          </cell>
        </row>
        <row r="449">
          <cell r="B449" t="str">
            <v>Pipe, HDPE 36", WATER TIGHT, material $$ only</v>
          </cell>
          <cell r="C449" t="str">
            <v>L.F.</v>
          </cell>
          <cell r="D449">
            <v>41</v>
          </cell>
          <cell r="E449" t="str">
            <v>24.1.28</v>
          </cell>
          <cell r="F449">
            <v>39.369999999999997</v>
          </cell>
          <cell r="G449">
            <v>45.28</v>
          </cell>
        </row>
        <row r="450">
          <cell r="B450" t="str">
            <v>Pipe, polyethylene, 125  psi, 1/2", hung on wall or buried 4' trench</v>
          </cell>
          <cell r="C450" t="str">
            <v>L.F.</v>
          </cell>
          <cell r="D450" t="str">
            <v>1,5,11,41</v>
          </cell>
          <cell r="E450" t="str">
            <v>25.2.1</v>
          </cell>
          <cell r="F450">
            <v>4.4280442804428048</v>
          </cell>
          <cell r="G450">
            <v>4.1399999999999997</v>
          </cell>
        </row>
        <row r="451">
          <cell r="B451" t="str">
            <v>Pipe, polyethylene, 160  psi, 3/4", hung on wall or buried 4' trench</v>
          </cell>
          <cell r="C451" t="str">
            <v>L.F.</v>
          </cell>
          <cell r="D451" t="str">
            <v>1,5,11,41</v>
          </cell>
          <cell r="E451" t="str">
            <v>25.2.2</v>
          </cell>
          <cell r="F451">
            <v>4.5387453874538748</v>
          </cell>
          <cell r="G451">
            <v>4.24</v>
          </cell>
        </row>
        <row r="452">
          <cell r="B452" t="str">
            <v>Pipe, polyethylene, 160  psi, 1", hung on wall or buried 4' trench</v>
          </cell>
          <cell r="C452" t="str">
            <v>L.F.</v>
          </cell>
          <cell r="D452" t="str">
            <v>1,5,11,41</v>
          </cell>
          <cell r="E452" t="str">
            <v>25.2.3</v>
          </cell>
          <cell r="F452">
            <v>4.6494464944649447</v>
          </cell>
          <cell r="G452">
            <v>4.3499999999999996</v>
          </cell>
        </row>
        <row r="453">
          <cell r="B453" t="str">
            <v>Pipe, polyethylene, 160  psi, 1-1/2", hung on wall or buried 4' trench</v>
          </cell>
          <cell r="C453" t="str">
            <v>L.F.</v>
          </cell>
          <cell r="D453" t="str">
            <v>1,5,11,41</v>
          </cell>
          <cell r="E453" t="str">
            <v>25.2.4</v>
          </cell>
          <cell r="F453">
            <v>5.4120541205412058</v>
          </cell>
          <cell r="G453">
            <v>5.0599999999999996</v>
          </cell>
        </row>
        <row r="454">
          <cell r="B454" t="str">
            <v>Pipe, polyethylene, 160  psi, 1-1/4", hung on wall or buried 4' trench</v>
          </cell>
          <cell r="C454" t="str">
            <v>L.F.</v>
          </cell>
          <cell r="D454" t="str">
            <v>1,5,11,41</v>
          </cell>
          <cell r="E454" t="str">
            <v>25.2.5</v>
          </cell>
          <cell r="F454">
            <v>5.006150061500616</v>
          </cell>
          <cell r="G454">
            <v>4.68</v>
          </cell>
        </row>
        <row r="455">
          <cell r="B455" t="str">
            <v>Pipe, polyethylene, 160  psi, 2", hung on wall or buried 4' trench</v>
          </cell>
          <cell r="C455" t="str">
            <v>L.F.</v>
          </cell>
          <cell r="D455" t="str">
            <v>1,5,11,41</v>
          </cell>
          <cell r="E455" t="str">
            <v>25.2.6</v>
          </cell>
          <cell r="F455">
            <v>6.0885608856088567</v>
          </cell>
          <cell r="G455">
            <v>5.69</v>
          </cell>
        </row>
        <row r="456">
          <cell r="B456" t="str">
            <v>Headwall &amp; Rodent Guard, 4"-8" pipe</v>
          </cell>
          <cell r="C456" t="str">
            <v>EA.</v>
          </cell>
          <cell r="D456" t="str">
            <v>-</v>
          </cell>
          <cell r="E456" t="str">
            <v>17.4.0</v>
          </cell>
          <cell r="F456">
            <v>70.62</v>
          </cell>
          <cell r="G456">
            <v>81.209999999999994</v>
          </cell>
        </row>
        <row r="457">
          <cell r="B457" t="str">
            <v>Pipe, PVC, SDR 35, 15" Dia., Excav. And Backfill Included (local cost)</v>
          </cell>
          <cell r="C457" t="str">
            <v>L.F.</v>
          </cell>
          <cell r="D457" t="str">
            <v>1,5,11,41</v>
          </cell>
          <cell r="E457" t="str">
            <v>17.1.10</v>
          </cell>
          <cell r="F457">
            <v>20.733173076923077</v>
          </cell>
          <cell r="G457">
            <v>19.38</v>
          </cell>
        </row>
        <row r="458">
          <cell r="B458" t="str">
            <v>Pipe, PVC, SDR 35, 4" Dia., Excav. And Backfill Included (local cost)</v>
          </cell>
          <cell r="C458" t="str">
            <v>L.F.</v>
          </cell>
          <cell r="D458" t="str">
            <v>1,5,11,41</v>
          </cell>
          <cell r="E458" t="str">
            <v>17.1.5</v>
          </cell>
          <cell r="F458">
            <v>6.2019230769230775</v>
          </cell>
          <cell r="G458">
            <v>5.8</v>
          </cell>
        </row>
        <row r="459">
          <cell r="B459" t="str">
            <v>Pipe, PVC, SDR 35, 6" Dia., Excav. And Backfill Included (local cost)</v>
          </cell>
          <cell r="C459" t="str">
            <v>L.F.</v>
          </cell>
          <cell r="D459" t="str">
            <v>1,5,11,41</v>
          </cell>
          <cell r="E459" t="str">
            <v>17.1.6</v>
          </cell>
          <cell r="F459">
            <v>6.24</v>
          </cell>
          <cell r="G459">
            <v>5.83</v>
          </cell>
        </row>
        <row r="460">
          <cell r="B460" t="str">
            <v>Pipe, PVC, SDR 35, 8" Dia., Excav. And Backfill Included (local cost)</v>
          </cell>
          <cell r="C460" t="str">
            <v>L.F.</v>
          </cell>
          <cell r="D460" t="str">
            <v>1,5,11,41</v>
          </cell>
          <cell r="E460" t="str">
            <v>17.1.7</v>
          </cell>
          <cell r="F460">
            <v>9.3149038461538467</v>
          </cell>
          <cell r="G460">
            <v>8.7100000000000009</v>
          </cell>
        </row>
        <row r="461">
          <cell r="B461" t="str">
            <v>Pipe, PVC, SDR 35, 10" Dia., Excav. And Backfill Included (local cost)</v>
          </cell>
          <cell r="C461" t="str">
            <v>L.F.</v>
          </cell>
          <cell r="D461" t="str">
            <v>1,5,11,41</v>
          </cell>
          <cell r="E461" t="str">
            <v>17.1.8</v>
          </cell>
          <cell r="F461">
            <v>11.959134615384615</v>
          </cell>
          <cell r="G461">
            <v>11.18</v>
          </cell>
        </row>
        <row r="462">
          <cell r="B462" t="str">
            <v>Pipe, PVC, SDR 35, 12" Dia., Excav. And Backfill Included (local cost)</v>
          </cell>
          <cell r="C462" t="str">
            <v>L.F.</v>
          </cell>
          <cell r="D462" t="str">
            <v>1,5,11,41</v>
          </cell>
          <cell r="E462" t="str">
            <v>17.1.9</v>
          </cell>
          <cell r="F462">
            <v>14.98798076923077</v>
          </cell>
          <cell r="G462">
            <v>14.01</v>
          </cell>
        </row>
        <row r="463">
          <cell r="B463" t="str">
            <v>Pipe, PVC, SDR 26, 160 psi, 2" Dia., Excav. And Backfill Included</v>
          </cell>
          <cell r="C463" t="str">
            <v>L.F.</v>
          </cell>
          <cell r="D463" t="str">
            <v>1,5,11,41</v>
          </cell>
          <cell r="E463" t="str">
            <v>17.2.10</v>
          </cell>
          <cell r="F463">
            <v>5.6490384615384617</v>
          </cell>
          <cell r="G463">
            <v>5.28</v>
          </cell>
        </row>
        <row r="464">
          <cell r="B464" t="str">
            <v>Pipe, PVC, SDR 26, 160 psi, 3" Dia., Excav. And Backfill Included</v>
          </cell>
          <cell r="C464" t="str">
            <v>L.F.</v>
          </cell>
          <cell r="D464" t="str">
            <v>1,5,11,41</v>
          </cell>
          <cell r="E464" t="str">
            <v>17.2.11</v>
          </cell>
          <cell r="F464">
            <v>5.17</v>
          </cell>
          <cell r="G464">
            <v>4.83</v>
          </cell>
        </row>
        <row r="465">
          <cell r="B465" t="str">
            <v>Pipe, PVC, SDR 26, 160 psi, 4" Dia., Excav. And Backfill Included</v>
          </cell>
          <cell r="C465" t="str">
            <v>L.F.</v>
          </cell>
          <cell r="D465" t="str">
            <v>1,5,11,41</v>
          </cell>
          <cell r="E465" t="str">
            <v>17.2.12</v>
          </cell>
          <cell r="F465">
            <v>5.78</v>
          </cell>
          <cell r="G465">
            <v>5.4</v>
          </cell>
        </row>
        <row r="466">
          <cell r="B466" t="str">
            <v>Pipe, PVC, SDR 26, 160 psi, 6" Dia., Excav. And Backfill Included</v>
          </cell>
          <cell r="C466" t="str">
            <v>L.F.</v>
          </cell>
          <cell r="D466" t="str">
            <v>1,5,11,41</v>
          </cell>
          <cell r="E466" t="str">
            <v>17.2.13</v>
          </cell>
          <cell r="F466">
            <v>8.7019230769230784</v>
          </cell>
          <cell r="G466">
            <v>8.14</v>
          </cell>
        </row>
        <row r="467">
          <cell r="B467" t="str">
            <v>Pipe, PVC, SDR 26, 160 psi, 8" Dia., Excav. And Backfill Included</v>
          </cell>
          <cell r="C467" t="str">
            <v>L.F.</v>
          </cell>
          <cell r="D467" t="str">
            <v>1,5,11,41</v>
          </cell>
          <cell r="E467" t="str">
            <v>17.2.14</v>
          </cell>
          <cell r="F467">
            <v>11.213942307692308</v>
          </cell>
          <cell r="G467">
            <v>10.48</v>
          </cell>
        </row>
        <row r="468">
          <cell r="B468" t="str">
            <v>Pipe, PVC, SDR 26, 160 psi, 10" Dia., Excav. And Backfill Included</v>
          </cell>
          <cell r="C468" t="str">
            <v>L.F.</v>
          </cell>
          <cell r="D468" t="str">
            <v>1,5,11,41</v>
          </cell>
          <cell r="E468" t="str">
            <v>17.2.15</v>
          </cell>
          <cell r="F468">
            <v>15.432692307692308</v>
          </cell>
          <cell r="G468">
            <v>14.43</v>
          </cell>
        </row>
        <row r="469">
          <cell r="B469" t="str">
            <v>Pipe, PVC, SDR 26, 160 psi, 12" Dia., Excav. And Backfill Included</v>
          </cell>
          <cell r="C469" t="str">
            <v>L.F.</v>
          </cell>
          <cell r="D469" t="str">
            <v>1,5,11,41</v>
          </cell>
          <cell r="E469" t="str">
            <v>17.2.16</v>
          </cell>
          <cell r="F469">
            <v>18.064903846153847</v>
          </cell>
          <cell r="G469">
            <v>16.89</v>
          </cell>
        </row>
        <row r="470">
          <cell r="B470" t="str">
            <v>Pipe, PVC, SDR 26, 160 psi, 16" Dia., Excav. And Backfill Included</v>
          </cell>
          <cell r="C470" t="str">
            <v>L.F.</v>
          </cell>
          <cell r="D470" t="str">
            <v>1,5,11,41</v>
          </cell>
          <cell r="E470" t="str">
            <v>17.2.17</v>
          </cell>
          <cell r="F470">
            <v>30.240384615384617</v>
          </cell>
          <cell r="G470">
            <v>28.27</v>
          </cell>
        </row>
        <row r="471">
          <cell r="B471" t="str">
            <v>Pipe, PVC, SCH. 40, 2" Dia., Excav. And Backfill Included (local cost)</v>
          </cell>
          <cell r="C471" t="str">
            <v>L.F.</v>
          </cell>
          <cell r="D471" t="str">
            <v>1,5,11,41</v>
          </cell>
          <cell r="E471" t="str">
            <v>17.2.2</v>
          </cell>
          <cell r="F471">
            <v>5.9375000000000009</v>
          </cell>
          <cell r="G471">
            <v>5.55</v>
          </cell>
        </row>
        <row r="472">
          <cell r="B472" t="str">
            <v>Pipe, PVC, SCH. 40, 3" Dia., Excav. And Backfill Included (local cost)</v>
          </cell>
          <cell r="C472" t="str">
            <v>L.F.</v>
          </cell>
          <cell r="D472" t="str">
            <v>1,5,11,41</v>
          </cell>
          <cell r="E472" t="str">
            <v>17.2.3</v>
          </cell>
          <cell r="F472">
            <v>5.68</v>
          </cell>
          <cell r="G472">
            <v>5.31</v>
          </cell>
        </row>
        <row r="473">
          <cell r="B473" t="str">
            <v>Pipe, PVC, SCH. 40, 4" Dia., Excav. And Backfill Included (local cost)</v>
          </cell>
          <cell r="C473" t="str">
            <v>L.F.</v>
          </cell>
          <cell r="D473" t="str">
            <v>1,5,11,41</v>
          </cell>
          <cell r="E473" t="str">
            <v>17.2.4</v>
          </cell>
          <cell r="F473">
            <v>6.18</v>
          </cell>
          <cell r="G473">
            <v>5.78</v>
          </cell>
        </row>
        <row r="474">
          <cell r="B474" t="str">
            <v>Pipe, PVC, SCH. 40, 6" Dia., Excav. And Backfill Included (local cost)</v>
          </cell>
          <cell r="C474" t="str">
            <v>L.F.</v>
          </cell>
          <cell r="D474" t="str">
            <v>1,5,11,41</v>
          </cell>
          <cell r="E474" t="str">
            <v>17.2.5</v>
          </cell>
          <cell r="F474">
            <v>9.2668269230769234</v>
          </cell>
          <cell r="G474">
            <v>8.66</v>
          </cell>
        </row>
        <row r="475">
          <cell r="B475" t="str">
            <v>Pipe, PVC, SCH. 40, 8" Dia., Excav. And Backfill Included (local cost)</v>
          </cell>
          <cell r="C475" t="str">
            <v>L.F.</v>
          </cell>
          <cell r="D475" t="str">
            <v>1,5,11,41</v>
          </cell>
          <cell r="E475" t="str">
            <v>17.2.6</v>
          </cell>
          <cell r="F475">
            <v>11.574519230769232</v>
          </cell>
          <cell r="G475">
            <v>10.82</v>
          </cell>
        </row>
        <row r="476">
          <cell r="B476" t="str">
            <v>Pipe, PVC, SCH. 40, 10" Dia., Excav. And Backfill Included (local cost)</v>
          </cell>
          <cell r="C476" t="str">
            <v>L.F.</v>
          </cell>
          <cell r="D476" t="str">
            <v>1,5,11,41</v>
          </cell>
          <cell r="E476" t="str">
            <v>17.2.7</v>
          </cell>
          <cell r="F476">
            <v>13.653846153846153</v>
          </cell>
          <cell r="G476">
            <v>12.77</v>
          </cell>
        </row>
        <row r="477">
          <cell r="B477" t="str">
            <v>Pipe, PVC, SCH. 40, 12" Dia., Excav. And Backfill Included (local cost)</v>
          </cell>
          <cell r="C477" t="str">
            <v>L.F.</v>
          </cell>
          <cell r="D477" t="str">
            <v>1,5,11,41</v>
          </cell>
          <cell r="E477" t="str">
            <v>17.2.8</v>
          </cell>
          <cell r="F477">
            <v>21.502403846153847</v>
          </cell>
          <cell r="G477">
            <v>20.100000000000001</v>
          </cell>
        </row>
        <row r="478">
          <cell r="B478" t="str">
            <v>Ball Valve, Socket, 1-1/2", PVC</v>
          </cell>
          <cell r="C478" t="str">
            <v>EA.</v>
          </cell>
          <cell r="D478">
            <v>41</v>
          </cell>
          <cell r="E478" t="str">
            <v>17.3.0</v>
          </cell>
          <cell r="F478">
            <v>9.9</v>
          </cell>
          <cell r="G478">
            <v>11.39</v>
          </cell>
        </row>
        <row r="479">
          <cell r="B479" t="str">
            <v>Ball Valve, Socket, 2", PVC</v>
          </cell>
          <cell r="C479" t="str">
            <v>EA.</v>
          </cell>
          <cell r="D479">
            <v>41</v>
          </cell>
          <cell r="E479" t="str">
            <v>17.3.1</v>
          </cell>
          <cell r="F479">
            <v>14.9</v>
          </cell>
          <cell r="G479">
            <v>17.14</v>
          </cell>
        </row>
        <row r="480">
          <cell r="B480" t="str">
            <v>Ball Valve, True Union, Socket, 1-1/2"</v>
          </cell>
          <cell r="C480" t="str">
            <v>EA.</v>
          </cell>
          <cell r="D480">
            <v>41</v>
          </cell>
          <cell r="E480" t="str">
            <v>17.3.2</v>
          </cell>
          <cell r="F480">
            <v>59.7</v>
          </cell>
          <cell r="G480">
            <v>68.66</v>
          </cell>
        </row>
        <row r="481">
          <cell r="B481" t="str">
            <v>Ball Valve, True Union, Socket, 2"</v>
          </cell>
          <cell r="C481" t="str">
            <v>EA.</v>
          </cell>
          <cell r="D481">
            <v>41</v>
          </cell>
          <cell r="E481" t="str">
            <v>17.3.3</v>
          </cell>
          <cell r="F481">
            <v>79.2</v>
          </cell>
          <cell r="G481">
            <v>91.08</v>
          </cell>
        </row>
        <row r="482">
          <cell r="B482" t="str">
            <v>Ball Valve, True Union, Socket, 2-1/2"</v>
          </cell>
          <cell r="C482" t="str">
            <v>EA.</v>
          </cell>
          <cell r="D482">
            <v>41</v>
          </cell>
          <cell r="E482" t="str">
            <v>17.3.4</v>
          </cell>
          <cell r="F482">
            <v>143</v>
          </cell>
          <cell r="G482">
            <v>164.45</v>
          </cell>
        </row>
        <row r="483">
          <cell r="B483" t="str">
            <v>Ball Valve, True Union, Socket, 3"</v>
          </cell>
          <cell r="C483" t="str">
            <v>EA.</v>
          </cell>
          <cell r="D483">
            <v>41</v>
          </cell>
          <cell r="E483" t="str">
            <v>17.3.5</v>
          </cell>
          <cell r="F483">
            <v>188</v>
          </cell>
          <cell r="G483">
            <v>216.2</v>
          </cell>
        </row>
        <row r="484">
          <cell r="B484" t="str">
            <v>Ball Valve, 3 Way, True Union, Socket, 1-1/2"</v>
          </cell>
          <cell r="C484" t="str">
            <v>EA.</v>
          </cell>
          <cell r="D484">
            <v>41</v>
          </cell>
          <cell r="E484" t="str">
            <v>17.3.6</v>
          </cell>
          <cell r="F484">
            <v>121</v>
          </cell>
          <cell r="G484">
            <v>139.15</v>
          </cell>
        </row>
        <row r="485">
          <cell r="B485" t="str">
            <v>Ball Valve, 3 Way, True Union, Socket, 2"</v>
          </cell>
          <cell r="C485" t="str">
            <v>EA.</v>
          </cell>
          <cell r="D485">
            <v>41</v>
          </cell>
          <cell r="E485" t="str">
            <v>17.3.7</v>
          </cell>
          <cell r="F485">
            <v>149</v>
          </cell>
          <cell r="G485">
            <v>171.35</v>
          </cell>
        </row>
        <row r="486">
          <cell r="B486" t="str">
            <v>Pipe, Steel, Sch. 40, 2" dia.,material cost only</v>
          </cell>
          <cell r="C486" t="str">
            <v>L.F.</v>
          </cell>
          <cell r="D486">
            <v>41</v>
          </cell>
          <cell r="E486" t="str">
            <v>18.1.0</v>
          </cell>
          <cell r="F486">
            <v>2.84</v>
          </cell>
          <cell r="G486">
            <v>3.27</v>
          </cell>
        </row>
        <row r="487">
          <cell r="B487" t="str">
            <v>Pipe, Steel, Sch. 40, 3" dia.,material cost only</v>
          </cell>
          <cell r="C487" t="str">
            <v>L.F.</v>
          </cell>
          <cell r="D487">
            <v>41</v>
          </cell>
          <cell r="E487" t="str">
            <v>18.1.1</v>
          </cell>
          <cell r="F487">
            <v>5.0199999999999996</v>
          </cell>
          <cell r="G487">
            <v>5.77</v>
          </cell>
        </row>
        <row r="488">
          <cell r="B488" t="str">
            <v>Pipe, Steel, Sch. 40, 4" dia.,material cost only</v>
          </cell>
          <cell r="C488" t="str">
            <v>L.F.</v>
          </cell>
          <cell r="D488">
            <v>41</v>
          </cell>
          <cell r="E488" t="str">
            <v>18.1.2</v>
          </cell>
          <cell r="F488">
            <v>6.49</v>
          </cell>
          <cell r="G488">
            <v>7.46</v>
          </cell>
        </row>
        <row r="489">
          <cell r="B489" t="str">
            <v>Pipe, Steel, Sch. 40, 6" dia.,material cost only</v>
          </cell>
          <cell r="C489" t="str">
            <v>L.F.</v>
          </cell>
          <cell r="D489">
            <v>41</v>
          </cell>
          <cell r="E489" t="str">
            <v>18.1.3</v>
          </cell>
          <cell r="F489">
            <v>15.8</v>
          </cell>
          <cell r="G489">
            <v>18.170000000000002</v>
          </cell>
        </row>
        <row r="490">
          <cell r="B490" t="str">
            <v>16" dia. Pipe, Steel, Waste transfer, installed w/ sand envelope</v>
          </cell>
          <cell r="C490" t="str">
            <v>L.F.</v>
          </cell>
          <cell r="D490" t="str">
            <v>1,5,11,41</v>
          </cell>
          <cell r="E490" t="str">
            <v>18.2.0</v>
          </cell>
          <cell r="F490">
            <v>66.2</v>
          </cell>
          <cell r="G490">
            <v>76.13</v>
          </cell>
        </row>
        <row r="491">
          <cell r="B491" t="str">
            <v>16" dia. Elbow, Steel, 15 or 30 deg., mat. cost only</v>
          </cell>
          <cell r="C491" t="str">
            <v>EA.</v>
          </cell>
          <cell r="D491">
            <v>41</v>
          </cell>
          <cell r="E491" t="str">
            <v>18.2.1</v>
          </cell>
          <cell r="F491">
            <v>328</v>
          </cell>
          <cell r="G491">
            <v>377.2</v>
          </cell>
        </row>
        <row r="492">
          <cell r="B492" t="str">
            <v>16" dia. Elbow, Steel, 45 or 60 deg., mat. cost only</v>
          </cell>
          <cell r="C492" t="str">
            <v>EA.</v>
          </cell>
          <cell r="D492">
            <v>41</v>
          </cell>
          <cell r="E492" t="str">
            <v>18.2.3</v>
          </cell>
          <cell r="F492">
            <v>437</v>
          </cell>
          <cell r="G492">
            <v>502.55</v>
          </cell>
        </row>
        <row r="493">
          <cell r="B493" t="str">
            <v>16" dia. Elbow, Steel, 75 or 90 deg., mat. cost only</v>
          </cell>
          <cell r="C493" t="str">
            <v>EA.</v>
          </cell>
          <cell r="D493">
            <v>41</v>
          </cell>
          <cell r="E493" t="str">
            <v>18.2.4</v>
          </cell>
          <cell r="F493">
            <v>874</v>
          </cell>
          <cell r="G493">
            <v>1005.1</v>
          </cell>
        </row>
        <row r="494">
          <cell r="B494" t="str">
            <v>24" dia. Pipe, Steel, Waste transfer, installed w/ sand envelope</v>
          </cell>
          <cell r="C494" t="str">
            <v>L.F.</v>
          </cell>
          <cell r="D494" t="str">
            <v>1,5,11,41</v>
          </cell>
          <cell r="E494" t="str">
            <v>18.3.0</v>
          </cell>
          <cell r="F494">
            <v>76</v>
          </cell>
          <cell r="G494">
            <v>87.4</v>
          </cell>
        </row>
        <row r="495">
          <cell r="B495" t="str">
            <v>24" dia. Elbow, Steel, 18 or 36 deg., mat. cost only</v>
          </cell>
          <cell r="C495" t="str">
            <v>EA.</v>
          </cell>
          <cell r="D495">
            <v>41</v>
          </cell>
          <cell r="E495" t="str">
            <v>18.3.1</v>
          </cell>
          <cell r="F495">
            <v>385</v>
          </cell>
          <cell r="G495">
            <v>442.75</v>
          </cell>
        </row>
        <row r="496">
          <cell r="B496" t="str">
            <v>30" dia. Pipe, Steel, Waste transfer, installed w/ sand envelope</v>
          </cell>
          <cell r="C496" t="str">
            <v>L.F.</v>
          </cell>
          <cell r="D496" t="str">
            <v>1,5,11,41</v>
          </cell>
          <cell r="E496" t="str">
            <v>18.4.0</v>
          </cell>
          <cell r="F496">
            <v>90</v>
          </cell>
          <cell r="G496">
            <v>103.5</v>
          </cell>
        </row>
        <row r="497">
          <cell r="B497" t="str">
            <v>30" dia. Elbow, Steel, 18 or 36 deg., mat. cost only</v>
          </cell>
          <cell r="C497" t="str">
            <v>EA.</v>
          </cell>
          <cell r="D497">
            <v>41</v>
          </cell>
          <cell r="E497" t="str">
            <v>18.4.1</v>
          </cell>
          <cell r="F497">
            <v>500</v>
          </cell>
          <cell r="G497">
            <v>575</v>
          </cell>
        </row>
        <row r="498">
          <cell r="B498" t="str">
            <v>Retain. walls, stone filled gabions, galv., 33&lt; slope embank., 3' w, 6' h, inc. backfill</v>
          </cell>
          <cell r="C498" t="str">
            <v>L.F.</v>
          </cell>
          <cell r="D498" t="str">
            <v>1,5,11</v>
          </cell>
          <cell r="E498">
            <v>0</v>
          </cell>
          <cell r="F498">
            <v>71</v>
          </cell>
          <cell r="G498">
            <v>79.2</v>
          </cell>
        </row>
        <row r="499">
          <cell r="B499" t="str">
            <v>Retain. walls, stone filled gabions, hwy surcharge, 3' W, 6' L, 3' H, inc. backfill</v>
          </cell>
          <cell r="C499" t="str">
            <v>L.F.</v>
          </cell>
          <cell r="D499" t="str">
            <v>1,5,11</v>
          </cell>
          <cell r="E499">
            <v>0</v>
          </cell>
          <cell r="F499">
            <v>132</v>
          </cell>
          <cell r="G499">
            <v>147.25</v>
          </cell>
        </row>
        <row r="500">
          <cell r="B500" t="str">
            <v>Retain. walls, stone filled gabions, galv.,  33&lt; slope embank., 3' W, 9' H, inc. backfill</v>
          </cell>
          <cell r="C500" t="str">
            <v>L.F.</v>
          </cell>
          <cell r="D500" t="str">
            <v>1,5,11</v>
          </cell>
          <cell r="E500">
            <v>0</v>
          </cell>
          <cell r="F500">
            <v>149</v>
          </cell>
          <cell r="G500">
            <v>166.21</v>
          </cell>
        </row>
        <row r="501">
          <cell r="B501" t="str">
            <v>Retain.walls, stone filled gabions, galv., hwy surcharge, 3' W, 9' L, 3' H, inc. backfill</v>
          </cell>
          <cell r="C501" t="str">
            <v>L.F.</v>
          </cell>
          <cell r="D501" t="str">
            <v>1,5,11</v>
          </cell>
          <cell r="E501">
            <v>0</v>
          </cell>
          <cell r="F501">
            <v>226</v>
          </cell>
          <cell r="G501">
            <v>252.1</v>
          </cell>
        </row>
        <row r="502">
          <cell r="B502" t="str">
            <v>Retain. walls, stone filled gabions, galv., 33&lt; slope embank., 3' W, 12' H, inc. backfill</v>
          </cell>
          <cell r="C502" t="str">
            <v>L.F.</v>
          </cell>
          <cell r="D502" t="str">
            <v>1,5,11</v>
          </cell>
          <cell r="E502">
            <v>0</v>
          </cell>
          <cell r="F502">
            <v>248</v>
          </cell>
          <cell r="G502">
            <v>276.64</v>
          </cell>
        </row>
        <row r="503">
          <cell r="B503" t="str">
            <v>Retain. walls, stone filled gabions, galv., hwy surcharge, 3' W, 12' L, 3' H, inc. backfill</v>
          </cell>
          <cell r="C503" t="str">
            <v>L.F.</v>
          </cell>
          <cell r="D503" t="str">
            <v>1,5,11</v>
          </cell>
          <cell r="E503">
            <v>0</v>
          </cell>
          <cell r="F503">
            <v>325</v>
          </cell>
          <cell r="G503">
            <v>362.54</v>
          </cell>
        </row>
        <row r="504">
          <cell r="B504" t="str">
            <v>Rip-rap, random, broken stone, machine placed for slope protection</v>
          </cell>
          <cell r="C504" t="str">
            <v>L.C.Y.</v>
          </cell>
          <cell r="D504" t="str">
            <v>11,41</v>
          </cell>
          <cell r="E504">
            <v>0</v>
          </cell>
          <cell r="F504">
            <v>47.5</v>
          </cell>
          <cell r="G504">
            <v>51.73</v>
          </cell>
        </row>
        <row r="505">
          <cell r="B505" t="str">
            <v>Rip-rap, random, broken stone, 18" min. thickness, machine placed slope protection</v>
          </cell>
          <cell r="C505" t="str">
            <v>S.Y.</v>
          </cell>
          <cell r="D505" t="str">
            <v>11,41</v>
          </cell>
          <cell r="E505">
            <v>0</v>
          </cell>
          <cell r="F505">
            <v>63.5</v>
          </cell>
          <cell r="G505">
            <v>69.150000000000006</v>
          </cell>
        </row>
        <row r="506">
          <cell r="B506" t="str">
            <v>Gabions, galvanized steel mesh mats or boxes, stone filled, 9" deep</v>
          </cell>
          <cell r="C506" t="str">
            <v>S.Y.</v>
          </cell>
          <cell r="D506" t="str">
            <v>11,41</v>
          </cell>
          <cell r="E506">
            <v>0</v>
          </cell>
          <cell r="F506">
            <v>43.5</v>
          </cell>
          <cell r="G506">
            <v>47.37</v>
          </cell>
        </row>
        <row r="507">
          <cell r="B507" t="str">
            <v>Gabions, galvanized steel mesh mats or boxes, stone filled, 12" deep</v>
          </cell>
          <cell r="C507" t="str">
            <v>S.Y.</v>
          </cell>
          <cell r="D507" t="str">
            <v>11,41</v>
          </cell>
          <cell r="E507">
            <v>0</v>
          </cell>
          <cell r="F507">
            <v>46</v>
          </cell>
          <cell r="G507">
            <v>50.1</v>
          </cell>
        </row>
        <row r="508">
          <cell r="B508" t="str">
            <v>Gabions, galvanized steel mesh mats or boxes, stone filled, 18" deep</v>
          </cell>
          <cell r="C508" t="str">
            <v>S.Y.</v>
          </cell>
          <cell r="D508" t="str">
            <v>11,41</v>
          </cell>
          <cell r="E508">
            <v>0</v>
          </cell>
          <cell r="F508">
            <v>62.5</v>
          </cell>
          <cell r="G508">
            <v>68.069999999999993</v>
          </cell>
        </row>
        <row r="509">
          <cell r="B509" t="str">
            <v>Gabions, galvanized steel mesh mats or boxes, stone filled, 36" deep</v>
          </cell>
          <cell r="C509" t="str">
            <v>S.Y.</v>
          </cell>
          <cell r="D509" t="str">
            <v>11,41</v>
          </cell>
          <cell r="E509">
            <v>0</v>
          </cell>
          <cell r="F509">
            <v>107</v>
          </cell>
          <cell r="G509">
            <v>116.53</v>
          </cell>
        </row>
        <row r="510">
          <cell r="B510" t="str">
            <v>Aluminum gutters, stock units, plain, 5" box, .027" thick</v>
          </cell>
          <cell r="C510" t="str">
            <v>L.F.</v>
          </cell>
          <cell r="D510" t="str">
            <v>-</v>
          </cell>
          <cell r="E510">
            <v>0</v>
          </cell>
          <cell r="F510">
            <v>4.6900000000000004</v>
          </cell>
          <cell r="G510">
            <v>4.29</v>
          </cell>
        </row>
        <row r="511">
          <cell r="B511" t="str">
            <v>Aluminum gutters, stock units, plain, 5" box, .032" thick</v>
          </cell>
          <cell r="C511" t="str">
            <v>L.F.</v>
          </cell>
          <cell r="D511" t="str">
            <v>-</v>
          </cell>
          <cell r="E511">
            <v>0</v>
          </cell>
          <cell r="F511">
            <v>4.67</v>
          </cell>
          <cell r="G511">
            <v>4.2699999999999996</v>
          </cell>
        </row>
        <row r="512">
          <cell r="B512" t="str">
            <v>Roof Structure - hoop type, truss arch w/ fabric. Installed</v>
          </cell>
          <cell r="C512" t="str">
            <v>S.F.</v>
          </cell>
          <cell r="D512" t="str">
            <v>46,48</v>
          </cell>
          <cell r="E512" t="str">
            <v>21.2.0</v>
          </cell>
          <cell r="F512">
            <v>7</v>
          </cell>
          <cell r="G512">
            <v>8.0500000000000007</v>
          </cell>
        </row>
        <row r="513">
          <cell r="B513" t="str">
            <v>Roof Structure - pole type w/ wood truss &amp; metal roof. Installed</v>
          </cell>
          <cell r="C513" t="str">
            <v>S.F.</v>
          </cell>
          <cell r="D513" t="str">
            <v>46,48</v>
          </cell>
          <cell r="E513" t="str">
            <v>21.2.1</v>
          </cell>
          <cell r="F513">
            <v>9</v>
          </cell>
          <cell r="G513">
            <v>10.35</v>
          </cell>
        </row>
        <row r="514">
          <cell r="B514" t="str">
            <v>French drain, Roof drain</v>
          </cell>
          <cell r="C514" t="str">
            <v>L.F.</v>
          </cell>
          <cell r="D514" t="str">
            <v>1,5,11,41</v>
          </cell>
          <cell r="E514" t="str">
            <v>5.2.9</v>
          </cell>
          <cell r="F514">
            <v>10.537407797681771</v>
          </cell>
          <cell r="G514">
            <v>11.48</v>
          </cell>
        </row>
        <row r="515">
          <cell r="B515" t="str">
            <v>"Conservation Mix"</v>
          </cell>
          <cell r="C515" t="str">
            <v>LB.</v>
          </cell>
          <cell r="D515">
            <v>52</v>
          </cell>
          <cell r="E515" t="str">
            <v>1.3.1</v>
          </cell>
          <cell r="F515">
            <v>2</v>
          </cell>
          <cell r="G515">
            <v>2</v>
          </cell>
        </row>
        <row r="516">
          <cell r="B516" t="str">
            <v>Barley (organic)</v>
          </cell>
          <cell r="C516" t="str">
            <v>LB.</v>
          </cell>
          <cell r="D516">
            <v>52</v>
          </cell>
          <cell r="E516" t="str">
            <v>1.3.10</v>
          </cell>
          <cell r="F516">
            <v>0.36</v>
          </cell>
          <cell r="G516">
            <v>0.36</v>
          </cell>
        </row>
        <row r="517">
          <cell r="B517" t="str">
            <v>Birdsfoot trefoil</v>
          </cell>
          <cell r="C517" t="str">
            <v>LB.</v>
          </cell>
          <cell r="D517">
            <v>52</v>
          </cell>
          <cell r="E517" t="str">
            <v>1.3.11</v>
          </cell>
          <cell r="F517">
            <v>3.25</v>
          </cell>
          <cell r="G517">
            <v>3.25</v>
          </cell>
        </row>
        <row r="518">
          <cell r="B518" t="str">
            <v>Birdsfoot Trefoil (organic)</v>
          </cell>
          <cell r="C518" t="str">
            <v>LB.</v>
          </cell>
          <cell r="D518">
            <v>52</v>
          </cell>
          <cell r="E518" t="str">
            <v>1.3.12</v>
          </cell>
          <cell r="F518">
            <v>2.6</v>
          </cell>
          <cell r="G518">
            <v>2.6</v>
          </cell>
        </row>
        <row r="519">
          <cell r="B519" t="str">
            <v>Buckwheat (organic)</v>
          </cell>
          <cell r="C519" t="str">
            <v>LB.</v>
          </cell>
          <cell r="D519">
            <v>52</v>
          </cell>
          <cell r="E519" t="str">
            <v>1.3.13</v>
          </cell>
          <cell r="F519">
            <v>0.63</v>
          </cell>
          <cell r="G519">
            <v>0.63</v>
          </cell>
        </row>
        <row r="520">
          <cell r="B520" t="str">
            <v>Chickory (organic)</v>
          </cell>
          <cell r="C520" t="str">
            <v>LB.</v>
          </cell>
          <cell r="D520">
            <v>52</v>
          </cell>
          <cell r="E520" t="str">
            <v>1.3.14</v>
          </cell>
          <cell r="F520">
            <v>6.7</v>
          </cell>
          <cell r="G520">
            <v>6.7</v>
          </cell>
        </row>
        <row r="521">
          <cell r="B521" t="str">
            <v>Clover - Alsike</v>
          </cell>
          <cell r="C521" t="str">
            <v>LB.</v>
          </cell>
          <cell r="D521">
            <v>52</v>
          </cell>
          <cell r="E521" t="str">
            <v>1.3.15</v>
          </cell>
          <cell r="F521">
            <v>1.25</v>
          </cell>
          <cell r="G521">
            <v>1.25</v>
          </cell>
        </row>
        <row r="522">
          <cell r="B522" t="str">
            <v>Clover - Alsike (organic)</v>
          </cell>
          <cell r="C522" t="str">
            <v>LB.</v>
          </cell>
          <cell r="D522">
            <v>52</v>
          </cell>
          <cell r="E522" t="str">
            <v>1.3.16</v>
          </cell>
          <cell r="F522">
            <v>3.05</v>
          </cell>
          <cell r="G522">
            <v>3.05</v>
          </cell>
        </row>
        <row r="523">
          <cell r="B523" t="str">
            <v>Clover - Dutch white (organic)</v>
          </cell>
          <cell r="C523" t="str">
            <v>LB.</v>
          </cell>
          <cell r="D523">
            <v>52</v>
          </cell>
          <cell r="E523" t="str">
            <v>1.3.17</v>
          </cell>
          <cell r="F523">
            <v>2.6</v>
          </cell>
          <cell r="G523">
            <v>2.6</v>
          </cell>
        </row>
        <row r="524">
          <cell r="B524" t="str">
            <v>Clover - Ladino</v>
          </cell>
          <cell r="C524" t="str">
            <v>LB.</v>
          </cell>
          <cell r="D524">
            <v>52</v>
          </cell>
          <cell r="E524" t="str">
            <v>1.3.18</v>
          </cell>
          <cell r="F524">
            <v>2</v>
          </cell>
          <cell r="G524">
            <v>2</v>
          </cell>
        </row>
        <row r="525">
          <cell r="B525" t="str">
            <v>Clover - Mammoth red</v>
          </cell>
          <cell r="C525" t="str">
            <v>LB.</v>
          </cell>
          <cell r="D525">
            <v>52</v>
          </cell>
          <cell r="E525" t="str">
            <v>1.3.19</v>
          </cell>
          <cell r="F525">
            <v>1.25</v>
          </cell>
          <cell r="G525">
            <v>1.25</v>
          </cell>
        </row>
        <row r="526">
          <cell r="B526" t="str">
            <v>"Erosion Control Mix" (organic)</v>
          </cell>
          <cell r="C526" t="str">
            <v>LB.</v>
          </cell>
          <cell r="D526">
            <v>52</v>
          </cell>
          <cell r="E526" t="str">
            <v>1.3.2</v>
          </cell>
          <cell r="F526">
            <v>4.0999999999999996</v>
          </cell>
          <cell r="G526">
            <v>4.0999999999999996</v>
          </cell>
        </row>
        <row r="527">
          <cell r="B527" t="str">
            <v>Clover - Red</v>
          </cell>
          <cell r="C527" t="str">
            <v>LB.</v>
          </cell>
          <cell r="D527">
            <v>52</v>
          </cell>
          <cell r="E527" t="str">
            <v>1.3.20</v>
          </cell>
          <cell r="F527">
            <v>2.48</v>
          </cell>
          <cell r="G527">
            <v>2.48</v>
          </cell>
        </row>
        <row r="528">
          <cell r="B528" t="str">
            <v>Clover - Red (organic)</v>
          </cell>
          <cell r="C528" t="str">
            <v>LB.</v>
          </cell>
          <cell r="D528">
            <v>52</v>
          </cell>
          <cell r="E528" t="str">
            <v>1.3.21</v>
          </cell>
          <cell r="F528">
            <v>1.8</v>
          </cell>
          <cell r="G528">
            <v>1.8</v>
          </cell>
        </row>
        <row r="529">
          <cell r="B529" t="str">
            <v>Clover - White</v>
          </cell>
          <cell r="C529" t="str">
            <v>LB.</v>
          </cell>
          <cell r="D529">
            <v>52</v>
          </cell>
          <cell r="E529" t="str">
            <v>1.3.22</v>
          </cell>
          <cell r="F529">
            <v>2</v>
          </cell>
          <cell r="G529">
            <v>2</v>
          </cell>
        </row>
        <row r="530">
          <cell r="B530" t="str">
            <v>Cool season grass establishment-includes lime, fert. &amp; prep.</v>
          </cell>
          <cell r="C530" t="str">
            <v>LB.</v>
          </cell>
          <cell r="D530">
            <v>52</v>
          </cell>
          <cell r="E530" t="str">
            <v>1.3.23</v>
          </cell>
          <cell r="F530">
            <v>250</v>
          </cell>
          <cell r="G530">
            <v>250</v>
          </cell>
        </row>
        <row r="531">
          <cell r="B531" t="str">
            <v>Creeping Red Fescue</v>
          </cell>
          <cell r="C531" t="str">
            <v>LB.</v>
          </cell>
          <cell r="D531">
            <v>52</v>
          </cell>
          <cell r="E531" t="str">
            <v>1.3.24</v>
          </cell>
          <cell r="F531">
            <v>2.33</v>
          </cell>
          <cell r="G531">
            <v>2.33</v>
          </cell>
        </row>
        <row r="532">
          <cell r="B532" t="str">
            <v>Crownvetch (requires approval)</v>
          </cell>
          <cell r="C532" t="str">
            <v>LB.</v>
          </cell>
          <cell r="D532">
            <v>52</v>
          </cell>
          <cell r="E532" t="str">
            <v>1.3.25</v>
          </cell>
          <cell r="F532">
            <v>20</v>
          </cell>
          <cell r="G532">
            <v>20</v>
          </cell>
        </row>
        <row r="533">
          <cell r="B533" t="str">
            <v>Hairy Vetch</v>
          </cell>
          <cell r="C533" t="str">
            <v>LB.</v>
          </cell>
          <cell r="D533">
            <v>52</v>
          </cell>
          <cell r="E533" t="str">
            <v>1.3.26</v>
          </cell>
          <cell r="F533">
            <v>1.25</v>
          </cell>
          <cell r="G533">
            <v>1.25</v>
          </cell>
        </row>
        <row r="534">
          <cell r="B534" t="str">
            <v>Hairy Vetch (organic)</v>
          </cell>
          <cell r="C534" t="str">
            <v>LB.</v>
          </cell>
          <cell r="D534">
            <v>52</v>
          </cell>
          <cell r="E534" t="str">
            <v>1.3.27</v>
          </cell>
          <cell r="F534">
            <v>1.2</v>
          </cell>
          <cell r="G534">
            <v>1.2</v>
          </cell>
        </row>
        <row r="535">
          <cell r="B535" t="str">
            <v>Kentucky Bluegrass</v>
          </cell>
          <cell r="C535" t="str">
            <v>LB.</v>
          </cell>
          <cell r="D535">
            <v>52</v>
          </cell>
          <cell r="E535" t="str">
            <v>1.3.28</v>
          </cell>
          <cell r="F535">
            <v>3.3</v>
          </cell>
          <cell r="G535">
            <v>3.3</v>
          </cell>
        </row>
        <row r="536">
          <cell r="B536" t="str">
            <v>Legume Cereal Mix, (Drilled) (organic)</v>
          </cell>
          <cell r="C536" t="str">
            <v>LB.</v>
          </cell>
          <cell r="D536">
            <v>52</v>
          </cell>
          <cell r="E536" t="str">
            <v>1.3.29</v>
          </cell>
          <cell r="F536">
            <v>51</v>
          </cell>
          <cell r="G536">
            <v>51</v>
          </cell>
        </row>
        <row r="537">
          <cell r="B537" t="str">
            <v>"Pasture Mix" (Typical Cool Season) (organic)</v>
          </cell>
          <cell r="C537" t="str">
            <v>LB.</v>
          </cell>
          <cell r="D537">
            <v>52</v>
          </cell>
          <cell r="E537" t="str">
            <v>1.3.3</v>
          </cell>
          <cell r="F537">
            <v>1.9</v>
          </cell>
          <cell r="G537">
            <v>1.9</v>
          </cell>
        </row>
        <row r="538">
          <cell r="B538" t="str">
            <v>Millet (wildlife)  (requires approval)</v>
          </cell>
          <cell r="C538" t="str">
            <v>LB.</v>
          </cell>
          <cell r="D538">
            <v>52</v>
          </cell>
          <cell r="E538" t="str">
            <v>1.3.30</v>
          </cell>
          <cell r="F538">
            <v>0.7</v>
          </cell>
          <cell r="G538">
            <v>0.7</v>
          </cell>
        </row>
        <row r="539">
          <cell r="B539" t="str">
            <v>Mustard (organic)</v>
          </cell>
          <cell r="C539" t="str">
            <v>LB.</v>
          </cell>
          <cell r="D539">
            <v>52</v>
          </cell>
          <cell r="E539" t="str">
            <v>1.3.31</v>
          </cell>
          <cell r="F539">
            <v>0.9</v>
          </cell>
          <cell r="G539">
            <v>0.9</v>
          </cell>
        </row>
        <row r="540">
          <cell r="B540" t="str">
            <v>Oats, bulk</v>
          </cell>
          <cell r="C540" t="str">
            <v>LB.</v>
          </cell>
          <cell r="D540">
            <v>52</v>
          </cell>
          <cell r="E540" t="str">
            <v>1.3.32</v>
          </cell>
          <cell r="F540">
            <v>0.12</v>
          </cell>
          <cell r="G540">
            <v>0.12</v>
          </cell>
        </row>
        <row r="541">
          <cell r="B541" t="str">
            <v>Oats (organic)</v>
          </cell>
          <cell r="C541" t="str">
            <v>LB.</v>
          </cell>
          <cell r="D541">
            <v>52</v>
          </cell>
          <cell r="E541" t="str">
            <v>1.3.33</v>
          </cell>
          <cell r="F541">
            <v>0.26</v>
          </cell>
          <cell r="G541">
            <v>0.26</v>
          </cell>
        </row>
        <row r="542">
          <cell r="B542" t="str">
            <v>Orchardgrass</v>
          </cell>
          <cell r="C542" t="str">
            <v>LB.</v>
          </cell>
          <cell r="D542">
            <v>52</v>
          </cell>
          <cell r="E542" t="str">
            <v>1.3.34</v>
          </cell>
          <cell r="F542">
            <v>1.7</v>
          </cell>
          <cell r="G542">
            <v>1.7</v>
          </cell>
        </row>
        <row r="543">
          <cell r="B543" t="str">
            <v>Orchardgrass (organic)</v>
          </cell>
          <cell r="C543" t="str">
            <v>LB.</v>
          </cell>
          <cell r="D543">
            <v>52</v>
          </cell>
          <cell r="E543" t="str">
            <v>1.3.35</v>
          </cell>
          <cell r="F543">
            <v>2</v>
          </cell>
          <cell r="G543">
            <v>2</v>
          </cell>
        </row>
        <row r="544">
          <cell r="B544" t="str">
            <v>Perrenial Ryegrass (Pennfine)</v>
          </cell>
          <cell r="C544" t="str">
            <v>LB.</v>
          </cell>
          <cell r="D544">
            <v>52</v>
          </cell>
          <cell r="E544" t="str">
            <v>1.3.36</v>
          </cell>
          <cell r="F544">
            <v>1</v>
          </cell>
          <cell r="G544">
            <v>1</v>
          </cell>
        </row>
        <row r="545">
          <cell r="B545" t="str">
            <v>Rape (organic)</v>
          </cell>
          <cell r="C545" t="str">
            <v>LB.</v>
          </cell>
          <cell r="D545">
            <v>52</v>
          </cell>
          <cell r="E545" t="str">
            <v>1.3.37</v>
          </cell>
          <cell r="F545">
            <v>0.79</v>
          </cell>
          <cell r="G545">
            <v>0.79</v>
          </cell>
        </row>
        <row r="546">
          <cell r="B546" t="str">
            <v>Reed Canarygrass  (requires approval)</v>
          </cell>
          <cell r="C546" t="str">
            <v>LB.</v>
          </cell>
          <cell r="D546">
            <v>52</v>
          </cell>
          <cell r="E546" t="str">
            <v>1.3.38</v>
          </cell>
          <cell r="F546">
            <v>2.5</v>
          </cell>
          <cell r="G546">
            <v>2.5</v>
          </cell>
        </row>
        <row r="547">
          <cell r="B547" t="str">
            <v>Smooth Bromegrass</v>
          </cell>
          <cell r="C547" t="str">
            <v>LB.</v>
          </cell>
          <cell r="D547">
            <v>52</v>
          </cell>
          <cell r="E547" t="str">
            <v>1.3.39</v>
          </cell>
          <cell r="F547">
            <v>1.8</v>
          </cell>
          <cell r="G547">
            <v>1.8</v>
          </cell>
        </row>
        <row r="548">
          <cell r="B548" t="str">
            <v>"Wildlife Mix"</v>
          </cell>
          <cell r="C548" t="str">
            <v>LB.</v>
          </cell>
          <cell r="D548">
            <v>52</v>
          </cell>
          <cell r="E548" t="str">
            <v>1.3.4</v>
          </cell>
          <cell r="F548">
            <v>2</v>
          </cell>
          <cell r="G548">
            <v>2</v>
          </cell>
        </row>
        <row r="549">
          <cell r="B549" t="str">
            <v>Sudangrass (organic)</v>
          </cell>
          <cell r="C549" t="str">
            <v>LB.</v>
          </cell>
          <cell r="D549">
            <v>52</v>
          </cell>
          <cell r="E549" t="str">
            <v>1.3.40</v>
          </cell>
          <cell r="F549">
            <v>0.72</v>
          </cell>
          <cell r="G549">
            <v>0.72</v>
          </cell>
        </row>
        <row r="550">
          <cell r="B550" t="str">
            <v>Tall Fescue (Ky-31)  (requires approval)</v>
          </cell>
          <cell r="C550" t="str">
            <v>LB.</v>
          </cell>
          <cell r="D550">
            <v>52</v>
          </cell>
          <cell r="E550" t="str">
            <v>1.3.41</v>
          </cell>
          <cell r="F550">
            <v>2.2000000000000002</v>
          </cell>
          <cell r="G550">
            <v>2.2000000000000002</v>
          </cell>
        </row>
        <row r="551">
          <cell r="B551" t="str">
            <v>Tall Fescue (Low Endophyte )  (requires approval)</v>
          </cell>
          <cell r="C551" t="str">
            <v>LB.</v>
          </cell>
          <cell r="D551">
            <v>52</v>
          </cell>
          <cell r="E551" t="str">
            <v>1.3.42</v>
          </cell>
          <cell r="F551">
            <v>1.4</v>
          </cell>
          <cell r="G551">
            <v>1.4</v>
          </cell>
        </row>
        <row r="552">
          <cell r="B552" t="str">
            <v>Tall fescue (Low Endophyte) (organic)  (requires approval)</v>
          </cell>
          <cell r="C552" t="str">
            <v>LB.</v>
          </cell>
          <cell r="D552">
            <v>52</v>
          </cell>
          <cell r="E552" t="str">
            <v>1.3.43</v>
          </cell>
          <cell r="F552">
            <v>2.2000000000000002</v>
          </cell>
          <cell r="G552">
            <v>2.2000000000000002</v>
          </cell>
        </row>
        <row r="553">
          <cell r="B553" t="str">
            <v>Timothy</v>
          </cell>
          <cell r="C553" t="str">
            <v>LB.</v>
          </cell>
          <cell r="D553">
            <v>52</v>
          </cell>
          <cell r="E553" t="str">
            <v>1.3.44</v>
          </cell>
          <cell r="F553">
            <v>1.35</v>
          </cell>
          <cell r="G553">
            <v>1.35</v>
          </cell>
        </row>
        <row r="554">
          <cell r="B554" t="str">
            <v>Timothy (organic)</v>
          </cell>
          <cell r="C554" t="str">
            <v>LB.</v>
          </cell>
          <cell r="D554">
            <v>52</v>
          </cell>
          <cell r="E554" t="str">
            <v>1.3.45</v>
          </cell>
          <cell r="F554">
            <v>1.1000000000000001</v>
          </cell>
          <cell r="G554">
            <v>1.1000000000000001</v>
          </cell>
        </row>
        <row r="555">
          <cell r="B555" t="str">
            <v>Triticale (organic)</v>
          </cell>
          <cell r="C555" t="str">
            <v>LB.</v>
          </cell>
          <cell r="D555">
            <v>52</v>
          </cell>
          <cell r="E555" t="str">
            <v>1.3.46</v>
          </cell>
          <cell r="F555">
            <v>0.77</v>
          </cell>
          <cell r="G555">
            <v>0.77</v>
          </cell>
        </row>
        <row r="556">
          <cell r="B556" t="str">
            <v>Wetland Mix</v>
          </cell>
          <cell r="C556" t="str">
            <v>LB.</v>
          </cell>
          <cell r="D556">
            <v>52</v>
          </cell>
          <cell r="E556" t="str">
            <v>1.3.47</v>
          </cell>
          <cell r="F556">
            <v>48.23</v>
          </cell>
          <cell r="G556">
            <v>48.23</v>
          </cell>
        </row>
        <row r="557">
          <cell r="B557" t="str">
            <v>Wildflower mix</v>
          </cell>
          <cell r="C557" t="str">
            <v>LB.</v>
          </cell>
          <cell r="D557">
            <v>52</v>
          </cell>
          <cell r="E557" t="str">
            <v>1.3.48</v>
          </cell>
          <cell r="F557">
            <v>35</v>
          </cell>
          <cell r="G557">
            <v>35</v>
          </cell>
        </row>
        <row r="558">
          <cell r="B558" t="str">
            <v>Winter Cereal Rye (Drilled) - soil prep. not included</v>
          </cell>
          <cell r="C558" t="str">
            <v>LB.</v>
          </cell>
          <cell r="D558">
            <v>52</v>
          </cell>
          <cell r="E558" t="str">
            <v>1.3.49</v>
          </cell>
          <cell r="F558">
            <v>37</v>
          </cell>
          <cell r="G558">
            <v>37</v>
          </cell>
        </row>
        <row r="559">
          <cell r="B559" t="str">
            <v>Alfalfa</v>
          </cell>
          <cell r="C559" t="str">
            <v>LB.</v>
          </cell>
          <cell r="D559">
            <v>52</v>
          </cell>
          <cell r="E559" t="str">
            <v>1.3.5</v>
          </cell>
          <cell r="F559">
            <v>2.29</v>
          </cell>
          <cell r="G559">
            <v>2.29</v>
          </cell>
        </row>
        <row r="560">
          <cell r="B560" t="str">
            <v>Winter Cereal Rye (in 50 lb bulk bags)</v>
          </cell>
          <cell r="C560" t="str">
            <v>LB.</v>
          </cell>
          <cell r="D560">
            <v>52</v>
          </cell>
          <cell r="E560" t="str">
            <v>1.3.50</v>
          </cell>
          <cell r="F560">
            <v>0.12</v>
          </cell>
          <cell r="G560">
            <v>0.12</v>
          </cell>
        </row>
        <row r="561">
          <cell r="B561" t="str">
            <v>Winter Cereal Rye (organic)</v>
          </cell>
          <cell r="C561" t="str">
            <v>LB.</v>
          </cell>
          <cell r="D561">
            <v>52</v>
          </cell>
          <cell r="E561" t="str">
            <v>1.3.51</v>
          </cell>
          <cell r="F561">
            <v>0.3</v>
          </cell>
          <cell r="G561">
            <v>0.3</v>
          </cell>
        </row>
        <row r="562">
          <cell r="B562" t="str">
            <v>Winter Cereal Rye (small quantity)</v>
          </cell>
          <cell r="C562" t="str">
            <v>LB.</v>
          </cell>
          <cell r="D562">
            <v>52</v>
          </cell>
          <cell r="E562" t="str">
            <v>1.3.52</v>
          </cell>
          <cell r="F562">
            <v>0.22</v>
          </cell>
          <cell r="G562">
            <v>0.22</v>
          </cell>
        </row>
        <row r="563">
          <cell r="B563" t="str">
            <v>Alfalfa (leaf hopper resistant)</v>
          </cell>
          <cell r="C563" t="str">
            <v>LB.</v>
          </cell>
          <cell r="D563">
            <v>52</v>
          </cell>
          <cell r="E563" t="str">
            <v>1.3.6</v>
          </cell>
          <cell r="F563">
            <v>3.17</v>
          </cell>
          <cell r="G563">
            <v>3.17</v>
          </cell>
        </row>
        <row r="564">
          <cell r="B564" t="str">
            <v>Alfalfa (organic)</v>
          </cell>
          <cell r="C564" t="str">
            <v>LB.</v>
          </cell>
          <cell r="D564">
            <v>52</v>
          </cell>
          <cell r="E564" t="str">
            <v>1.3.7</v>
          </cell>
          <cell r="F564">
            <v>4.0999999999999996</v>
          </cell>
          <cell r="G564">
            <v>4.0999999999999996</v>
          </cell>
        </row>
        <row r="565">
          <cell r="B565" t="str">
            <v>Annual ryegrass</v>
          </cell>
          <cell r="C565" t="str">
            <v>LB.</v>
          </cell>
          <cell r="D565">
            <v>52</v>
          </cell>
          <cell r="E565" t="str">
            <v>1.3.8</v>
          </cell>
          <cell r="F565">
            <v>0.5</v>
          </cell>
          <cell r="G565">
            <v>0.5</v>
          </cell>
        </row>
        <row r="566">
          <cell r="B566" t="str">
            <v>Annual Ryegrass (organic)</v>
          </cell>
          <cell r="C566" t="str">
            <v>LB.</v>
          </cell>
          <cell r="D566">
            <v>52</v>
          </cell>
          <cell r="E566" t="str">
            <v>1.3.9</v>
          </cell>
          <cell r="F566">
            <v>0.66</v>
          </cell>
          <cell r="G566">
            <v>0.66</v>
          </cell>
        </row>
        <row r="567">
          <cell r="B567" t="str">
            <v>Mulch, hay, 1" deep, power mulcher, small</v>
          </cell>
          <cell r="C567" t="str">
            <v>M.S.F.</v>
          </cell>
          <cell r="D567" t="str">
            <v>1,5,11</v>
          </cell>
          <cell r="E567">
            <v>0</v>
          </cell>
          <cell r="F567">
            <v>73</v>
          </cell>
          <cell r="G567">
            <v>76.39</v>
          </cell>
        </row>
        <row r="568">
          <cell r="B568" t="str">
            <v>Mulch, hay, 1" deep, power mulcher, large</v>
          </cell>
          <cell r="C568" t="str">
            <v>M.S.F.</v>
          </cell>
          <cell r="D568" t="str">
            <v>1,5,11</v>
          </cell>
          <cell r="E568">
            <v>0</v>
          </cell>
          <cell r="F568">
            <v>70</v>
          </cell>
          <cell r="G568">
            <v>73.260000000000005</v>
          </cell>
        </row>
        <row r="569">
          <cell r="B569" t="str">
            <v>Seeding, limestone, 50 lbs per M.S.F., hand push spreader</v>
          </cell>
          <cell r="C569" t="str">
            <v>M.S.F.</v>
          </cell>
          <cell r="D569" t="str">
            <v>1,5,11</v>
          </cell>
          <cell r="E569">
            <v>0</v>
          </cell>
          <cell r="F569">
            <v>5.25</v>
          </cell>
          <cell r="G569">
            <v>4.78</v>
          </cell>
        </row>
        <row r="570">
          <cell r="B570" t="str">
            <v>Seeding, grass seed, 4.5 lbs per M.S.F., hand push spreader</v>
          </cell>
          <cell r="C570" t="str">
            <v>M.S.F.</v>
          </cell>
          <cell r="D570" t="str">
            <v>1,5,11</v>
          </cell>
          <cell r="E570">
            <v>0</v>
          </cell>
          <cell r="F570">
            <v>19.899999999999999</v>
          </cell>
          <cell r="G570">
            <v>18.11</v>
          </cell>
        </row>
        <row r="571">
          <cell r="B571" t="str">
            <v>Seed, Lime, Fertilize &amp; Mulch  VT Spec. #52</v>
          </cell>
          <cell r="C571" t="str">
            <v>ACRE</v>
          </cell>
          <cell r="D571">
            <v>52</v>
          </cell>
          <cell r="E571" t="str">
            <v>1.14.1</v>
          </cell>
          <cell r="F571">
            <v>918.86509440000009</v>
          </cell>
          <cell r="G571">
            <v>961.59</v>
          </cell>
        </row>
        <row r="572">
          <cell r="B572" t="str">
            <v>Mulch, hay - hand applied (1-1.5 acre/day/person)</v>
          </cell>
          <cell r="C572" t="str">
            <v>ACRE</v>
          </cell>
          <cell r="D572">
            <v>52</v>
          </cell>
          <cell r="E572" t="str">
            <v>1.13.1</v>
          </cell>
          <cell r="F572">
            <v>516</v>
          </cell>
          <cell r="G572">
            <v>516</v>
          </cell>
        </row>
        <row r="573">
          <cell r="B573" t="str">
            <v>Mulch, wood chips</v>
          </cell>
          <cell r="C573" t="str">
            <v>S.Y.</v>
          </cell>
          <cell r="D573">
            <v>52</v>
          </cell>
          <cell r="E573" t="str">
            <v>1.13.10</v>
          </cell>
          <cell r="F573">
            <v>0.9</v>
          </cell>
          <cell r="G573">
            <v>0.9</v>
          </cell>
        </row>
        <row r="574">
          <cell r="B574" t="str">
            <v>Hydroseeding / Mulching on critical area</v>
          </cell>
          <cell r="C574" t="str">
            <v>ACRE</v>
          </cell>
          <cell r="D574">
            <v>52</v>
          </cell>
          <cell r="E574" t="str">
            <v>1.13.8</v>
          </cell>
          <cell r="F574">
            <v>1913</v>
          </cell>
          <cell r="G574">
            <v>1913</v>
          </cell>
        </row>
        <row r="575">
          <cell r="B575" t="str">
            <v>Mulch, hay - 40# bale, material cost only</v>
          </cell>
          <cell r="C575" t="str">
            <v>EA.</v>
          </cell>
          <cell r="D575">
            <v>52</v>
          </cell>
          <cell r="E575" t="str">
            <v>1.13.9</v>
          </cell>
          <cell r="F575">
            <v>4</v>
          </cell>
          <cell r="G575">
            <v>4</v>
          </cell>
        </row>
        <row r="576">
          <cell r="B576" t="str">
            <v>Seed, broadcasting</v>
          </cell>
          <cell r="C576" t="str">
            <v>ACRE</v>
          </cell>
          <cell r="D576">
            <v>52</v>
          </cell>
          <cell r="E576" t="str">
            <v>1.14.2</v>
          </cell>
          <cell r="F576">
            <v>7.7</v>
          </cell>
          <cell r="G576">
            <v>7.7</v>
          </cell>
        </row>
        <row r="577">
          <cell r="B577" t="str">
            <v>Seed, broadcasting by hand</v>
          </cell>
          <cell r="C577" t="str">
            <v>ACRE</v>
          </cell>
          <cell r="D577">
            <v>52</v>
          </cell>
          <cell r="E577" t="str">
            <v>1.14.3</v>
          </cell>
          <cell r="F577">
            <v>10</v>
          </cell>
          <cell r="G577">
            <v>10</v>
          </cell>
        </row>
        <row r="578">
          <cell r="B578" t="str">
            <v>Big Bluestem</v>
          </cell>
          <cell r="C578" t="str">
            <v>LB.</v>
          </cell>
          <cell r="D578">
            <v>52</v>
          </cell>
          <cell r="E578" t="str">
            <v>1.4.1</v>
          </cell>
          <cell r="F578">
            <v>14</v>
          </cell>
          <cell r="G578">
            <v>14</v>
          </cell>
        </row>
        <row r="579">
          <cell r="B579" t="str">
            <v>Deertongue</v>
          </cell>
          <cell r="C579" t="str">
            <v>LB.</v>
          </cell>
          <cell r="D579">
            <v>52</v>
          </cell>
          <cell r="E579" t="str">
            <v>1.4.2</v>
          </cell>
          <cell r="F579">
            <v>9.1</v>
          </cell>
          <cell r="G579">
            <v>9.1</v>
          </cell>
        </row>
        <row r="580">
          <cell r="B580" t="str">
            <v>Indiangrass</v>
          </cell>
          <cell r="C580" t="str">
            <v>LB.</v>
          </cell>
          <cell r="D580">
            <v>52</v>
          </cell>
          <cell r="E580" t="str">
            <v>1.4.3</v>
          </cell>
          <cell r="F580">
            <v>13.75</v>
          </cell>
          <cell r="G580">
            <v>13.75</v>
          </cell>
        </row>
        <row r="581">
          <cell r="B581" t="str">
            <v>Little Bluestem</v>
          </cell>
          <cell r="C581" t="str">
            <v>LB.</v>
          </cell>
          <cell r="D581">
            <v>52</v>
          </cell>
          <cell r="E581" t="str">
            <v>1.4.4</v>
          </cell>
          <cell r="F581">
            <v>16.45</v>
          </cell>
          <cell r="G581">
            <v>16.45</v>
          </cell>
        </row>
        <row r="582">
          <cell r="B582" t="str">
            <v>Panicgrass, Atlantic coastal</v>
          </cell>
          <cell r="C582" t="str">
            <v>LB.</v>
          </cell>
          <cell r="D582">
            <v>52</v>
          </cell>
          <cell r="E582" t="str">
            <v>1.4.5</v>
          </cell>
          <cell r="F582">
            <v>13.1</v>
          </cell>
          <cell r="G582">
            <v>13.1</v>
          </cell>
        </row>
        <row r="583">
          <cell r="B583" t="str">
            <v>Sand Lovegrass</v>
          </cell>
          <cell r="C583" t="str">
            <v>LB.</v>
          </cell>
          <cell r="D583">
            <v>52</v>
          </cell>
          <cell r="E583" t="str">
            <v>1.4.6</v>
          </cell>
          <cell r="F583">
            <v>5.25</v>
          </cell>
          <cell r="G583">
            <v>5.25</v>
          </cell>
        </row>
        <row r="584">
          <cell r="B584" t="str">
            <v>Switchgrass</v>
          </cell>
          <cell r="C584" t="str">
            <v>LB.</v>
          </cell>
          <cell r="D584">
            <v>52</v>
          </cell>
          <cell r="E584" t="str">
            <v>1.4.7</v>
          </cell>
          <cell r="F584">
            <v>5.25</v>
          </cell>
          <cell r="G584">
            <v>5.25</v>
          </cell>
        </row>
        <row r="585">
          <cell r="B585" t="str">
            <v>Native Grass Mix  (Warm Season)</v>
          </cell>
          <cell r="C585" t="str">
            <v>LB.</v>
          </cell>
          <cell r="D585">
            <v>52</v>
          </cell>
          <cell r="E585" t="str">
            <v>1.4.8</v>
          </cell>
          <cell r="F585">
            <v>12</v>
          </cell>
          <cell r="G585">
            <v>12</v>
          </cell>
        </row>
        <row r="586">
          <cell r="B586" t="str">
            <v>Native Grass Mix  (Warm Season) (organic)</v>
          </cell>
          <cell r="C586" t="str">
            <v>LB.</v>
          </cell>
          <cell r="D586">
            <v>52</v>
          </cell>
          <cell r="E586" t="str">
            <v>1.4.9</v>
          </cell>
          <cell r="F586">
            <v>16.899999999999999</v>
          </cell>
          <cell r="G586">
            <v>16.899999999999999</v>
          </cell>
        </row>
        <row r="587">
          <cell r="B587" t="str">
            <v>Tree Revetment, &lt;20 ft length, single row</v>
          </cell>
          <cell r="C587" t="str">
            <v>L.F.</v>
          </cell>
          <cell r="D587" t="str">
            <v>-</v>
          </cell>
          <cell r="E587" t="str">
            <v>20.2.0</v>
          </cell>
          <cell r="F587">
            <v>8.5</v>
          </cell>
          <cell r="G587">
            <v>8.5</v>
          </cell>
        </row>
        <row r="588">
          <cell r="B588" t="str">
            <v>Tree Revetment, &lt;20 ft length, double row</v>
          </cell>
          <cell r="C588" t="str">
            <v>L.F.</v>
          </cell>
          <cell r="D588" t="str">
            <v>-</v>
          </cell>
          <cell r="E588" t="str">
            <v>20.2.1</v>
          </cell>
          <cell r="F588">
            <v>18.5</v>
          </cell>
          <cell r="G588">
            <v>18.5</v>
          </cell>
        </row>
        <row r="589">
          <cell r="B589" t="str">
            <v>Duckbill Anchor, 9ft Cable &amp; 4 Clamps (1 Unit), material cost only</v>
          </cell>
          <cell r="C589" t="str">
            <v>EA.</v>
          </cell>
          <cell r="D589" t="str">
            <v>-</v>
          </cell>
          <cell r="E589" t="str">
            <v>20.2.10</v>
          </cell>
          <cell r="F589">
            <v>12.9</v>
          </cell>
          <cell r="G589">
            <v>12.9</v>
          </cell>
        </row>
        <row r="590">
          <cell r="B590" t="str">
            <v>Lunker Boxes, installed</v>
          </cell>
          <cell r="C590" t="str">
            <v>EA.</v>
          </cell>
          <cell r="D590" t="str">
            <v>-</v>
          </cell>
          <cell r="E590" t="str">
            <v>20.2.11</v>
          </cell>
          <cell r="F590">
            <v>250</v>
          </cell>
          <cell r="G590">
            <v>250</v>
          </cell>
        </row>
        <row r="591">
          <cell r="B591" t="str">
            <v>Stream Barb/Rock Vein</v>
          </cell>
          <cell r="C591" t="str">
            <v>C.Y.</v>
          </cell>
          <cell r="D591" t="str">
            <v>-</v>
          </cell>
          <cell r="E591" t="str">
            <v>20.2.12</v>
          </cell>
          <cell r="F591">
            <v>55</v>
          </cell>
          <cell r="G591">
            <v>55</v>
          </cell>
        </row>
        <row r="592">
          <cell r="B592" t="str">
            <v>Tree Revetment, &lt;20 ft length, double row, w/ live stakes/cuttings</v>
          </cell>
          <cell r="C592" t="str">
            <v>L.F.</v>
          </cell>
          <cell r="D592" t="str">
            <v>-</v>
          </cell>
          <cell r="E592" t="str">
            <v>20.2.2</v>
          </cell>
          <cell r="F592">
            <v>20.75</v>
          </cell>
          <cell r="G592">
            <v>20.75</v>
          </cell>
        </row>
        <row r="593">
          <cell r="B593" t="str">
            <v>Live Stakes, installed</v>
          </cell>
          <cell r="C593" t="str">
            <v>EA.</v>
          </cell>
          <cell r="D593" t="str">
            <v>-</v>
          </cell>
          <cell r="E593" t="str">
            <v>20.2.3</v>
          </cell>
          <cell r="F593">
            <v>1.5</v>
          </cell>
          <cell r="G593">
            <v>1.5</v>
          </cell>
        </row>
        <row r="594">
          <cell r="B594" t="str">
            <v>Facines/Wattles, installed</v>
          </cell>
          <cell r="C594" t="str">
            <v>L.F.</v>
          </cell>
          <cell r="D594" t="str">
            <v>-</v>
          </cell>
          <cell r="E594" t="str">
            <v>20.2.4</v>
          </cell>
          <cell r="F594">
            <v>3.75</v>
          </cell>
          <cell r="G594">
            <v>3.75</v>
          </cell>
        </row>
        <row r="595">
          <cell r="B595" t="str">
            <v>Joint Plantings, installed</v>
          </cell>
          <cell r="C595" t="str">
            <v>EA.</v>
          </cell>
          <cell r="D595" t="str">
            <v>-</v>
          </cell>
          <cell r="E595" t="str">
            <v>20.2.5</v>
          </cell>
          <cell r="F595">
            <v>4</v>
          </cell>
          <cell r="G595">
            <v>4</v>
          </cell>
        </row>
        <row r="596">
          <cell r="B596" t="str">
            <v>6" Duckbill Anchors, material cost only</v>
          </cell>
          <cell r="C596" t="str">
            <v>EA.</v>
          </cell>
          <cell r="D596" t="str">
            <v>-</v>
          </cell>
          <cell r="E596" t="str">
            <v>20.2.6</v>
          </cell>
          <cell r="F596">
            <v>8.5399999999999991</v>
          </cell>
          <cell r="G596">
            <v>8.5399999999999991</v>
          </cell>
        </row>
        <row r="597">
          <cell r="B597" t="str">
            <v>1/4" Clamp, material cost only</v>
          </cell>
          <cell r="C597" t="str">
            <v>EA.</v>
          </cell>
          <cell r="D597" t="str">
            <v>-</v>
          </cell>
          <cell r="E597" t="str">
            <v>20.2.7</v>
          </cell>
          <cell r="F597">
            <v>0.28000000000000003</v>
          </cell>
          <cell r="G597">
            <v>0.28000000000000003</v>
          </cell>
        </row>
        <row r="598">
          <cell r="B598" t="str">
            <v>1/4" Aircraft Cable, material cost only</v>
          </cell>
          <cell r="C598" t="str">
            <v>L.F.</v>
          </cell>
          <cell r="D598" t="str">
            <v>-</v>
          </cell>
          <cell r="E598" t="str">
            <v>20.2.8</v>
          </cell>
          <cell r="F598">
            <v>0.36</v>
          </cell>
          <cell r="G598">
            <v>0.36</v>
          </cell>
        </row>
        <row r="599">
          <cell r="B599" t="str">
            <v>Swaging Tool, material cost only</v>
          </cell>
          <cell r="C599" t="str">
            <v>EA.</v>
          </cell>
          <cell r="D599" t="str">
            <v>-</v>
          </cell>
          <cell r="E599" t="str">
            <v>20.2.9</v>
          </cell>
          <cell r="F599">
            <v>189</v>
          </cell>
          <cell r="G599">
            <v>189</v>
          </cell>
        </row>
        <row r="600">
          <cell r="B600" t="str">
            <v>Soil testing, Atterberg limits, liquid and plastic limits</v>
          </cell>
          <cell r="C600" t="str">
            <v>Ea.</v>
          </cell>
          <cell r="D600" t="str">
            <v>ASTM's</v>
          </cell>
          <cell r="E600">
            <v>0</v>
          </cell>
          <cell r="F600">
            <v>65</v>
          </cell>
          <cell r="G600">
            <v>74.75</v>
          </cell>
        </row>
        <row r="601">
          <cell r="B601" t="str">
            <v>Soil testing, Hydrometer analysis</v>
          </cell>
          <cell r="C601" t="str">
            <v>Ea.</v>
          </cell>
          <cell r="D601" t="str">
            <v>ASTM's</v>
          </cell>
          <cell r="E601">
            <v>0</v>
          </cell>
          <cell r="F601">
            <v>120</v>
          </cell>
          <cell r="G601">
            <v>138</v>
          </cell>
        </row>
        <row r="602">
          <cell r="B602" t="str">
            <v>Soil testing, Specific gravity</v>
          </cell>
          <cell r="C602" t="str">
            <v>Ea.</v>
          </cell>
          <cell r="D602" t="str">
            <v>ASTM's</v>
          </cell>
          <cell r="E602">
            <v>0</v>
          </cell>
          <cell r="F602">
            <v>48</v>
          </cell>
          <cell r="G602">
            <v>55.2</v>
          </cell>
        </row>
        <row r="603">
          <cell r="B603" t="str">
            <v>Soil testing, Sieve analysis, washed</v>
          </cell>
          <cell r="C603" t="str">
            <v>Ea.</v>
          </cell>
          <cell r="D603" t="str">
            <v>ASTM's</v>
          </cell>
          <cell r="E603">
            <v>0</v>
          </cell>
          <cell r="F603">
            <v>60</v>
          </cell>
          <cell r="G603">
            <v>69</v>
          </cell>
        </row>
        <row r="604">
          <cell r="B604" t="str">
            <v>Soil testing, Moisture content</v>
          </cell>
          <cell r="C604" t="str">
            <v>Ea.</v>
          </cell>
          <cell r="D604" t="str">
            <v>ASTM's</v>
          </cell>
          <cell r="E604">
            <v>0</v>
          </cell>
          <cell r="F604">
            <v>10</v>
          </cell>
          <cell r="G604">
            <v>11.5</v>
          </cell>
        </row>
        <row r="605">
          <cell r="B605" t="str">
            <v>Soil testing, permeability test, double ring infiltrometer</v>
          </cell>
          <cell r="C605" t="str">
            <v>Ea.</v>
          </cell>
          <cell r="D605" t="str">
            <v>ASTM's</v>
          </cell>
          <cell r="E605">
            <v>0</v>
          </cell>
          <cell r="F605">
            <v>550</v>
          </cell>
          <cell r="G605">
            <v>632.5</v>
          </cell>
        </row>
        <row r="606">
          <cell r="B606" t="str">
            <v>Soil testing, permeability, variable or constant head, undisturbed</v>
          </cell>
          <cell r="C606" t="str">
            <v>Ea.</v>
          </cell>
          <cell r="D606" t="str">
            <v>ASTM's</v>
          </cell>
          <cell r="E606">
            <v>0</v>
          </cell>
          <cell r="F606">
            <v>250</v>
          </cell>
          <cell r="G606">
            <v>287.5</v>
          </cell>
        </row>
        <row r="607">
          <cell r="B607" t="str">
            <v>Soil testing, Proctor compaction, 4" standard mold</v>
          </cell>
          <cell r="C607" t="str">
            <v>Ea.</v>
          </cell>
          <cell r="D607" t="str">
            <v>ASTM's</v>
          </cell>
          <cell r="E607">
            <v>0</v>
          </cell>
          <cell r="F607">
            <v>135</v>
          </cell>
          <cell r="G607">
            <v>155.25</v>
          </cell>
        </row>
        <row r="608">
          <cell r="B608" t="str">
            <v>Soil testing, Proctor compaction, 6" modified mold</v>
          </cell>
          <cell r="C608" t="str">
            <v>Ea.</v>
          </cell>
          <cell r="D608" t="str">
            <v>ASTM's</v>
          </cell>
          <cell r="E608">
            <v>0</v>
          </cell>
          <cell r="F608">
            <v>75</v>
          </cell>
          <cell r="G608">
            <v>86.25</v>
          </cell>
        </row>
        <row r="609">
          <cell r="B609" t="str">
            <v>Test pits, loader/backhoe, light soil</v>
          </cell>
          <cell r="C609" t="str">
            <v>C.Y.</v>
          </cell>
          <cell r="D609" t="str">
            <v>1,5,11</v>
          </cell>
          <cell r="E609">
            <v>0</v>
          </cell>
          <cell r="F609">
            <v>32.5</v>
          </cell>
          <cell r="G609">
            <v>35.130000000000003</v>
          </cell>
        </row>
        <row r="610">
          <cell r="B610" t="str">
            <v>Test pits, loader/backhoe, heavy soil</v>
          </cell>
          <cell r="C610" t="str">
            <v>C.Y.</v>
          </cell>
          <cell r="D610" t="str">
            <v>1,5,11</v>
          </cell>
          <cell r="E610">
            <v>0</v>
          </cell>
          <cell r="F610">
            <v>45.5</v>
          </cell>
          <cell r="G610">
            <v>49.19</v>
          </cell>
        </row>
        <row r="611">
          <cell r="B611" t="str">
            <v>Test pits, subsurface exploration, mobilization</v>
          </cell>
          <cell r="C611" t="str">
            <v>Mile</v>
          </cell>
          <cell r="D611" t="str">
            <v>1,5,11</v>
          </cell>
          <cell r="E611">
            <v>0</v>
          </cell>
          <cell r="F611">
            <v>6.3</v>
          </cell>
          <cell r="G611">
            <v>6.81</v>
          </cell>
        </row>
        <row r="612">
          <cell r="B612" t="str">
            <v>Soil Testing, waste storage pond</v>
          </cell>
          <cell r="C612" t="str">
            <v>EA.</v>
          </cell>
          <cell r="D612" t="str">
            <v>-</v>
          </cell>
          <cell r="E612" t="str">
            <v>6.8.13</v>
          </cell>
          <cell r="F612">
            <v>880</v>
          </cell>
          <cell r="G612">
            <v>1012</v>
          </cell>
        </row>
        <row r="613">
          <cell r="B613" t="str">
            <v>Test pits - for waste storage pond</v>
          </cell>
          <cell r="C613" t="str">
            <v>EA.</v>
          </cell>
          <cell r="D613" t="str">
            <v>1,5,11</v>
          </cell>
          <cell r="E613" t="str">
            <v>6.8.12</v>
          </cell>
          <cell r="F613">
            <v>300</v>
          </cell>
          <cell r="G613">
            <v>345</v>
          </cell>
        </row>
        <row r="614">
          <cell r="B614" t="str">
            <v>Soil Test, gradation, atterberg, proctor &amp; permeability</v>
          </cell>
          <cell r="C614" t="str">
            <v>EA.</v>
          </cell>
          <cell r="D614" t="str">
            <v>ASTM's</v>
          </cell>
          <cell r="E614" t="str">
            <v>6.8.8</v>
          </cell>
          <cell r="F614">
            <v>628</v>
          </cell>
          <cell r="G614">
            <v>722.2</v>
          </cell>
        </row>
        <row r="615">
          <cell r="B615" t="str">
            <v>Forest Stand Improvement (666)-marking and cutting</v>
          </cell>
          <cell r="C615" t="str">
            <v>ACRE</v>
          </cell>
          <cell r="D615" t="str">
            <v>-</v>
          </cell>
          <cell r="E615" t="str">
            <v>1.18.18</v>
          </cell>
          <cell r="F615">
            <v>180</v>
          </cell>
          <cell r="G615">
            <v>180</v>
          </cell>
        </row>
        <row r="616">
          <cell r="B616" t="str">
            <v>Tree Planting-Conifers, all components tubling, reforestation</v>
          </cell>
          <cell r="C616" t="str">
            <v>ACRE</v>
          </cell>
          <cell r="D616">
            <v>0</v>
          </cell>
          <cell r="E616" t="str">
            <v>1.17.0</v>
          </cell>
          <cell r="F616">
            <v>490</v>
          </cell>
          <cell r="G616">
            <v>490</v>
          </cell>
        </row>
        <row r="617">
          <cell r="B617" t="str">
            <v>Tree Planting - Hardwood trees, mat, stake, protector &amp; planting (AC)</v>
          </cell>
          <cell r="C617" t="str">
            <v>ACRE</v>
          </cell>
          <cell r="D617" t="str">
            <v>-</v>
          </cell>
          <cell r="E617" t="str">
            <v>1.17.1</v>
          </cell>
          <cell r="F617">
            <v>2500</v>
          </cell>
          <cell r="G617">
            <v>2500</v>
          </cell>
        </row>
        <row r="618">
          <cell r="B618" t="str">
            <v>Tree Planting - Hardwood trees, mat, stake, protector &amp; planting (EA)</v>
          </cell>
          <cell r="C618" t="str">
            <v>EA.</v>
          </cell>
          <cell r="D618" t="str">
            <v>-</v>
          </cell>
          <cell r="E618" t="str">
            <v>1.17.2</v>
          </cell>
          <cell r="F618">
            <v>6.75</v>
          </cell>
          <cell r="G618">
            <v>6.75</v>
          </cell>
        </row>
        <row r="619">
          <cell r="B619" t="str">
            <v>Tree, conifers 12-18"</v>
          </cell>
          <cell r="C619" t="str">
            <v>EA.</v>
          </cell>
          <cell r="D619">
            <v>0</v>
          </cell>
          <cell r="E619" t="str">
            <v>1.18.10</v>
          </cell>
          <cell r="F619">
            <v>1.6</v>
          </cell>
          <cell r="G619">
            <v>1.6</v>
          </cell>
        </row>
        <row r="620">
          <cell r="B620" t="str">
            <v>Tree/shrub Planting: Brush mat, stake, protector, plant and planting</v>
          </cell>
          <cell r="C620" t="str">
            <v>EA.</v>
          </cell>
          <cell r="D620">
            <v>0</v>
          </cell>
          <cell r="E620" t="str">
            <v>1.18.11</v>
          </cell>
          <cell r="F620">
            <v>6.75</v>
          </cell>
          <cell r="G620">
            <v>6.75</v>
          </cell>
        </row>
        <row r="621">
          <cell r="B621" t="str">
            <v>Tree/Shrub, deciduous (bareroot)</v>
          </cell>
          <cell r="C621" t="str">
            <v>EA.</v>
          </cell>
          <cell r="D621">
            <v>0</v>
          </cell>
          <cell r="E621" t="str">
            <v>1.18.12</v>
          </cell>
          <cell r="F621">
            <v>1</v>
          </cell>
          <cell r="G621">
            <v>1</v>
          </cell>
        </row>
        <row r="622">
          <cell r="B622" t="str">
            <v>Trees, hardwood, 6 ft bare root</v>
          </cell>
          <cell r="C622" t="str">
            <v>EA.</v>
          </cell>
          <cell r="D622">
            <v>0</v>
          </cell>
          <cell r="E622" t="str">
            <v>1.18.13</v>
          </cell>
          <cell r="F622">
            <v>7</v>
          </cell>
          <cell r="G622">
            <v>7</v>
          </cell>
        </row>
        <row r="623">
          <cell r="B623" t="str">
            <v>Tublings, conifers (6" +)</v>
          </cell>
          <cell r="C623" t="str">
            <v>EA.</v>
          </cell>
          <cell r="D623">
            <v>0</v>
          </cell>
          <cell r="E623" t="str">
            <v>1.18.15</v>
          </cell>
          <cell r="F623">
            <v>0.35</v>
          </cell>
          <cell r="G623">
            <v>0.35</v>
          </cell>
        </row>
        <row r="624">
          <cell r="B624" t="str">
            <v>Weed Mats (biodegradable)</v>
          </cell>
          <cell r="C624" t="str">
            <v>EA.</v>
          </cell>
          <cell r="D624">
            <v>0</v>
          </cell>
          <cell r="E624" t="str">
            <v>1.18.16</v>
          </cell>
          <cell r="F624">
            <v>0.5</v>
          </cell>
          <cell r="G624">
            <v>0.5</v>
          </cell>
        </row>
        <row r="625">
          <cell r="B625" t="str">
            <v>Weed Mats (Plastic or Biodegradable)</v>
          </cell>
          <cell r="C625" t="str">
            <v>EA.</v>
          </cell>
          <cell r="D625">
            <v>0</v>
          </cell>
          <cell r="E625" t="str">
            <v>1.18.17</v>
          </cell>
          <cell r="F625">
            <v>0.5</v>
          </cell>
          <cell r="G625">
            <v>0.5</v>
          </cell>
        </row>
        <row r="626">
          <cell r="B626" t="str">
            <v>Forestry, Timber Stand Improvement (TSI) girdling</v>
          </cell>
          <cell r="C626" t="str">
            <v>ACRE</v>
          </cell>
          <cell r="D626">
            <v>0</v>
          </cell>
          <cell r="E626" t="str">
            <v>1.18.2</v>
          </cell>
          <cell r="F626">
            <v>100</v>
          </cell>
          <cell r="G626">
            <v>100</v>
          </cell>
        </row>
        <row r="627">
          <cell r="B627" t="str">
            <v xml:space="preserve">Forestry, Timber Stand Improvement (TSI) Marking </v>
          </cell>
          <cell r="C627" t="str">
            <v>ACRE</v>
          </cell>
          <cell r="D627">
            <v>0</v>
          </cell>
          <cell r="E627" t="str">
            <v>1.18.3</v>
          </cell>
          <cell r="F627">
            <v>30</v>
          </cell>
          <cell r="G627">
            <v>30</v>
          </cell>
        </row>
        <row r="628">
          <cell r="B628" t="str">
            <v>Forestry, Timber Stand Improvement (TSI), Brush saw</v>
          </cell>
          <cell r="C628" t="str">
            <v>ACRE</v>
          </cell>
          <cell r="D628">
            <v>0</v>
          </cell>
          <cell r="E628" t="str">
            <v>1.18.4</v>
          </cell>
          <cell r="F628">
            <v>159</v>
          </cell>
          <cell r="G628">
            <v>159</v>
          </cell>
        </row>
        <row r="629">
          <cell r="B629" t="str">
            <v>Forestry, Timber Stand Improvement (TSI), chain saw</v>
          </cell>
          <cell r="C629" t="str">
            <v>ACRE</v>
          </cell>
          <cell r="D629">
            <v>0</v>
          </cell>
          <cell r="E629" t="str">
            <v>1.18.5</v>
          </cell>
          <cell r="F629">
            <v>150</v>
          </cell>
          <cell r="G629">
            <v>150</v>
          </cell>
        </row>
        <row r="630">
          <cell r="B630" t="str">
            <v>Seedbed preparation</v>
          </cell>
          <cell r="C630" t="str">
            <v>ACRE</v>
          </cell>
          <cell r="D630">
            <v>0</v>
          </cell>
          <cell r="E630" t="str">
            <v>1.18.6</v>
          </cell>
          <cell r="F630">
            <v>200</v>
          </cell>
          <cell r="G630">
            <v>200</v>
          </cell>
        </row>
        <row r="631">
          <cell r="B631" t="str">
            <v>Shrub Planting: Brush mat, stake, protector, plant and planting</v>
          </cell>
          <cell r="C631" t="str">
            <v>EA.</v>
          </cell>
          <cell r="D631">
            <v>0</v>
          </cell>
          <cell r="E631" t="str">
            <v>1.18.7</v>
          </cell>
          <cell r="F631">
            <v>6.75</v>
          </cell>
          <cell r="G631">
            <v>6.75</v>
          </cell>
        </row>
        <row r="632">
          <cell r="B632" t="str">
            <v>Tree planting-riparian (all components, based on 370 stems)</v>
          </cell>
          <cell r="C632" t="str">
            <v>ACRE</v>
          </cell>
          <cell r="D632">
            <v>0</v>
          </cell>
          <cell r="E632" t="str">
            <v>1.18.8</v>
          </cell>
          <cell r="F632">
            <v>2500</v>
          </cell>
          <cell r="G632">
            <v>2500</v>
          </cell>
        </row>
        <row r="633">
          <cell r="B633" t="str">
            <v>Tree Protectors</v>
          </cell>
          <cell r="C633" t="str">
            <v>EA.</v>
          </cell>
          <cell r="D633">
            <v>0</v>
          </cell>
          <cell r="E633" t="str">
            <v>1.18.9</v>
          </cell>
          <cell r="F633">
            <v>3.5</v>
          </cell>
          <cell r="G633">
            <v>3.5</v>
          </cell>
        </row>
        <row r="634">
          <cell r="B634" t="str">
            <v>Clearing &amp; Grubbing (ACRE)</v>
          </cell>
          <cell r="C634" t="str">
            <v>ACRE</v>
          </cell>
          <cell r="D634" t="str">
            <v>1,5,11</v>
          </cell>
          <cell r="E634" t="str">
            <v>6.4.2</v>
          </cell>
          <cell r="F634">
            <v>2500</v>
          </cell>
          <cell r="G634">
            <v>2500</v>
          </cell>
        </row>
        <row r="635">
          <cell r="B635" t="str">
            <v>Clearing &amp; Grubbing (EACH)</v>
          </cell>
          <cell r="C635" t="str">
            <v>EA.</v>
          </cell>
          <cell r="D635" t="str">
            <v>1,5,11</v>
          </cell>
          <cell r="E635" t="str">
            <v>6.4.3</v>
          </cell>
          <cell r="F635">
            <v>9.1</v>
          </cell>
          <cell r="G635">
            <v>9.1</v>
          </cell>
        </row>
        <row r="636">
          <cell r="B636" t="str">
            <v>Guillotine Safety Valve, 16" dia. , material cost only</v>
          </cell>
          <cell r="C636" t="str">
            <v>EA.</v>
          </cell>
          <cell r="D636">
            <v>41</v>
          </cell>
          <cell r="E636" t="str">
            <v>18.2.5</v>
          </cell>
          <cell r="F636">
            <v>1891</v>
          </cell>
          <cell r="G636">
            <v>2174.65</v>
          </cell>
        </row>
        <row r="637">
          <cell r="B637" t="str">
            <v>Guillotine Safety Valve, 12" dia. , material cost only</v>
          </cell>
          <cell r="C637" t="str">
            <v>EA.</v>
          </cell>
          <cell r="D637">
            <v>41</v>
          </cell>
          <cell r="E637" t="str">
            <v>18.2.6</v>
          </cell>
          <cell r="F637">
            <v>1834</v>
          </cell>
          <cell r="G637">
            <v>2109.1</v>
          </cell>
        </row>
        <row r="638">
          <cell r="B638" t="str">
            <v>Guillotine Safety Valve, 8" dia. , material cost only</v>
          </cell>
          <cell r="C638" t="str">
            <v>EA.</v>
          </cell>
          <cell r="D638">
            <v>41</v>
          </cell>
          <cell r="E638" t="str">
            <v>18.2.7</v>
          </cell>
          <cell r="F638">
            <v>812</v>
          </cell>
          <cell r="G638">
            <v>933.8</v>
          </cell>
        </row>
        <row r="639">
          <cell r="B639" t="str">
            <v>Guillotine Safety Valve, 6" dia. , material cost only</v>
          </cell>
          <cell r="C639" t="str">
            <v>EA.</v>
          </cell>
          <cell r="D639">
            <v>41</v>
          </cell>
          <cell r="E639" t="str">
            <v>18.2.8</v>
          </cell>
          <cell r="F639">
            <v>735</v>
          </cell>
          <cell r="G639">
            <v>845.25</v>
          </cell>
        </row>
        <row r="640">
          <cell r="B640" t="str">
            <v>Guillotine Inlet Valve, Gravity System, 30" or 36" Pipe, fabricated</v>
          </cell>
          <cell r="C640" t="str">
            <v>EA.</v>
          </cell>
          <cell r="D640" t="str">
            <v>11,31</v>
          </cell>
          <cell r="E640" t="str">
            <v>24.11.1</v>
          </cell>
          <cell r="F640">
            <v>800</v>
          </cell>
          <cell r="G640">
            <v>920</v>
          </cell>
        </row>
        <row r="641">
          <cell r="B641" t="str">
            <v>Pushoff Safety Stop</v>
          </cell>
          <cell r="C641" t="str">
            <v>EA.</v>
          </cell>
          <cell r="D641" t="str">
            <v>31,46</v>
          </cell>
          <cell r="E641" t="str">
            <v>24.12.0</v>
          </cell>
          <cell r="F641">
            <v>500</v>
          </cell>
          <cell r="G641">
            <v>575</v>
          </cell>
        </row>
        <row r="642">
          <cell r="B642" t="str">
            <v>Safety Signs, Structure or Hopper</v>
          </cell>
          <cell r="C642" t="str">
            <v>EA.</v>
          </cell>
          <cell r="D642">
            <v>50</v>
          </cell>
          <cell r="E642" t="str">
            <v>24.12.1</v>
          </cell>
          <cell r="F642">
            <v>15</v>
          </cell>
          <cell r="G642">
            <v>17.25</v>
          </cell>
        </row>
        <row r="643">
          <cell r="B643" t="str">
            <v>Manure Pump, Agitator/Unload, trailer type, PTO type</v>
          </cell>
          <cell r="C643" t="str">
            <v>EA.</v>
          </cell>
          <cell r="D643">
            <v>51</v>
          </cell>
          <cell r="E643" t="str">
            <v>24.3.1</v>
          </cell>
          <cell r="F643">
            <v>17000</v>
          </cell>
          <cell r="G643">
            <v>19550</v>
          </cell>
        </row>
        <row r="644">
          <cell r="B644" t="str">
            <v>Manure Pump, Agitator/Unload, vertical wall type, 3pt hitch, PTO type</v>
          </cell>
          <cell r="C644" t="str">
            <v>EA.</v>
          </cell>
          <cell r="D644">
            <v>51</v>
          </cell>
          <cell r="E644" t="str">
            <v>24.3.4</v>
          </cell>
          <cell r="F644">
            <v>16150</v>
          </cell>
          <cell r="G644">
            <v>18572.5</v>
          </cell>
        </row>
        <row r="645">
          <cell r="B645" t="str">
            <v>Manure Pump, Auger, w/ electric motor</v>
          </cell>
          <cell r="C645" t="str">
            <v>EA.</v>
          </cell>
          <cell r="D645">
            <v>51</v>
          </cell>
          <cell r="E645" t="str">
            <v>24.3.5</v>
          </cell>
          <cell r="F645">
            <v>6000</v>
          </cell>
          <cell r="G645">
            <v>6900</v>
          </cell>
        </row>
        <row r="646">
          <cell r="B646" t="str">
            <v>Manure Pump, 4" Electric, w/ ~10hp motor</v>
          </cell>
          <cell r="C646" t="str">
            <v>EA.</v>
          </cell>
          <cell r="D646">
            <v>51</v>
          </cell>
          <cell r="E646" t="str">
            <v>24.3.6</v>
          </cell>
          <cell r="F646">
            <v>3650</v>
          </cell>
          <cell r="G646">
            <v>4197.5</v>
          </cell>
        </row>
        <row r="647">
          <cell r="B647" t="str">
            <v>Manure, Elevator, 40ft</v>
          </cell>
          <cell r="C647" t="str">
            <v>EA.</v>
          </cell>
          <cell r="D647">
            <v>51</v>
          </cell>
          <cell r="E647" t="str">
            <v>24.4.1</v>
          </cell>
          <cell r="F647">
            <v>13200</v>
          </cell>
          <cell r="G647">
            <v>15180</v>
          </cell>
        </row>
        <row r="648">
          <cell r="B648" t="str">
            <v>Manure, Elevator, 60ft</v>
          </cell>
          <cell r="C648" t="str">
            <v>EA.</v>
          </cell>
          <cell r="D648">
            <v>51</v>
          </cell>
          <cell r="E648" t="str">
            <v>24.4.2</v>
          </cell>
          <cell r="F648">
            <v>15100</v>
          </cell>
          <cell r="G648">
            <v>17365</v>
          </cell>
        </row>
        <row r="649">
          <cell r="B649" t="str">
            <v>Manure Pump, Air System</v>
          </cell>
          <cell r="C649" t="str">
            <v>EA.</v>
          </cell>
          <cell r="D649">
            <v>51</v>
          </cell>
          <cell r="E649" t="str">
            <v>24.5.1</v>
          </cell>
          <cell r="F649">
            <v>19000</v>
          </cell>
          <cell r="G649">
            <v>21850</v>
          </cell>
        </row>
        <row r="650">
          <cell r="B650" t="str">
            <v xml:space="preserve">Manure Pump, Hollow Piston Type, no conc. work , inc. minimal wiring </v>
          </cell>
          <cell r="C650" t="str">
            <v>EA.</v>
          </cell>
          <cell r="D650">
            <v>51</v>
          </cell>
          <cell r="E650" t="str">
            <v>24.5.3</v>
          </cell>
          <cell r="F650">
            <v>15500</v>
          </cell>
          <cell r="G650">
            <v>17825</v>
          </cell>
        </row>
        <row r="651">
          <cell r="B651" t="str">
            <v>Manure Agitator, propeller w/ electric motor</v>
          </cell>
          <cell r="C651" t="str">
            <v>EA.</v>
          </cell>
          <cell r="D651">
            <v>51</v>
          </cell>
          <cell r="E651" t="str">
            <v>24.5.4</v>
          </cell>
          <cell r="F651">
            <v>4200</v>
          </cell>
          <cell r="G651">
            <v>4830</v>
          </cell>
        </row>
        <row r="652">
          <cell r="B652" t="str">
            <v xml:space="preserve">Manure Pump, Solid Piston Type, no conc. work , inc. minimal wiring </v>
          </cell>
          <cell r="C652" t="str">
            <v>EA.</v>
          </cell>
          <cell r="D652">
            <v>51</v>
          </cell>
          <cell r="E652" t="str">
            <v>24.5.7</v>
          </cell>
          <cell r="F652">
            <v>17500</v>
          </cell>
          <cell r="G652">
            <v>20125</v>
          </cell>
        </row>
        <row r="653">
          <cell r="B653" t="str">
            <v>Floculation Tank, milkhouse</v>
          </cell>
          <cell r="C653" t="str">
            <v>EA.</v>
          </cell>
          <cell r="D653" t="str">
            <v>41,51</v>
          </cell>
          <cell r="E653" t="str">
            <v>24.6.16</v>
          </cell>
          <cell r="F653">
            <v>4495</v>
          </cell>
          <cell r="G653">
            <v>5169.25</v>
          </cell>
        </row>
        <row r="654">
          <cell r="B654" t="str">
            <v>Hydraulic Transfer Pump</v>
          </cell>
          <cell r="C654" t="str">
            <v>EA.</v>
          </cell>
          <cell r="D654">
            <v>51</v>
          </cell>
          <cell r="E654" t="str">
            <v>24.7.11</v>
          </cell>
          <cell r="F654">
            <v>2000</v>
          </cell>
          <cell r="G654">
            <v>2300</v>
          </cell>
        </row>
        <row r="655">
          <cell r="B655" t="str">
            <v>Sewage Pump, 2" solids handling, 1.5 - 2hp</v>
          </cell>
          <cell r="C655" t="str">
            <v>EA.</v>
          </cell>
          <cell r="D655">
            <v>51</v>
          </cell>
          <cell r="E655" t="str">
            <v>24.7.2</v>
          </cell>
          <cell r="F655">
            <v>2000</v>
          </cell>
          <cell r="G655">
            <v>2300</v>
          </cell>
        </row>
        <row r="656">
          <cell r="B656" t="str">
            <v>Sewage Pump, 3" Agitator Type, vertical shaft, 3 - 5hp motor</v>
          </cell>
          <cell r="C656" t="str">
            <v>EA.</v>
          </cell>
          <cell r="D656">
            <v>51</v>
          </cell>
          <cell r="E656" t="str">
            <v>24.7.3</v>
          </cell>
          <cell r="F656">
            <v>2960</v>
          </cell>
          <cell r="G656">
            <v>3404</v>
          </cell>
        </row>
        <row r="657">
          <cell r="B657" t="str">
            <v>Sewage Pump, 2" solids handling, 0.5 - 1hp</v>
          </cell>
          <cell r="C657" t="str">
            <v>EA.</v>
          </cell>
          <cell r="D657">
            <v>51</v>
          </cell>
          <cell r="E657" t="str">
            <v>24.7.4</v>
          </cell>
          <cell r="F657">
            <v>1210</v>
          </cell>
          <cell r="G657">
            <v>1391.5</v>
          </cell>
        </row>
        <row r="658">
          <cell r="B658" t="str">
            <v>Sewage Pump, 3" solids handling, 1.5 - 5hp</v>
          </cell>
          <cell r="C658" t="str">
            <v>EA.</v>
          </cell>
          <cell r="D658">
            <v>51</v>
          </cell>
          <cell r="E658" t="str">
            <v>24.7.5</v>
          </cell>
          <cell r="F658">
            <v>4470</v>
          </cell>
          <cell r="G658">
            <v>5140.5</v>
          </cell>
        </row>
        <row r="659">
          <cell r="B659" t="str">
            <v xml:space="preserve">Sewage Pump, 2" solids handling, stainless steel, 0.5 - 1hp </v>
          </cell>
          <cell r="C659" t="str">
            <v>EA.</v>
          </cell>
          <cell r="D659">
            <v>51</v>
          </cell>
          <cell r="E659" t="str">
            <v>24.7.7</v>
          </cell>
          <cell r="F659">
            <v>2000</v>
          </cell>
          <cell r="G659">
            <v>2300</v>
          </cell>
        </row>
        <row r="660">
          <cell r="B660" t="str">
            <v>Silage Leachate Screen</v>
          </cell>
          <cell r="C660" t="str">
            <v>EA.</v>
          </cell>
          <cell r="D660">
            <v>51</v>
          </cell>
          <cell r="E660" t="str">
            <v>24.7.8</v>
          </cell>
          <cell r="F660">
            <v>75</v>
          </cell>
          <cell r="G660">
            <v>86.25</v>
          </cell>
        </row>
        <row r="661">
          <cell r="B661" t="str">
            <v>Silage Leachate Orifice</v>
          </cell>
          <cell r="C661" t="str">
            <v>EA.</v>
          </cell>
          <cell r="D661">
            <v>51</v>
          </cell>
          <cell r="E661" t="str">
            <v>24.7.9</v>
          </cell>
          <cell r="F661">
            <v>75</v>
          </cell>
          <cell r="G661">
            <v>86.25</v>
          </cell>
        </row>
        <row r="662">
          <cell r="B662" t="str">
            <v>Grate, Safety, over hopper</v>
          </cell>
          <cell r="C662" t="str">
            <v>EA.</v>
          </cell>
          <cell r="D662">
            <v>46</v>
          </cell>
          <cell r="E662" t="str">
            <v>24.9.0</v>
          </cell>
          <cell r="F662">
            <v>500</v>
          </cell>
          <cell r="G662">
            <v>575</v>
          </cell>
        </row>
        <row r="663">
          <cell r="B663" t="str">
            <v>Well, casing</v>
          </cell>
          <cell r="C663" t="str">
            <v>V.F.</v>
          </cell>
          <cell r="D663" t="str">
            <v>-</v>
          </cell>
          <cell r="E663" t="str">
            <v>25.4.1</v>
          </cell>
          <cell r="F663">
            <v>13</v>
          </cell>
          <cell r="G663">
            <v>14.95</v>
          </cell>
        </row>
        <row r="664">
          <cell r="B664" t="str">
            <v>Well, submersible pump</v>
          </cell>
          <cell r="C664" t="str">
            <v>EA.</v>
          </cell>
          <cell r="D664" t="str">
            <v>-</v>
          </cell>
          <cell r="E664" t="str">
            <v>25.4.2</v>
          </cell>
          <cell r="F664">
            <v>1000</v>
          </cell>
          <cell r="G664">
            <v>1150</v>
          </cell>
        </row>
        <row r="665">
          <cell r="B665" t="str">
            <v>Well, drilling</v>
          </cell>
          <cell r="C665" t="str">
            <v>V.F.</v>
          </cell>
          <cell r="D665" t="str">
            <v>-</v>
          </cell>
          <cell r="E665" t="str">
            <v>25.4.5</v>
          </cell>
          <cell r="F665">
            <v>9</v>
          </cell>
          <cell r="G665">
            <v>10.35</v>
          </cell>
        </row>
        <row r="666">
          <cell r="B666" t="str">
            <v>Apple Tree Release and Pruning</v>
          </cell>
          <cell r="C666" t="str">
            <v>EA.</v>
          </cell>
          <cell r="D666" t="str">
            <v>-</v>
          </cell>
          <cell r="E666" t="str">
            <v>27.1.1</v>
          </cell>
          <cell r="F666">
            <v>20</v>
          </cell>
          <cell r="G666">
            <v>20</v>
          </cell>
        </row>
        <row r="667">
          <cell r="B667" t="str">
            <v>Signs - WHIP Program</v>
          </cell>
          <cell r="C667" t="str">
            <v>EA.</v>
          </cell>
          <cell r="D667" t="str">
            <v>-</v>
          </cell>
          <cell r="E667" t="str">
            <v>27.1.10</v>
          </cell>
          <cell r="F667">
            <v>7.5</v>
          </cell>
          <cell r="G667">
            <v>7.5</v>
          </cell>
        </row>
        <row r="668">
          <cell r="B668" t="str">
            <v>Brushhogging, light duty</v>
          </cell>
          <cell r="C668" t="str">
            <v>ACRE</v>
          </cell>
          <cell r="D668" t="str">
            <v>-</v>
          </cell>
          <cell r="E668" t="str">
            <v>27.1.2</v>
          </cell>
          <cell r="F668">
            <v>25</v>
          </cell>
          <cell r="G668">
            <v>25</v>
          </cell>
        </row>
        <row r="669">
          <cell r="B669" t="str">
            <v>Brushhogging, heavy duty</v>
          </cell>
          <cell r="C669" t="str">
            <v>ACRE</v>
          </cell>
          <cell r="D669" t="str">
            <v>-</v>
          </cell>
          <cell r="E669" t="str">
            <v>27.1.3</v>
          </cell>
          <cell r="F669">
            <v>45</v>
          </cell>
          <cell r="G669">
            <v>45</v>
          </cell>
        </row>
        <row r="670">
          <cell r="B670" t="str">
            <v>Fencing Beavers (4' chicken wire)</v>
          </cell>
          <cell r="C670" t="str">
            <v>L.F.</v>
          </cell>
          <cell r="D670" t="str">
            <v>-</v>
          </cell>
          <cell r="E670" t="str">
            <v>27.1.4</v>
          </cell>
          <cell r="F670">
            <v>1.5</v>
          </cell>
          <cell r="G670">
            <v>1.5</v>
          </cell>
        </row>
        <row r="671">
          <cell r="B671" t="str">
            <v>Installation of beaver pipes</v>
          </cell>
          <cell r="C671" t="str">
            <v>EA.</v>
          </cell>
          <cell r="D671" t="str">
            <v>-</v>
          </cell>
          <cell r="E671" t="str">
            <v>27.1.5</v>
          </cell>
          <cell r="F671">
            <v>440</v>
          </cell>
          <cell r="G671">
            <v>440</v>
          </cell>
        </row>
        <row r="672">
          <cell r="B672" t="str">
            <v>Lunker box (installed)</v>
          </cell>
          <cell r="C672" t="str">
            <v>EA.</v>
          </cell>
          <cell r="D672" t="str">
            <v>-</v>
          </cell>
          <cell r="E672" t="str">
            <v>27.1.6</v>
          </cell>
          <cell r="F672">
            <v>250</v>
          </cell>
          <cell r="G672">
            <v>250</v>
          </cell>
        </row>
        <row r="673">
          <cell r="B673" t="str">
            <v>Mast Tree Release</v>
          </cell>
          <cell r="C673" t="str">
            <v>EA.</v>
          </cell>
          <cell r="D673" t="str">
            <v>-</v>
          </cell>
          <cell r="E673" t="str">
            <v>27.1.7</v>
          </cell>
          <cell r="F673">
            <v>20</v>
          </cell>
          <cell r="G673">
            <v>20</v>
          </cell>
        </row>
        <row r="674">
          <cell r="B674" t="str">
            <v>Vegetation Restoration – herbaceous plants (2" plugs)</v>
          </cell>
          <cell r="C674" t="str">
            <v>EA.</v>
          </cell>
          <cell r="D674" t="str">
            <v>-</v>
          </cell>
          <cell r="E674" t="str">
            <v>27.1.8</v>
          </cell>
          <cell r="F674">
            <v>2</v>
          </cell>
          <cell r="G674">
            <v>2</v>
          </cell>
        </row>
        <row r="675">
          <cell r="B675" t="str">
            <v>Vegetative Restoration – wetland seeding</v>
          </cell>
          <cell r="C675" t="str">
            <v>ACRE</v>
          </cell>
          <cell r="D675" t="str">
            <v>-</v>
          </cell>
          <cell r="E675" t="str">
            <v>27.1.9</v>
          </cell>
          <cell r="F675">
            <v>750</v>
          </cell>
          <cell r="G675">
            <v>750</v>
          </cell>
        </row>
        <row r="676">
          <cell r="B676" t="str">
            <v>Earthen Pond - incl. excavation, fence, gates, seed, pads, tile drainage</v>
          </cell>
          <cell r="C676" t="str">
            <v>C.F.</v>
          </cell>
          <cell r="D676" t="str">
            <v>1,5,11,31,50,52</v>
          </cell>
          <cell r="E676" t="str">
            <v>26.1.0</v>
          </cell>
          <cell r="F676" t="str">
            <v>NoCostYet</v>
          </cell>
          <cell r="G676" t="str">
            <v>NoCostYet</v>
          </cell>
        </row>
        <row r="677">
          <cell r="B677" t="str">
            <v>Soil Lined Pond - incl. excav.,liner, fence, gates, seed, pads, tile drainage</v>
          </cell>
          <cell r="C677" t="str">
            <v>C.F.</v>
          </cell>
          <cell r="D677" t="str">
            <v>1,5,11,31,50,52</v>
          </cell>
          <cell r="E677" t="str">
            <v>26.1.1</v>
          </cell>
          <cell r="F677" t="str">
            <v>NoCostYet</v>
          </cell>
          <cell r="G677" t="str">
            <v>NoCostYet</v>
          </cell>
        </row>
        <row r="678">
          <cell r="B678" t="str">
            <v>Synthetic Lined Pond-incl. excav.,liner, fence, gates, seed, pads, tile drainage</v>
          </cell>
          <cell r="C678" t="str">
            <v>C.F.</v>
          </cell>
          <cell r="D678" t="str">
            <v>1,5,11,31,50,52</v>
          </cell>
          <cell r="E678" t="str">
            <v>26.1.2</v>
          </cell>
          <cell r="F678" t="str">
            <v>NoCostYet</v>
          </cell>
          <cell r="G678" t="str">
            <v>NoCostYet</v>
          </cell>
        </row>
        <row r="679">
          <cell r="B679" t="str">
            <v>Circular Concrete Structure- incl. excav., fence, gates, seed, pump pads, tile drainage</v>
          </cell>
          <cell r="C679" t="str">
            <v>C.F.</v>
          </cell>
          <cell r="D679" t="str">
            <v>1,5,11,31,50,52</v>
          </cell>
          <cell r="E679" t="str">
            <v>26.1.3</v>
          </cell>
          <cell r="F679" t="str">
            <v>NoCostYet</v>
          </cell>
          <cell r="G679" t="str">
            <v>NoCostYet</v>
          </cell>
        </row>
      </sheetData>
      <sheetData sheetId="7">
        <row r="9">
          <cell r="B9" t="str">
            <v>Concrete testing, compressive strength test, incl. delivery to lab per cylinder</v>
          </cell>
        </row>
        <row r="10">
          <cell r="B10" t="str">
            <v>Concrete testing, compressive strength test, incl. picked up by lab, average</v>
          </cell>
        </row>
        <row r="11">
          <cell r="B11" t="str">
            <v>Soil testing, Atterberg limits, liquid and plastic limits</v>
          </cell>
        </row>
        <row r="12">
          <cell r="B12" t="str">
            <v>Soil testing, Hydrometer analysis</v>
          </cell>
        </row>
        <row r="13">
          <cell r="B13" t="str">
            <v>Soil testing, Specific gravity</v>
          </cell>
        </row>
        <row r="14">
          <cell r="B14" t="str">
            <v>Soil testing, Sieve analysis, washed</v>
          </cell>
        </row>
        <row r="15">
          <cell r="B15" t="str">
            <v>Soil testing, Moisture content</v>
          </cell>
        </row>
        <row r="16">
          <cell r="B16" t="str">
            <v>Soil testing, permeability test, double ring infiltrometer</v>
          </cell>
        </row>
        <row r="17">
          <cell r="B17" t="str">
            <v>Soil testing, permeability, variable or constant head, undisturbed</v>
          </cell>
        </row>
        <row r="18">
          <cell r="B18" t="str">
            <v>Soil testing, Proctor compaction, 4" standard mold</v>
          </cell>
        </row>
        <row r="19">
          <cell r="B19" t="str">
            <v>Soil testing, Proctor compaction, 6" modified mold</v>
          </cell>
        </row>
        <row r="20">
          <cell r="B20" t="str">
            <v>Topsoil, weed free, spread with 200 H.P. dozer, includes load and haul, 2 miles RT.</v>
          </cell>
        </row>
        <row r="21">
          <cell r="B21" t="str">
            <v>Test pits, loader/backhoe, light soil</v>
          </cell>
        </row>
        <row r="22">
          <cell r="B22" t="str">
            <v>Test pits, loader/backhoe, heavy soil</v>
          </cell>
        </row>
        <row r="23">
          <cell r="B23" t="str">
            <v>Test pits, subsurface exploration, mobilization</v>
          </cell>
        </row>
        <row r="24">
          <cell r="B24" t="str">
            <v>Demolition-footing, floor, concrete slab on grade, plain concrete, 4" thick</v>
          </cell>
        </row>
        <row r="25">
          <cell r="B25" t="str">
            <v>Demolition-footings, floors, concrete slab on grade, concrete, wwf, 4" thick</v>
          </cell>
        </row>
        <row r="26">
          <cell r="B26" t="str">
            <v>Demolition-footings, floors, concrete slab on grade, plain concrete, 6" thick</v>
          </cell>
        </row>
        <row r="27">
          <cell r="B27" t="str">
            <v>Demolition-footings, floors, concrete slab on grade, concrete, wwf, 6" thick</v>
          </cell>
        </row>
        <row r="28">
          <cell r="B28" t="str">
            <v>Minor demolition, slab on grade, plain, remove, excludes hauling</v>
          </cell>
        </row>
        <row r="29">
          <cell r="B29" t="str">
            <v>Minor demolition, slab on grade , wwf, 8" thick, remove, exc. hauling</v>
          </cell>
        </row>
        <row r="30">
          <cell r="B30" t="str">
            <v>Minor demolition, slab on grade , rebar, 8" thick, remove, exc. hauling</v>
          </cell>
        </row>
        <row r="31">
          <cell r="B31" t="str">
            <v>Cutout demolition, slab on grade, non-reinforced, to 6" thick, under 8 S.F., excludes loading and disposal</v>
          </cell>
        </row>
        <row r="32">
          <cell r="B32" t="str">
            <v>Cutout demolition, slab on grade, non-reinforced, to 6" thick, 8-16 S.F., excludes loading and disposal</v>
          </cell>
        </row>
        <row r="33">
          <cell r="B33" t="str">
            <v>Saw cutting, asphalt, up to 3" deep</v>
          </cell>
        </row>
        <row r="34">
          <cell r="B34" t="str">
            <v>Saw cutting, asphalt, over 1000', each additional inch of depth over 3"</v>
          </cell>
        </row>
        <row r="35">
          <cell r="B35" t="str">
            <v>Saw cutting, concrete slabs, mesh reinforcing, per inch of depth to 3" deep</v>
          </cell>
        </row>
        <row r="36">
          <cell r="B36" t="str">
            <v>Saw cutting, concrete slab, rebar, each additional inch of depth over 3"</v>
          </cell>
        </row>
        <row r="37">
          <cell r="B37" t="str">
            <v>Stripping, topsoil, sandy loam, ideal conditions, 200 H.P. dozer, stripping &amp; stockpile</v>
          </cell>
        </row>
        <row r="38">
          <cell r="B38" t="str">
            <v>Stripping, topsoil, sandy loam, adverse cond., 200 H.P. dozer, stripping and stockpile</v>
          </cell>
        </row>
        <row r="39">
          <cell r="B39" t="str">
            <v>Stripping and stockpiling, topsoil, clay, dry and soft, ideal conditions, 200 H.P. dozer</v>
          </cell>
        </row>
        <row r="40">
          <cell r="B40" t="str">
            <v>Stripping and stockpiling, topsoil, clay, dry and soft,adverse conditions, 200 H.P. dozer</v>
          </cell>
        </row>
        <row r="41">
          <cell r="B41" t="str">
            <v>Loam or topsoil, remove and stockpile on site, 200 HP dozer, 6" deep, 200' haul</v>
          </cell>
        </row>
        <row r="42">
          <cell r="B42" t="str">
            <v>Loam or topsoil, remove and stockpile on site, 200 HP dozer, 6" deep, 300' haul</v>
          </cell>
        </row>
        <row r="43">
          <cell r="B43" t="str">
            <v>Dewatering, pumping, 8 hr., attended 2 hours per day, 2" diaphragm pump</v>
          </cell>
        </row>
        <row r="44">
          <cell r="B44" t="str">
            <v>Dewatering, pumping, 8 hr., attended 8 hours per day, 2" diaphragm pump</v>
          </cell>
        </row>
        <row r="45">
          <cell r="B45" t="str">
            <v>Mob. or demob. dozer, loader, backhoe or excavator, 70 H.P. to 250 H.P., up to 50 mi.</v>
          </cell>
        </row>
        <row r="46">
          <cell r="B46" t="str">
            <v>Mob. or demob., dozer, loader, backhoe or excavator, above 250 H.P., up to 50 miles</v>
          </cell>
        </row>
        <row r="47">
          <cell r="B47" t="str">
            <v>Mobilization or demobilization, for small equipment on flatbed trailer, maximum</v>
          </cell>
        </row>
        <row r="48">
          <cell r="B48" t="str">
            <v>Fine grade, small area, to be paved with grader</v>
          </cell>
        </row>
        <row r="49">
          <cell r="B49" t="str">
            <v>Fine grade, for roadway, large area, 6,000 S.Y. or more</v>
          </cell>
        </row>
        <row r="50">
          <cell r="B50" t="str">
            <v>Backfill, bulk, up to 300' haul, dozer backfilling, excludes compaction</v>
          </cell>
        </row>
        <row r="51">
          <cell r="B51" t="str">
            <v>Backfill, trench, 6" to 12" lifts, dozer backfilling, compaction with vibrating roller</v>
          </cell>
        </row>
        <row r="52">
          <cell r="B52" t="str">
            <v>Backfill, trench, 6" to 12" lifts, dozer backfilling, compaction with sheepsfoot roller</v>
          </cell>
        </row>
        <row r="53">
          <cell r="B53" t="str">
            <v>Compaction, structural, 5 tons, steel wheel tandem roller</v>
          </cell>
        </row>
        <row r="54">
          <cell r="B54" t="str">
            <v>Compaction, structural, 10 tons, steel wheel tandem roller</v>
          </cell>
        </row>
        <row r="55">
          <cell r="B55" t="str">
            <v>Compaction, structural, common fill, 8" lifts, sheepsfoot or wobbly wheel roller</v>
          </cell>
        </row>
        <row r="56">
          <cell r="B56" t="str">
            <v>Compaction, structural, common fill, 8" lifts, vibratory plate</v>
          </cell>
        </row>
        <row r="57">
          <cell r="B57" t="str">
            <v>Drilling and blasting rock, open face, under 1500 C.Y.</v>
          </cell>
        </row>
        <row r="58">
          <cell r="B58" t="str">
            <v>Drilling and blasting, only, rock, blasting mats are required, under 1500 C.Y.</v>
          </cell>
        </row>
        <row r="59">
          <cell r="B59" t="str">
            <v>Excavating, bulk, 1 C.Y. capacity = 75 C.Y./hr, backhoe, hydraulic, crawler mounted</v>
          </cell>
        </row>
        <row r="60">
          <cell r="B60" t="str">
            <v>Excavating, bulk, 1-1/2 C.Y. cap. = 100 C.Y./hr, backhoe, hydraulic, crawler mounted</v>
          </cell>
        </row>
        <row r="61">
          <cell r="B61" t="str">
            <v>Excavating, bulk, 2 C.Y. cap. = 130 C.Y./hour, backhoe, hydraulic, crawler mounted</v>
          </cell>
        </row>
        <row r="62">
          <cell r="B62" t="str">
            <v>Excavating, bulk, open site, bank measure, sand &amp; gravel, 105 H.P., 150' haul, dozer</v>
          </cell>
        </row>
        <row r="63">
          <cell r="B63" t="str">
            <v>Excavating, bulk, open site, bank measure, common earth, 105 H.P. dozer, 150' haul</v>
          </cell>
        </row>
        <row r="64">
          <cell r="B64" t="str">
            <v>Excavating, bulk, open site, bank measure, clay, 105 H.P. dozer, 150' haul</v>
          </cell>
        </row>
        <row r="65">
          <cell r="B65" t="str">
            <v>Excavating, bulk, open site, bank measure, sand &amp; gravel, 105 H.P., 300' haul, dozer</v>
          </cell>
        </row>
        <row r="66">
          <cell r="B66" t="str">
            <v>Excavating, bulk, open site, bank measure, common earth, 105 H.P. dozer, 300' haul</v>
          </cell>
        </row>
        <row r="67">
          <cell r="B67" t="str">
            <v>Excavating, bulk, open site, bank measure, clay, 105 H.P. dozer, 300' haul</v>
          </cell>
        </row>
        <row r="68">
          <cell r="B68" t="str">
            <v>Excavating, bulk, open site, bank measure, sand &amp; gravel, 200 H.P., 150' haul, dozer</v>
          </cell>
        </row>
        <row r="69">
          <cell r="B69" t="str">
            <v>Excavating, bulk, open site, bank measure, common earth, 200 H.P. dozer, 150' push</v>
          </cell>
        </row>
        <row r="70">
          <cell r="B70" t="str">
            <v>Excavating, bulk, open site, bank measure, clay, 200 H.P. dozer, 150' push</v>
          </cell>
        </row>
        <row r="71">
          <cell r="B71" t="str">
            <v>Excavating, bulk, open site, bank measure, sand &amp; gravel, 200 H.P., 300' haul, dozer</v>
          </cell>
        </row>
        <row r="72">
          <cell r="B72" t="str">
            <v>Excavating, bulk, open site, bank measure, common earth, 200 H.P. dozer, 300' push</v>
          </cell>
        </row>
        <row r="73">
          <cell r="B73" t="str">
            <v>Excavating, bulk, open site, bank measure, clay, 200 H.P. dozer, 300' push</v>
          </cell>
        </row>
        <row r="74">
          <cell r="B74" t="str">
            <v>Excavating, structural, bank measure, common earth, 1 C.Y. bucket, hydr. backhoe</v>
          </cell>
        </row>
        <row r="75">
          <cell r="B75" t="str">
            <v>Excavating, trench, common earth, 1' to 4' deep, 1/2 C.Y. cap., tractor loader/backhoe</v>
          </cell>
        </row>
        <row r="76">
          <cell r="B76" t="str">
            <v>Excavating, trench, 4' to 6' deep, 5/8 C.Y. bucket, hydraulic backhoe</v>
          </cell>
        </row>
        <row r="77">
          <cell r="B77" t="str">
            <v>Excavating, trench, 4' to 6' deep, 3/4 C.Y. bucket, expose pipe, hydraulic backhoe</v>
          </cell>
        </row>
        <row r="78">
          <cell r="B78" t="str">
            <v>Excavating, trench, 6' to 10' deep, 3/4 C.Y. bucket, hydraulic backhoe</v>
          </cell>
        </row>
        <row r="79">
          <cell r="B79" t="str">
            <v>Excavating, trench, 6' to 10' deep, 1 C.Y. bucket, hydraulic backhoe</v>
          </cell>
        </row>
        <row r="80">
          <cell r="B80" t="str">
            <v>Excavating, trench, 10' to 14' deep, 1 C.Y. bucket, hydraulic backhoe</v>
          </cell>
        </row>
        <row r="81">
          <cell r="B81" t="str">
            <v>Bedding, for pipe and conduit, crushed or screened bank run gravel, exc. compaction</v>
          </cell>
        </row>
        <row r="82">
          <cell r="B82" t="str">
            <v>Bedding, for pipe and conduit, crushed stone, 3/4" to 1-1/2", excludes compaction</v>
          </cell>
        </row>
        <row r="83">
          <cell r="B83" t="str">
            <v>Bedding, for pipe and conduit, sand, dead or bank, excludes compaction</v>
          </cell>
        </row>
        <row r="84">
          <cell r="B84" t="str">
            <v>Bedding, for pipe and conduit, compacting bedding in trench</v>
          </cell>
        </row>
        <row r="85">
          <cell r="B85" t="str">
            <v>Rip-rap, random, broken stone, machine placed for slope protection</v>
          </cell>
        </row>
        <row r="86">
          <cell r="B86" t="str">
            <v>Rip-rap, random, broken stone, 18" min. thickness, machine placed slope protection</v>
          </cell>
        </row>
        <row r="87">
          <cell r="B87" t="str">
            <v>Gabions, galvanized steel mesh mats or boxes, stone filled, 9" deep</v>
          </cell>
        </row>
        <row r="88">
          <cell r="B88" t="str">
            <v>Gabions, galvanized steel mesh mats or boxes, stone filled, 12" deep</v>
          </cell>
        </row>
        <row r="89">
          <cell r="B89" t="str">
            <v>Gabions, galvanized steel mesh mats or boxes, stone filled, 18" deep</v>
          </cell>
        </row>
        <row r="90">
          <cell r="B90" t="str">
            <v>Gabions, galvanized steel mesh mats or boxes, stone filled, 36" deep</v>
          </cell>
        </row>
        <row r="91">
          <cell r="B91" t="str">
            <v>Erosion control, plastic netting, 20 mil, 2" x 1" mesh, stapled</v>
          </cell>
        </row>
        <row r="92">
          <cell r="B92" t="str">
            <v>Erosion control, silt fence, polypropylene, ideal conditions, 3' high</v>
          </cell>
        </row>
        <row r="93">
          <cell r="B93" t="str">
            <v>Erosion control, silt fence, polypropylene, adverse conditions, 3' high</v>
          </cell>
        </row>
        <row r="94">
          <cell r="B94" t="str">
            <v xml:space="preserve">Horizontal boring, 24" diameter casing, includes casing only, 100' min., exc. pits </v>
          </cell>
        </row>
        <row r="95">
          <cell r="B95" t="str">
            <v xml:space="preserve">Horizontal boring, 36" diameter casing, includes casing only, 100' min., exc. pits </v>
          </cell>
        </row>
        <row r="96">
          <cell r="B96" t="str">
            <v xml:space="preserve">Horizontal boring, 48" diameter casing, includes casing only, 100' min., exc. pits </v>
          </cell>
        </row>
        <row r="97">
          <cell r="B97" t="str">
            <v>For Ledge, horizontal boring, 100' minimum, ADD</v>
          </cell>
        </row>
        <row r="98">
          <cell r="B98" t="str">
            <v>Pipe - PVC, Perforated,  4" diameter, SDR 35, excludes excavation or backfill</v>
          </cell>
        </row>
        <row r="99">
          <cell r="B99" t="str">
            <v>Distribution box - concrete, 7 outlets, excludes excavation or piping</v>
          </cell>
        </row>
        <row r="100">
          <cell r="B100" t="str">
            <v>Trench for disposal field, 4' wide, excavation w/ backhoe</v>
          </cell>
        </row>
        <row r="101">
          <cell r="B101" t="str">
            <v>Crushed stone for trench, 3/4", excludes excavation,  piping &amp; fabric</v>
          </cell>
        </row>
        <row r="102">
          <cell r="B102" t="str">
            <v>Asphalt, parking &amp; driveway, 6" stone base, 2" binder course, 1" topping</v>
          </cell>
        </row>
        <row r="103">
          <cell r="B103" t="str">
            <v>Asphalt, parking lots &amp; driveways, binder course, 2" thick</v>
          </cell>
        </row>
        <row r="104">
          <cell r="B104" t="str">
            <v>Asphalt, parking lots &amp; driveways, binder course, 3" thick</v>
          </cell>
        </row>
        <row r="105">
          <cell r="B105" t="str">
            <v>Asphalt, parking lots &amp; driveways, binder course, 4" thick</v>
          </cell>
        </row>
        <row r="106">
          <cell r="B106" t="str">
            <v>Asphalt, parking lots &amp; driveways, sand finish course, 3/4" thick</v>
          </cell>
        </row>
        <row r="107">
          <cell r="B107" t="str">
            <v>Asphalt, parking lots &amp; driveways, sand finish course, 1" thick</v>
          </cell>
        </row>
        <row r="108">
          <cell r="B108" t="str">
            <v>Fence, Chain Link, 5' high, 1 5/8" posts 10' o.c.</v>
          </cell>
        </row>
        <row r="109">
          <cell r="B109" t="str">
            <v>Fence, Chain Link, 6' high, 1 5/8" posts 10' o.c.</v>
          </cell>
        </row>
        <row r="110">
          <cell r="B110" t="str">
            <v>Retain. walls, stone filled gabions, galv., 33&lt; slope embank., 3' w, 6' h, inc. backfill</v>
          </cell>
        </row>
        <row r="111">
          <cell r="B111" t="str">
            <v>Retain. walls, stone filled gabions, hwy surcharge, 3' W, 6' L, 3' H, inc. backfill</v>
          </cell>
        </row>
        <row r="112">
          <cell r="B112" t="str">
            <v>Retain. walls, stone filled gabions, galv.,  33&lt; slope embank., 3' W, 9' H, inc. backfill</v>
          </cell>
        </row>
        <row r="113">
          <cell r="B113" t="str">
            <v>Retain.walls, stone filled gabions, galv., hwy surcharge, 3' W, 9' L, 3' H, inc. backfill</v>
          </cell>
        </row>
        <row r="114">
          <cell r="B114" t="str">
            <v>Retain. walls, stone filled gabions, galv., 33&lt; slope embank., 3' W, 12' H, inc. backfill</v>
          </cell>
        </row>
        <row r="115">
          <cell r="B115" t="str">
            <v>Retain. walls, stone filled gabions, galv., hwy surcharge, 3' W, 12' L, 3' H, inc. backfill</v>
          </cell>
        </row>
        <row r="116">
          <cell r="B116" t="str">
            <v>Mulch, hay, 1" deep, power mulcher, small</v>
          </cell>
        </row>
        <row r="117">
          <cell r="B117" t="str">
            <v>Mulch, hay, 1" deep, power mulcher, large</v>
          </cell>
        </row>
        <row r="118">
          <cell r="B118" t="str">
            <v>Loam or topsoil, F.E. loader, remove, stockpile on site, spread frm pile to rough grade</v>
          </cell>
        </row>
        <row r="119">
          <cell r="B119" t="str">
            <v>Seeding, limestone, 50 lbs per M.S.F., hand push spreader</v>
          </cell>
        </row>
        <row r="120">
          <cell r="B120" t="str">
            <v>Seeding, grass seed, 4.5 lbs per M.S.F., hand push spreader</v>
          </cell>
        </row>
        <row r="121">
          <cell r="B121" t="str">
            <v>Winter Protection, for heated ready mix, includes material only, add, min.</v>
          </cell>
        </row>
        <row r="122">
          <cell r="B122" t="str">
            <v>Winter Protection, for heated ready mix, includes material only, add, max.</v>
          </cell>
        </row>
        <row r="123">
          <cell r="B123" t="str">
            <v>Winter Protection, protecting concrete and temp heat</v>
          </cell>
        </row>
        <row r="124">
          <cell r="B124" t="str">
            <v>Winter Protection, temp. shelter, slab on grade, wood frame and poly, min.</v>
          </cell>
        </row>
        <row r="125">
          <cell r="B125" t="str">
            <v>Winter Protection, temp. shelter, slab on grade, wood frame and poly, max.</v>
          </cell>
        </row>
        <row r="126">
          <cell r="B126" t="str">
            <v>Waterstop, PVC, ribbed, 3/16" thick x 6" wide</v>
          </cell>
        </row>
        <row r="127">
          <cell r="B127" t="str">
            <v>Fibrous reinforcing, synthetic fibers, add to concrete, 1-1/2 lb. per C.Y.</v>
          </cell>
        </row>
        <row r="128">
          <cell r="B128" t="str">
            <v>Fibrous reinforcing, steel fibers, add to concrete, 25 lb. per C.Y.</v>
          </cell>
        </row>
        <row r="129">
          <cell r="B129" t="str">
            <v>Concrete finishing, floor, dustproofing, epoxy coating, clear, 1 coat</v>
          </cell>
        </row>
        <row r="130">
          <cell r="B130" t="str">
            <v>Concrete finishing, floor, dustproofing, epoxy coating, clear, 2 coats</v>
          </cell>
        </row>
        <row r="131">
          <cell r="B131" t="str">
            <v>Concrete finishing, walls, includes breaking ties and patching voids</v>
          </cell>
        </row>
        <row r="132">
          <cell r="B132" t="str">
            <v>Framing, porch or deck, treated lattice panel, 4' x 8'</v>
          </cell>
        </row>
        <row r="133">
          <cell r="B133" t="str">
            <v>Lumber, pressure treated ,  2" x 4"</v>
          </cell>
        </row>
        <row r="134">
          <cell r="B134" t="str">
            <v>Lumber, pressure treated ,  2" x 6"</v>
          </cell>
        </row>
        <row r="135">
          <cell r="B135" t="str">
            <v>Lumber, pressure treated ,  2" x 8"</v>
          </cell>
        </row>
        <row r="136">
          <cell r="B136" t="str">
            <v>Lumber, pressure treated ,  2" x 10"</v>
          </cell>
        </row>
        <row r="137">
          <cell r="B137" t="str">
            <v>Lumber, pressure treated ,  2" x 12"</v>
          </cell>
        </row>
        <row r="138">
          <cell r="B138" t="str">
            <v>Lumber, pressure treated ,  4" x 4"</v>
          </cell>
        </row>
        <row r="139">
          <cell r="B139" t="str">
            <v>Lumber, pressure treated ,  4" x 6"</v>
          </cell>
        </row>
        <row r="140">
          <cell r="B140" t="str">
            <v>Lumber, pressure treated ,  4" x 8"</v>
          </cell>
        </row>
        <row r="141">
          <cell r="B141" t="str">
            <v>Wall Insulation, Rigid, expanded polystyrene, 1" thick, R3.85</v>
          </cell>
        </row>
        <row r="142">
          <cell r="B142" t="str">
            <v>Wall Insulation, Rigid, expanded polystyrene, 2" thick, R7.69</v>
          </cell>
        </row>
        <row r="143">
          <cell r="B143" t="str">
            <v>Wall Insulation, Rigid, expanded polystyrene, 3" thick, R11.49</v>
          </cell>
        </row>
        <row r="144">
          <cell r="B144" t="str">
            <v>Aluminum gutters, stock units, plain, 5" box, .027" thick</v>
          </cell>
        </row>
        <row r="145">
          <cell r="B145" t="str">
            <v>Aluminum gutters, stock units, plain, 5" box, .032" thick</v>
          </cell>
        </row>
        <row r="146">
          <cell r="B146" t="str">
            <v>Fuel Tank, steel, above grd, double wall, 500 gal, incl. cradles, coating &amp; fittings</v>
          </cell>
        </row>
        <row r="147">
          <cell r="B147" t="str">
            <v>Fuel Tank, steel, above grd, double wall, 2,000 gal, incl. cradles, coating &amp; fittings</v>
          </cell>
        </row>
        <row r="148">
          <cell r="B148" t="str">
            <v>Soil Testing, waste storage pond</v>
          </cell>
        </row>
        <row r="149">
          <cell r="B149" t="str">
            <v>Conservation Cover (327)-plow, harrow, lime, NPK, weed spray &amp; seed</v>
          </cell>
        </row>
        <row r="150">
          <cell r="B150" t="str">
            <v>Contour Buffer Strips (332)-plow, harrow, orchardgrass &amp; clover</v>
          </cell>
        </row>
        <row r="151">
          <cell r="B151" t="str">
            <v>Contour Farming (330)-plow &amp; harrowing</v>
          </cell>
        </row>
        <row r="152">
          <cell r="B152" t="str">
            <v>Cover &amp; Green Manure Crop (340)- Rye drilled</v>
          </cell>
        </row>
        <row r="153">
          <cell r="B153" t="str">
            <v>Critical Area Planting (393)-plow, harrow, lime, NPK, &amp; seed</v>
          </cell>
        </row>
        <row r="154">
          <cell r="B154" t="str">
            <v>Critical Area Planting(2) (393)-plow, harrow, lime, NPK, &amp; consv. mix</v>
          </cell>
        </row>
        <row r="155">
          <cell r="B155" t="str">
            <v>Field Border (386)-plow, harrow,lime, NPK &amp; seed</v>
          </cell>
        </row>
        <row r="156">
          <cell r="B156" t="str">
            <v>Filter Strip (Agronomic 393)-plow, harrow, lime, NPK, &amp; consv. mix</v>
          </cell>
        </row>
        <row r="157">
          <cell r="B157" t="str">
            <v>Forest Stand Improvement (666)-marking and cutting</v>
          </cell>
        </row>
        <row r="158">
          <cell r="B158" t="str">
            <v>Pasture &amp; Hayland Planting (512)-plow, harrow,lime, NPK &amp; seed</v>
          </cell>
        </row>
        <row r="159">
          <cell r="B159" t="str">
            <v>Pasture &amp; Hayland Planting(2) (512)-plow, harrow, NPK &amp; seed</v>
          </cell>
        </row>
        <row r="160">
          <cell r="B160" t="str">
            <v>Pasture &amp; Hayland Planting(3) (512)-organic NPK and clover</v>
          </cell>
        </row>
        <row r="161">
          <cell r="B161" t="str">
            <v>Residue Mngt (Mulch Till) (329B) - chisel plow</v>
          </cell>
        </row>
        <row r="162">
          <cell r="B162" t="str">
            <v>Residue Management (No Till/Strip Till) (329A)-no till and spraying</v>
          </cell>
        </row>
        <row r="163">
          <cell r="B163" t="str">
            <v>Riparian Herbaceous Buffer (390) - plow, harrow, lime, NPK &amp; conser. Mix</v>
          </cell>
        </row>
        <row r="164">
          <cell r="B164" t="str">
            <v>Riparian Herbaceous Buffer(2) (390) - spray, no-till and seed</v>
          </cell>
        </row>
        <row r="165">
          <cell r="B165" t="str">
            <v>Watering Facility (614) - 50 gals w/ float</v>
          </cell>
        </row>
        <row r="166">
          <cell r="B166" t="str">
            <v>Fuel Storage Struc. 275 gal, - septic tank, posts, roof &amp; lattice</v>
          </cell>
        </row>
        <row r="167">
          <cell r="B167" t="str">
            <v>Fuel Storage Struc. 500 or 550gal, - septic tank, posts, roof &amp; lattice</v>
          </cell>
        </row>
        <row r="168">
          <cell r="B168" t="str">
            <v>Fuel Storage Struc. 1000gal, - septic tank, posts, roof &amp; lattice</v>
          </cell>
        </row>
        <row r="169">
          <cell r="B169" t="str">
            <v>Excavator, Small, 1/2 CY Bucket</v>
          </cell>
        </row>
        <row r="170">
          <cell r="B170" t="str">
            <v>Excavator, Medium, 1.0 CY Bucket</v>
          </cell>
        </row>
        <row r="171">
          <cell r="B171" t="str">
            <v>Excavator, Large, 1.5 CY Bucket</v>
          </cell>
        </row>
        <row r="172">
          <cell r="B172" t="str">
            <v>Dozer, Small -  Finish Work, 75 Hp</v>
          </cell>
        </row>
        <row r="173">
          <cell r="B173" t="str">
            <v>Dozer, Medium, 105 Hp</v>
          </cell>
        </row>
        <row r="174">
          <cell r="B174" t="str">
            <v>Dozer, Medium, 140 Hp</v>
          </cell>
        </row>
        <row r="175">
          <cell r="B175" t="str">
            <v>Dozer, Large, 200 Hp</v>
          </cell>
        </row>
        <row r="176">
          <cell r="B176" t="str">
            <v>Backhoe, 40-45 Hp, 1/2 CY Capacity</v>
          </cell>
        </row>
        <row r="177">
          <cell r="B177" t="str">
            <v>Backhoe, Large, 100 Hp, 3/4 C.Y. Capacity</v>
          </cell>
        </row>
        <row r="178">
          <cell r="B178" t="str">
            <v>Skid Steer Loader, Large, 78 Hp, 1.0 C.Y. Capacity</v>
          </cell>
        </row>
        <row r="179">
          <cell r="B179" t="str">
            <v>Excavator, Medium, 3/4 CY Bucket</v>
          </cell>
        </row>
        <row r="180">
          <cell r="B180" t="str">
            <v>Dump Truck, tandum axle, 12 ton capacity</v>
          </cell>
        </row>
        <row r="181">
          <cell r="B181" t="str">
            <v>Dump Truck, tri-axle, 12 ton capacity</v>
          </cell>
        </row>
        <row r="182">
          <cell r="B182" t="str">
            <v>Dump Truck, off-road, 25 ton capacity</v>
          </cell>
        </row>
        <row r="183">
          <cell r="B183" t="str">
            <v>Access Road, 12' wide, strip, geotextile fabric, 12" gravel - incls. Mob.</v>
          </cell>
        </row>
        <row r="184">
          <cell r="B184" t="str">
            <v>Access Road, 12' wide, strip, geotextile fabric, 18" gravel - incls. Mob.</v>
          </cell>
        </row>
        <row r="185">
          <cell r="B185" t="str">
            <v xml:space="preserve">Access Road, 12' wide, strip, geotextile fabric, 12" gravel </v>
          </cell>
        </row>
        <row r="186">
          <cell r="B186" t="str">
            <v xml:space="preserve">Access Road, 12' wide, strip, geotextile fabric, 18" gravel </v>
          </cell>
        </row>
        <row r="187">
          <cell r="B187" t="str">
            <v>Access Road, 16' wide, strip, geotextile fabric, 12" gravel - incls. Mob.</v>
          </cell>
        </row>
        <row r="188">
          <cell r="B188" t="str">
            <v>Access Road, 16' wide, strip, geotextile fabric, 18" gravel - incls. Mob.</v>
          </cell>
        </row>
        <row r="189">
          <cell r="B189" t="str">
            <v xml:space="preserve">Access Road, 16' wide, strip, geotextile fabric, 12" gravel </v>
          </cell>
        </row>
        <row r="190">
          <cell r="B190" t="str">
            <v xml:space="preserve">Access Road, 16' wide, strip, geotextile fabric, 18" gravel </v>
          </cell>
        </row>
        <row r="191">
          <cell r="B191" t="str">
            <v>Walkway, 4' wide, strip, geotextile fabric, 8" stone,  360'/day</v>
          </cell>
        </row>
        <row r="192">
          <cell r="B192" t="str">
            <v>Lane, 8' wide, strip, geotextile fabric, 8" gravel - incls. Mob.</v>
          </cell>
        </row>
        <row r="193">
          <cell r="B193" t="str">
            <v>Lane, 8' wide, strip, geotextile fabric, 12" gravel - incls. Mob.</v>
          </cell>
        </row>
        <row r="194">
          <cell r="B194" t="str">
            <v>Lane, 8' wide, strip, geotextile fabric, 8" gravel</v>
          </cell>
        </row>
        <row r="195">
          <cell r="B195" t="str">
            <v>Lane, 8' wide, strip, geotextile fabric, 12" gravel</v>
          </cell>
        </row>
        <row r="196">
          <cell r="B196" t="str">
            <v>Lane, 12' wide, strip, geotextile fabric, 8" gravel - incls. Mob.</v>
          </cell>
        </row>
        <row r="197">
          <cell r="B197" t="str">
            <v>Lane, 12' wide, strip, geotextile fabric, 8" gravel</v>
          </cell>
        </row>
        <row r="198">
          <cell r="B198" t="str">
            <v>Excavation-Rock, drilling, blasting, hauling away 4 mi RT, &gt;225 C.Y.</v>
          </cell>
        </row>
        <row r="199">
          <cell r="B199" t="str">
            <v xml:space="preserve">4" Perf. Footing Drain, stone, geotextile </v>
          </cell>
        </row>
        <row r="200">
          <cell r="B200" t="str">
            <v>4" Perf. Field Drain, 4-6' deep, bankrun gravel, incls. Mob</v>
          </cell>
        </row>
        <row r="201">
          <cell r="B201" t="str">
            <v>4" Perf. Field Drain, 4-6' deep, geotextile, bankrun gravel, incls. Mob</v>
          </cell>
        </row>
        <row r="202">
          <cell r="B202" t="str">
            <v>4" Perf. Field Drain, 7-9' deep, bankrun gravel, incls. Mob</v>
          </cell>
        </row>
        <row r="203">
          <cell r="B203" t="str">
            <v>4" Perf. Field Drain, 7-9' deep, geotextile, bankrun gravel, incls. Mob</v>
          </cell>
        </row>
        <row r="204">
          <cell r="B204" t="str">
            <v>6" Perf. Field Drain, 4-6' deep, bankrun gravel, incls. Mob</v>
          </cell>
        </row>
        <row r="205">
          <cell r="B205" t="str">
            <v>6" Perf. Field Drain, 4-6' deep, geotextile, bankrun gravel, incls. Mob</v>
          </cell>
        </row>
        <row r="206">
          <cell r="B206" t="str">
            <v>6" Perf. Field Drain, 7-9' deep, bankrun gravel, incls. Mob</v>
          </cell>
        </row>
        <row r="207">
          <cell r="B207" t="str">
            <v>6" Perf. Field Drain, 7-9' deep, geotextile, bankrun gravel, incls. Mob</v>
          </cell>
        </row>
        <row r="208">
          <cell r="B208" t="str">
            <v>4" Perf. Field Drain, 12' deep, bankrun gravel, incls. Mob</v>
          </cell>
        </row>
        <row r="209">
          <cell r="B209" t="str">
            <v>4" Perf. Field Drain, 12' deep, geotextile, bankrun gravel, incls. Mob</v>
          </cell>
        </row>
        <row r="210">
          <cell r="B210" t="str">
            <v>Diversion or Waterway, Grassed</v>
          </cell>
        </row>
        <row r="211">
          <cell r="B211" t="str">
            <v>Diversion or Waterway, Grassed, w/ Erosion Control Netting</v>
          </cell>
        </row>
        <row r="212">
          <cell r="B212" t="str">
            <v>Diversion or Waterway, Stone Centered</v>
          </cell>
        </row>
        <row r="213">
          <cell r="B213" t="str">
            <v>Pipe, HDPE 24" WATER TIGHT - incl. excav.&amp; initial backfill w/ stone</v>
          </cell>
        </row>
        <row r="214">
          <cell r="B214" t="str">
            <v>Pipe, HDPE 30" WATER TIGHT - incl. excav.&amp; initial backfill w/ stone</v>
          </cell>
        </row>
        <row r="215">
          <cell r="B215" t="str">
            <v>Pipe, HDPE 36" WATER TIGHT - incl. excav.&amp; initial backfill w/ stone</v>
          </cell>
        </row>
        <row r="216">
          <cell r="B216" t="str">
            <v>Elbow, HDPE 24" WATER TIGHT - incl. excav.&amp; initial backfill w/ stone</v>
          </cell>
        </row>
        <row r="217">
          <cell r="B217" t="str">
            <v>Elbow, HDPE 30" WATER TIGHT - incl. excav.&amp; initial backfill w/ stone</v>
          </cell>
        </row>
        <row r="218">
          <cell r="B218" t="str">
            <v>Elbow, HDPE 36" WATER TIGHT - incl. excav.&amp; initial backfill w/ stone</v>
          </cell>
        </row>
        <row r="219">
          <cell r="B219" t="str">
            <v>Infiltration trench - excav., stone, pipe, geotextile &amp; backfill included</v>
          </cell>
        </row>
        <row r="220">
          <cell r="B220" t="str">
            <v>Geotextile fabric, reinforcement, 6 oz/sy, large areas</v>
          </cell>
        </row>
        <row r="221">
          <cell r="B221" t="str">
            <v>Seed, Lime, Fertilize &amp; Mulch  VT Spec. #52</v>
          </cell>
        </row>
        <row r="222">
          <cell r="B222" t="str">
            <v>Unreinforced Concrete</v>
          </cell>
        </row>
        <row r="223">
          <cell r="B223" t="str">
            <v>4'-8' Conc. Wall, 3000 psi, 8" thick, #4@12" E.W., Chute, Curing Compound</v>
          </cell>
        </row>
        <row r="224">
          <cell r="B224" t="str">
            <v>4'-8' Conc. Wall, 3000 psi, 8" thick, #5@12" E.W., Chute, Curing Compound</v>
          </cell>
        </row>
        <row r="225">
          <cell r="B225" t="str">
            <v>4'-8' Conc. Wall, 3000 psi, 8" thick, #4@12" V, #4@6" H, Chute, Curing Compd.</v>
          </cell>
        </row>
        <row r="226">
          <cell r="B226" t="str">
            <v>4'-8' Conc. Wall, 3000 psi, 8" thick, #5@12" V, #5@6" H, Chute, Curing Compd.</v>
          </cell>
        </row>
        <row r="227">
          <cell r="B227" t="str">
            <v>4'-8' Conc. Wall, 4000 psi, 8" thick, #4@12" E.W., Chute, Curing Compound</v>
          </cell>
        </row>
        <row r="228">
          <cell r="B228" t="str">
            <v>4'-8' Conc. Wall, 4000 psi, 8" thick, #5@12" E.W., Chute, Curing Compound</v>
          </cell>
        </row>
        <row r="229">
          <cell r="B229" t="str">
            <v>4'-8' Conc. Wall, 4000 psi, 8" thick, #4@12" V, #4@6" H, Chute, Curing Compd.</v>
          </cell>
        </row>
        <row r="230">
          <cell r="B230" t="str">
            <v>4'-8' Conc. Wall, 4000 psi, 8" thick, #5@12" V, #5@6" H, Chute, Curing Compd.</v>
          </cell>
        </row>
        <row r="231">
          <cell r="B231" t="str">
            <v>10' Conc. Wall, 3000 psi, 10" thick, #4@12" E.W., Chute, Curing Compound</v>
          </cell>
        </row>
        <row r="232">
          <cell r="B232" t="str">
            <v>10' Conc. Wall, 3000 psi, 10" thick, #5@12" E.W., Chute, Curing Compound</v>
          </cell>
        </row>
        <row r="233">
          <cell r="B233" t="str">
            <v>10' Conc. Wall, 3000 psi, 10" thick, #4@12" V, #4@6" H, Chute, Curing Compd.</v>
          </cell>
        </row>
        <row r="234">
          <cell r="B234" t="str">
            <v>10' Conc. Wall, 3000 psi, 10" thick, #5@12" V, #5@6" H, Chute, Curing Compd.</v>
          </cell>
        </row>
        <row r="235">
          <cell r="B235" t="str">
            <v>10' Conc. Wall, 4000 psi, 10" thick, #4@12" E.W., Chute, Curing Compound</v>
          </cell>
        </row>
        <row r="236">
          <cell r="B236" t="str">
            <v>10' Conc. Wall, 4000 psi, 10" thick, #5@12" E.W., Chute, Curing Compound</v>
          </cell>
        </row>
        <row r="237">
          <cell r="B237" t="str">
            <v>10' Conc. Wall, 4000 psi, 10" thick, #4@12" V, #4@6" H, Chute, Curing Compd.</v>
          </cell>
        </row>
        <row r="238">
          <cell r="B238" t="str">
            <v>10' Conc. Wall, 4000 psi, 10" thick, #5@12" V, #5@6" H, Chute, Curing Compd.</v>
          </cell>
        </row>
        <row r="239">
          <cell r="B239" t="str">
            <v>12' Conc. Wall, 3000 psi, 10" thick, #5@12" E.W., Chute, Curing Compound</v>
          </cell>
        </row>
        <row r="240">
          <cell r="B240" t="str">
            <v>12' Conc. Wall, 4000 psi, 10" thick, #5@12" E.W., Chute, Curing Compound</v>
          </cell>
        </row>
        <row r="241">
          <cell r="B241" t="str">
            <v>12' Conc. Wall, 3000 psi, 10" thick, #5@12" V, #5@6" H, Chute, Curing Compd.</v>
          </cell>
        </row>
        <row r="242">
          <cell r="B242" t="str">
            <v>12' Conc. Wall, 4000 psi, 10" thick, #5@12" V, #5@6" H, Chute, Curing Compd.</v>
          </cell>
        </row>
        <row r="243">
          <cell r="B243" t="str">
            <v>Concrete Footing, 10" thick, &gt; 3' wide, reinforced, #4 &amp; #5</v>
          </cell>
        </row>
        <row r="244">
          <cell r="B244" t="str">
            <v>Concrete Footing, 10" thick, &lt; 3' wide, reinforced, #4 E.W. Typ.</v>
          </cell>
        </row>
        <row r="245">
          <cell r="B245" t="str">
            <v>Slab, Concrete,  4", 3000psi, WWF, Curing cmpd., saw 10' o.c.</v>
          </cell>
        </row>
        <row r="246">
          <cell r="B246" t="str">
            <v>Slab, Concrete,  4", 3000psi, Curing cmpd., saw 10' o.c.</v>
          </cell>
        </row>
        <row r="247">
          <cell r="B247" t="str">
            <v>Slab, Concrete, 5", 3000psi, Curing cmpd., #4@18" e.w.</v>
          </cell>
        </row>
        <row r="248">
          <cell r="B248" t="str">
            <v>Curb, Concrete, 6"x12"h, 3000psi, #4 @ 12" E.W., Curing compd. (LF)</v>
          </cell>
        </row>
        <row r="249">
          <cell r="B249" t="str">
            <v>Curb, Concrete, 8"x12"h, 3000psi, #4 @ 12" E.W., Curing compd. (LF)</v>
          </cell>
        </row>
        <row r="250">
          <cell r="B250" t="str">
            <v>Curb, Concrete, Speed Bump, 3000psi, #4 @ 12" E.W., Curing compd. (LF)</v>
          </cell>
        </row>
        <row r="251">
          <cell r="B251" t="str">
            <v>Curb, Concrete, 6"x24"h, 3000psi, #4 @ 12" E.W., Curing compd. (LF)</v>
          </cell>
        </row>
        <row r="252">
          <cell r="B252" t="str">
            <v>Curb, Concrete, 8"x24"h, 3000psi, #4 @ 12" E.W., Curing compd. (LF)</v>
          </cell>
        </row>
        <row r="253">
          <cell r="B253" t="str">
            <v>Conc. Hopper, 6'x6'x8', 8" Wall &amp; Floor, No Exc. or Drainage, 6" Drainfill</v>
          </cell>
        </row>
        <row r="254">
          <cell r="B254" t="str">
            <v>Construction Joint - floor, sawed, backer rod and waterstop</v>
          </cell>
        </row>
        <row r="255">
          <cell r="B255" t="str">
            <v>Mulch, hay - hand applied (1-1.5 acre/day/person)</v>
          </cell>
        </row>
        <row r="256">
          <cell r="B256" t="str">
            <v>Mulch, wood chips</v>
          </cell>
        </row>
        <row r="257">
          <cell r="B257" t="str">
            <v>Hydroseeding / Mulching on critical area</v>
          </cell>
        </row>
        <row r="258">
          <cell r="B258" t="str">
            <v>Mulch, hay - 40# bale, material cost only</v>
          </cell>
        </row>
        <row r="259">
          <cell r="B259" t="str">
            <v>Seed, broadcasting</v>
          </cell>
        </row>
        <row r="260">
          <cell r="B260" t="str">
            <v>Seed, broadcasting by hand</v>
          </cell>
        </row>
        <row r="261">
          <cell r="B261" t="str">
            <v>Tree Planting-Conifers, all components tubling, reforestation</v>
          </cell>
        </row>
        <row r="262">
          <cell r="B262" t="str">
            <v>Tree Planting - Hardwood trees, mat, stake, protector &amp; planting (AC)</v>
          </cell>
        </row>
        <row r="263">
          <cell r="B263" t="str">
            <v>Tree Planting - Hardwood trees, mat, stake, protector &amp; planting (EA)</v>
          </cell>
        </row>
        <row r="264">
          <cell r="B264" t="str">
            <v>Tree, conifers 12-18"</v>
          </cell>
        </row>
        <row r="265">
          <cell r="B265" t="str">
            <v>Tree/shrub Planting: Brush mat, stake, protector, plant and planting</v>
          </cell>
        </row>
        <row r="266">
          <cell r="B266" t="str">
            <v>Tree/Shrub, deciduous (bareroot)</v>
          </cell>
        </row>
        <row r="267">
          <cell r="B267" t="str">
            <v>Trees, hardwood, 6 ft bare root</v>
          </cell>
        </row>
        <row r="268">
          <cell r="B268" t="str">
            <v>Tublings, conifers (6" +)</v>
          </cell>
        </row>
        <row r="269">
          <cell r="B269" t="str">
            <v>Weed Mats (biodegradable)</v>
          </cell>
        </row>
        <row r="270">
          <cell r="B270" t="str">
            <v>Weed Mats (Plastic or Biodegradable)</v>
          </cell>
        </row>
        <row r="271">
          <cell r="B271" t="str">
            <v>Forestry, Timber Stand Improvement (TSI) girdling</v>
          </cell>
        </row>
        <row r="272">
          <cell r="B272" t="str">
            <v xml:space="preserve">Forestry, Timber Stand Improvement (TSI) Marking </v>
          </cell>
        </row>
        <row r="273">
          <cell r="B273" t="str">
            <v>Forestry, Timber Stand Improvement (TSI), Brush saw</v>
          </cell>
        </row>
        <row r="274">
          <cell r="B274" t="str">
            <v>Forestry, Timber Stand Improvement (TSI), chain saw</v>
          </cell>
        </row>
        <row r="275">
          <cell r="B275" t="str">
            <v>Seedbed preparation</v>
          </cell>
        </row>
        <row r="276">
          <cell r="B276" t="str">
            <v>Shrub Planting: Brush mat, stake, protector, plant and planting</v>
          </cell>
        </row>
        <row r="277">
          <cell r="B277" t="str">
            <v>Tree planting-riparian (all components, based on 370 stems)</v>
          </cell>
        </row>
        <row r="278">
          <cell r="B278" t="str">
            <v>Tree Protectors</v>
          </cell>
        </row>
        <row r="279">
          <cell r="B279" t="str">
            <v>0-10-40- .2 boron</v>
          </cell>
        </row>
        <row r="280">
          <cell r="B280" t="str">
            <v>Foliar nutrient application on vegetables, (not including equipment)</v>
          </cell>
        </row>
        <row r="281">
          <cell r="B281" t="str">
            <v>Hi-Mag lime</v>
          </cell>
        </row>
        <row r="282">
          <cell r="B282" t="str">
            <v>Lime (bulk)</v>
          </cell>
        </row>
        <row r="283">
          <cell r="B283" t="str">
            <v>Lime (calcium) delivered and spread</v>
          </cell>
        </row>
        <row r="284">
          <cell r="B284" t="str">
            <v>Lime (calcium) in 50# bags</v>
          </cell>
        </row>
        <row r="285">
          <cell r="B285" t="str">
            <v xml:space="preserve">Lime-Ash </v>
          </cell>
        </row>
        <row r="286">
          <cell r="B286" t="str">
            <v>MAP  11-52-0</v>
          </cell>
        </row>
        <row r="287">
          <cell r="B287" t="str">
            <v>Nitrogen (chemical)</v>
          </cell>
        </row>
        <row r="288">
          <cell r="B288" t="str">
            <v>Organic Soil Amendments - Chilean Nitrate  16-0-0</v>
          </cell>
        </row>
        <row r="289">
          <cell r="B289" t="str">
            <v xml:space="preserve">Organic Soil Amendments - Nitrogen </v>
          </cell>
        </row>
        <row r="290">
          <cell r="B290" t="str">
            <v>10-10-10</v>
          </cell>
        </row>
        <row r="291">
          <cell r="B291" t="str">
            <v>Organic Soil Amendments - Phospate rock  0-30-0 (6-8%avilable)</v>
          </cell>
        </row>
        <row r="292">
          <cell r="B292" t="str">
            <v>Organic Soil Amendments - Phosphorus (plant available form)</v>
          </cell>
        </row>
        <row r="293">
          <cell r="B293" t="str">
            <v>Organic Soil Amendments - Potassium</v>
          </cell>
        </row>
        <row r="294">
          <cell r="B294" t="str">
            <v>Organic Soil Amendments - Sulphate of Potash 0-0-52</v>
          </cell>
        </row>
        <row r="295">
          <cell r="B295" t="str">
            <v>Organic Soil Amendments - Sul-Po-Mag      0-0-22   11Mg,  22S</v>
          </cell>
        </row>
        <row r="296">
          <cell r="B296" t="str">
            <v>Phosphorus</v>
          </cell>
        </row>
        <row r="297">
          <cell r="B297" t="str">
            <v>Potash  0-0-60</v>
          </cell>
        </row>
        <row r="298">
          <cell r="B298" t="str">
            <v>Potassium</v>
          </cell>
        </row>
        <row r="299">
          <cell r="B299" t="str">
            <v>Urea  46-0-0</v>
          </cell>
        </row>
        <row r="300">
          <cell r="B300" t="str">
            <v>Herbicides, cost per acre (for corn)</v>
          </cell>
        </row>
        <row r="301">
          <cell r="B301" t="str">
            <v>10-10-10 (50 lb bags)</v>
          </cell>
        </row>
        <row r="302">
          <cell r="B302" t="str">
            <v>Soil test, (standard agricultural soil test)</v>
          </cell>
        </row>
        <row r="303">
          <cell r="B303" t="str">
            <v>10-20-10</v>
          </cell>
        </row>
        <row r="304">
          <cell r="B304" t="str">
            <v>14-30-15 (corn starter)</v>
          </cell>
        </row>
        <row r="305">
          <cell r="B305" t="str">
            <v>14-30-15 corn starter</v>
          </cell>
        </row>
        <row r="306">
          <cell r="B306" t="str">
            <v>23-12-18</v>
          </cell>
        </row>
        <row r="307">
          <cell r="B307" t="str">
            <v>Ammonium sulfate (NH4) 2S04   0-0-20 w/24% sulfer</v>
          </cell>
        </row>
        <row r="308">
          <cell r="B308" t="str">
            <v>DAP  18-46-0</v>
          </cell>
        </row>
        <row r="309">
          <cell r="B309" t="str">
            <v>"Conservation Mix"</v>
          </cell>
        </row>
        <row r="310">
          <cell r="B310" t="str">
            <v>Barley (organic)</v>
          </cell>
        </row>
        <row r="311">
          <cell r="B311" t="str">
            <v>Birdsfoot trefoil</v>
          </cell>
        </row>
        <row r="312">
          <cell r="B312" t="str">
            <v>Birdsfoot Trefoil (organic)</v>
          </cell>
        </row>
        <row r="313">
          <cell r="B313" t="str">
            <v>Buckwheat (organic)</v>
          </cell>
        </row>
        <row r="314">
          <cell r="B314" t="str">
            <v>Chickory (organic)</v>
          </cell>
        </row>
        <row r="315">
          <cell r="B315" t="str">
            <v>Clover - Alsike</v>
          </cell>
        </row>
        <row r="316">
          <cell r="B316" t="str">
            <v>Clover - Alsike (organic)</v>
          </cell>
        </row>
        <row r="317">
          <cell r="B317" t="str">
            <v>Clover - Dutch white (organic)</v>
          </cell>
        </row>
        <row r="318">
          <cell r="B318" t="str">
            <v>Clover - Ladino</v>
          </cell>
        </row>
        <row r="319">
          <cell r="B319" t="str">
            <v>Clover - Mammoth red</v>
          </cell>
        </row>
        <row r="320">
          <cell r="B320" t="str">
            <v>"Erosion Control Mix" (organic)</v>
          </cell>
        </row>
        <row r="321">
          <cell r="B321" t="str">
            <v>Clover - Red</v>
          </cell>
        </row>
        <row r="322">
          <cell r="B322" t="str">
            <v>Clover - Red (organic)</v>
          </cell>
        </row>
        <row r="323">
          <cell r="B323" t="str">
            <v>Clover - White</v>
          </cell>
        </row>
        <row r="324">
          <cell r="B324" t="str">
            <v>Cool season grass establishment-includes lime, fert. &amp; prep.</v>
          </cell>
        </row>
        <row r="325">
          <cell r="B325" t="str">
            <v>Creeping Red Fescue</v>
          </cell>
        </row>
        <row r="326">
          <cell r="B326" t="str">
            <v>Crownvetch (requires approval)</v>
          </cell>
        </row>
        <row r="327">
          <cell r="B327" t="str">
            <v>Hairy Vetch</v>
          </cell>
        </row>
        <row r="328">
          <cell r="B328" t="str">
            <v>Hairy Vetch (organic)</v>
          </cell>
        </row>
        <row r="329">
          <cell r="B329" t="str">
            <v>Kentucky Bluegrass</v>
          </cell>
        </row>
        <row r="330">
          <cell r="B330" t="str">
            <v>Legume Cereal Mix, (Drilled) (organic)</v>
          </cell>
        </row>
        <row r="331">
          <cell r="B331" t="str">
            <v>"Pasture Mix" (Typical Cool Season) (organic)</v>
          </cell>
        </row>
        <row r="332">
          <cell r="B332" t="str">
            <v>Millet (wildlife)  (requires approval)</v>
          </cell>
        </row>
        <row r="333">
          <cell r="B333" t="str">
            <v>Mustard (organic)</v>
          </cell>
        </row>
        <row r="334">
          <cell r="B334" t="str">
            <v>Oats, bulk</v>
          </cell>
        </row>
        <row r="335">
          <cell r="B335" t="str">
            <v>Oats (organic)</v>
          </cell>
        </row>
        <row r="336">
          <cell r="B336" t="str">
            <v>Orchardgrass</v>
          </cell>
        </row>
        <row r="337">
          <cell r="B337" t="str">
            <v>Orchardgrass (organic)</v>
          </cell>
        </row>
        <row r="338">
          <cell r="B338" t="str">
            <v>Perrenial Ryegrass (Pennfine)</v>
          </cell>
        </row>
        <row r="339">
          <cell r="B339" t="str">
            <v>Rape (organic)</v>
          </cell>
        </row>
        <row r="340">
          <cell r="B340" t="str">
            <v>Reed Canarygrass  (requires approval)</v>
          </cell>
        </row>
        <row r="341">
          <cell r="B341" t="str">
            <v>Smooth Bromegrass</v>
          </cell>
        </row>
        <row r="342">
          <cell r="B342" t="str">
            <v>"Wildlife Mix"</v>
          </cell>
        </row>
        <row r="343">
          <cell r="B343" t="str">
            <v>Sudangrass (organic)</v>
          </cell>
        </row>
        <row r="344">
          <cell r="B344" t="str">
            <v>Tall Fescue (Ky-31)  (requires approval)</v>
          </cell>
        </row>
        <row r="345">
          <cell r="B345" t="str">
            <v>Tall Fescue (Low Endophyte )  (requires approval)</v>
          </cell>
        </row>
        <row r="346">
          <cell r="B346" t="str">
            <v>Tall fescue (Low Endophyte) (organic)  (requires approval)</v>
          </cell>
        </row>
        <row r="347">
          <cell r="B347" t="str">
            <v>Timothy</v>
          </cell>
        </row>
        <row r="348">
          <cell r="B348" t="str">
            <v>Timothy (organic)</v>
          </cell>
        </row>
        <row r="349">
          <cell r="B349" t="str">
            <v>Triticale (organic)</v>
          </cell>
        </row>
        <row r="350">
          <cell r="B350" t="str">
            <v>Wetland Mix</v>
          </cell>
        </row>
        <row r="351">
          <cell r="B351" t="str">
            <v>Wildflower mix</v>
          </cell>
        </row>
        <row r="352">
          <cell r="B352" t="str">
            <v>Winter Cereal Rye (Drilled) - soil prep. not included</v>
          </cell>
        </row>
        <row r="353">
          <cell r="B353" t="str">
            <v>Alfalfa</v>
          </cell>
        </row>
        <row r="354">
          <cell r="B354" t="str">
            <v>Winter Cereal Rye (in 50 lb bulk bags)</v>
          </cell>
        </row>
        <row r="355">
          <cell r="B355" t="str">
            <v>Winter Cereal Rye (organic)</v>
          </cell>
        </row>
        <row r="356">
          <cell r="B356" t="str">
            <v>Winter Cereal Rye (small quantity)</v>
          </cell>
        </row>
        <row r="357">
          <cell r="B357" t="str">
            <v>Alfalfa (leaf hopper resistant)</v>
          </cell>
        </row>
        <row r="358">
          <cell r="B358" t="str">
            <v>Alfalfa (organic)</v>
          </cell>
        </row>
        <row r="359">
          <cell r="B359" t="str">
            <v>Annual ryegrass</v>
          </cell>
        </row>
        <row r="360">
          <cell r="B360" t="str">
            <v>Annual Ryegrass (organic)</v>
          </cell>
        </row>
        <row r="361">
          <cell r="B361" t="str">
            <v>Big Bluestem</v>
          </cell>
        </row>
        <row r="362">
          <cell r="B362" t="str">
            <v>Deertongue</v>
          </cell>
        </row>
        <row r="363">
          <cell r="B363" t="str">
            <v>Indiangrass</v>
          </cell>
        </row>
        <row r="364">
          <cell r="B364" t="str">
            <v>Little Bluestem</v>
          </cell>
        </row>
        <row r="365">
          <cell r="B365" t="str">
            <v>Panicgrass, Atlantic coastal</v>
          </cell>
        </row>
        <row r="366">
          <cell r="B366" t="str">
            <v>Sand Lovegrass</v>
          </cell>
        </row>
        <row r="367">
          <cell r="B367" t="str">
            <v>Switchgrass</v>
          </cell>
        </row>
        <row r="368">
          <cell r="B368" t="str">
            <v>Native Grass Mix  (Warm Season)</v>
          </cell>
        </row>
        <row r="369">
          <cell r="B369" t="str">
            <v>Native Grass Mix  (Warm Season) (organic)</v>
          </cell>
        </row>
        <row r="370">
          <cell r="B370" t="str">
            <v>Geojute Erosion Control Blanket</v>
          </cell>
        </row>
        <row r="371">
          <cell r="B371" t="str">
            <v>Straw Erosion Control Blanket</v>
          </cell>
        </row>
        <row r="372">
          <cell r="B372" t="str">
            <v>Liner, pond, LLDPE, 40 mil., includes geotextile, up to two boots &amp; field welding</v>
          </cell>
        </row>
        <row r="373">
          <cell r="B373" t="str">
            <v>Liner, pond, LLDPE, 60 mil., includes geotextile, up to two boots &amp; field welding</v>
          </cell>
        </row>
        <row r="374">
          <cell r="B374" t="str">
            <v>Compost cover</v>
          </cell>
        </row>
        <row r="375">
          <cell r="B375" t="str">
            <v>Pipe, CMP, 15", 16ga., material only</v>
          </cell>
        </row>
        <row r="376">
          <cell r="B376" t="str">
            <v>Pipe, CMP, 18", 16ga., material only</v>
          </cell>
        </row>
        <row r="377">
          <cell r="B377" t="str">
            <v>Pipe, CMP, 21", 16ga., material only</v>
          </cell>
        </row>
        <row r="378">
          <cell r="B378" t="str">
            <v>Pipe, CMP, 24", 16ga., material only</v>
          </cell>
        </row>
        <row r="379">
          <cell r="B379" t="str">
            <v>Pipe, CMP, 30", 14ga., material only</v>
          </cell>
        </row>
        <row r="380">
          <cell r="B380" t="str">
            <v>Pipe, CMP, 6", 18ga., material only</v>
          </cell>
        </row>
        <row r="381">
          <cell r="B381" t="str">
            <v>Pipe, CMP, 36", 14ga., material only</v>
          </cell>
        </row>
        <row r="382">
          <cell r="B382" t="str">
            <v>Pipe, CMP, 42", 12ga., material only</v>
          </cell>
        </row>
        <row r="383">
          <cell r="B383" t="str">
            <v>Pipe, CMP, 48", 12ga., material only</v>
          </cell>
        </row>
        <row r="384">
          <cell r="B384" t="str">
            <v>Pipe, CMP, 60", 10ga., material only</v>
          </cell>
        </row>
        <row r="385">
          <cell r="B385" t="str">
            <v>Pipe, CMP, 72", 10ga., material only</v>
          </cell>
        </row>
        <row r="386">
          <cell r="B386" t="str">
            <v>Pipe, CMP, 8", 18ga., material only</v>
          </cell>
        </row>
        <row r="387">
          <cell r="B387" t="str">
            <v>Pipe, CMP, 10", 16ga., material only</v>
          </cell>
        </row>
        <row r="388">
          <cell r="B388" t="str">
            <v>Pipe, CMP, 12", 16ga., material only</v>
          </cell>
        </row>
        <row r="389">
          <cell r="B389" t="str">
            <v>Pipe, HDPE 30", SOIL TIGHT, material only</v>
          </cell>
        </row>
        <row r="390">
          <cell r="B390" t="str">
            <v>Pipe, HDPE 36", SOIL TIGHT, material only</v>
          </cell>
        </row>
        <row r="391">
          <cell r="B391" t="str">
            <v>Pipe, HDPE 48", SOIL TIGHT, material only</v>
          </cell>
        </row>
        <row r="392">
          <cell r="B392" t="str">
            <v>Pipe, HDPE 6", SOIL TIGHT, material only</v>
          </cell>
        </row>
        <row r="393">
          <cell r="B393" t="str">
            <v>Pipe, HDPE 8", SOIL TIGHT, material only</v>
          </cell>
        </row>
        <row r="394">
          <cell r="B394" t="str">
            <v>Pipe, HDPE 10", SOIL TIGHT, material only</v>
          </cell>
        </row>
        <row r="395">
          <cell r="B395" t="str">
            <v>Pipe, HDPE 12", SOIL TIGHT, material only</v>
          </cell>
        </row>
        <row r="396">
          <cell r="B396" t="str">
            <v>Pipe, HDPE 15", SOIL TIGHT, material only</v>
          </cell>
        </row>
        <row r="397">
          <cell r="B397" t="str">
            <v>Pipe, HDPE 18", SOIL TIGHT, material only</v>
          </cell>
        </row>
        <row r="398">
          <cell r="B398" t="str">
            <v>Pipe, HDPE 24", SOIL TIGHT, material only</v>
          </cell>
        </row>
        <row r="399">
          <cell r="B399" t="str">
            <v>Pipeline, Black Poly, 1/2", 125 psi, material cost only</v>
          </cell>
        </row>
        <row r="400">
          <cell r="B400" t="str">
            <v>Pipeline, Black Poly, 3/4", 160 psi, material cost only</v>
          </cell>
        </row>
        <row r="401">
          <cell r="B401" t="str">
            <v>Pipeline, Black Poly, 1", 160 psi, material cost only</v>
          </cell>
        </row>
        <row r="402">
          <cell r="B402" t="str">
            <v>Pipeline, Black Poly, 1-1/4", 160 psi, material cost only</v>
          </cell>
        </row>
        <row r="403">
          <cell r="B403" t="str">
            <v>Pipeline, Black Poly, 1-1/2", 160 psi, material cost only</v>
          </cell>
        </row>
        <row r="404">
          <cell r="B404" t="str">
            <v>Pipeline, Black Poly, 2", 160 psi, material cost only</v>
          </cell>
        </row>
        <row r="405">
          <cell r="B405" t="str">
            <v>Ball Valve, Socket, 1-1/2", PVC</v>
          </cell>
        </row>
        <row r="406">
          <cell r="B406" t="str">
            <v>Ball Valve, Socket, 2", PVC</v>
          </cell>
        </row>
        <row r="407">
          <cell r="B407" t="str">
            <v>Ball Valve, True Union, Socket, 1-1/2"</v>
          </cell>
        </row>
        <row r="408">
          <cell r="B408" t="str">
            <v>Ball Valve, True Union, Socket, 2"</v>
          </cell>
        </row>
        <row r="409">
          <cell r="B409" t="str">
            <v>Ball Valve, True Union, Socket, 2-1/2"</v>
          </cell>
        </row>
        <row r="410">
          <cell r="B410" t="str">
            <v>Ball Valve, True Union, Socket, 3"</v>
          </cell>
        </row>
        <row r="411">
          <cell r="B411" t="str">
            <v>Ball Valve, 3 Way, True Union, Socket, 1-1/2"</v>
          </cell>
        </row>
        <row r="412">
          <cell r="B412" t="str">
            <v>Ball Valve, 3 Way, True Union, Socket, 2"</v>
          </cell>
        </row>
        <row r="413">
          <cell r="B413" t="str">
            <v>Headwall &amp; Rodent Guard, 4"-8" pipe</v>
          </cell>
        </row>
        <row r="414">
          <cell r="B414" t="str">
            <v>Pipe, Steel, Sch. 40, 2" dia.,material cost only</v>
          </cell>
        </row>
        <row r="415">
          <cell r="B415" t="str">
            <v>Pipe, Steel, Sch. 40, 3" dia.,material cost only</v>
          </cell>
        </row>
        <row r="416">
          <cell r="B416" t="str">
            <v>Pipe, Steel, Sch. 40, 4" dia.,material cost only</v>
          </cell>
        </row>
        <row r="417">
          <cell r="B417" t="str">
            <v>Pipe, Steel, Sch. 40, 6" dia.,material cost only</v>
          </cell>
        </row>
        <row r="418">
          <cell r="B418" t="str">
            <v>16" dia. Pipe, Steel, Waste transfer, installed w/ sand envelope</v>
          </cell>
        </row>
        <row r="419">
          <cell r="B419" t="str">
            <v>16" dia. Elbow, Steel, 15 or 30 deg., mat. cost only</v>
          </cell>
        </row>
        <row r="420">
          <cell r="B420" t="str">
            <v>16" dia. Elbow, Steel, 45 or 60 deg., mat. cost only</v>
          </cell>
        </row>
        <row r="421">
          <cell r="B421" t="str">
            <v>16" dia. Elbow, Steel, 75 or 90 deg., mat. cost only</v>
          </cell>
        </row>
        <row r="422">
          <cell r="B422" t="str">
            <v>Guillotine Safety Valve, 16" dia. , material cost only</v>
          </cell>
        </row>
        <row r="423">
          <cell r="B423" t="str">
            <v>Guillotine Safety Valve, 12" dia. , material cost only</v>
          </cell>
        </row>
        <row r="424">
          <cell r="B424" t="str">
            <v>Guillotine Safety Valve, 8" dia. , material cost only</v>
          </cell>
        </row>
        <row r="425">
          <cell r="B425" t="str">
            <v>Guillotine Safety Valve, 6" dia. , material cost only</v>
          </cell>
        </row>
        <row r="426">
          <cell r="B426" t="str">
            <v>24" dia. Pipe, Steel, Waste transfer, installed w/ sand envelope</v>
          </cell>
        </row>
        <row r="427">
          <cell r="B427" t="str">
            <v>24" dia. Elbow, Steel, 18 or 36 deg., mat. cost only</v>
          </cell>
        </row>
        <row r="428">
          <cell r="B428" t="str">
            <v>30" dia. Pipe, Steel, Waste transfer, installed w/ sand envelope</v>
          </cell>
        </row>
        <row r="429">
          <cell r="B429" t="str">
            <v>30" dia. Elbow, Steel, 18 or 36 deg., mat. cost only</v>
          </cell>
        </row>
        <row r="430">
          <cell r="B430" t="str">
            <v>4" Pipe Seal, modular, i.e. Linkseal - material cost only</v>
          </cell>
        </row>
        <row r="431">
          <cell r="B431" t="str">
            <v>Block, Concrete, 2'x2'x4'</v>
          </cell>
        </row>
        <row r="432">
          <cell r="B432" t="str">
            <v>Block, Concrete, 2'x2'x6'</v>
          </cell>
        </row>
        <row r="433">
          <cell r="B433" t="str">
            <v>Pumping, Concrete, Footings &amp; Slabs, 18.75cy/hr (include drive time)</v>
          </cell>
        </row>
        <row r="434">
          <cell r="B434" t="str">
            <v>Pumping, Concrete, Walls, 12.5cy/hr (include drive time)</v>
          </cell>
        </row>
        <row r="435">
          <cell r="B435" t="str">
            <v>Hopper, Precast, 6' dia. x 6' deep, delivered, no excavation</v>
          </cell>
        </row>
        <row r="436">
          <cell r="B436" t="str">
            <v>Hopper, Precast, 6' dia. x 8' deep, delivered, no excavation</v>
          </cell>
        </row>
        <row r="437">
          <cell r="B437" t="str">
            <v>Tree Revetment, &lt;20 ft length, single row</v>
          </cell>
        </row>
        <row r="438">
          <cell r="B438" t="str">
            <v>Tree Revetment, &lt;20 ft length, double row</v>
          </cell>
        </row>
        <row r="439">
          <cell r="B439" t="str">
            <v>Duckbill Anchor, 9ft Cable &amp; 4 Clamps (1 Unit), material cost only</v>
          </cell>
        </row>
        <row r="440">
          <cell r="B440" t="str">
            <v>Lunker Boxes, installed</v>
          </cell>
        </row>
        <row r="441">
          <cell r="B441" t="str">
            <v>Stream Barb/Rock Vein</v>
          </cell>
        </row>
        <row r="442">
          <cell r="B442" t="str">
            <v>Tree Revetment, &lt;20 ft length, double row, w/ live stakes/cuttings</v>
          </cell>
        </row>
        <row r="443">
          <cell r="B443" t="str">
            <v>Live Stakes, installed</v>
          </cell>
        </row>
        <row r="444">
          <cell r="B444" t="str">
            <v>Facines/Wattles, installed</v>
          </cell>
        </row>
        <row r="445">
          <cell r="B445" t="str">
            <v>Joint Plantings, installed</v>
          </cell>
        </row>
        <row r="446">
          <cell r="B446" t="str">
            <v>6" Duckbill Anchors, material cost only</v>
          </cell>
        </row>
        <row r="447">
          <cell r="B447" t="str">
            <v>1/4" Clamp, material cost only</v>
          </cell>
        </row>
        <row r="448">
          <cell r="B448" t="str">
            <v>1/4" Aircraft Cable, material cost only</v>
          </cell>
        </row>
        <row r="449">
          <cell r="B449" t="str">
            <v>Swaging Tool, material cost only</v>
          </cell>
        </row>
        <row r="450">
          <cell r="B450" t="str">
            <v>Roof Structure - hoop type, truss arch w/ fabric. Installed</v>
          </cell>
        </row>
        <row r="451">
          <cell r="B451" t="str">
            <v>Roof Structure - pole type w/ wood truss &amp; metal roof. Installed</v>
          </cell>
        </row>
        <row r="452">
          <cell r="B452" t="str">
            <v>Manhole, Precast, 4' dia, Cover, delivered, no excavation</v>
          </cell>
        </row>
        <row r="453">
          <cell r="B453" t="str">
            <v>Manhole, Precast, 4' dia, Section, delivered, no excavation</v>
          </cell>
        </row>
        <row r="454">
          <cell r="B454" t="str">
            <v>Manhole, Precast, 4' dia, Base, delivered, no excavation</v>
          </cell>
        </row>
        <row r="455">
          <cell r="B455" t="str">
            <v>Manhole, Precast, 5' dia, Cover, delivered, no excavation</v>
          </cell>
        </row>
        <row r="456">
          <cell r="B456" t="str">
            <v>Manhole, Precast, 5' dia, Section, delivered, no excavation</v>
          </cell>
        </row>
        <row r="457">
          <cell r="B457" t="str">
            <v>Manhole, Precast, 5' dia, Base, delivered, no excavation</v>
          </cell>
        </row>
        <row r="458">
          <cell r="B458" t="str">
            <v>Manhole, Precast, 6' dia, Cover, delivered, no excavation</v>
          </cell>
        </row>
        <row r="459">
          <cell r="B459" t="str">
            <v>Manhole, Precast,6' dia, Section, delivered, no excavation</v>
          </cell>
        </row>
        <row r="460">
          <cell r="B460" t="str">
            <v>Manhole, Precast, 6' dia, Base, delivered, no excavation</v>
          </cell>
        </row>
        <row r="461">
          <cell r="B461" t="str">
            <v>Well tile, Precast, 3' dia, Base, delivered, no excavation</v>
          </cell>
        </row>
        <row r="462">
          <cell r="B462" t="str">
            <v>Well tile, Precast, 3' dia, Cover, delivered, no excavation</v>
          </cell>
        </row>
        <row r="463">
          <cell r="B463" t="str">
            <v>Well tile, Precast, 3' dia, Section, delivered, no excavation</v>
          </cell>
        </row>
        <row r="464">
          <cell r="B464" t="str">
            <v>Lumber, pressure treated,  6" x 6"</v>
          </cell>
        </row>
        <row r="465">
          <cell r="B465" t="str">
            <v>Lumber, pressure treated,  8 "x 8"</v>
          </cell>
        </row>
        <row r="466">
          <cell r="B466" t="str">
            <v>Fan, Exhaust Ventilation, in hopper bldg or barn</v>
          </cell>
        </row>
        <row r="467">
          <cell r="B467" t="str">
            <v>Water Facility, 70 gal., non-insulated</v>
          </cell>
        </row>
        <row r="468">
          <cell r="B468" t="str">
            <v>Water Tank Valve, w/ mounting brackets</v>
          </cell>
        </row>
        <row r="469">
          <cell r="B469" t="str">
            <v>Elbow, HDPE 24" WATER TIGHT - material $$ only</v>
          </cell>
        </row>
        <row r="470">
          <cell r="B470" t="str">
            <v>Elbow, HDPE 30" WATER TIGHT - material $$ only</v>
          </cell>
        </row>
        <row r="471">
          <cell r="B471" t="str">
            <v>Elbow, HDPE 36" WATER TIGHT - material $$ only</v>
          </cell>
        </row>
        <row r="472">
          <cell r="B472" t="str">
            <v>Pipe, HDPE 24", WATER TIGHT, material $$ only</v>
          </cell>
        </row>
        <row r="473">
          <cell r="B473" t="str">
            <v>Pipe, HDPE 30", WATER TIGHT, material $$ only</v>
          </cell>
        </row>
        <row r="474">
          <cell r="B474" t="str">
            <v>Pipe, HDPE 36", WATER TIGHT, material $$ only</v>
          </cell>
        </row>
        <row r="475">
          <cell r="B475" t="str">
            <v>Guillotine Inlet Valve, Gravity System, 30" or 36" Pipe, fabricated</v>
          </cell>
        </row>
        <row r="476">
          <cell r="B476" t="str">
            <v>Pushoff Safety Stop</v>
          </cell>
        </row>
        <row r="477">
          <cell r="B477" t="str">
            <v>Safety Signs, Structure or Hopper</v>
          </cell>
        </row>
        <row r="478">
          <cell r="B478" t="str">
            <v>Safety Signs, Structure, attached to fence</v>
          </cell>
        </row>
        <row r="479">
          <cell r="B479" t="str">
            <v>Manure Pump, Agitator/Unload, trailer type, PTO type</v>
          </cell>
        </row>
        <row r="480">
          <cell r="B480" t="str">
            <v>Manure Pump, Agitator/Unload, vertical wall type, 3pt hitch, PTO type</v>
          </cell>
        </row>
        <row r="481">
          <cell r="B481" t="str">
            <v>Manure Pump, Auger, w/ electric motor</v>
          </cell>
        </row>
        <row r="482">
          <cell r="B482" t="str">
            <v>Manure Pump, 4" Electric, w/ ~10hp motor</v>
          </cell>
        </row>
        <row r="483">
          <cell r="B483" t="str">
            <v>Manure, Elevator, 40ft</v>
          </cell>
        </row>
        <row r="484">
          <cell r="B484" t="str">
            <v>Manure, Elevator, 60ft</v>
          </cell>
        </row>
        <row r="485">
          <cell r="B485" t="str">
            <v>Manure Pump, Air System</v>
          </cell>
        </row>
        <row r="486">
          <cell r="B486" t="str">
            <v xml:space="preserve">Manure Pump, Hollow Piston Type, no conc. work , inc. minimal wiring </v>
          </cell>
        </row>
        <row r="487">
          <cell r="B487" t="str">
            <v>Manure Agitator, propeller w/ electric motor</v>
          </cell>
        </row>
        <row r="488">
          <cell r="B488" t="str">
            <v xml:space="preserve">Manure Pump, Solid Piston Type, no conc. work , inc. minimal wiring </v>
          </cell>
        </row>
        <row r="489">
          <cell r="B489" t="str">
            <v>Septic Tank, Precast, 1000gal, exc. &amp; bkfill incl.</v>
          </cell>
        </row>
        <row r="490">
          <cell r="B490" t="str">
            <v>Septic Tank, Precast, 1500gal, exc. &amp; bkfill incl.</v>
          </cell>
        </row>
        <row r="491">
          <cell r="B491" t="str">
            <v>Pump Station, Precast, heavy duty, 2000gal, exc. &amp; bkfill incl., no pump</v>
          </cell>
        </row>
        <row r="492">
          <cell r="B492" t="str">
            <v>Floculation Tank, milkhouse</v>
          </cell>
        </row>
        <row r="493">
          <cell r="B493" t="str">
            <v>Septic Tank, Precast, 2000gal, exc. &amp; bkfill incl.</v>
          </cell>
        </row>
        <row r="494">
          <cell r="B494" t="str">
            <v>Septic Tank, Precast, Heavy Duty, 1000gal, exc. &amp; bkfill incl.</v>
          </cell>
        </row>
        <row r="495">
          <cell r="B495" t="str">
            <v>Septic Tank, Precast, Heavy Duty, 1500gal, exc. &amp; bkfill incl.</v>
          </cell>
        </row>
        <row r="496">
          <cell r="B496" t="str">
            <v>Septic Tank, Precast, Heavy Duty, 2000gal, exc. &amp; bkfill incl.</v>
          </cell>
        </row>
        <row r="497">
          <cell r="B497" t="str">
            <v>Grease Trap, 1000gal, exc. &amp; bkfill incl., w/ 8" effluent filter</v>
          </cell>
        </row>
        <row r="498">
          <cell r="B498" t="str">
            <v>Pump Station, Precast, 1000gal, exc. &amp; bkfill incl., small pump included</v>
          </cell>
        </row>
        <row r="499">
          <cell r="B499" t="str">
            <v xml:space="preserve">Pump Station, Precast, heavy duty, 1000gal, exc. &amp; bkfill incl., no pump </v>
          </cell>
        </row>
        <row r="500">
          <cell r="B500" t="str">
            <v>Pump Station, Precast,heavy duty, 1500gal, exc. &amp; bkfill incl., no pump</v>
          </cell>
        </row>
        <row r="501">
          <cell r="B501" t="str">
            <v>Hydraulic Transfer Pump</v>
          </cell>
        </row>
        <row r="502">
          <cell r="B502" t="str">
            <v>Sewage Pump, 2" solids handling, 1.5 - 2hp</v>
          </cell>
        </row>
        <row r="503">
          <cell r="B503" t="str">
            <v>Sewage Pump, 3" Agitator Type, vertical shaft, 3 - 5hp motor</v>
          </cell>
        </row>
        <row r="504">
          <cell r="B504" t="str">
            <v>Sewage Pump, 2" solids handling, 0.5 - 1hp</v>
          </cell>
        </row>
        <row r="505">
          <cell r="B505" t="str">
            <v>Sewage Pump, 3" solids handling, 1.5 - 5hp</v>
          </cell>
        </row>
        <row r="506">
          <cell r="B506" t="str">
            <v xml:space="preserve">Sewage Pump, 2" solids handling, stainless steel, 0.5 - 1hp </v>
          </cell>
        </row>
        <row r="507">
          <cell r="B507" t="str">
            <v>Silage Leachate Screen</v>
          </cell>
        </row>
        <row r="508">
          <cell r="B508" t="str">
            <v>Silage Leachate Orifice</v>
          </cell>
        </row>
        <row r="509">
          <cell r="B509" t="str">
            <v>Grate, Safety, over hopper</v>
          </cell>
        </row>
        <row r="510">
          <cell r="B510" t="str">
            <v>Hydrant, Frost Free - installed</v>
          </cell>
        </row>
        <row r="511">
          <cell r="B511" t="str">
            <v>Hydrant, Frost Free Hydrant - material cost only</v>
          </cell>
        </row>
        <row r="512">
          <cell r="B512" t="str">
            <v>Float Valve Assembly</v>
          </cell>
        </row>
        <row r="513">
          <cell r="B513" t="str">
            <v>"T" Post, 8' galvanized</v>
          </cell>
        </row>
        <row r="514">
          <cell r="B514" t="str">
            <v>Clearing old Fenceline</v>
          </cell>
        </row>
        <row r="515">
          <cell r="B515" t="str">
            <v>Water Facility, 100 gal., non-insulated</v>
          </cell>
        </row>
        <row r="516">
          <cell r="B516" t="str">
            <v>Water Facility, 1000 gal., non-insulated, material cost only</v>
          </cell>
        </row>
        <row r="517">
          <cell r="B517" t="str">
            <v>Water Facility, 15 gal., insulated</v>
          </cell>
        </row>
        <row r="518">
          <cell r="B518" t="str">
            <v>Water Facility, 20 gal., insulated</v>
          </cell>
        </row>
        <row r="519">
          <cell r="B519" t="str">
            <v>Water Facility, 300 gal., non-insulated</v>
          </cell>
        </row>
        <row r="520">
          <cell r="B520" t="str">
            <v>Water Facility, 50 gal., non-insulated</v>
          </cell>
        </row>
        <row r="521">
          <cell r="B521" t="str">
            <v>Well, casing</v>
          </cell>
        </row>
        <row r="522">
          <cell r="B522" t="str">
            <v>Well, submersible pump</v>
          </cell>
        </row>
        <row r="523">
          <cell r="B523" t="str">
            <v>Well, drilling</v>
          </cell>
        </row>
        <row r="524">
          <cell r="B524" t="str">
            <v>Heat Tube</v>
          </cell>
        </row>
        <row r="525">
          <cell r="B525" t="str">
            <v>Valve, Vacuum or Pressure Relief</v>
          </cell>
        </row>
        <row r="526">
          <cell r="B526" t="str">
            <v>Valve, Quick Coupler (male + female)</v>
          </cell>
        </row>
        <row r="527">
          <cell r="B527" t="str">
            <v>Coupling/Hydrant</v>
          </cell>
        </row>
        <row r="528">
          <cell r="B528" t="str">
            <v>Pump, Electric, 5hp</v>
          </cell>
        </row>
        <row r="529">
          <cell r="B529" t="str">
            <v>Pump, HydroRam, 1"</v>
          </cell>
        </row>
        <row r="530">
          <cell r="B530" t="str">
            <v>Pump, HydroRam, 1-1/2"</v>
          </cell>
        </row>
        <row r="531">
          <cell r="B531" t="str">
            <v>Pump, HydroRam, 2"</v>
          </cell>
        </row>
        <row r="532">
          <cell r="B532" t="str">
            <v>Pump, Nose Operated</v>
          </cell>
        </row>
        <row r="533">
          <cell r="B533" t="str">
            <v>Pump, Permanently Mounted</v>
          </cell>
        </row>
        <row r="534">
          <cell r="B534" t="str">
            <v>Pump, Solar, 2 panels</v>
          </cell>
        </row>
        <row r="535">
          <cell r="B535" t="str">
            <v>Apple Tree Release and Pruning</v>
          </cell>
        </row>
        <row r="536">
          <cell r="B536" t="str">
            <v>Signs - WHIP Program</v>
          </cell>
        </row>
        <row r="537">
          <cell r="B537" t="str">
            <v>Brushhogging, light duty</v>
          </cell>
        </row>
        <row r="538">
          <cell r="B538" t="str">
            <v>Brushhogging, heavy duty</v>
          </cell>
        </row>
        <row r="539">
          <cell r="B539" t="str">
            <v>Fencing Beavers (4' chicken wire)</v>
          </cell>
        </row>
        <row r="540">
          <cell r="B540" t="str">
            <v>Installation of beaver pipes</v>
          </cell>
        </row>
        <row r="541">
          <cell r="B541" t="str">
            <v>Lunker box (installed)</v>
          </cell>
        </row>
        <row r="542">
          <cell r="B542" t="str">
            <v>Mast Tree Release</v>
          </cell>
        </row>
        <row r="543">
          <cell r="B543" t="str">
            <v>Vegetation Restoration – herbaceous plants (2" plugs)</v>
          </cell>
        </row>
        <row r="544">
          <cell r="B544" t="str">
            <v>Vegetative Restoration – wetland seeding</v>
          </cell>
        </row>
        <row r="545">
          <cell r="B545" t="str">
            <v>Chisel Plowing</v>
          </cell>
        </row>
        <row r="546">
          <cell r="B546" t="str">
            <v>Disk Plow</v>
          </cell>
        </row>
        <row r="547">
          <cell r="B547" t="str">
            <v>Harrowing</v>
          </cell>
        </row>
        <row r="548">
          <cell r="B548" t="str">
            <v>Harrowing w/ cultipacker</v>
          </cell>
        </row>
        <row r="549">
          <cell r="B549" t="str">
            <v>Moldboard Plow</v>
          </cell>
        </row>
        <row r="550">
          <cell r="B550" t="str">
            <v>Moldboard Plow - Sod</v>
          </cell>
        </row>
        <row r="551">
          <cell r="B551" t="str">
            <v>Cultipacking (14')</v>
          </cell>
        </row>
        <row r="552">
          <cell r="B552" t="str">
            <v>Cultivating</v>
          </cell>
        </row>
        <row r="553">
          <cell r="B553" t="str">
            <v>Conventional Seeding</v>
          </cell>
        </row>
        <row r="554">
          <cell r="B554" t="str">
            <v>No-Till Drill (15')</v>
          </cell>
        </row>
        <row r="555">
          <cell r="B555" t="str">
            <v>Mowing</v>
          </cell>
        </row>
        <row r="556">
          <cell r="B556" t="str">
            <v>Mowing w/ conditioner</v>
          </cell>
        </row>
        <row r="557">
          <cell r="B557" t="str">
            <v>Raking Hay</v>
          </cell>
        </row>
        <row r="558">
          <cell r="B558" t="str">
            <v>Manure Spreading (semisolid, min. 10 acres)</v>
          </cell>
        </row>
        <row r="559">
          <cell r="B559" t="str">
            <v>Lime Spreading</v>
          </cell>
        </row>
        <row r="560">
          <cell r="B560" t="str">
            <v>Fertilizer Spreading (Bulk)</v>
          </cell>
        </row>
        <row r="561">
          <cell r="B561" t="str">
            <v>Spraying for Weed Control</v>
          </cell>
        </row>
        <row r="562">
          <cell r="B562" t="str">
            <v>Tractor w/ Implement (custom field work)</v>
          </cell>
        </row>
        <row r="563">
          <cell r="B563" t="str">
            <v>Bar Guard, 12" Heavy Duty, Trash Rack</v>
          </cell>
        </row>
        <row r="564">
          <cell r="B564" t="str">
            <v>Bar Guard, 18" Heavy Duty, Trash Rack</v>
          </cell>
        </row>
        <row r="565">
          <cell r="B565" t="str">
            <v>Bar Guard, 24" Heavy Duty, Trash Rack</v>
          </cell>
        </row>
        <row r="566">
          <cell r="B566" t="str">
            <v>Labor, unskilled</v>
          </cell>
        </row>
        <row r="567">
          <cell r="B567" t="str">
            <v>Labor, unskilled w/ chainsaw</v>
          </cell>
        </row>
        <row r="568">
          <cell r="B568" t="str">
            <v>Stone Wall, Removal (w/ Archaeologist Approval)</v>
          </cell>
        </row>
        <row r="569">
          <cell r="B569" t="str">
            <v>Disposal, Obstruction Removal</v>
          </cell>
        </row>
        <row r="570">
          <cell r="B570" t="str">
            <v>Clearing &amp; Grubbing (ACRE)</v>
          </cell>
        </row>
        <row r="571">
          <cell r="B571" t="str">
            <v>Clearing &amp; Grubbing (EACH)</v>
          </cell>
        </row>
        <row r="572">
          <cell r="B572" t="str">
            <v>Test pits - for waste storage pond</v>
          </cell>
        </row>
        <row r="573">
          <cell r="B573" t="str">
            <v>Soil Test, gradation, atterberg, proctor &amp; permeability</v>
          </cell>
        </row>
        <row r="574">
          <cell r="B574" t="str">
            <v xml:space="preserve">Fence, High Tensile, 3 strand </v>
          </cell>
        </row>
        <row r="575">
          <cell r="B575" t="str">
            <v xml:space="preserve">Fence, High Tensile, 4 strand </v>
          </cell>
        </row>
        <row r="576">
          <cell r="B576" t="str">
            <v xml:space="preserve">Fence, High Tensile, 5 strand </v>
          </cell>
        </row>
        <row r="577">
          <cell r="B577" t="str">
            <v xml:space="preserve">Fence, High Tensile, 6 strand </v>
          </cell>
        </row>
        <row r="578">
          <cell r="B578" t="str">
            <v>Fence, High Tensile, 6 strand, straight &amp; long lengths (field fencing)</v>
          </cell>
        </row>
        <row r="579">
          <cell r="B579" t="str">
            <v>Fence, Woven Wire</v>
          </cell>
        </row>
        <row r="580">
          <cell r="B580" t="str">
            <v>Fencing, 19 ga.Stainless Steel Wire, Portable Fencing</v>
          </cell>
        </row>
        <row r="581">
          <cell r="B581" t="str">
            <v>Fencing, Deer Net, 8ft - material cost only</v>
          </cell>
        </row>
        <row r="582">
          <cell r="B582" t="str">
            <v>Fencing, Poly Net (sheep &amp; chickens) - material cost only</v>
          </cell>
        </row>
        <row r="583">
          <cell r="B583" t="str">
            <v>Fencing, Poly Wire - material cost only</v>
          </cell>
        </row>
        <row r="584">
          <cell r="B584" t="str">
            <v xml:space="preserve">Fence, Electric, 2 strand </v>
          </cell>
        </row>
        <row r="585">
          <cell r="B585" t="str">
            <v>Fencing, Ribbon Type (horses) - material cost only</v>
          </cell>
        </row>
        <row r="586">
          <cell r="B586" t="str">
            <v>Fence, Electric, portable polywire or tape w/ posts</v>
          </cell>
        </row>
        <row r="587">
          <cell r="B587" t="str">
            <v>Brace, Corner Type, Fence</v>
          </cell>
        </row>
        <row r="588">
          <cell r="B588" t="str">
            <v>Brace, End Type, Fence</v>
          </cell>
        </row>
        <row r="589">
          <cell r="B589" t="str">
            <v>Charger, Fence, &gt; 2000ft</v>
          </cell>
        </row>
        <row r="590">
          <cell r="B590" t="str">
            <v>Charger, Fence, 12V Solar Powered, &lt; 15 acres</v>
          </cell>
        </row>
        <row r="591">
          <cell r="B591" t="str">
            <v>Post, Fence, Cedar 6 ft, material cost only</v>
          </cell>
        </row>
        <row r="592">
          <cell r="B592" t="str">
            <v>Post, Portable Fence, material cost only</v>
          </cell>
        </row>
        <row r="593">
          <cell r="B593" t="str">
            <v>Charger, Fence, 12V Solar Powered &gt; 15 acres</v>
          </cell>
        </row>
        <row r="594">
          <cell r="B594" t="str">
            <v xml:space="preserve">Fence, Wood, 3 board </v>
          </cell>
        </row>
        <row r="595">
          <cell r="B595" t="str">
            <v>Fence, Steel post w/ 2 steel rails</v>
          </cell>
        </row>
        <row r="596">
          <cell r="B596" t="str">
            <v xml:space="preserve">Fence, Barbed Wire, 3 strand </v>
          </cell>
        </row>
        <row r="597">
          <cell r="B597" t="str">
            <v xml:space="preserve">Fence, Barbed Wire, 4 strand </v>
          </cell>
        </row>
        <row r="598">
          <cell r="B598" t="str">
            <v xml:space="preserve">Fence, Barbed Wire, 5 strand </v>
          </cell>
        </row>
        <row r="599">
          <cell r="B599" t="str">
            <v xml:space="preserve">Fence, High Tensile, 2 strand </v>
          </cell>
        </row>
        <row r="600">
          <cell r="B600" t="str">
            <v>Gate, Fence, light duty</v>
          </cell>
        </row>
        <row r="601">
          <cell r="B601" t="str">
            <v>Gate, Fence, heavy duty</v>
          </cell>
        </row>
        <row r="602">
          <cell r="B602" t="str">
            <v>Gate, Fence, Panel Type</v>
          </cell>
        </row>
        <row r="603">
          <cell r="B603" t="str">
            <v>Gate, Fence, Spring Type, 2 Wire</v>
          </cell>
        </row>
        <row r="604">
          <cell r="B604" t="str">
            <v>Borrow, 1.5" Crushed Stone, 5 mile round trip</v>
          </cell>
        </row>
        <row r="605">
          <cell r="B605" t="str">
            <v>Borrow, Common-incl. Clay, 5 mile round trip</v>
          </cell>
        </row>
        <row r="606">
          <cell r="B606" t="str">
            <v>Borrow, Common-incl. Clay, 10 mile round trip</v>
          </cell>
        </row>
        <row r="607">
          <cell r="B607" t="str">
            <v>Borrow, Common-incl. Clay, 20 mile round trip</v>
          </cell>
        </row>
        <row r="608">
          <cell r="B608" t="str">
            <v>Borrow, Washed Mfg. Sand, 5 mile round trip</v>
          </cell>
        </row>
        <row r="609">
          <cell r="B609" t="str">
            <v>Borrow, Washed Mfg. Sand, 10 mile round trip</v>
          </cell>
        </row>
        <row r="610">
          <cell r="B610" t="str">
            <v>Borrow, Washed Mfg. Sand, 20 mile round trip</v>
          </cell>
        </row>
        <row r="611">
          <cell r="B611" t="str">
            <v>Borrow, Bank Sand, 5 mile round trip</v>
          </cell>
        </row>
        <row r="612">
          <cell r="B612" t="str">
            <v>Borrow, Bank Sand, 10 mile round trip</v>
          </cell>
        </row>
        <row r="613">
          <cell r="B613" t="str">
            <v>Borrow, Bank Sand, 20 mile round trip</v>
          </cell>
        </row>
        <row r="614">
          <cell r="B614" t="str">
            <v>Borrow, 3/4" Plant Mix, 5 mile round trip</v>
          </cell>
        </row>
        <row r="615">
          <cell r="B615" t="str">
            <v>Borrow, 1.5" Crushed Stone, 10 mile round trip</v>
          </cell>
        </row>
        <row r="616">
          <cell r="B616" t="str">
            <v>Borrow, 3/4" Plant Mix, 10 mile round trip</v>
          </cell>
        </row>
        <row r="617">
          <cell r="B617" t="str">
            <v>Borrow, 3/4" Plant Mix, 20 mile round trip</v>
          </cell>
        </row>
        <row r="618">
          <cell r="B618" t="str">
            <v>Borrow, Rock RipRap, 5 mile round trip</v>
          </cell>
        </row>
        <row r="619">
          <cell r="B619" t="str">
            <v>Borrow, Rock RipRap, 10 mile round trip</v>
          </cell>
        </row>
        <row r="620">
          <cell r="B620" t="str">
            <v>Borrow, Rock RipRap, 20 mile round trip</v>
          </cell>
        </row>
        <row r="621">
          <cell r="B621" t="str">
            <v>Borrow, 1.5" Crushed Stone, 20 mile round trip</v>
          </cell>
        </row>
        <row r="622">
          <cell r="B622" t="str">
            <v>Borrow, 3/4" Crushed Stone, 5 mile round trip</v>
          </cell>
        </row>
        <row r="623">
          <cell r="B623" t="str">
            <v>Borrow, 3/4" Crushed Stone, 10 mile round trip</v>
          </cell>
        </row>
        <row r="624">
          <cell r="B624" t="str">
            <v>Borrow, 3/4" Crushed Stone, 20 mile round trip</v>
          </cell>
        </row>
        <row r="625">
          <cell r="B625" t="str">
            <v>Borrow, Bank Run Gravel, 5 mile round trip</v>
          </cell>
        </row>
        <row r="626">
          <cell r="B626" t="str">
            <v>Borrow, Bank Run Gravel, 10 mile round trip</v>
          </cell>
        </row>
        <row r="627">
          <cell r="B627" t="str">
            <v>Borrow, Bank Run Gravel, 20 mile round trip</v>
          </cell>
        </row>
        <row r="628">
          <cell r="B628" t="str">
            <v>Geotextile - Non Woven (drainage), small areas</v>
          </cell>
        </row>
        <row r="629">
          <cell r="B629" t="str">
            <v>Geotextile - Woven (reinforcement), small areas</v>
          </cell>
        </row>
        <row r="630">
          <cell r="B630" t="str">
            <v>Geotextile - Non Woven (drainage), small areas</v>
          </cell>
        </row>
        <row r="631">
          <cell r="B631" t="str">
            <v>French drain, Roof drain</v>
          </cell>
        </row>
        <row r="632">
          <cell r="B632" t="str">
            <v>Hauling, Borrow, 2 mi. RT, inc. loading &amp; spread w/ dozer, no mat. $</v>
          </cell>
        </row>
        <row r="633">
          <cell r="B633" t="str">
            <v>Hauling, Borrow, 5 mi. RT, inc. loading &amp; spread w/ dozer, no mat. $</v>
          </cell>
        </row>
        <row r="634">
          <cell r="B634" t="str">
            <v>Hauling, Borrow, 10 mi. RT, inc. loading &amp; spread w/ dozer, no mat. $</v>
          </cell>
        </row>
        <row r="635">
          <cell r="B635" t="str">
            <v>Hauling, Borrow, 20 mi. RT, inc. loading &amp; spread w/ dozer, no mat. $</v>
          </cell>
        </row>
        <row r="636">
          <cell r="B636" t="str">
            <v>Excavation-Rock, blasting, &lt;100 C.Y.</v>
          </cell>
        </row>
        <row r="637">
          <cell r="B637" t="str">
            <v>Excavation-Rock, ripped</v>
          </cell>
        </row>
        <row r="638">
          <cell r="B638" t="str">
            <v>Pipe, Corrugated Plastic Tubing, 4", laid in trench - no excavation</v>
          </cell>
        </row>
        <row r="639">
          <cell r="B639" t="str">
            <v>Pipe, Corrugated Plastic Tubing, 6", laid in trench - no excavation</v>
          </cell>
        </row>
        <row r="640">
          <cell r="B640" t="str">
            <v>Pipe, PVC, SDR 35, 15" Dia., Excav. And Backfill Included (local cost)</v>
          </cell>
        </row>
        <row r="641">
          <cell r="B641" t="str">
            <v>Pipe, PVC, SDR 35, 4" Dia., Excav. And Backfill Included (local cost)</v>
          </cell>
        </row>
        <row r="642">
          <cell r="B642" t="str">
            <v>Pipe, PVC, SDR 35, 6" Dia., Excav. And Backfill Included (local cost)</v>
          </cell>
        </row>
        <row r="643">
          <cell r="B643" t="str">
            <v>Pipe, PVC, SDR 35, 8" Dia., Excav. And Backfill Included (local cost)</v>
          </cell>
        </row>
        <row r="644">
          <cell r="B644" t="str">
            <v>Pipe, PVC, SDR 35, 10" Dia., Excav. And Backfill Included (local cost)</v>
          </cell>
        </row>
        <row r="645">
          <cell r="B645" t="str">
            <v>Pipe, PVC, SDR 35, 12" Dia., Excav. And Backfill Included (local cost)</v>
          </cell>
        </row>
        <row r="646">
          <cell r="B646" t="str">
            <v>Pipe, PVC, SDR 26, 160 psi, 2" Dia., Excav. And Backfill Included</v>
          </cell>
        </row>
        <row r="647">
          <cell r="B647" t="str">
            <v>Pipe, PVC, SDR 26, 160 psi, 3" Dia., Excav. And Backfill Included</v>
          </cell>
        </row>
        <row r="648">
          <cell r="B648" t="str">
            <v>Pipe, PVC, SDR 26, 160 psi, 4" Dia., Excav. And Backfill Included</v>
          </cell>
        </row>
        <row r="649">
          <cell r="B649" t="str">
            <v>Pipe, PVC, SDR 26, 160 psi, 6" Dia., Excav. And Backfill Included</v>
          </cell>
        </row>
        <row r="650">
          <cell r="B650" t="str">
            <v>Pipe, PVC, SDR 26, 160 psi, 8" Dia., Excav. And Backfill Included</v>
          </cell>
        </row>
        <row r="651">
          <cell r="B651" t="str">
            <v>Pipe, PVC, SDR 26, 160 psi, 10" Dia., Excav. And Backfill Included</v>
          </cell>
        </row>
        <row r="652">
          <cell r="B652" t="str">
            <v>Pipe, PVC, SDR 26, 160 psi, 12" Dia., Excav. And Backfill Included</v>
          </cell>
        </row>
        <row r="653">
          <cell r="B653" t="str">
            <v>Pipe, PVC, SDR 26, 160 psi, 16" Dia., Excav. And Backfill Included</v>
          </cell>
        </row>
        <row r="654">
          <cell r="B654" t="str">
            <v>Pipe, PVC, SCH. 40, 2" Dia., Excav. And Backfill Included (local cost)</v>
          </cell>
        </row>
        <row r="655">
          <cell r="B655" t="str">
            <v>Pipe, PVC, SCH. 40, 3" Dia., Excav. And Backfill Included (local cost)</v>
          </cell>
        </row>
        <row r="656">
          <cell r="B656" t="str">
            <v>Pipe, PVC, SCH. 40, 4" Dia., Excav. And Backfill Included (local cost)</v>
          </cell>
        </row>
        <row r="657">
          <cell r="B657" t="str">
            <v>Pipe, PVC, SCH. 40, 6" Dia., Excav. And Backfill Included (local cost)</v>
          </cell>
        </row>
        <row r="658">
          <cell r="B658" t="str">
            <v>Pipe, PVC, SCH. 40, 8" Dia., Excav. And Backfill Included (local cost)</v>
          </cell>
        </row>
        <row r="659">
          <cell r="B659" t="str">
            <v>Pipe, PVC, SCH. 40, 10" Dia., Excav. And Backfill Included (local cost)</v>
          </cell>
        </row>
        <row r="660">
          <cell r="B660" t="str">
            <v>Pipe, PVC, SCH. 40, 12" Dia., Excav. And Backfill Included (local cost)</v>
          </cell>
        </row>
        <row r="661">
          <cell r="B661" t="str">
            <v>Pipe, polyethylene, 125  psi, 1/2", hung on wall or buried 4' trench</v>
          </cell>
        </row>
        <row r="662">
          <cell r="B662" t="str">
            <v>Pipe, polyethylene, 160  psi, 3/4", hung on wall or buried 4' trench</v>
          </cell>
        </row>
        <row r="663">
          <cell r="B663" t="str">
            <v>Pipe, polyethylene, 160  psi, 1", hung on wall or buried 4' trench</v>
          </cell>
        </row>
        <row r="664">
          <cell r="B664" t="str">
            <v>Pipe, polyethylene, 160  psi, 1-1/2", hung on wall or buried 4' trench</v>
          </cell>
        </row>
        <row r="665">
          <cell r="B665" t="str">
            <v>Pipe, polyethylene, 160  psi, 1-1/4", hung on wall or buried 4' trench</v>
          </cell>
        </row>
        <row r="666">
          <cell r="B666" t="str">
            <v>Pipe, polyethylene, 160  psi, 2", hung on wall or buried 4' trench</v>
          </cell>
        </row>
        <row r="667">
          <cell r="B667" t="str">
            <v>Leaching Camber - incl. perf. Pipe, no exc. Or backfill</v>
          </cell>
        </row>
        <row r="668">
          <cell r="B668" t="str">
            <v>Waterstop, Bentonite, in place</v>
          </cell>
        </row>
        <row r="669">
          <cell r="B669" t="str">
            <v>Hopper Building, wood structure, no concrete included (EACH)</v>
          </cell>
        </row>
        <row r="670">
          <cell r="B670" t="str">
            <v>Hopper Building, w/ slab, frost wall &amp; exhaust fan (per SF)</v>
          </cell>
        </row>
        <row r="671">
          <cell r="B671" t="str">
            <v>Riser, perforated, for diversion or terrace 6" SDR 35</v>
          </cell>
        </row>
        <row r="672">
          <cell r="B672" t="str">
            <v>Riser, perforated, for diversion or terrace 8" SDR 35</v>
          </cell>
        </row>
        <row r="673">
          <cell r="B673" t="str">
            <v>Riser, perforated, for diversion or terrace 10" SDR 35</v>
          </cell>
        </row>
        <row r="674">
          <cell r="B674" t="str">
            <v>Grate, 24" dia., Cast Iron w/ Ears</v>
          </cell>
        </row>
        <row r="675">
          <cell r="B675" t="e">
            <v>#N/A</v>
          </cell>
        </row>
        <row r="676">
          <cell r="B676" t="e">
            <v>#N/A</v>
          </cell>
        </row>
        <row r="677">
          <cell r="B677" t="e">
            <v>#N/A</v>
          </cell>
        </row>
        <row r="678">
          <cell r="B678" t="e">
            <v>#N/A</v>
          </cell>
        </row>
        <row r="679">
          <cell r="B679" t="e">
            <v>#N/A</v>
          </cell>
        </row>
      </sheetData>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412-ECB=80%"/>
      <sheetName val="412-ECB=80%+Tile"/>
      <sheetName val="412-ECB=40%"/>
      <sheetName val="412-ECB=40%+Tile"/>
      <sheetName val="412"/>
      <sheetName val="412-Tiled"/>
      <sheetName val="412-Rock Barriers+Tile"/>
      <sheetName val="412-Rock Barriers"/>
    </sheetNames>
    <sheetDataSet>
      <sheetData sheetId="0">
        <row r="32">
          <cell r="AN32">
            <v>6.3125</v>
          </cell>
        </row>
        <row r="33">
          <cell r="AN33">
            <v>5.416666666666667</v>
          </cell>
        </row>
        <row r="34">
          <cell r="AN34">
            <v>5.5</v>
          </cell>
        </row>
        <row r="78">
          <cell r="A78" t="str">
            <v>Corrugated Plastic Pipe: 5" (Installed)</v>
          </cell>
          <cell r="B78" t="str">
            <v>Lin Ft</v>
          </cell>
          <cell r="C78">
            <v>1.5407999999999999</v>
          </cell>
        </row>
        <row r="104">
          <cell r="C104">
            <v>20</v>
          </cell>
        </row>
        <row r="114">
          <cell r="A114" t="str">
            <v>Earthmoving: Heavy shaping (1.0'-2.0' cut/fill)</v>
          </cell>
          <cell r="C114">
            <v>1708.5</v>
          </cell>
        </row>
        <row r="123">
          <cell r="A123" t="str">
            <v>Erosion Control Blanket, Type II (Installed)</v>
          </cell>
          <cell r="C123">
            <v>1.5750000000000002</v>
          </cell>
        </row>
        <row r="203">
          <cell r="C203">
            <v>8.75</v>
          </cell>
        </row>
        <row r="228">
          <cell r="C228">
            <v>0.82427536231884069</v>
          </cell>
        </row>
        <row r="235">
          <cell r="C235">
            <v>1.1702898550724636</v>
          </cell>
        </row>
        <row r="246">
          <cell r="C246">
            <v>0.58825136612021856</v>
          </cell>
        </row>
        <row r="264">
          <cell r="A264" t="str">
            <v>Rock Retarding Barrier (Installed)</v>
          </cell>
          <cell r="B264" t="str">
            <v>Ton</v>
          </cell>
          <cell r="C264">
            <v>28.9542</v>
          </cell>
        </row>
        <row r="268">
          <cell r="A268" t="str">
            <v>Rodent Guard - 6" (Installed)</v>
          </cell>
          <cell r="B268" t="str">
            <v>Ea</v>
          </cell>
          <cell r="C268">
            <v>15.672825000000001</v>
          </cell>
        </row>
        <row r="279">
          <cell r="A279" t="str">
            <v>Schd 40 PVC Pipe: 6" (Installed)</v>
          </cell>
          <cell r="B279" t="str">
            <v>Lin Ft</v>
          </cell>
          <cell r="C279">
            <v>5.1681000000000008</v>
          </cell>
        </row>
      </sheetData>
      <sheetData sheetId="1" refreshError="1"/>
      <sheetData sheetId="2">
        <row r="307">
          <cell r="BE307">
            <v>1.68</v>
          </cell>
        </row>
        <row r="308">
          <cell r="BE308">
            <v>1.61</v>
          </cell>
        </row>
        <row r="309">
          <cell r="BE309">
            <v>2.75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422 no cover"/>
      <sheetName val="422 with cover"/>
    </sheetNames>
    <sheetDataSet>
      <sheetData sheetId="0">
        <row r="32">
          <cell r="AN32">
            <v>6.3125</v>
          </cell>
        </row>
        <row r="33">
          <cell r="AN33">
            <v>5.416666666666667</v>
          </cell>
        </row>
        <row r="34">
          <cell r="AN34">
            <v>5.5</v>
          </cell>
        </row>
        <row r="104">
          <cell r="C104">
            <v>20</v>
          </cell>
        </row>
        <row r="203">
          <cell r="C203">
            <v>8.75</v>
          </cell>
        </row>
        <row r="216">
          <cell r="A216" t="str">
            <v>Mowing</v>
          </cell>
          <cell r="C216">
            <v>15.5</v>
          </cell>
        </row>
        <row r="228">
          <cell r="C228">
            <v>0.82427536231884069</v>
          </cell>
        </row>
        <row r="235">
          <cell r="C235">
            <v>1.1702898550724636</v>
          </cell>
        </row>
        <row r="246">
          <cell r="C246">
            <v>0.58825136612021856</v>
          </cell>
        </row>
        <row r="301">
          <cell r="A301" t="str">
            <v>Seed (Virgina Wildrye)</v>
          </cell>
        </row>
        <row r="310">
          <cell r="A310" t="str">
            <v>Seed (Orchard grass)</v>
          </cell>
        </row>
        <row r="312">
          <cell r="A312" t="str">
            <v>Seed (Red Clover)</v>
          </cell>
        </row>
        <row r="314">
          <cell r="A314" t="str">
            <v>Seed (Redtop)</v>
          </cell>
        </row>
        <row r="315">
          <cell r="A315" t="str">
            <v>Seed (Wheat)</v>
          </cell>
        </row>
        <row r="340">
          <cell r="A340" t="str">
            <v>Tree Planting</v>
          </cell>
          <cell r="C340">
            <v>90</v>
          </cell>
        </row>
        <row r="342">
          <cell r="A342" t="str">
            <v>Tree seedlings</v>
          </cell>
          <cell r="B342" t="str">
            <v>Ea</v>
          </cell>
          <cell r="C342">
            <v>0.5</v>
          </cell>
        </row>
      </sheetData>
      <sheetData sheetId="1" refreshError="1"/>
      <sheetData sheetId="2">
        <row r="145">
          <cell r="BE145">
            <v>36.5</v>
          </cell>
        </row>
        <row r="298">
          <cell r="BE298">
            <v>7</v>
          </cell>
        </row>
        <row r="307">
          <cell r="BE307">
            <v>1.68</v>
          </cell>
        </row>
        <row r="309">
          <cell r="BE309">
            <v>2.75</v>
          </cell>
        </row>
        <row r="311">
          <cell r="BE311">
            <v>7</v>
          </cell>
        </row>
        <row r="312">
          <cell r="BE312">
            <v>0.31</v>
          </cell>
        </row>
      </sheetData>
      <sheetData sheetId="3" refreshError="1"/>
      <sheetData sheetId="4" refreshError="1"/>
      <sheetData sheetId="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468-wType III Blanket"/>
      <sheetName val="468-Riprap only"/>
    </sheetNames>
    <sheetDataSet>
      <sheetData sheetId="0">
        <row r="32">
          <cell r="AN32">
            <v>6.3125</v>
          </cell>
        </row>
        <row r="33">
          <cell r="AN33">
            <v>5.416666666666667</v>
          </cell>
        </row>
        <row r="34">
          <cell r="AN34">
            <v>5.5</v>
          </cell>
        </row>
        <row r="104">
          <cell r="C104">
            <v>20</v>
          </cell>
        </row>
        <row r="116">
          <cell r="A116" t="str">
            <v>Earthmoving: Very heavy shaping (&gt;2.0' cut/fill)</v>
          </cell>
          <cell r="B116" t="str">
            <v>Ac</v>
          </cell>
          <cell r="C116">
            <v>2040</v>
          </cell>
        </row>
        <row r="123">
          <cell r="A123" t="str">
            <v>Erosion Control Blanket, Type II (Installed)</v>
          </cell>
          <cell r="B123" t="str">
            <v>Sq Yd</v>
          </cell>
          <cell r="C123">
            <v>1.5750000000000002</v>
          </cell>
        </row>
        <row r="124">
          <cell r="A124" t="str">
            <v>Erosion Control Blanket, Type III (Installed)</v>
          </cell>
          <cell r="B124" t="str">
            <v>Sq Yd</v>
          </cell>
          <cell r="C124">
            <v>5.7959999999999994</v>
          </cell>
        </row>
        <row r="139">
          <cell r="A139" t="str">
            <v>Geo-Textile (Installed)</v>
          </cell>
          <cell r="B139" t="str">
            <v>Sq Yd</v>
          </cell>
          <cell r="C139">
            <v>2.2050000000000001</v>
          </cell>
        </row>
        <row r="217">
          <cell r="C217">
            <v>472.5</v>
          </cell>
        </row>
        <row r="262">
          <cell r="A262" t="str">
            <v>Riprap (In Place)</v>
          </cell>
          <cell r="B262" t="str">
            <v>Ton</v>
          </cell>
          <cell r="C262">
            <v>23.540000000000003</v>
          </cell>
        </row>
      </sheetData>
      <sheetData sheetId="1" refreshError="1"/>
      <sheetData sheetId="2" refreshError="1"/>
      <sheetData sheetId="3" refreshError="1"/>
      <sheetData sheetId="4" refreshError="1"/>
      <sheetData sheetId="5"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574-SpDev typical"/>
      <sheetName val="574-SpDev w_storage"/>
    </sheetNames>
    <sheetDataSet>
      <sheetData sheetId="0">
        <row r="40">
          <cell r="A40" t="str">
            <v>Concrete (Walls in Place, includes steel reinforcement)</v>
          </cell>
          <cell r="B40" t="str">
            <v>Cu Yd</v>
          </cell>
          <cell r="C40">
            <v>202.23000000000002</v>
          </cell>
        </row>
        <row r="49">
          <cell r="A49" t="str">
            <v>Concrete Manhole-Spring Collection/storage - 4'x4' (installed)</v>
          </cell>
          <cell r="B49" t="str">
            <v>Ea</v>
          </cell>
          <cell r="C49">
            <v>505.57500000000005</v>
          </cell>
        </row>
        <row r="77">
          <cell r="A77" t="str">
            <v>Corrugated Plastic Pipe: 4" (Installed)</v>
          </cell>
          <cell r="B77" t="str">
            <v>Lin Ft</v>
          </cell>
          <cell r="C77">
            <v>1.0914000000000001</v>
          </cell>
        </row>
        <row r="195">
          <cell r="A195" t="str">
            <v>Interception Trench Excavation</v>
          </cell>
          <cell r="B195" t="str">
            <v>Cu Yd</v>
          </cell>
          <cell r="C195">
            <v>17.5</v>
          </cell>
        </row>
        <row r="267">
          <cell r="A267" t="str">
            <v>Rock: #610, 57, 4,3,2 DGA, Class I Sand (Installed)</v>
          </cell>
          <cell r="B267" t="str">
            <v>Ton</v>
          </cell>
          <cell r="C267">
            <v>20.222999999999999</v>
          </cell>
        </row>
        <row r="278">
          <cell r="A278" t="str">
            <v>Schd 40 PVC Pipe: 4" (installed)</v>
          </cell>
          <cell r="B278" t="str">
            <v>Lin Ft</v>
          </cell>
          <cell r="C278">
            <v>4.797345</v>
          </cell>
        </row>
        <row r="333">
          <cell r="A333" t="str">
            <v>Storage Basin - (1000 gal.) Installed</v>
          </cell>
          <cell r="B333" t="str">
            <v>Ea</v>
          </cell>
          <cell r="C333">
            <v>595.45500000000004</v>
          </cell>
        </row>
      </sheetData>
      <sheetData sheetId="1" refreshError="1"/>
      <sheetData sheetId="2" refreshError="1"/>
      <sheetData sheetId="3" refreshError="1"/>
      <sheetData sheetId="4" refreshError="1"/>
      <sheetData sheetId="5"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575"/>
    </sheetNames>
    <sheetDataSet>
      <sheetData sheetId="0">
        <row r="36">
          <cell r="B36" t="str">
            <v>Sq Ft</v>
          </cell>
        </row>
        <row r="266">
          <cell r="A266" t="str">
            <v>Rock/Geo-Textile (Installed)</v>
          </cell>
          <cell r="C266">
            <v>1.3482000000000001</v>
          </cell>
        </row>
      </sheetData>
      <sheetData sheetId="1" refreshError="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578-6"/>
      <sheetName val="578-10"/>
      <sheetName val="578-15"/>
    </sheetNames>
    <sheetDataSet>
      <sheetData sheetId="0">
        <row r="37">
          <cell r="A37" t="str">
            <v xml:space="preserve">Broadcasting Seed </v>
          </cell>
          <cell r="B37" t="str">
            <v>Ac</v>
          </cell>
          <cell r="C37">
            <v>9</v>
          </cell>
        </row>
        <row r="56">
          <cell r="A56" t="str">
            <v>Construction Site Prep - Medium</v>
          </cell>
          <cell r="B56" t="str">
            <v>Ac</v>
          </cell>
          <cell r="C56">
            <v>573.81119999999999</v>
          </cell>
        </row>
        <row r="217">
          <cell r="A217" t="str">
            <v>Mulching (2 tons/ac applied)</v>
          </cell>
          <cell r="B217" t="str">
            <v>Ac</v>
          </cell>
          <cell r="C217">
            <v>472.5</v>
          </cell>
        </row>
        <row r="262">
          <cell r="A262" t="str">
            <v>Riprap (In Place)</v>
          </cell>
          <cell r="B262" t="str">
            <v>Ton</v>
          </cell>
          <cell r="C262">
            <v>23.540000000000003</v>
          </cell>
        </row>
        <row r="266">
          <cell r="A266" t="str">
            <v>Rock/Geo-Textile (Installed)</v>
          </cell>
          <cell r="B266" t="str">
            <v>Sq Ft</v>
          </cell>
          <cell r="C266">
            <v>1.3482000000000001</v>
          </cell>
        </row>
        <row r="313">
          <cell r="A313" t="str">
            <v>Seed (Tall Fescue KY-31)</v>
          </cell>
          <cell r="B313" t="str">
            <v>Lbs</v>
          </cell>
          <cell r="C313">
            <v>2.3449999999999998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580-2-4"/>
      <sheetName val="580-4-6"/>
      <sheetName val="580-6-8"/>
      <sheetName val="580-8-10"/>
      <sheetName val="580-10-12"/>
      <sheetName val="580-12-16"/>
      <sheetName val="580-16"/>
    </sheetNames>
    <sheetDataSet>
      <sheetData sheetId="0">
        <row r="22">
          <cell r="A22" t="str">
            <v>2.0' to 4.0' Bank Height Protected</v>
          </cell>
          <cell r="B22" t="str">
            <v>Lin Ft</v>
          </cell>
          <cell r="C22">
            <v>50.87</v>
          </cell>
        </row>
        <row r="23">
          <cell r="A23" t="str">
            <v>4.1' to 6.0' Bank Height Protected</v>
          </cell>
          <cell r="B23" t="str">
            <v>Lin Ft</v>
          </cell>
          <cell r="C23">
            <v>67.415999999999997</v>
          </cell>
        </row>
        <row r="25">
          <cell r="A25" t="str">
            <v>6.1' to 8.0' Bank Height Protected</v>
          </cell>
          <cell r="B25" t="str">
            <v>Lin Ft</v>
          </cell>
          <cell r="C25">
            <v>84.827399999999997</v>
          </cell>
        </row>
        <row r="26">
          <cell r="A26" t="str">
            <v>8.1' to 10.0' Bank Height Protected</v>
          </cell>
          <cell r="B26" t="str">
            <v>Lin Ft.</v>
          </cell>
          <cell r="C26">
            <v>100.45349999999999</v>
          </cell>
        </row>
        <row r="27">
          <cell r="A27" t="str">
            <v>10.1 to 12.0' Bank Height Protected</v>
          </cell>
          <cell r="B27" t="str">
            <v>Lin Ft</v>
          </cell>
          <cell r="C27">
            <v>114.96344999999999</v>
          </cell>
        </row>
        <row r="28">
          <cell r="A28" t="str">
            <v>12.1' to 16.0' Bank Height Protected</v>
          </cell>
          <cell r="B28" t="str">
            <v>Lin Ft</v>
          </cell>
          <cell r="C28">
            <v>145.09950000000001</v>
          </cell>
        </row>
        <row r="29">
          <cell r="A29" t="str">
            <v>Over 16.0' Bank Height Protected</v>
          </cell>
          <cell r="B29" t="str">
            <v>Lin Ft</v>
          </cell>
          <cell r="C29">
            <v>165.1902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612 no cover"/>
      <sheetName val="612 with cover"/>
      <sheetName val="612 potted plants"/>
      <sheetName val="612 EnPltg-100-200"/>
      <sheetName val="612 EnPltg 201-300"/>
      <sheetName val="612 EnPltg 100-200 herb appld"/>
      <sheetName val="612 EnPltg 201-300 herb appld"/>
    </sheetNames>
    <sheetDataSet>
      <sheetData sheetId="0">
        <row r="32">
          <cell r="AN32">
            <v>6.3125</v>
          </cell>
        </row>
        <row r="33">
          <cell r="AN33">
            <v>5.416666666666667</v>
          </cell>
        </row>
        <row r="34">
          <cell r="AN34">
            <v>5.5</v>
          </cell>
        </row>
        <row r="104">
          <cell r="C104">
            <v>20</v>
          </cell>
        </row>
        <row r="203">
          <cell r="C203">
            <v>8.75</v>
          </cell>
        </row>
        <row r="216">
          <cell r="A216" t="str">
            <v>Mowing</v>
          </cell>
          <cell r="C216">
            <v>15.5</v>
          </cell>
        </row>
        <row r="228">
          <cell r="C228">
            <v>0.82427536231884069</v>
          </cell>
        </row>
        <row r="235">
          <cell r="C235">
            <v>1.1702898550724636</v>
          </cell>
        </row>
        <row r="246">
          <cell r="C246">
            <v>0.58825136612021856</v>
          </cell>
        </row>
        <row r="247">
          <cell r="A247" t="str">
            <v>Potted Plants</v>
          </cell>
          <cell r="B247" t="str">
            <v>Ea</v>
          </cell>
          <cell r="C247">
            <v>15</v>
          </cell>
        </row>
        <row r="248">
          <cell r="A248" t="str">
            <v>Potted Plants - Labor/Installation</v>
          </cell>
          <cell r="B248" t="str">
            <v>Ea</v>
          </cell>
          <cell r="C248">
            <v>6</v>
          </cell>
        </row>
        <row r="301">
          <cell r="A301" t="str">
            <v>Seed (Virgina Wildrye)</v>
          </cell>
        </row>
        <row r="310">
          <cell r="A310" t="str">
            <v>Seed (Orchard grass)</v>
          </cell>
        </row>
        <row r="312">
          <cell r="A312" t="str">
            <v>Seed (Red Clover)</v>
          </cell>
        </row>
        <row r="314">
          <cell r="A314" t="str">
            <v>Seed (Redtop)</v>
          </cell>
        </row>
        <row r="315">
          <cell r="A315" t="str">
            <v>Seed (Wheat)</v>
          </cell>
        </row>
        <row r="340">
          <cell r="A340" t="str">
            <v>Tree Planting</v>
          </cell>
          <cell r="C340">
            <v>90</v>
          </cell>
        </row>
        <row r="342">
          <cell r="A342" t="str">
            <v>Tree seedlings</v>
          </cell>
          <cell r="B342" t="str">
            <v>Ea</v>
          </cell>
          <cell r="C342">
            <v>0.5</v>
          </cell>
        </row>
      </sheetData>
      <sheetData sheetId="1" refreshError="1"/>
      <sheetData sheetId="2">
        <row r="145">
          <cell r="BE145">
            <v>36.5</v>
          </cell>
        </row>
        <row r="298">
          <cell r="BE298">
            <v>7</v>
          </cell>
        </row>
        <row r="307">
          <cell r="BE307">
            <v>1.68</v>
          </cell>
        </row>
        <row r="309">
          <cell r="BE309">
            <v>2.75</v>
          </cell>
        </row>
        <row r="311">
          <cell r="BE311">
            <v>7</v>
          </cell>
        </row>
        <row r="312">
          <cell r="BE312">
            <v>0.31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2009 WHIP Schedule"/>
      <sheetName val="2009 KY STATE PROG. Comparison"/>
      <sheetName val="2009 KY STATE PROG. EXPORT LIST"/>
      <sheetName val="102-Small"/>
      <sheetName val="102-Moderate"/>
      <sheetName val="102-Large"/>
      <sheetName val="106-10 to 50Ac"/>
      <sheetName val="106-51 to 100Ac"/>
      <sheetName val="106-101 to 200Ac"/>
      <sheetName val="106-201 to 299Ac"/>
      <sheetName val="106-300 to 500Ac"/>
      <sheetName val="313-Wet Sys 25AU"/>
      <sheetName val="313-Wet Sys 50AU"/>
      <sheetName val="313-Wet Sys 75AU"/>
      <sheetName val="313-Wet Sys 100AU"/>
      <sheetName val="313-Wet Sys 150AU"/>
      <sheetName val="313-Wet Sys 200AU"/>
      <sheetName val="313-Wet Sys 300AU"/>
      <sheetName val="313-Wet Sys 500AU"/>
      <sheetName val="313-Wet Sys Small"/>
      <sheetName val="313-Wet Sys Medium"/>
      <sheetName val="313-Wet Sys Large"/>
      <sheetName val="313-WDS 2 Hs 56-80 AU"/>
      <sheetName val="313-WDS 4 Hs 81-170 AU"/>
      <sheetName val="313-WDS to55 AU"/>
      <sheetName val="313-CDS to55 AU"/>
      <sheetName val="313-CDS 2 Hs 56-80 AU"/>
      <sheetName val="313-CDS 4 Hs 81-170 AU"/>
      <sheetName val="313-WODS to55 AU"/>
      <sheetName val="313-CODS to55 AU"/>
      <sheetName val="313-WODS 56-80 AU"/>
      <sheetName val="313-CODS 56-80 AU"/>
      <sheetName val="313-WODS 80+ AU"/>
      <sheetName val="313-CODS 80+ AU "/>
      <sheetName val="313-WLSDF 2 Hs "/>
      <sheetName val="313-CLSDF 2 Hs"/>
      <sheetName val="313-WLSDF 4 Hs"/>
      <sheetName val="313-CLSDF 4 Hs"/>
      <sheetName val="313-WLSDF 8 Hs"/>
      <sheetName val="313-CLSDF 8 Hs"/>
      <sheetName val="317-W2 Hs-250 Sow"/>
      <sheetName val="317-W4 Hs-530 Sow"/>
      <sheetName val="317-W6 Hs-790 Sow"/>
      <sheetName val="317-W8 Hs-1060 Sow "/>
      <sheetName val="317-C2 Hs-250 Sow"/>
      <sheetName val="317-C4 Hs-530 Sow "/>
      <sheetName val="317-C6 Hs-790 Sow"/>
      <sheetName val="317-C8 Hs-1060 Sow"/>
      <sheetName val="329 STIR&lt;30"/>
      <sheetName val="329 STIR&lt;15"/>
      <sheetName val="329 STIR&lt;8"/>
      <sheetName val="338-Prescribed Burning"/>
      <sheetName val="340 Herbicide-WHEAT"/>
      <sheetName val="340 Herbicide-RYE"/>
      <sheetName val="340 Roller-RYE"/>
      <sheetName val="340 Roller &amp; Herbicide-RYE"/>
      <sheetName val="340 Green Manure"/>
      <sheetName val="342-IG Mix-LG"/>
      <sheetName val="342-IG Mix-MG"/>
      <sheetName val="342-IG Mix-HG"/>
      <sheetName val="342-IG Mix-LG-ECB"/>
      <sheetName val="342-IG Mix-MG-ECB"/>
      <sheetName val="342-IG Mix-HG-ECB"/>
      <sheetName val="342-NG-legume-LG"/>
      <sheetName val="342-NG-legume-MG"/>
      <sheetName val="342-NG-legume-HG"/>
      <sheetName val="342-NG-Forbs Mix-LG"/>
      <sheetName val="342-NG-Forbs Mix-MG"/>
      <sheetName val="342-NG-Forbs Mix-HG"/>
      <sheetName val="342-NG Mix X-MG-ECB"/>
      <sheetName val="342-NG Mix Y-MG-ECB"/>
      <sheetName val="359"/>
      <sheetName val="362"/>
      <sheetName val="378 EH up to 8 ft"/>
      <sheetName val="378 EH over 8 ft"/>
      <sheetName val="378 EXC"/>
      <sheetName val="381-just trees-conifers"/>
      <sheetName val="381-just trees-deciduous"/>
      <sheetName val="382-Deter."/>
      <sheetName val="382-Cont."/>
      <sheetName val="386-Nat. Regen."/>
      <sheetName val="635-IG Mix-Conv."/>
      <sheetName val="635-IG Mix-NT"/>
      <sheetName val="386-NG-Legumes- NT"/>
      <sheetName val="386-NG-1#Forbs Mix A-NT"/>
      <sheetName val="386-NG-1#Forbs Mix B-NT"/>
      <sheetName val="386-NG-2# Forbs Mix A-NT"/>
      <sheetName val="386-NG-2# Forbs Mix B-NT"/>
      <sheetName val="393-IG Mix-Conv."/>
      <sheetName val="393-IG Mix-NT"/>
      <sheetName val="393-NG-Legumes-NT"/>
      <sheetName val="393-NG-Forbs-NT"/>
      <sheetName val="410-Rock Chute 50 cfs 4 ft OF"/>
      <sheetName val="410-Rock Chute 100cfs 6 ft"/>
      <sheetName val="410-Rock Chute 150cfs 12 ft"/>
      <sheetName val="410-Rock Chute 200cfs 12 ft"/>
      <sheetName val="410-Rock Chute 250cfs 12 ft"/>
      <sheetName val="410-WPSD 8ftw-4ftOF"/>
      <sheetName val="410-WPSD 8ftw-4-8ftOF"/>
      <sheetName val="410-WPSD 16ftw-4ftOF"/>
      <sheetName val="410-WPSD 16ftw-4-8ftOF"/>
      <sheetName val="410-WPSD 24ftw-4ftOF"/>
      <sheetName val="410-WPSD 24ftw-4-8ftOF"/>
      <sheetName val="410-PIPE DROP STR"/>
      <sheetName val="412-ECB=80%"/>
      <sheetName val="412-ECB=80%+Tile"/>
      <sheetName val="412-ECB=40%"/>
      <sheetName val="412-ECB=40%+Tile"/>
      <sheetName val="412"/>
      <sheetName val="412-Tiled"/>
      <sheetName val="412-Rock Barriers+Tile"/>
      <sheetName val="412-Rock Barriers"/>
      <sheetName val="468-Type III Blanket"/>
      <sheetName val="468-Riprap"/>
      <sheetName val="472-WW w Setback"/>
      <sheetName val="472-Upland"/>
      <sheetName val="472-Upland w Setback"/>
      <sheetName val="512-IG Mix-Conv"/>
      <sheetName val="512-IG Mix-NT"/>
      <sheetName val="512-NG Mix-NT"/>
      <sheetName val="512-NG-Gamagrass-NT"/>
      <sheetName val="516"/>
      <sheetName val="528 1st yr"/>
      <sheetName val="528 2nd yr"/>
      <sheetName val="528 3rd yr"/>
      <sheetName val="561"/>
      <sheetName val="574"/>
      <sheetName val="575"/>
      <sheetName val="578-6"/>
      <sheetName val="578-10"/>
      <sheetName val="578-15"/>
      <sheetName val="580-2-4"/>
      <sheetName val="580-4-6"/>
      <sheetName val="580-6-8"/>
      <sheetName val="580-8-10"/>
      <sheetName val="580-10-12"/>
      <sheetName val="580-12-16"/>
      <sheetName val="580-16"/>
      <sheetName val="590-Small"/>
      <sheetName val="590-Moderate"/>
      <sheetName val="590-Large"/>
      <sheetName val="600"/>
      <sheetName val="612 (&lt;14.5 Acres) no cover"/>
      <sheetName val="612 (&lt;14.5 Acres) with  cover"/>
      <sheetName val="612 (&gt;14.5 Acres) no cover"/>
      <sheetName val="612 (&gt;14.5 Acres) with cover"/>
      <sheetName val="612 potted plants"/>
      <sheetName val="614-Rock"/>
      <sheetName val="614-Concrete"/>
      <sheetName val="638-250 cy"/>
      <sheetName val="638-500 cy"/>
      <sheetName val="638-750 cy"/>
      <sheetName val="642"/>
      <sheetName val="643-Clearing"/>
      <sheetName val="643-Mow"/>
      <sheetName val="643-Mow+Spray"/>
      <sheetName val="643-Mow+2Sprays"/>
      <sheetName val="643-Prairie Est.-NG-Forbs Mix A"/>
      <sheetName val="643-Prairie Est.-NG-Forbs Mix B"/>
      <sheetName val="645-OFR M"/>
      <sheetName val="645-OFR M+S"/>
      <sheetName val="645-OFR M+2S"/>
      <sheetName val="645-Strip Disk"/>
      <sheetName val="645-EF "/>
      <sheetName val="646-Ephemera Pool"/>
      <sheetName val="646-&lt;3Acres"/>
      <sheetName val="646- 3-7 Acres"/>
      <sheetName val="646- &gt;7 Acres"/>
      <sheetName val="646- Excavated"/>
      <sheetName val="655 - Med. Grading"/>
      <sheetName val="655 - Heavy Grading"/>
      <sheetName val="655 - Very Heavy Grading"/>
      <sheetName val="666-Clearing"/>
      <sheetName val="666-Foliar Spray of Inv."/>
      <sheetName val="666-Cut St. of Inv. ≤200"/>
      <sheetName val="666-Cut St. of Inv. 200&lt;X≤400"/>
      <sheetName val="666-Cut St. of Inv. 400&lt;X≤1000"/>
      <sheetName val="666-Cut St. of Inv. 1000&lt;X≤1600"/>
      <sheetName val="666-Cut Stump of Inv. &gt;1600"/>
      <sheetName val="313-Summary"/>
      <sheetName val="Core Rates"/>
      <sheetName val="Payment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32">
          <cell r="AN32">
            <v>6.3125</v>
          </cell>
        </row>
        <row r="33">
          <cell r="AN33">
            <v>5.416666666666667</v>
          </cell>
        </row>
        <row r="34">
          <cell r="AN34">
            <v>5.5</v>
          </cell>
        </row>
        <row r="99">
          <cell r="A99" t="str">
            <v>Disking</v>
          </cell>
          <cell r="C99">
            <v>15</v>
          </cell>
        </row>
        <row r="104">
          <cell r="C104">
            <v>20</v>
          </cell>
        </row>
        <row r="144">
          <cell r="C144">
            <v>10.5</v>
          </cell>
        </row>
        <row r="203">
          <cell r="C203">
            <v>8.75</v>
          </cell>
        </row>
        <row r="216">
          <cell r="A216" t="str">
            <v>Mowing</v>
          </cell>
          <cell r="C216">
            <v>15.5</v>
          </cell>
        </row>
        <row r="228">
          <cell r="C228">
            <v>0.82427536231884069</v>
          </cell>
        </row>
        <row r="235">
          <cell r="C235">
            <v>1.1702898550724636</v>
          </cell>
        </row>
        <row r="246">
          <cell r="C246">
            <v>0.58825136612021856</v>
          </cell>
        </row>
        <row r="312">
          <cell r="A312" t="str">
            <v>Seed (Red Clover)</v>
          </cell>
        </row>
      </sheetData>
      <sheetData sheetId="181">
        <row r="14">
          <cell r="C14">
            <v>10</v>
          </cell>
          <cell r="D14">
            <v>0.75</v>
          </cell>
          <cell r="E14">
            <v>0.9</v>
          </cell>
          <cell r="F14">
            <v>0.75</v>
          </cell>
          <cell r="G14">
            <v>0.9</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635-IG Mix-Conv."/>
      <sheetName val="635-IG Mix-NT"/>
    </sheetNames>
    <sheetDataSet>
      <sheetData sheetId="0" refreshError="1"/>
      <sheetData sheetId="1" refreshError="1"/>
      <sheetData sheetId="2">
        <row r="145">
          <cell r="BE145">
            <v>36.5</v>
          </cell>
        </row>
        <row r="307">
          <cell r="BE307">
            <v>1.68</v>
          </cell>
        </row>
        <row r="308">
          <cell r="BE308">
            <v>1.61</v>
          </cell>
        </row>
        <row r="309">
          <cell r="BE309">
            <v>2.75</v>
          </cell>
        </row>
      </sheetData>
      <sheetData sheetId="3" refreshError="1"/>
      <sheetData sheetId="4" refreshError="1"/>
      <sheetData sheetId="5"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s"/>
      <sheetName val="Estimate Sheet"/>
      <sheetName val="All Items"/>
      <sheetName val="RS Means Items"/>
      <sheetName val="Local Items"/>
      <sheetName val="Assembly Items"/>
      <sheetName val="Practice Pmt Assemblies"/>
      <sheetName val="Practices"/>
      <sheetName val="Location Factors"/>
      <sheetName val="Labor Rates"/>
    </sheetNames>
    <sheetDataSet>
      <sheetData sheetId="0"/>
      <sheetData sheetId="1"/>
      <sheetData sheetId="2"/>
      <sheetData sheetId="3">
        <row r="5">
          <cell r="I5" t="str">
            <v>01 590 100 0200</v>
          </cell>
          <cell r="J5" t="str">
            <v>Rent bucket concrete lightweight 1/2 CY</v>
          </cell>
          <cell r="N5" t="str">
            <v>Day+</v>
          </cell>
          <cell r="O5">
            <v>0</v>
          </cell>
          <cell r="P5">
            <v>0</v>
          </cell>
          <cell r="Q5">
            <v>22.15</v>
          </cell>
          <cell r="R5">
            <v>22.15</v>
          </cell>
          <cell r="S5">
            <v>24.364999999999998</v>
          </cell>
        </row>
        <row r="6">
          <cell r="I6" t="str">
            <v>01 590 100 0300</v>
          </cell>
          <cell r="J6" t="str">
            <v>Rent bucket concrete lightweight 1 CY</v>
          </cell>
          <cell r="N6" t="str">
            <v>Day+</v>
          </cell>
          <cell r="O6">
            <v>0</v>
          </cell>
          <cell r="P6">
            <v>0</v>
          </cell>
          <cell r="Q6">
            <v>26.2</v>
          </cell>
          <cell r="R6">
            <v>26.2</v>
          </cell>
          <cell r="S6">
            <v>28.82</v>
          </cell>
        </row>
        <row r="7">
          <cell r="I7" t="str">
            <v>01 590 100 0400</v>
          </cell>
          <cell r="J7" t="str">
            <v>Rent bucket concrete lightweight 1.5 CY</v>
          </cell>
          <cell r="N7" t="str">
            <v>Day+</v>
          </cell>
          <cell r="O7">
            <v>0</v>
          </cell>
          <cell r="P7">
            <v>0</v>
          </cell>
          <cell r="Q7">
            <v>34.9</v>
          </cell>
          <cell r="R7">
            <v>34.9</v>
          </cell>
          <cell r="S7">
            <v>38.39</v>
          </cell>
        </row>
        <row r="8">
          <cell r="I8" t="str">
            <v>01 590 100 0500</v>
          </cell>
          <cell r="J8" t="str">
            <v>Rent bucket concrete lightweight 2 CY</v>
          </cell>
          <cell r="N8" t="str">
            <v>Day+</v>
          </cell>
          <cell r="O8">
            <v>0</v>
          </cell>
          <cell r="P8">
            <v>0</v>
          </cell>
          <cell r="Q8">
            <v>40.700000000000003</v>
          </cell>
          <cell r="R8">
            <v>40.700000000000003</v>
          </cell>
          <cell r="S8">
            <v>44.77</v>
          </cell>
        </row>
        <row r="9">
          <cell r="I9" t="str">
            <v>01 590 100 0580</v>
          </cell>
          <cell r="J9" t="str">
            <v>Rent bucket concrete 8 CY</v>
          </cell>
          <cell r="N9" t="str">
            <v>Day+</v>
          </cell>
          <cell r="O9">
            <v>0</v>
          </cell>
          <cell r="P9">
            <v>0</v>
          </cell>
          <cell r="Q9">
            <v>261.8</v>
          </cell>
          <cell r="R9">
            <v>261.8</v>
          </cell>
          <cell r="S9">
            <v>287.98</v>
          </cell>
        </row>
        <row r="10">
          <cell r="I10" t="str">
            <v>01 590 100 1500</v>
          </cell>
          <cell r="J10" t="str">
            <v>Rent concrete floor finisher hand operated bull float, 48" wide</v>
          </cell>
          <cell r="N10" t="str">
            <v>Day+</v>
          </cell>
          <cell r="O10">
            <v>0</v>
          </cell>
          <cell r="P10">
            <v>0</v>
          </cell>
          <cell r="Q10">
            <v>13.64</v>
          </cell>
          <cell r="R10">
            <v>13.64</v>
          </cell>
          <cell r="S10">
            <v>15.004</v>
          </cell>
        </row>
        <row r="11">
          <cell r="I11" t="str">
            <v>01 590 100 2120</v>
          </cell>
          <cell r="J11" t="str">
            <v>Rent pump concrete truck mounted 4"line 80'boom</v>
          </cell>
          <cell r="N11" t="str">
            <v>Day+</v>
          </cell>
          <cell r="O11">
            <v>0</v>
          </cell>
          <cell r="P11">
            <v>0</v>
          </cell>
          <cell r="Q11">
            <v>1066</v>
          </cell>
          <cell r="R11">
            <v>1066</v>
          </cell>
          <cell r="S11">
            <v>1172.5999999999999</v>
          </cell>
        </row>
        <row r="12">
          <cell r="I12" t="str">
            <v>01 590 100 2140</v>
          </cell>
          <cell r="J12" t="str">
            <v>Rent pump concrete truck mounted 5" line 110' boom</v>
          </cell>
          <cell r="N12" t="str">
            <v>Day+</v>
          </cell>
          <cell r="O12">
            <v>0</v>
          </cell>
          <cell r="P12">
            <v>0</v>
          </cell>
          <cell r="Q12">
            <v>1403</v>
          </cell>
          <cell r="R12">
            <v>1403</v>
          </cell>
          <cell r="S12">
            <v>1543.3</v>
          </cell>
        </row>
        <row r="13">
          <cell r="I13" t="str">
            <v>01 590 100 2600</v>
          </cell>
          <cell r="J13" t="str">
            <v>Rent saw concrete manual gas 18 HP</v>
          </cell>
          <cell r="N13" t="str">
            <v>Day+</v>
          </cell>
          <cell r="O13">
            <v>0</v>
          </cell>
          <cell r="P13">
            <v>0</v>
          </cell>
          <cell r="Q13">
            <v>68.5</v>
          </cell>
          <cell r="R13">
            <v>68.5</v>
          </cell>
          <cell r="S13">
            <v>75.349999999999994</v>
          </cell>
        </row>
        <row r="14">
          <cell r="I14" t="str">
            <v>01 590 100 2700</v>
          </cell>
          <cell r="J14" t="str">
            <v>Rent vibrators concrete electric 60 cycle 2 HP</v>
          </cell>
          <cell r="N14" t="str">
            <v>Day+</v>
          </cell>
          <cell r="O14">
            <v>0</v>
          </cell>
          <cell r="P14">
            <v>0</v>
          </cell>
          <cell r="Q14">
            <v>11.01</v>
          </cell>
          <cell r="R14">
            <v>11.01</v>
          </cell>
          <cell r="S14">
            <v>12.111000000000001</v>
          </cell>
        </row>
        <row r="15">
          <cell r="I15" t="str">
            <v>01 590 100 2800</v>
          </cell>
          <cell r="J15" t="str">
            <v>Rent vibrators concrete electric 60 cycle 3 HP</v>
          </cell>
          <cell r="N15" t="str">
            <v>Day+</v>
          </cell>
          <cell r="O15">
            <v>0</v>
          </cell>
          <cell r="P15">
            <v>0</v>
          </cell>
          <cell r="Q15">
            <v>13.64</v>
          </cell>
          <cell r="R15">
            <v>13.64</v>
          </cell>
          <cell r="S15">
            <v>15.004</v>
          </cell>
        </row>
        <row r="16">
          <cell r="I16" t="str">
            <v>01 590 100 2900</v>
          </cell>
          <cell r="J16" t="str">
            <v>Rent vibrators concrete gas engine 5 HP</v>
          </cell>
          <cell r="N16" t="str">
            <v>Day+</v>
          </cell>
          <cell r="O16">
            <v>0</v>
          </cell>
          <cell r="P16">
            <v>0</v>
          </cell>
          <cell r="Q16">
            <v>22.05</v>
          </cell>
          <cell r="R16">
            <v>22.05</v>
          </cell>
          <cell r="S16">
            <v>24.254999999999999</v>
          </cell>
        </row>
        <row r="17">
          <cell r="I17" t="str">
            <v>01 590 200 0100</v>
          </cell>
          <cell r="J17" t="str">
            <v>Rent excavator diesel hydraulic crawler mounted 1/2 CY capacity</v>
          </cell>
          <cell r="N17" t="str">
            <v>Day+</v>
          </cell>
          <cell r="O17">
            <v>0</v>
          </cell>
          <cell r="P17">
            <v>0</v>
          </cell>
          <cell r="Q17">
            <v>502</v>
          </cell>
          <cell r="R17">
            <v>502</v>
          </cell>
          <cell r="S17">
            <v>552.20000000000005</v>
          </cell>
        </row>
        <row r="18">
          <cell r="I18" t="str">
            <v>01 590 200 0120</v>
          </cell>
          <cell r="J18" t="str">
            <v>Rent excavator diesel hydraulic crawler mounted 5/8 CY capacity</v>
          </cell>
          <cell r="N18" t="str">
            <v>Day+</v>
          </cell>
          <cell r="O18">
            <v>0</v>
          </cell>
          <cell r="P18">
            <v>0</v>
          </cell>
          <cell r="Q18">
            <v>657</v>
          </cell>
          <cell r="R18">
            <v>657</v>
          </cell>
          <cell r="S18">
            <v>722.7</v>
          </cell>
        </row>
        <row r="19">
          <cell r="I19" t="str">
            <v>01 590 200 0140</v>
          </cell>
          <cell r="J19" t="str">
            <v>Rent excavator diesel hydraulic crawler mounted 3/4 CY capacity</v>
          </cell>
          <cell r="N19" t="str">
            <v>Day+</v>
          </cell>
          <cell r="O19">
            <v>0</v>
          </cell>
          <cell r="P19">
            <v>0</v>
          </cell>
          <cell r="Q19">
            <v>730</v>
          </cell>
          <cell r="R19">
            <v>730</v>
          </cell>
          <cell r="S19">
            <v>803</v>
          </cell>
        </row>
        <row r="20">
          <cell r="I20" t="str">
            <v>01 590 200 0150</v>
          </cell>
          <cell r="J20" t="str">
            <v>Rent excavation diesel hydraulic crawler mounted 1 CY capacity</v>
          </cell>
          <cell r="N20" t="str">
            <v>Day+</v>
          </cell>
          <cell r="O20">
            <v>0</v>
          </cell>
          <cell r="P20">
            <v>0</v>
          </cell>
          <cell r="Q20">
            <v>838</v>
          </cell>
          <cell r="R20">
            <v>838</v>
          </cell>
          <cell r="S20">
            <v>921.8</v>
          </cell>
        </row>
        <row r="21">
          <cell r="I21" t="str">
            <v>01 590 200 0200</v>
          </cell>
          <cell r="J21" t="str">
            <v>Rent excavator diesel hydraulic crawler mounted 1-1/2 CY capaci</v>
          </cell>
          <cell r="N21" t="str">
            <v>Day+</v>
          </cell>
          <cell r="O21">
            <v>0</v>
          </cell>
          <cell r="P21">
            <v>0</v>
          </cell>
          <cell r="Q21">
            <v>1089</v>
          </cell>
          <cell r="R21">
            <v>1089</v>
          </cell>
          <cell r="S21">
            <v>1197.9000000000001</v>
          </cell>
        </row>
        <row r="22">
          <cell r="I22" t="str">
            <v>01 590 200 0300</v>
          </cell>
          <cell r="J22" t="str">
            <v>Rent excavator diesel hydraulic crawler mounted 2 CY capacity</v>
          </cell>
          <cell r="N22" t="str">
            <v>Day+</v>
          </cell>
          <cell r="O22">
            <v>0</v>
          </cell>
          <cell r="P22">
            <v>0</v>
          </cell>
          <cell r="Q22">
            <v>1396</v>
          </cell>
          <cell r="R22">
            <v>1396</v>
          </cell>
          <cell r="S22">
            <v>1535.6</v>
          </cell>
        </row>
        <row r="23">
          <cell r="I23" t="str">
            <v>01 590 200 0342</v>
          </cell>
          <cell r="J23" t="str">
            <v>Excavator attachments, bucket thumbs</v>
          </cell>
          <cell r="N23" t="str">
            <v>Day+</v>
          </cell>
          <cell r="O23">
            <v>0</v>
          </cell>
          <cell r="P23">
            <v>0</v>
          </cell>
          <cell r="Q23">
            <v>232.4</v>
          </cell>
          <cell r="R23">
            <v>232.4</v>
          </cell>
          <cell r="S23">
            <v>255.64</v>
          </cell>
        </row>
        <row r="24">
          <cell r="I24" t="str">
            <v>01 590 200 0400</v>
          </cell>
          <cell r="J24" t="str">
            <v>Rent backhoe-loader 40 to 45 HP 5/8 CY capacity</v>
          </cell>
          <cell r="N24" t="str">
            <v>Day+</v>
          </cell>
          <cell r="O24">
            <v>0</v>
          </cell>
          <cell r="P24">
            <v>0</v>
          </cell>
          <cell r="Q24">
            <v>275.8</v>
          </cell>
          <cell r="R24">
            <v>275.8</v>
          </cell>
          <cell r="S24">
            <v>303.38</v>
          </cell>
        </row>
        <row r="25">
          <cell r="I25" t="str">
            <v>01 590 200 0450</v>
          </cell>
          <cell r="J25" t="str">
            <v>Rent backhoe-loader 45 to 60 HP 3/4 CY capacity</v>
          </cell>
          <cell r="N25" t="str">
            <v>Day+</v>
          </cell>
          <cell r="O25">
            <v>0</v>
          </cell>
          <cell r="P25">
            <v>0</v>
          </cell>
          <cell r="Q25">
            <v>340.4</v>
          </cell>
          <cell r="R25">
            <v>340.4</v>
          </cell>
          <cell r="S25">
            <v>374.44</v>
          </cell>
        </row>
        <row r="26">
          <cell r="I26" t="str">
            <v>01 590 200 0460</v>
          </cell>
          <cell r="J26" t="str">
            <v>Rent backhoe-loader wheel type 80 HP 1-1/4 CY capacity</v>
          </cell>
          <cell r="N26" t="str">
            <v>Day+</v>
          </cell>
          <cell r="O26">
            <v>0</v>
          </cell>
          <cell r="P26">
            <v>0</v>
          </cell>
          <cell r="Q26">
            <v>395.4</v>
          </cell>
          <cell r="R26">
            <v>395.4</v>
          </cell>
          <cell r="S26">
            <v>434.94</v>
          </cell>
        </row>
        <row r="27">
          <cell r="I27" t="str">
            <v>01 590 200 0470</v>
          </cell>
          <cell r="J27" t="str">
            <v>Rent backhoe-loader wheel type 112 HP, 1-1/2 CY capacity</v>
          </cell>
          <cell r="N27" t="str">
            <v>Day+</v>
          </cell>
          <cell r="O27">
            <v>0</v>
          </cell>
          <cell r="P27">
            <v>0</v>
          </cell>
          <cell r="Q27">
            <v>573</v>
          </cell>
          <cell r="R27">
            <v>573</v>
          </cell>
          <cell r="S27">
            <v>630.29999999999995</v>
          </cell>
        </row>
        <row r="28">
          <cell r="I28" t="str">
            <v>01 590 200 0482</v>
          </cell>
          <cell r="J28" t="str">
            <v>Backhoe-loader attachment, compactor, 20,000 lb</v>
          </cell>
          <cell r="N28" t="str">
            <v>Day+</v>
          </cell>
          <cell r="O28">
            <v>0</v>
          </cell>
          <cell r="P28">
            <v>0</v>
          </cell>
          <cell r="Q28">
            <v>155.6</v>
          </cell>
          <cell r="R28">
            <v>155.6</v>
          </cell>
          <cell r="S28">
            <v>171.16</v>
          </cell>
        </row>
        <row r="29">
          <cell r="I29" t="str">
            <v>01 590 200 0485</v>
          </cell>
          <cell r="J29" t="str">
            <v>Attachments, backhoe-loader, hydraulic hammer 750 ft-lbs</v>
          </cell>
          <cell r="N29" t="str">
            <v>Day+</v>
          </cell>
          <cell r="O29">
            <v>0</v>
          </cell>
          <cell r="P29">
            <v>0</v>
          </cell>
          <cell r="Q29">
            <v>86.4</v>
          </cell>
          <cell r="R29">
            <v>86.4</v>
          </cell>
          <cell r="S29">
            <v>95.04</v>
          </cell>
        </row>
        <row r="30">
          <cell r="I30" t="str">
            <v>01 590 200 1200</v>
          </cell>
          <cell r="J30" t="str">
            <v>Rent, compactor, manually guided 2-drum vibratory smooth roller, 7.5 H.P.</v>
          </cell>
          <cell r="N30" t="str">
            <v>Day+</v>
          </cell>
          <cell r="O30">
            <v>0</v>
          </cell>
          <cell r="P30">
            <v>0</v>
          </cell>
          <cell r="Q30">
            <v>194.8</v>
          </cell>
          <cell r="R30">
            <v>194.8</v>
          </cell>
          <cell r="S30">
            <v>214.28</v>
          </cell>
        </row>
        <row r="31">
          <cell r="I31" t="str">
            <v>01 590 200 1250</v>
          </cell>
          <cell r="J31" t="str">
            <v>Rent rammer compactor gas 1000 lb blow</v>
          </cell>
          <cell r="N31" t="str">
            <v>Day+</v>
          </cell>
          <cell r="O31">
            <v>0</v>
          </cell>
          <cell r="P31">
            <v>0</v>
          </cell>
          <cell r="Q31">
            <v>52.9</v>
          </cell>
          <cell r="R31">
            <v>52.9</v>
          </cell>
          <cell r="S31">
            <v>58.19</v>
          </cell>
        </row>
        <row r="32">
          <cell r="I32" t="str">
            <v>01 590 200 1300</v>
          </cell>
          <cell r="J32" t="str">
            <v>Rent vibratory plate compactor gas 18" plate 3000 lb blow</v>
          </cell>
          <cell r="N32" t="str">
            <v>Day+</v>
          </cell>
          <cell r="O32">
            <v>0</v>
          </cell>
          <cell r="P32">
            <v>0</v>
          </cell>
          <cell r="Q32">
            <v>38</v>
          </cell>
          <cell r="R32">
            <v>38</v>
          </cell>
          <cell r="S32">
            <v>41.8</v>
          </cell>
        </row>
        <row r="33">
          <cell r="I33" t="str">
            <v>01 590 200 1350</v>
          </cell>
          <cell r="J33" t="str">
            <v>Rent vibratory plate compactor 21" plate 5000 lb blow</v>
          </cell>
          <cell r="N33" t="str">
            <v>Day+</v>
          </cell>
          <cell r="O33">
            <v>0</v>
          </cell>
          <cell r="P33">
            <v>0</v>
          </cell>
          <cell r="Q33">
            <v>47.1</v>
          </cell>
          <cell r="R33">
            <v>47.1</v>
          </cell>
          <cell r="S33">
            <v>51.81</v>
          </cell>
        </row>
        <row r="34">
          <cell r="I34" t="str">
            <v>01 590 200 3100</v>
          </cell>
          <cell r="J34" t="str">
            <v>Rent, towed type vibratory compactor, smooth drum, 50 H.P.</v>
          </cell>
          <cell r="N34" t="str">
            <v>Day+</v>
          </cell>
          <cell r="O34">
            <v>0</v>
          </cell>
          <cell r="P34">
            <v>0</v>
          </cell>
          <cell r="Q34">
            <v>479</v>
          </cell>
          <cell r="R34">
            <v>479</v>
          </cell>
          <cell r="S34">
            <v>526.9</v>
          </cell>
        </row>
        <row r="35">
          <cell r="I35" t="str">
            <v>01 590 200 3150</v>
          </cell>
          <cell r="J35" t="str">
            <v>Rent, towed type vibratory compactor, sheepsfoot, 50 H.P.</v>
          </cell>
          <cell r="N35" t="str">
            <v>Day+</v>
          </cell>
          <cell r="O35">
            <v>0</v>
          </cell>
          <cell r="P35">
            <v>0</v>
          </cell>
          <cell r="Q35">
            <v>517</v>
          </cell>
          <cell r="R35">
            <v>517</v>
          </cell>
          <cell r="S35">
            <v>568.70000000000005</v>
          </cell>
        </row>
        <row r="36">
          <cell r="I36" t="str">
            <v>01 590 200 3200</v>
          </cell>
          <cell r="J36" t="str">
            <v>Rent, pneumatic tire roller, 80 H.P.</v>
          </cell>
          <cell r="N36" t="str">
            <v>Day+</v>
          </cell>
          <cell r="O36">
            <v>0</v>
          </cell>
          <cell r="P36">
            <v>0</v>
          </cell>
          <cell r="Q36">
            <v>427.6</v>
          </cell>
          <cell r="R36">
            <v>427.6</v>
          </cell>
          <cell r="S36">
            <v>470.36</v>
          </cell>
        </row>
        <row r="37">
          <cell r="I37" t="str">
            <v>01 590 200 3250</v>
          </cell>
          <cell r="J37" t="str">
            <v>Rent, pneumatic tire roller, 120 H.P.</v>
          </cell>
          <cell r="N37" t="str">
            <v>Day+</v>
          </cell>
          <cell r="O37">
            <v>0</v>
          </cell>
          <cell r="P37">
            <v>0</v>
          </cell>
          <cell r="Q37">
            <v>715</v>
          </cell>
          <cell r="R37">
            <v>715</v>
          </cell>
          <cell r="S37">
            <v>786.5</v>
          </cell>
        </row>
        <row r="38">
          <cell r="I38" t="str">
            <v>01 590 200 4110</v>
          </cell>
          <cell r="J38" t="str">
            <v>Rent tractor dozer crawler diesel 80 HP</v>
          </cell>
          <cell r="N38" t="str">
            <v>Day+</v>
          </cell>
          <cell r="O38">
            <v>0</v>
          </cell>
          <cell r="P38">
            <v>0</v>
          </cell>
          <cell r="Q38">
            <v>493.8</v>
          </cell>
          <cell r="R38">
            <v>493.8</v>
          </cell>
          <cell r="S38">
            <v>543.17999999999995</v>
          </cell>
        </row>
        <row r="39">
          <cell r="I39" t="str">
            <v>01 590 200 4150</v>
          </cell>
          <cell r="J39" t="str">
            <v>Rent tractor dozer crawler diesel 105 HP</v>
          </cell>
          <cell r="N39" t="str">
            <v>Day+</v>
          </cell>
          <cell r="O39">
            <v>0</v>
          </cell>
          <cell r="P39">
            <v>0</v>
          </cell>
          <cell r="Q39">
            <v>689</v>
          </cell>
          <cell r="R39">
            <v>689</v>
          </cell>
          <cell r="S39">
            <v>757.9</v>
          </cell>
        </row>
        <row r="40">
          <cell r="I40" t="str">
            <v>01 590 200 4200</v>
          </cell>
          <cell r="J40" t="str">
            <v>Rent tractor dozer crawler diesel 140 HP</v>
          </cell>
          <cell r="N40" t="str">
            <v>Day+</v>
          </cell>
          <cell r="O40">
            <v>0</v>
          </cell>
          <cell r="P40">
            <v>0</v>
          </cell>
          <cell r="Q40">
            <v>854</v>
          </cell>
          <cell r="R40">
            <v>854</v>
          </cell>
          <cell r="S40">
            <v>939.4</v>
          </cell>
        </row>
        <row r="41">
          <cell r="I41" t="str">
            <v>01 590 200 4260</v>
          </cell>
          <cell r="J41" t="str">
            <v>Rent tractor dozer crawler diesel 200 HP</v>
          </cell>
          <cell r="N41" t="str">
            <v>Day+</v>
          </cell>
          <cell r="O41">
            <v>0</v>
          </cell>
          <cell r="P41">
            <v>0</v>
          </cell>
          <cell r="Q41">
            <v>1397</v>
          </cell>
          <cell r="R41">
            <v>1397</v>
          </cell>
          <cell r="S41">
            <v>1536.7</v>
          </cell>
        </row>
        <row r="42">
          <cell r="I42" t="str">
            <v>01 590 200 4310</v>
          </cell>
          <cell r="J42" t="str">
            <v>Rent tractor dozer crawler diesel 300 HP</v>
          </cell>
          <cell r="N42" t="str">
            <v>Day+</v>
          </cell>
          <cell r="O42">
            <v>0</v>
          </cell>
          <cell r="P42">
            <v>0</v>
          </cell>
          <cell r="Q42">
            <v>1855</v>
          </cell>
          <cell r="R42">
            <v>1855</v>
          </cell>
          <cell r="S42">
            <v>2040.5</v>
          </cell>
        </row>
        <row r="43">
          <cell r="I43" t="str">
            <v>01 590 200 4360</v>
          </cell>
          <cell r="J43" t="str">
            <v>Rent tractor dozer crawler diesel 410 HP</v>
          </cell>
          <cell r="N43" t="str">
            <v>Day+</v>
          </cell>
          <cell r="O43">
            <v>0</v>
          </cell>
          <cell r="P43">
            <v>0</v>
          </cell>
          <cell r="Q43">
            <v>2369</v>
          </cell>
          <cell r="R43">
            <v>2369</v>
          </cell>
          <cell r="S43">
            <v>2605.9</v>
          </cell>
        </row>
        <row r="44">
          <cell r="I44" t="str">
            <v>01 590 200 4610</v>
          </cell>
          <cell r="J44" t="str">
            <v>Rent tractor loader wheel 4x4 1 - 1.25 CY 65 HP</v>
          </cell>
          <cell r="N44" t="str">
            <v>Day+</v>
          </cell>
          <cell r="O44">
            <v>0</v>
          </cell>
          <cell r="P44">
            <v>0</v>
          </cell>
          <cell r="Q44">
            <v>283.60000000000002</v>
          </cell>
          <cell r="R44">
            <v>283.60000000000002</v>
          </cell>
          <cell r="S44">
            <v>311.95999999999998</v>
          </cell>
        </row>
        <row r="45">
          <cell r="I45" t="str">
            <v>01 590 200 4620</v>
          </cell>
          <cell r="J45" t="str">
            <v>Rent tractor loader wheel 4x4 1.5 - 1.75 CY 80 HP</v>
          </cell>
          <cell r="N45" t="str">
            <v>Day+</v>
          </cell>
          <cell r="O45">
            <v>0</v>
          </cell>
          <cell r="P45">
            <v>0</v>
          </cell>
          <cell r="Q45">
            <v>381.6</v>
          </cell>
          <cell r="R45">
            <v>381.6</v>
          </cell>
          <cell r="S45">
            <v>419.76</v>
          </cell>
        </row>
        <row r="46">
          <cell r="I46" t="str">
            <v>01 590 200 4650</v>
          </cell>
          <cell r="J46" t="str">
            <v>Rent tractor loader wheel 4x4 1.75 - 2 CY 100 HP</v>
          </cell>
          <cell r="N46" t="str">
            <v>Day+</v>
          </cell>
          <cell r="O46">
            <v>0</v>
          </cell>
          <cell r="P46">
            <v>0</v>
          </cell>
          <cell r="Q46">
            <v>437.6</v>
          </cell>
          <cell r="R46">
            <v>437.6</v>
          </cell>
          <cell r="S46">
            <v>481.36</v>
          </cell>
        </row>
        <row r="47">
          <cell r="I47" t="str">
            <v>01 590 200 4710</v>
          </cell>
          <cell r="J47" t="str">
            <v>Rent tractor loader wheel4x4 2.5 - 3.5 CY 130 HP</v>
          </cell>
          <cell r="N47" t="str">
            <v>Day+</v>
          </cell>
          <cell r="O47">
            <v>0</v>
          </cell>
          <cell r="P47">
            <v>0</v>
          </cell>
          <cell r="Q47">
            <v>480</v>
          </cell>
          <cell r="R47">
            <v>480</v>
          </cell>
          <cell r="S47">
            <v>528</v>
          </cell>
        </row>
        <row r="48">
          <cell r="I48" t="str">
            <v>01 590 200 4730</v>
          </cell>
          <cell r="J48" t="str">
            <v>Rent tractor loader wheel 4x4 3 - 4.5 CY 170 HP</v>
          </cell>
          <cell r="N48" t="str">
            <v>Day+</v>
          </cell>
          <cell r="O48">
            <v>0</v>
          </cell>
          <cell r="P48">
            <v>0</v>
          </cell>
          <cell r="Q48">
            <v>686</v>
          </cell>
          <cell r="R48">
            <v>686</v>
          </cell>
          <cell r="S48">
            <v>754.6</v>
          </cell>
        </row>
        <row r="49">
          <cell r="I49" t="str">
            <v>01 590 200 4760</v>
          </cell>
          <cell r="J49" t="str">
            <v>Rent tractor loader wheel 4x4 5.25 - 5.75 CY 270 HP</v>
          </cell>
          <cell r="N49" t="str">
            <v>Day+</v>
          </cell>
          <cell r="O49">
            <v>0</v>
          </cell>
          <cell r="P49">
            <v>0</v>
          </cell>
          <cell r="Q49">
            <v>1046</v>
          </cell>
          <cell r="R49">
            <v>1046</v>
          </cell>
          <cell r="S49">
            <v>1150.5999999999999</v>
          </cell>
        </row>
        <row r="50">
          <cell r="I50" t="str">
            <v>01 590 200 4880</v>
          </cell>
          <cell r="J50" t="str">
            <v>Rent loader, skid steer, 10 CF, 30 HP</v>
          </cell>
          <cell r="N50" t="str">
            <v>Day+</v>
          </cell>
          <cell r="O50">
            <v>0</v>
          </cell>
          <cell r="P50">
            <v>0</v>
          </cell>
          <cell r="Q50">
            <v>169</v>
          </cell>
          <cell r="R50">
            <v>169</v>
          </cell>
          <cell r="S50">
            <v>185.9</v>
          </cell>
        </row>
        <row r="51">
          <cell r="I51" t="str">
            <v>01 590 200 4890</v>
          </cell>
          <cell r="J51" t="str">
            <v>Rent loader skid steer, 1 CY 78 HP, diesel</v>
          </cell>
          <cell r="N51" t="str">
            <v>Day+</v>
          </cell>
          <cell r="O51">
            <v>0</v>
          </cell>
          <cell r="P51">
            <v>0</v>
          </cell>
          <cell r="Q51">
            <v>305.2</v>
          </cell>
          <cell r="R51">
            <v>305.2</v>
          </cell>
          <cell r="S51">
            <v>335.72</v>
          </cell>
        </row>
        <row r="52">
          <cell r="I52" t="str">
            <v>01 590 200 5250</v>
          </cell>
          <cell r="J52" t="str">
            <v>Rent truck dump tandem 12 ton, 8 CY payload</v>
          </cell>
          <cell r="N52" t="str">
            <v>Day+</v>
          </cell>
          <cell r="O52">
            <v>0</v>
          </cell>
          <cell r="P52">
            <v>0</v>
          </cell>
          <cell r="Q52">
            <v>483</v>
          </cell>
          <cell r="R52">
            <v>483</v>
          </cell>
          <cell r="S52">
            <v>531.29999999999995</v>
          </cell>
        </row>
        <row r="53">
          <cell r="I53" t="str">
            <v>01 590 200 5300</v>
          </cell>
          <cell r="J53" t="str">
            <v>Rent truck dump 3 axle 16 ton, 12 CY payload</v>
          </cell>
          <cell r="N53" t="str">
            <v>Day+</v>
          </cell>
          <cell r="O53">
            <v>0</v>
          </cell>
          <cell r="P53">
            <v>0</v>
          </cell>
          <cell r="Q53">
            <v>703</v>
          </cell>
          <cell r="R53">
            <v>703</v>
          </cell>
          <cell r="S53">
            <v>773.3</v>
          </cell>
        </row>
        <row r="54">
          <cell r="I54" t="str">
            <v>01 590 200 5550</v>
          </cell>
          <cell r="J54" t="str">
            <v>Rent truck off highway rear dump 25 ton capacity</v>
          </cell>
          <cell r="N54" t="str">
            <v>Day+</v>
          </cell>
          <cell r="O54">
            <v>0</v>
          </cell>
          <cell r="P54">
            <v>0</v>
          </cell>
          <cell r="Q54">
            <v>1397</v>
          </cell>
          <cell r="R54">
            <v>1397</v>
          </cell>
          <cell r="S54">
            <v>1536.7</v>
          </cell>
        </row>
        <row r="55">
          <cell r="I55" t="str">
            <v>01 590 400 0195</v>
          </cell>
          <cell r="J55" t="str">
            <v>Air compressor, portable, 6.5 CFM, electric</v>
          </cell>
          <cell r="N55" t="str">
            <v>Day+</v>
          </cell>
          <cell r="O55">
            <v>0</v>
          </cell>
          <cell r="P55">
            <v>0</v>
          </cell>
          <cell r="Q55">
            <v>13.71</v>
          </cell>
          <cell r="R55">
            <v>13.71</v>
          </cell>
          <cell r="S55">
            <v>15.081</v>
          </cell>
        </row>
        <row r="56">
          <cell r="I56" t="str">
            <v>01 590 400 0196</v>
          </cell>
          <cell r="J56" t="str">
            <v>Air compressor, portable, 6.5 CFM gasoline</v>
          </cell>
          <cell r="N56" t="str">
            <v>Day+</v>
          </cell>
          <cell r="O56">
            <v>0</v>
          </cell>
          <cell r="P56">
            <v>0</v>
          </cell>
          <cell r="Q56">
            <v>21.01</v>
          </cell>
          <cell r="R56">
            <v>21.01</v>
          </cell>
          <cell r="S56">
            <v>23.111000000000001</v>
          </cell>
        </row>
        <row r="57">
          <cell r="I57" t="str">
            <v>01 590 400 0200</v>
          </cell>
          <cell r="J57" t="str">
            <v>Rent air compressor portable gas engine 60 CFM</v>
          </cell>
          <cell r="N57" t="str">
            <v>Day+</v>
          </cell>
          <cell r="O57">
            <v>0</v>
          </cell>
          <cell r="P57">
            <v>0</v>
          </cell>
          <cell r="Q57">
            <v>127.3</v>
          </cell>
          <cell r="R57">
            <v>127.3</v>
          </cell>
          <cell r="S57">
            <v>140.03</v>
          </cell>
        </row>
        <row r="58">
          <cell r="I58" t="str">
            <v>01 590 400 0300</v>
          </cell>
          <cell r="J58" t="str">
            <v>Rent air compressor portable gas engine 160 CFM</v>
          </cell>
          <cell r="N58" t="str">
            <v>Day+</v>
          </cell>
          <cell r="O58">
            <v>0</v>
          </cell>
          <cell r="P58">
            <v>0</v>
          </cell>
          <cell r="Q58">
            <v>142.1</v>
          </cell>
          <cell r="R58">
            <v>142.1</v>
          </cell>
          <cell r="S58">
            <v>156.31</v>
          </cell>
        </row>
        <row r="59">
          <cell r="I59" t="str">
            <v>01 590 400 4300</v>
          </cell>
          <cell r="J59" t="str">
            <v>Rent pump, centrifugal, gas drive 3" diam., 250 GPM</v>
          </cell>
          <cell r="N59" t="str">
            <v>Day+</v>
          </cell>
          <cell r="O59">
            <v>0</v>
          </cell>
          <cell r="P59">
            <v>0</v>
          </cell>
          <cell r="Q59">
            <v>82.9</v>
          </cell>
          <cell r="R59">
            <v>82.9</v>
          </cell>
          <cell r="S59">
            <v>91.19</v>
          </cell>
        </row>
        <row r="60">
          <cell r="I60" t="str">
            <v>01 590 400 4800</v>
          </cell>
          <cell r="J60" t="str">
            <v>Rent pump submersible electric 3" diam., 300 GPM</v>
          </cell>
          <cell r="N60" t="str">
            <v>Day+</v>
          </cell>
          <cell r="O60">
            <v>0</v>
          </cell>
          <cell r="P60">
            <v>0</v>
          </cell>
          <cell r="Q60">
            <v>50.9</v>
          </cell>
          <cell r="R60">
            <v>50.9</v>
          </cell>
          <cell r="S60">
            <v>55.99</v>
          </cell>
        </row>
        <row r="61">
          <cell r="I61" t="str">
            <v>01 590 400 5800</v>
          </cell>
          <cell r="J61" t="str">
            <v>Rent chain saw gas engine 18" long</v>
          </cell>
          <cell r="N61" t="str">
            <v>Day+</v>
          </cell>
          <cell r="O61">
            <v>0</v>
          </cell>
          <cell r="P61">
            <v>0</v>
          </cell>
          <cell r="Q61">
            <v>29.55</v>
          </cell>
          <cell r="R61">
            <v>29.55</v>
          </cell>
          <cell r="S61">
            <v>32.505000000000003</v>
          </cell>
        </row>
        <row r="62">
          <cell r="I62" t="str">
            <v>01 590 400 5900</v>
          </cell>
          <cell r="J62" t="str">
            <v>Rent chain saw gas engine 36" long</v>
          </cell>
          <cell r="N62" t="str">
            <v>Day+</v>
          </cell>
          <cell r="O62">
            <v>0</v>
          </cell>
          <cell r="P62">
            <v>0</v>
          </cell>
          <cell r="Q62">
            <v>54.4</v>
          </cell>
          <cell r="R62">
            <v>54.4</v>
          </cell>
          <cell r="S62">
            <v>59.84</v>
          </cell>
        </row>
        <row r="63">
          <cell r="I63" t="str">
            <v>01 590 400 7030</v>
          </cell>
          <cell r="J63" t="str">
            <v>Rent trench box, 3000 lbs 6'x 8'</v>
          </cell>
          <cell r="N63" t="str">
            <v>Day+</v>
          </cell>
          <cell r="O63">
            <v>0</v>
          </cell>
          <cell r="P63">
            <v>0</v>
          </cell>
          <cell r="Q63">
            <v>104.8</v>
          </cell>
          <cell r="R63">
            <v>104.8</v>
          </cell>
          <cell r="S63">
            <v>115.28</v>
          </cell>
        </row>
        <row r="64">
          <cell r="I64" t="str">
            <v>01 590 400 7040</v>
          </cell>
          <cell r="J64" t="str">
            <v>Trench box, 7200 lbs, 6'x 20'</v>
          </cell>
          <cell r="N64" t="str">
            <v>Day+</v>
          </cell>
          <cell r="O64">
            <v>0</v>
          </cell>
          <cell r="P64">
            <v>0</v>
          </cell>
          <cell r="Q64">
            <v>127.84</v>
          </cell>
          <cell r="R64">
            <v>127.84</v>
          </cell>
          <cell r="S64">
            <v>140.624</v>
          </cell>
        </row>
        <row r="65">
          <cell r="I65" t="str">
            <v>01 590 600 2560</v>
          </cell>
          <cell r="J65" t="str">
            <v>Rent crane truck mounted, hydraulic, 40 ton capacity</v>
          </cell>
          <cell r="N65" t="str">
            <v>Day+</v>
          </cell>
          <cell r="O65">
            <v>0</v>
          </cell>
          <cell r="P65">
            <v>0</v>
          </cell>
          <cell r="Q65">
            <v>986</v>
          </cell>
          <cell r="R65">
            <v>986</v>
          </cell>
          <cell r="S65">
            <v>1084.5999999999999</v>
          </cell>
        </row>
        <row r="66">
          <cell r="I66" t="str">
            <v>02 210 120 0020</v>
          </cell>
          <cell r="J66" t="str">
            <v>Subsurface investigation, boring and exploratory drilling, initial field stake out &amp; determination of elevations, for borings</v>
          </cell>
          <cell r="K66" t="str">
            <v>A6</v>
          </cell>
          <cell r="L66">
            <v>1</v>
          </cell>
          <cell r="M66">
            <v>16</v>
          </cell>
          <cell r="N66" t="str">
            <v>Day</v>
          </cell>
          <cell r="O66">
            <v>0</v>
          </cell>
          <cell r="P66">
            <v>460</v>
          </cell>
          <cell r="Q66">
            <v>58</v>
          </cell>
          <cell r="R66">
            <v>518</v>
          </cell>
          <cell r="S66">
            <v>835</v>
          </cell>
        </row>
        <row r="67">
          <cell r="I67" t="str">
            <v>02 210 120 0100</v>
          </cell>
          <cell r="J67" t="str">
            <v>Subsurface investigation, boring and exploratory drilling, drawings showing boring details</v>
          </cell>
          <cell r="N67" t="str">
            <v>Total</v>
          </cell>
          <cell r="O67">
            <v>0</v>
          </cell>
          <cell r="P67">
            <v>222</v>
          </cell>
          <cell r="Q67">
            <v>0</v>
          </cell>
          <cell r="R67">
            <v>222</v>
          </cell>
          <cell r="S67">
            <v>325</v>
          </cell>
        </row>
        <row r="68">
          <cell r="I68" t="str">
            <v>02 210 120 0200</v>
          </cell>
          <cell r="J68" t="str">
            <v>Subsurface investigation, boring and exploratory drilling, report and recommendations from PE</v>
          </cell>
          <cell r="N68" t="str">
            <v>Total</v>
          </cell>
          <cell r="O68">
            <v>0</v>
          </cell>
          <cell r="P68">
            <v>500</v>
          </cell>
          <cell r="Q68">
            <v>0</v>
          </cell>
          <cell r="R68">
            <v>500</v>
          </cell>
          <cell r="S68">
            <v>730</v>
          </cell>
        </row>
        <row r="69">
          <cell r="I69" t="str">
            <v>02 210 120 0300</v>
          </cell>
          <cell r="J69" t="str">
            <v>Subsurface investigation, boring and exploratory drilling, mobilization and demobilization, minimum</v>
          </cell>
          <cell r="K69" t="str">
            <v>B55</v>
          </cell>
          <cell r="L69">
            <v>4</v>
          </cell>
          <cell r="M69">
            <v>4</v>
          </cell>
          <cell r="N69" t="str">
            <v>Total</v>
          </cell>
          <cell r="O69">
            <v>0</v>
          </cell>
          <cell r="P69">
            <v>89.5</v>
          </cell>
          <cell r="Q69">
            <v>215</v>
          </cell>
          <cell r="R69">
            <v>304.5</v>
          </cell>
          <cell r="S69">
            <v>385</v>
          </cell>
        </row>
        <row r="70">
          <cell r="I70" t="str">
            <v>02 210 120 0350</v>
          </cell>
          <cell r="J70" t="str">
            <v>Subsurface investigation, boring and exploratory drilling, mobilization and demobilization, for over 100 miles, per added mile</v>
          </cell>
          <cell r="K70" t="str">
            <v>B55</v>
          </cell>
          <cell r="L70">
            <v>450</v>
          </cell>
          <cell r="M70">
            <v>3.5999999999999997E-2</v>
          </cell>
          <cell r="N70" t="str">
            <v>Mile</v>
          </cell>
          <cell r="O70">
            <v>0</v>
          </cell>
          <cell r="P70">
            <v>0.79</v>
          </cell>
          <cell r="Q70">
            <v>1.91</v>
          </cell>
          <cell r="R70">
            <v>2.7</v>
          </cell>
          <cell r="S70">
            <v>3.44</v>
          </cell>
        </row>
        <row r="71">
          <cell r="I71" t="str">
            <v>02 210 120 0600</v>
          </cell>
          <cell r="J71" t="str">
            <v>Subsurface investigation, boring and exploratory drilling, auger holes in earth, no samples, 2-1/2" diameter</v>
          </cell>
          <cell r="K71" t="str">
            <v>B55</v>
          </cell>
          <cell r="L71">
            <v>78.599999999999994</v>
          </cell>
          <cell r="M71">
            <v>0.20399999999999999</v>
          </cell>
          <cell r="N71" t="str">
            <v>L.F.</v>
          </cell>
          <cell r="O71">
            <v>0</v>
          </cell>
          <cell r="P71">
            <v>4.55</v>
          </cell>
          <cell r="Q71">
            <v>10.95</v>
          </cell>
          <cell r="R71">
            <v>15.5</v>
          </cell>
          <cell r="S71">
            <v>19.75</v>
          </cell>
        </row>
        <row r="72">
          <cell r="I72" t="str">
            <v>02 210 120 0650</v>
          </cell>
          <cell r="J72" t="str">
            <v>Subsurface investigation, boring and exploratory drilling, auger holes in earth, no samples, 4" diameter</v>
          </cell>
          <cell r="K72" t="str">
            <v>B55</v>
          </cell>
          <cell r="L72">
            <v>67.5</v>
          </cell>
          <cell r="M72">
            <v>0.23699999999999999</v>
          </cell>
          <cell r="N72" t="str">
            <v>L.F.</v>
          </cell>
          <cell r="O72">
            <v>0</v>
          </cell>
          <cell r="P72">
            <v>5.3</v>
          </cell>
          <cell r="Q72">
            <v>12.75</v>
          </cell>
          <cell r="R72">
            <v>18.05</v>
          </cell>
          <cell r="S72">
            <v>23</v>
          </cell>
        </row>
        <row r="73">
          <cell r="I73" t="str">
            <v>02 210 120 0800</v>
          </cell>
          <cell r="J73" t="str">
            <v>Subsurface investigation, boring and exploratory drilling, cased borings in earth, with samples, 2-1/2" diameter</v>
          </cell>
          <cell r="K73" t="str">
            <v>B55</v>
          </cell>
          <cell r="L73">
            <v>55.5</v>
          </cell>
          <cell r="M73">
            <v>0.28799999999999998</v>
          </cell>
          <cell r="N73" t="str">
            <v>L.F.</v>
          </cell>
          <cell r="O73">
            <v>16.55</v>
          </cell>
          <cell r="P73">
            <v>6.45</v>
          </cell>
          <cell r="Q73">
            <v>15.5</v>
          </cell>
          <cell r="R73">
            <v>38.5</v>
          </cell>
          <cell r="S73">
            <v>46</v>
          </cell>
        </row>
        <row r="74">
          <cell r="I74" t="str">
            <v>02 210 120 0850</v>
          </cell>
          <cell r="J74" t="str">
            <v>Subsurface investigation, boring and exploratory drilling, cased borings in earth, with samples, 4" diameter</v>
          </cell>
          <cell r="K74" t="str">
            <v>B55</v>
          </cell>
          <cell r="L74">
            <v>32.6</v>
          </cell>
          <cell r="M74">
            <v>0.49099999999999999</v>
          </cell>
          <cell r="N74" t="str">
            <v>L.F.</v>
          </cell>
          <cell r="O74">
            <v>26</v>
          </cell>
          <cell r="P74">
            <v>10.95</v>
          </cell>
          <cell r="Q74">
            <v>26.5</v>
          </cell>
          <cell r="R74">
            <v>63.45</v>
          </cell>
          <cell r="S74">
            <v>76</v>
          </cell>
        </row>
        <row r="75">
          <cell r="I75" t="str">
            <v>02 210 120 1000</v>
          </cell>
          <cell r="J75" t="str">
            <v>Subsurface investigation, boring and exploratory drilling, drilling in rock, "BX" core, no sampling, includes bit, layout and set up</v>
          </cell>
          <cell r="K75" t="str">
            <v>B56</v>
          </cell>
          <cell r="L75">
            <v>34.9</v>
          </cell>
          <cell r="M75">
            <v>0.45800000000000002</v>
          </cell>
          <cell r="N75" t="str">
            <v>L.F.</v>
          </cell>
          <cell r="O75">
            <v>0</v>
          </cell>
          <cell r="P75">
            <v>10.15</v>
          </cell>
          <cell r="Q75">
            <v>34.5</v>
          </cell>
          <cell r="R75">
            <v>44.65</v>
          </cell>
          <cell r="S75">
            <v>55</v>
          </cell>
        </row>
        <row r="76">
          <cell r="I76" t="str">
            <v>02 210 120 1050</v>
          </cell>
          <cell r="J76" t="str">
            <v>Subsurface investigation, boring and exploratory drilling, drilling in rock, "BX" core, with casing and sampling, includes bit, layout and set up</v>
          </cell>
          <cell r="K76" t="str">
            <v>B56</v>
          </cell>
          <cell r="L76">
            <v>31.7</v>
          </cell>
          <cell r="M76">
            <v>0.505</v>
          </cell>
          <cell r="N76" t="str">
            <v>L.F.</v>
          </cell>
          <cell r="O76">
            <v>16.55</v>
          </cell>
          <cell r="P76">
            <v>11.15</v>
          </cell>
          <cell r="Q76">
            <v>38</v>
          </cell>
          <cell r="R76">
            <v>65.7</v>
          </cell>
          <cell r="S76">
            <v>78.5</v>
          </cell>
        </row>
        <row r="77">
          <cell r="I77" t="str">
            <v>02 210 120 1200</v>
          </cell>
          <cell r="J77" t="str">
            <v>Subsurface investigation, boring and exploratory drilling, drilling in rock, "NX" core, no sampling, includes bit, layout and set up</v>
          </cell>
          <cell r="K77" t="str">
            <v>B56</v>
          </cell>
          <cell r="L77">
            <v>25.92</v>
          </cell>
          <cell r="M77">
            <v>0.61699999999999999</v>
          </cell>
          <cell r="N77" t="str">
            <v>L.F.</v>
          </cell>
          <cell r="O77">
            <v>0</v>
          </cell>
          <cell r="P77">
            <v>13.65</v>
          </cell>
          <cell r="Q77">
            <v>46.5</v>
          </cell>
          <cell r="R77">
            <v>60.15</v>
          </cell>
          <cell r="S77">
            <v>74</v>
          </cell>
        </row>
        <row r="78">
          <cell r="I78" t="str">
            <v>02 210 120 1250</v>
          </cell>
          <cell r="J78" t="str">
            <v>Subsurface investigation, boring and exploratory drilling, drilling in rock, "NX" core, with casing and sampling, includes bit, layout and set up</v>
          </cell>
          <cell r="K78" t="str">
            <v>B56</v>
          </cell>
          <cell r="L78">
            <v>25</v>
          </cell>
          <cell r="M78">
            <v>0.64</v>
          </cell>
          <cell r="N78" t="str">
            <v>L.F.</v>
          </cell>
          <cell r="O78">
            <v>20</v>
          </cell>
          <cell r="P78">
            <v>14.15</v>
          </cell>
          <cell r="Q78">
            <v>48</v>
          </cell>
          <cell r="R78">
            <v>82.15</v>
          </cell>
          <cell r="S78">
            <v>99.5</v>
          </cell>
        </row>
        <row r="79">
          <cell r="I79" t="str">
            <v>02 210 120 1400</v>
          </cell>
          <cell r="J79" t="str">
            <v>Subsurface investigation, boring and exploratory drilling, drill rig and crew with truck mounted auger, includes bit, layout and set up</v>
          </cell>
          <cell r="K79" t="str">
            <v>B55</v>
          </cell>
          <cell r="L79">
            <v>1</v>
          </cell>
          <cell r="M79">
            <v>16</v>
          </cell>
          <cell r="N79" t="str">
            <v>Day</v>
          </cell>
          <cell r="O79">
            <v>0</v>
          </cell>
          <cell r="P79">
            <v>355</v>
          </cell>
          <cell r="Q79">
            <v>860</v>
          </cell>
          <cell r="R79">
            <v>1215</v>
          </cell>
          <cell r="S79">
            <v>1550</v>
          </cell>
        </row>
        <row r="80">
          <cell r="I80" t="str">
            <v>02 210 120 1450</v>
          </cell>
          <cell r="J80" t="str">
            <v>Subsurface investigation, boring and exploratory drilling, drill rig and crew with truck mounted auger, with crawler type drill, includes bit, layout and set up</v>
          </cell>
          <cell r="K80" t="str">
            <v>B56</v>
          </cell>
          <cell r="L80">
            <v>1</v>
          </cell>
          <cell r="M80">
            <v>16</v>
          </cell>
          <cell r="N80" t="str">
            <v>Day</v>
          </cell>
          <cell r="O80">
            <v>0</v>
          </cell>
          <cell r="P80">
            <v>355</v>
          </cell>
          <cell r="Q80">
            <v>1200</v>
          </cell>
          <cell r="R80">
            <v>1555</v>
          </cell>
          <cell r="S80">
            <v>1925</v>
          </cell>
        </row>
        <row r="81">
          <cell r="I81" t="str">
            <v>02 210 700 0120</v>
          </cell>
          <cell r="J81" t="str">
            <v>Subsurface investigation, test pits, loader/backhoe, light soil</v>
          </cell>
          <cell r="K81" t="str">
            <v>B11M</v>
          </cell>
          <cell r="L81">
            <v>28</v>
          </cell>
          <cell r="M81">
            <v>0.57099999999999995</v>
          </cell>
          <cell r="N81" t="str">
            <v>C.Y.</v>
          </cell>
          <cell r="O81">
            <v>0</v>
          </cell>
          <cell r="P81">
            <v>14.75</v>
          </cell>
          <cell r="Q81">
            <v>10.199999999999999</v>
          </cell>
          <cell r="R81">
            <v>24.95</v>
          </cell>
          <cell r="S81">
            <v>35.5</v>
          </cell>
        </row>
        <row r="82">
          <cell r="I82" t="str">
            <v>02 210 700 0130</v>
          </cell>
          <cell r="J82" t="str">
            <v>Subsurface investigation, test pits, loader/backhoe, heavy soil</v>
          </cell>
          <cell r="K82" t="str">
            <v>B11M</v>
          </cell>
          <cell r="L82">
            <v>20</v>
          </cell>
          <cell r="M82">
            <v>0.8</v>
          </cell>
          <cell r="N82" t="str">
            <v>C.Y.</v>
          </cell>
          <cell r="O82">
            <v>0</v>
          </cell>
          <cell r="P82">
            <v>20.5</v>
          </cell>
          <cell r="Q82">
            <v>14.25</v>
          </cell>
          <cell r="R82">
            <v>34.75</v>
          </cell>
          <cell r="S82">
            <v>50</v>
          </cell>
        </row>
        <row r="83">
          <cell r="I83" t="str">
            <v>02 210 700 1000</v>
          </cell>
          <cell r="J83" t="str">
            <v>Subsurface investigation, test pits, subsurface exploration, mobilization</v>
          </cell>
          <cell r="N83" t="str">
            <v>Mile</v>
          </cell>
          <cell r="O83">
            <v>0</v>
          </cell>
          <cell r="P83">
            <v>0</v>
          </cell>
          <cell r="Q83">
            <v>0</v>
          </cell>
          <cell r="R83">
            <v>7.15</v>
          </cell>
          <cell r="S83">
            <v>8.1999999999999993</v>
          </cell>
        </row>
        <row r="84">
          <cell r="I84" t="str">
            <v>02 210 700 1050</v>
          </cell>
          <cell r="J84" t="str">
            <v>Subsurface investigation, test pits, drill and sample every 5', split spoon</v>
          </cell>
          <cell r="N84" t="str">
            <v>L.F.</v>
          </cell>
          <cell r="O84">
            <v>0</v>
          </cell>
          <cell r="P84">
            <v>0</v>
          </cell>
          <cell r="Q84">
            <v>0</v>
          </cell>
          <cell r="R84">
            <v>21.5</v>
          </cell>
          <cell r="S84">
            <v>24.5</v>
          </cell>
        </row>
        <row r="85">
          <cell r="I85" t="str">
            <v>02 210 700 1060</v>
          </cell>
          <cell r="J85" t="str">
            <v>Subsurface investigation, test pits, drill and sample every 5', split spoon, extra samples</v>
          </cell>
          <cell r="N85" t="str">
            <v>Ea.</v>
          </cell>
          <cell r="O85">
            <v>0</v>
          </cell>
          <cell r="P85">
            <v>0</v>
          </cell>
          <cell r="Q85">
            <v>0</v>
          </cell>
          <cell r="R85">
            <v>29</v>
          </cell>
          <cell r="S85">
            <v>33.5</v>
          </cell>
        </row>
        <row r="86">
          <cell r="I86" t="str">
            <v>02 220 130 0240</v>
          </cell>
          <cell r="J86" t="str">
            <v>Footings and foundations demolition, floors, concrete slab on grade, plain concrete, 4" thick, excludes disposal costs and dump fees</v>
          </cell>
          <cell r="K86" t="str">
            <v>B9C</v>
          </cell>
          <cell r="L86">
            <v>500</v>
          </cell>
          <cell r="M86">
            <v>0.08</v>
          </cell>
          <cell r="N86" t="str">
            <v>S.F.</v>
          </cell>
          <cell r="O86">
            <v>0</v>
          </cell>
          <cell r="P86">
            <v>1.8</v>
          </cell>
          <cell r="Q86">
            <v>0.36</v>
          </cell>
          <cell r="R86">
            <v>2.16</v>
          </cell>
          <cell r="S86">
            <v>3.45</v>
          </cell>
        </row>
        <row r="87">
          <cell r="I87" t="str">
            <v>02 220 130 0280</v>
          </cell>
          <cell r="J87" t="str">
            <v>Footings and foundations demolition, floors, concrete slab on grade, concrete, wire mesh reinforced, 4" thick, excludes disposal costs and dump fees</v>
          </cell>
          <cell r="K87" t="str">
            <v>B9C</v>
          </cell>
          <cell r="L87">
            <v>470</v>
          </cell>
          <cell r="M87">
            <v>8.5000000000000006E-2</v>
          </cell>
          <cell r="N87" t="str">
            <v>S.F.</v>
          </cell>
          <cell r="O87">
            <v>0</v>
          </cell>
          <cell r="P87">
            <v>1.92</v>
          </cell>
          <cell r="Q87">
            <v>0.38</v>
          </cell>
          <cell r="R87">
            <v>2.2999999999999998</v>
          </cell>
          <cell r="S87">
            <v>3.67</v>
          </cell>
        </row>
        <row r="88">
          <cell r="I88" t="str">
            <v>02 220 130 0300</v>
          </cell>
          <cell r="J88" t="str">
            <v>Footings and foundations demolition, floors, concrete slab on grade, concrete, rod reinforced, 4" thick, excludes disposal costs and dump fees</v>
          </cell>
          <cell r="K88" t="str">
            <v>B9C</v>
          </cell>
          <cell r="L88">
            <v>400</v>
          </cell>
          <cell r="M88">
            <v>0.1</v>
          </cell>
          <cell r="N88" t="str">
            <v>S.F.</v>
          </cell>
          <cell r="O88">
            <v>0</v>
          </cell>
          <cell r="P88">
            <v>2.25</v>
          </cell>
          <cell r="Q88">
            <v>0.45</v>
          </cell>
          <cell r="R88">
            <v>2.7</v>
          </cell>
          <cell r="S88">
            <v>4.3099999999999996</v>
          </cell>
        </row>
        <row r="89">
          <cell r="I89" t="str">
            <v>02 220 130 2400</v>
          </cell>
          <cell r="J89" t="str">
            <v>Footings and foundations demolition, remove concrete walls, plain concrete, 6" thick, excludes disposal costs and dump fees</v>
          </cell>
          <cell r="K89" t="str">
            <v>B9</v>
          </cell>
          <cell r="L89">
            <v>160</v>
          </cell>
          <cell r="M89">
            <v>0.25</v>
          </cell>
          <cell r="N89" t="str">
            <v>S.F.</v>
          </cell>
          <cell r="O89">
            <v>0</v>
          </cell>
          <cell r="P89">
            <v>5.65</v>
          </cell>
          <cell r="Q89">
            <v>1.1299999999999999</v>
          </cell>
          <cell r="R89">
            <v>6.78</v>
          </cell>
          <cell r="S89">
            <v>10.8</v>
          </cell>
        </row>
        <row r="90">
          <cell r="I90" t="str">
            <v>02 220 130 2420</v>
          </cell>
          <cell r="J90" t="str">
            <v>Footings and foundations demolition, remove concrete walls, plain concrete, 8" thick, excludes disposal costs and dump fees</v>
          </cell>
          <cell r="K90" t="str">
            <v>B9</v>
          </cell>
          <cell r="L90">
            <v>140</v>
          </cell>
          <cell r="M90">
            <v>0.28599999999999998</v>
          </cell>
          <cell r="N90" t="str">
            <v>S.F.</v>
          </cell>
          <cell r="O90">
            <v>0</v>
          </cell>
          <cell r="P90">
            <v>6.45</v>
          </cell>
          <cell r="Q90">
            <v>1.29</v>
          </cell>
          <cell r="R90">
            <v>7.74</v>
          </cell>
          <cell r="S90">
            <v>12.3</v>
          </cell>
        </row>
        <row r="91">
          <cell r="I91" t="str">
            <v>02 220 130 2600</v>
          </cell>
          <cell r="J91" t="str">
            <v>Footings and foundations demolition, remove concrete walls, plain concrete, for average reinforcing, excludes disposal costs and dump fees, add</v>
          </cell>
          <cell r="N91" t="str">
            <v>S.F.</v>
          </cell>
          <cell r="R91">
            <v>0.1</v>
          </cell>
          <cell r="S91">
            <v>0.1</v>
          </cell>
        </row>
        <row r="92">
          <cell r="I92" t="str">
            <v>02 220 220 1600</v>
          </cell>
          <cell r="J92" t="str">
            <v>Fencing demolition, remove barbed wire, 3 strands</v>
          </cell>
          <cell r="K92" t="str">
            <v>2 Clab</v>
          </cell>
          <cell r="L92">
            <v>430</v>
          </cell>
          <cell r="M92">
            <v>3.6999999999999998E-2</v>
          </cell>
          <cell r="N92" t="str">
            <v>L.F.</v>
          </cell>
          <cell r="O92">
            <v>0</v>
          </cell>
          <cell r="P92">
            <v>0.82</v>
          </cell>
          <cell r="Q92">
            <v>0</v>
          </cell>
          <cell r="R92">
            <v>0.82</v>
          </cell>
          <cell r="S92">
            <v>1.4</v>
          </cell>
        </row>
        <row r="93">
          <cell r="I93" t="str">
            <v>02 220 220 1650</v>
          </cell>
          <cell r="J93" t="str">
            <v>Fencing demolition, remove barbed wire, 5 strands</v>
          </cell>
          <cell r="K93" t="str">
            <v>2 Clab</v>
          </cell>
          <cell r="L93">
            <v>280</v>
          </cell>
          <cell r="M93">
            <v>5.7000000000000002E-2</v>
          </cell>
          <cell r="N93" t="str">
            <v>L.F.</v>
          </cell>
          <cell r="O93">
            <v>0</v>
          </cell>
          <cell r="P93">
            <v>1.26</v>
          </cell>
          <cell r="Q93">
            <v>0</v>
          </cell>
          <cell r="R93">
            <v>1.26</v>
          </cell>
          <cell r="S93">
            <v>2.14</v>
          </cell>
        </row>
        <row r="94">
          <cell r="I94" t="str">
            <v>02 220 220 1700</v>
          </cell>
          <cell r="J94" t="str">
            <v>Fencing demolition, remove chain link posts &amp; fabric, 8' to 10' high</v>
          </cell>
          <cell r="K94" t="str">
            <v>B6</v>
          </cell>
          <cell r="L94">
            <v>445</v>
          </cell>
          <cell r="M94">
            <v>5.3999999999999999E-2</v>
          </cell>
          <cell r="N94" t="str">
            <v>L.F.</v>
          </cell>
          <cell r="O94">
            <v>0</v>
          </cell>
          <cell r="P94">
            <v>1.3</v>
          </cell>
          <cell r="Q94">
            <v>0.55000000000000004</v>
          </cell>
          <cell r="R94">
            <v>1.85</v>
          </cell>
          <cell r="S94">
            <v>2.79</v>
          </cell>
        </row>
        <row r="95">
          <cell r="I95" t="str">
            <v>02 220 220 1775</v>
          </cell>
          <cell r="J95" t="str">
            <v>Minor site demolition, fencing, wood, all types, 4' to 6' high, remove existing fence, excludes hauling</v>
          </cell>
          <cell r="K95" t="str">
            <v>2 Clab</v>
          </cell>
          <cell r="L95">
            <v>432</v>
          </cell>
          <cell r="M95">
            <v>3.6999999999999998E-2</v>
          </cell>
          <cell r="N95" t="str">
            <v>L.F.</v>
          </cell>
          <cell r="O95">
            <v>0</v>
          </cell>
          <cell r="P95">
            <v>0.82</v>
          </cell>
          <cell r="Q95">
            <v>0</v>
          </cell>
          <cell r="R95">
            <v>0.82</v>
          </cell>
          <cell r="S95">
            <v>1.39</v>
          </cell>
        </row>
        <row r="96">
          <cell r="I96" t="str">
            <v>02 230 200 0020</v>
          </cell>
          <cell r="J96" t="str">
            <v>Selective clearing, brush, with brush saw, includes cutting and site cleanup, excludes removal offsite</v>
          </cell>
          <cell r="K96" t="str">
            <v>A1C</v>
          </cell>
          <cell r="L96">
            <v>0.25</v>
          </cell>
          <cell r="M96">
            <v>32</v>
          </cell>
          <cell r="N96" t="str">
            <v>Acre</v>
          </cell>
          <cell r="O96">
            <v>0</v>
          </cell>
          <cell r="P96">
            <v>705</v>
          </cell>
          <cell r="Q96">
            <v>92</v>
          </cell>
          <cell r="R96">
            <v>797</v>
          </cell>
          <cell r="S96">
            <v>1300</v>
          </cell>
        </row>
        <row r="97">
          <cell r="I97" t="str">
            <v>02 230 200 0500</v>
          </cell>
          <cell r="J97" t="str">
            <v>Selective clearing, brush, light clearing, with dozer and brush rake, excludes removal offsite</v>
          </cell>
          <cell r="K97" t="str">
            <v>B11A</v>
          </cell>
          <cell r="L97">
            <v>10</v>
          </cell>
          <cell r="M97">
            <v>1.6</v>
          </cell>
          <cell r="N97" t="str">
            <v>Acre</v>
          </cell>
          <cell r="O97">
            <v>0</v>
          </cell>
          <cell r="P97">
            <v>41.5</v>
          </cell>
          <cell r="Q97">
            <v>99</v>
          </cell>
          <cell r="R97">
            <v>140.5</v>
          </cell>
          <cell r="S97">
            <v>178</v>
          </cell>
        </row>
        <row r="98">
          <cell r="I98" t="str">
            <v>02 230 200 0550</v>
          </cell>
          <cell r="J98" t="str">
            <v>Selective clearing, brush, medium clearing, to 4" diameter, with dozer and brush rake, excludes removal offsite</v>
          </cell>
          <cell r="K98" t="str">
            <v>B11A</v>
          </cell>
          <cell r="L98">
            <v>8</v>
          </cell>
          <cell r="M98">
            <v>2</v>
          </cell>
          <cell r="N98" t="str">
            <v>Acre</v>
          </cell>
          <cell r="O98">
            <v>0</v>
          </cell>
          <cell r="P98">
            <v>51.5</v>
          </cell>
          <cell r="Q98">
            <v>124</v>
          </cell>
          <cell r="R98">
            <v>175.5</v>
          </cell>
          <cell r="S98">
            <v>222</v>
          </cell>
        </row>
        <row r="99">
          <cell r="I99" t="str">
            <v>02 230 200 0600</v>
          </cell>
          <cell r="J99" t="str">
            <v>Selective clearing, brush, heavy clearing, to 4" diameter, with dozer and brush rake, excludes removal offsite</v>
          </cell>
          <cell r="K99" t="str">
            <v>B11A</v>
          </cell>
          <cell r="L99">
            <v>6.4</v>
          </cell>
          <cell r="M99">
            <v>2.5</v>
          </cell>
          <cell r="N99" t="str">
            <v>Acre</v>
          </cell>
          <cell r="O99">
            <v>0</v>
          </cell>
          <cell r="P99">
            <v>64.5</v>
          </cell>
          <cell r="Q99">
            <v>154</v>
          </cell>
          <cell r="R99">
            <v>218.5</v>
          </cell>
          <cell r="S99">
            <v>278</v>
          </cell>
        </row>
        <row r="100">
          <cell r="I100" t="str">
            <v>02 230 200 1020</v>
          </cell>
          <cell r="J100" t="str">
            <v>Selective clearing, brush mowing, light density, tractor with rotary mower, excludes removal, excludes removal offsite</v>
          </cell>
          <cell r="K100" t="str">
            <v>B84</v>
          </cell>
          <cell r="L100">
            <v>2</v>
          </cell>
          <cell r="M100">
            <v>4</v>
          </cell>
          <cell r="N100" t="str">
            <v>Acre</v>
          </cell>
          <cell r="O100">
            <v>0</v>
          </cell>
          <cell r="P100">
            <v>118</v>
          </cell>
          <cell r="Q100">
            <v>118</v>
          </cell>
          <cell r="R100">
            <v>236</v>
          </cell>
          <cell r="S100">
            <v>325</v>
          </cell>
        </row>
        <row r="101">
          <cell r="I101" t="str">
            <v>02 230 200 1040</v>
          </cell>
          <cell r="J101" t="str">
            <v>Selective clearing, brush mowing, medium density, tractor with rotary mower, excludes removal, excludes removal offsite</v>
          </cell>
          <cell r="K101" t="str">
            <v>B84</v>
          </cell>
          <cell r="L101">
            <v>1.5</v>
          </cell>
          <cell r="M101">
            <v>5.3330000000000002</v>
          </cell>
          <cell r="N101" t="str">
            <v>Acre</v>
          </cell>
          <cell r="O101">
            <v>0</v>
          </cell>
          <cell r="P101">
            <v>158</v>
          </cell>
          <cell r="Q101">
            <v>157</v>
          </cell>
          <cell r="R101">
            <v>315</v>
          </cell>
          <cell r="S101">
            <v>430</v>
          </cell>
        </row>
        <row r="102">
          <cell r="I102" t="str">
            <v>02 230 200 1080</v>
          </cell>
          <cell r="J102" t="str">
            <v>Selective clearing, brush mowing, heavy density, tractor with rotary mower, excludes removal offsite</v>
          </cell>
          <cell r="K102" t="str">
            <v>B84</v>
          </cell>
          <cell r="L102">
            <v>1</v>
          </cell>
          <cell r="M102">
            <v>8</v>
          </cell>
          <cell r="N102" t="str">
            <v>Acre</v>
          </cell>
          <cell r="O102">
            <v>0</v>
          </cell>
          <cell r="P102">
            <v>236</v>
          </cell>
          <cell r="Q102">
            <v>235</v>
          </cell>
          <cell r="R102">
            <v>471</v>
          </cell>
          <cell r="S102">
            <v>650</v>
          </cell>
        </row>
        <row r="103">
          <cell r="I103" t="str">
            <v>02 230 300 0300</v>
          </cell>
          <cell r="J103" t="str">
            <v>Selective felling trees and piling, large tract, firm level terrain, no boulders, 300 H.P. dozer, up to 400 trees per acre, 0 to 25% hardwoods, less than 12" diameter trees, with tractor</v>
          </cell>
          <cell r="K103" t="str">
            <v>B10M</v>
          </cell>
          <cell r="L103">
            <v>0.75</v>
          </cell>
          <cell r="M103">
            <v>10.667</v>
          </cell>
          <cell r="N103" t="str">
            <v>Acre</v>
          </cell>
          <cell r="O103">
            <v>0</v>
          </cell>
          <cell r="P103">
            <v>315</v>
          </cell>
          <cell r="Q103">
            <v>1725</v>
          </cell>
          <cell r="R103">
            <v>2040</v>
          </cell>
          <cell r="S103">
            <v>2425</v>
          </cell>
        </row>
        <row r="104">
          <cell r="I104" t="str">
            <v>02 230 300 0340</v>
          </cell>
          <cell r="J104" t="str">
            <v>Selective felling trees and piling, large tract, firm level terrain, no boulders, 300 H.P. dozer, up to 400 trees per acre, 25% to 50% hardwoods, less than 12" diameter trees, with tractor</v>
          </cell>
          <cell r="K104" t="str">
            <v>B10M</v>
          </cell>
          <cell r="L104">
            <v>0.6</v>
          </cell>
          <cell r="M104">
            <v>13.333</v>
          </cell>
          <cell r="N104" t="str">
            <v>Acre</v>
          </cell>
          <cell r="O104">
            <v>0</v>
          </cell>
          <cell r="P104">
            <v>395</v>
          </cell>
          <cell r="Q104">
            <v>2175</v>
          </cell>
          <cell r="R104">
            <v>2570</v>
          </cell>
          <cell r="S104">
            <v>3025</v>
          </cell>
        </row>
        <row r="105">
          <cell r="I105" t="str">
            <v>02 230 300 0370</v>
          </cell>
          <cell r="J105" t="str">
            <v>Selective felling trees and piling, large tract, firm level terrain, no boulders, 300 H.P. dozer, up to 400 trees per acre, 75% to 100% hardwoods, less than 12" diameter trees, with tractor</v>
          </cell>
          <cell r="K105" t="str">
            <v>B10M</v>
          </cell>
          <cell r="L105">
            <v>0.45</v>
          </cell>
          <cell r="M105">
            <v>17.777999999999999</v>
          </cell>
          <cell r="N105" t="str">
            <v>Acre</v>
          </cell>
          <cell r="O105">
            <v>0</v>
          </cell>
          <cell r="P105">
            <v>525</v>
          </cell>
          <cell r="Q105">
            <v>2900</v>
          </cell>
          <cell r="R105">
            <v>3425</v>
          </cell>
          <cell r="S105">
            <v>4050</v>
          </cell>
        </row>
        <row r="106">
          <cell r="I106" t="str">
            <v>02 230 300 1600</v>
          </cell>
          <cell r="J106" t="str">
            <v>Selective felling trees and piling, large tract, firm level terrain, no boulders, softwood, per tree, 300 H.P. dozer, 12" to 24" diameter</v>
          </cell>
          <cell r="K106" t="str">
            <v>B10M</v>
          </cell>
          <cell r="L106">
            <v>200</v>
          </cell>
          <cell r="M106">
            <v>0.04</v>
          </cell>
          <cell r="N106" t="str">
            <v>Ea.</v>
          </cell>
          <cell r="O106">
            <v>0</v>
          </cell>
          <cell r="P106">
            <v>1.18</v>
          </cell>
          <cell r="Q106">
            <v>6.5</v>
          </cell>
          <cell r="R106">
            <v>7.68</v>
          </cell>
          <cell r="S106">
            <v>9.1</v>
          </cell>
        </row>
        <row r="107">
          <cell r="I107" t="str">
            <v>02 230 300 1650</v>
          </cell>
          <cell r="J107" t="str">
            <v>Selective felling trees and piling, large tract, firm level terrain, no boulders, hardwood, per tree, 300 H.P. dozer, 12" to 24" diameter</v>
          </cell>
          <cell r="K107" t="str">
            <v>B10M</v>
          </cell>
          <cell r="L107">
            <v>80</v>
          </cell>
          <cell r="M107">
            <v>0.1</v>
          </cell>
          <cell r="N107" t="str">
            <v>Ea.</v>
          </cell>
          <cell r="O107">
            <v>0</v>
          </cell>
          <cell r="P107">
            <v>2.96</v>
          </cell>
          <cell r="Q107">
            <v>16.25</v>
          </cell>
          <cell r="R107">
            <v>19.21</v>
          </cell>
          <cell r="S107">
            <v>23</v>
          </cell>
        </row>
        <row r="108">
          <cell r="I108" t="str">
            <v>02 230 300 1700</v>
          </cell>
          <cell r="J108" t="str">
            <v>Selective felling trees and piling, large tract, firm level terrain, no boulders, softwood, per tree, 300 H.P. dozer, 24" to 36" diameter</v>
          </cell>
          <cell r="K108" t="str">
            <v>B10M</v>
          </cell>
          <cell r="L108">
            <v>100</v>
          </cell>
          <cell r="M108">
            <v>0.08</v>
          </cell>
          <cell r="N108" t="str">
            <v>Ea.</v>
          </cell>
          <cell r="O108">
            <v>0</v>
          </cell>
          <cell r="P108">
            <v>2.36</v>
          </cell>
          <cell r="Q108">
            <v>13</v>
          </cell>
          <cell r="R108">
            <v>15.36</v>
          </cell>
          <cell r="S108">
            <v>18.2</v>
          </cell>
        </row>
        <row r="109">
          <cell r="I109" t="str">
            <v>02 230 300 1750</v>
          </cell>
          <cell r="J109" t="str">
            <v>Selective felling trees and piling, large tract, firm level terrain, no boulders, hardwood, per tree, 300 H.P. dozer, 24" to 36" diameter</v>
          </cell>
          <cell r="K109" t="str">
            <v>B10M</v>
          </cell>
          <cell r="L109">
            <v>50</v>
          </cell>
          <cell r="M109">
            <v>0.16</v>
          </cell>
          <cell r="N109" t="str">
            <v>Ea.</v>
          </cell>
          <cell r="O109">
            <v>0</v>
          </cell>
          <cell r="P109">
            <v>4.7300000000000004</v>
          </cell>
          <cell r="Q109">
            <v>26</v>
          </cell>
          <cell r="R109">
            <v>30.73</v>
          </cell>
          <cell r="S109">
            <v>36.5</v>
          </cell>
        </row>
        <row r="110">
          <cell r="I110" t="str">
            <v>02 230 300 2040</v>
          </cell>
          <cell r="J110" t="str">
            <v>Selective clearing, 1-1/2 C.Y. backhoe, 4" to 6" diameter, stump removal on site by hydraulic backhoe</v>
          </cell>
          <cell r="K110" t="str">
            <v>B17</v>
          </cell>
          <cell r="L110">
            <v>60</v>
          </cell>
          <cell r="M110">
            <v>0.53300000000000003</v>
          </cell>
          <cell r="N110" t="str">
            <v>Ea.</v>
          </cell>
          <cell r="O110">
            <v>0</v>
          </cell>
          <cell r="P110">
            <v>12.8</v>
          </cell>
          <cell r="Q110">
            <v>10.199999999999999</v>
          </cell>
          <cell r="R110">
            <v>23</v>
          </cell>
          <cell r="S110">
            <v>32.5</v>
          </cell>
        </row>
        <row r="111">
          <cell r="I111" t="str">
            <v>02 230 300 2050</v>
          </cell>
          <cell r="J111" t="str">
            <v>Selective clearing, 1-1/2 C.Y. backhoe, 8" to 12" diameter, stump removal on site by hydraulic backhoe</v>
          </cell>
          <cell r="K111" t="str">
            <v>B30</v>
          </cell>
          <cell r="L111">
            <v>33</v>
          </cell>
          <cell r="M111">
            <v>0.72699999999999998</v>
          </cell>
          <cell r="N111" t="str">
            <v>Ea.</v>
          </cell>
          <cell r="O111">
            <v>0</v>
          </cell>
          <cell r="P111">
            <v>18.5</v>
          </cell>
          <cell r="Q111">
            <v>55.5</v>
          </cell>
          <cell r="R111">
            <v>74</v>
          </cell>
          <cell r="S111">
            <v>92</v>
          </cell>
        </row>
        <row r="112">
          <cell r="I112" t="str">
            <v>02 230 300 2100</v>
          </cell>
          <cell r="J112" t="str">
            <v>Selective clearing, 1-1/2 C.Y. backhoe, 14" to 24" diameter, stump removal on site by hydraulic backhoe</v>
          </cell>
          <cell r="K112" t="str">
            <v>B30</v>
          </cell>
          <cell r="L112">
            <v>25</v>
          </cell>
          <cell r="M112">
            <v>0.96</v>
          </cell>
          <cell r="N112" t="str">
            <v>Ea.</v>
          </cell>
          <cell r="O112">
            <v>0</v>
          </cell>
          <cell r="P112">
            <v>24.5</v>
          </cell>
          <cell r="Q112">
            <v>73.5</v>
          </cell>
          <cell r="R112">
            <v>98</v>
          </cell>
          <cell r="S112">
            <v>122</v>
          </cell>
        </row>
        <row r="113">
          <cell r="I113" t="str">
            <v>02 230 300 2150</v>
          </cell>
          <cell r="J113" t="str">
            <v>Selective clearing, 1-1/2 C.Y. backhoe, 26" to 36" diameter, stump removal on site by hydraulic backhoe</v>
          </cell>
          <cell r="K113" t="str">
            <v>B30</v>
          </cell>
          <cell r="L113">
            <v>16</v>
          </cell>
          <cell r="M113">
            <v>1.5</v>
          </cell>
          <cell r="N113" t="str">
            <v>Ea.</v>
          </cell>
          <cell r="O113">
            <v>0</v>
          </cell>
          <cell r="P113">
            <v>38</v>
          </cell>
          <cell r="Q113">
            <v>115</v>
          </cell>
          <cell r="R113">
            <v>153</v>
          </cell>
          <cell r="S113">
            <v>190</v>
          </cell>
        </row>
        <row r="114">
          <cell r="I114" t="str">
            <v>02 230 300 3050</v>
          </cell>
          <cell r="J114" t="str">
            <v>Selective clearing, up to 6" diameter, remove selective trees, on site using chain saws and chipper, excludes stumps</v>
          </cell>
          <cell r="K114" t="str">
            <v>B7</v>
          </cell>
          <cell r="L114">
            <v>18</v>
          </cell>
          <cell r="M114">
            <v>2.6669999999999998</v>
          </cell>
          <cell r="N114" t="str">
            <v>Ea.</v>
          </cell>
          <cell r="O114">
            <v>0</v>
          </cell>
          <cell r="P114">
            <v>63</v>
          </cell>
          <cell r="Q114">
            <v>60.5</v>
          </cell>
          <cell r="R114">
            <v>123.5</v>
          </cell>
          <cell r="S114">
            <v>173</v>
          </cell>
        </row>
        <row r="115">
          <cell r="I115" t="str">
            <v>02 230 300 3100</v>
          </cell>
          <cell r="J115" t="str">
            <v>Selective clearing, 8" to 12" diameter, remove selective trees, on site using chain saws and chipper, excludes stumps</v>
          </cell>
          <cell r="K115" t="str">
            <v>B7</v>
          </cell>
          <cell r="L115">
            <v>12</v>
          </cell>
          <cell r="M115">
            <v>4</v>
          </cell>
          <cell r="N115" t="str">
            <v>Ea.</v>
          </cell>
          <cell r="O115">
            <v>0</v>
          </cell>
          <cell r="P115">
            <v>94.5</v>
          </cell>
          <cell r="Q115">
            <v>90.5</v>
          </cell>
          <cell r="R115">
            <v>185</v>
          </cell>
          <cell r="S115">
            <v>260</v>
          </cell>
        </row>
        <row r="116">
          <cell r="I116" t="str">
            <v>02 230 300 3150</v>
          </cell>
          <cell r="J116" t="str">
            <v>Selective clearing, 14" to 24" diameter, remove selective trees, on site using chain saws and chipper, excludes stumps</v>
          </cell>
          <cell r="K116" t="str">
            <v>B7</v>
          </cell>
          <cell r="L116">
            <v>10</v>
          </cell>
          <cell r="M116">
            <v>4.8</v>
          </cell>
          <cell r="N116" t="str">
            <v>Ea.</v>
          </cell>
          <cell r="O116">
            <v>0</v>
          </cell>
          <cell r="P116">
            <v>114</v>
          </cell>
          <cell r="Q116">
            <v>109</v>
          </cell>
          <cell r="R116">
            <v>223</v>
          </cell>
          <cell r="S116">
            <v>310</v>
          </cell>
        </row>
        <row r="117">
          <cell r="I117" t="str">
            <v>02 230 500 0020</v>
          </cell>
          <cell r="J117" t="str">
            <v>Stripping and stockpiling, topsoil, sandy loam, ideal conditions, 200 H.P. dozer</v>
          </cell>
          <cell r="K117" t="str">
            <v>B10B</v>
          </cell>
          <cell r="L117">
            <v>2300</v>
          </cell>
          <cell r="M117">
            <v>3.0000000000000001E-3</v>
          </cell>
          <cell r="N117" t="str">
            <v>C.Y.</v>
          </cell>
          <cell r="O117">
            <v>0</v>
          </cell>
          <cell r="P117">
            <v>0.1</v>
          </cell>
          <cell r="Q117">
            <v>0.43</v>
          </cell>
          <cell r="R117">
            <v>0.53</v>
          </cell>
          <cell r="S117">
            <v>0.64</v>
          </cell>
        </row>
        <row r="118">
          <cell r="I118" t="str">
            <v>02 230 500 0100</v>
          </cell>
          <cell r="J118" t="str">
            <v>Stripping and stockpiling, topsoil, sandy loam, adverse conditions, 200 H.P. dozer</v>
          </cell>
          <cell r="K118" t="str">
            <v>B10B</v>
          </cell>
          <cell r="L118">
            <v>1150</v>
          </cell>
          <cell r="M118">
            <v>7.0000000000000001E-3</v>
          </cell>
          <cell r="N118" t="str">
            <v>C.Y.</v>
          </cell>
          <cell r="O118">
            <v>0</v>
          </cell>
          <cell r="P118">
            <v>0.21</v>
          </cell>
          <cell r="Q118">
            <v>0.86</v>
          </cell>
          <cell r="R118">
            <v>1.07</v>
          </cell>
          <cell r="S118">
            <v>1.29</v>
          </cell>
        </row>
        <row r="119">
          <cell r="I119" t="str">
            <v>02 230 500 0200</v>
          </cell>
          <cell r="J119" t="str">
            <v>Stripping and stockpiling, topsoil, sandy loam, ideal conditions, 300 H.P. dozer</v>
          </cell>
          <cell r="K119" t="str">
            <v>B10M</v>
          </cell>
          <cell r="L119">
            <v>3000</v>
          </cell>
          <cell r="M119">
            <v>3.0000000000000001E-3</v>
          </cell>
          <cell r="N119" t="str">
            <v>C.Y.</v>
          </cell>
          <cell r="O119">
            <v>0</v>
          </cell>
          <cell r="P119">
            <v>0.08</v>
          </cell>
          <cell r="Q119">
            <v>0.43</v>
          </cell>
          <cell r="R119">
            <v>0.51</v>
          </cell>
          <cell r="S119">
            <v>0.61</v>
          </cell>
        </row>
        <row r="120">
          <cell r="I120" t="str">
            <v>02 230 500 0300</v>
          </cell>
          <cell r="J120" t="str">
            <v>Stripping and stockpiling, topsoil, sandy loam, adverse conditions, 300 H.P. dozer</v>
          </cell>
          <cell r="K120" t="str">
            <v>B10M</v>
          </cell>
          <cell r="L120">
            <v>1650</v>
          </cell>
          <cell r="M120">
            <v>5.0000000000000001E-3</v>
          </cell>
          <cell r="N120" t="str">
            <v>C.Y.</v>
          </cell>
          <cell r="O120">
            <v>0</v>
          </cell>
          <cell r="P120">
            <v>0.14000000000000001</v>
          </cell>
          <cell r="Q120">
            <v>0.79</v>
          </cell>
          <cell r="R120">
            <v>0.93</v>
          </cell>
          <cell r="S120">
            <v>1.1100000000000001</v>
          </cell>
        </row>
        <row r="121">
          <cell r="I121" t="str">
            <v>02 230 500 1420</v>
          </cell>
          <cell r="J121" t="str">
            <v>Loam or topsoil, remove and stockpile on site, 200 HP dozer, 6" deep, 200' haul</v>
          </cell>
          <cell r="K121" t="str">
            <v>B10B</v>
          </cell>
          <cell r="L121">
            <v>865</v>
          </cell>
          <cell r="M121">
            <v>8.9999999999999993E-3</v>
          </cell>
          <cell r="N121" t="str">
            <v>C.Y.</v>
          </cell>
          <cell r="O121">
            <v>0</v>
          </cell>
          <cell r="P121">
            <v>0.27</v>
          </cell>
          <cell r="Q121">
            <v>1.1399999999999999</v>
          </cell>
          <cell r="R121">
            <v>1.41</v>
          </cell>
          <cell r="S121">
            <v>1.71</v>
          </cell>
        </row>
        <row r="122">
          <cell r="I122" t="str">
            <v>02 230 500 1430</v>
          </cell>
          <cell r="J122" t="str">
            <v>Loam or topsoil, remove and stockpile on site, 200 HP dozer, 6" deep, 300' haul</v>
          </cell>
          <cell r="K122" t="str">
            <v>B10B</v>
          </cell>
          <cell r="L122">
            <v>520</v>
          </cell>
          <cell r="M122">
            <v>1.4999999999999999E-2</v>
          </cell>
          <cell r="N122" t="str">
            <v>C.Y.</v>
          </cell>
          <cell r="O122">
            <v>0</v>
          </cell>
          <cell r="P122">
            <v>0.45</v>
          </cell>
          <cell r="Q122">
            <v>1.9</v>
          </cell>
          <cell r="R122">
            <v>2.35</v>
          </cell>
          <cell r="S122">
            <v>2.84</v>
          </cell>
        </row>
        <row r="123">
          <cell r="I123" t="str">
            <v>02 230 500 1440</v>
          </cell>
          <cell r="J123" t="str">
            <v>Loam or topsoil, remove and stockpile on site, 200 HP dozer, 6" deep, 500' haul</v>
          </cell>
          <cell r="K123" t="str">
            <v>B10B</v>
          </cell>
          <cell r="L123">
            <v>225</v>
          </cell>
          <cell r="M123">
            <v>3.5999999999999997E-2</v>
          </cell>
          <cell r="N123" t="str">
            <v>C.Y.</v>
          </cell>
          <cell r="O123">
            <v>0</v>
          </cell>
          <cell r="P123">
            <v>1.05</v>
          </cell>
          <cell r="Q123">
            <v>4.3899999999999997</v>
          </cell>
          <cell r="R123">
            <v>5.44</v>
          </cell>
          <cell r="S123">
            <v>6.55</v>
          </cell>
        </row>
        <row r="124">
          <cell r="I124" t="str">
            <v>02 230 500 1450</v>
          </cell>
          <cell r="J124" t="str">
            <v>Loam or topsoil, remove and stockpile on site, 200 HP dozer, 6" deep, 200' haul</v>
          </cell>
          <cell r="K124" t="str">
            <v>B10B</v>
          </cell>
          <cell r="L124">
            <v>5090</v>
          </cell>
          <cell r="M124">
            <v>2E-3</v>
          </cell>
          <cell r="N124" t="str">
            <v>S.Y.</v>
          </cell>
          <cell r="O124">
            <v>0</v>
          </cell>
          <cell r="P124">
            <v>0.05</v>
          </cell>
          <cell r="Q124">
            <v>0.19</v>
          </cell>
          <cell r="R124">
            <v>0.24</v>
          </cell>
          <cell r="S124">
            <v>0.28999999999999998</v>
          </cell>
        </row>
        <row r="125">
          <cell r="I125" t="str">
            <v>02 230 500 1460</v>
          </cell>
          <cell r="J125" t="str">
            <v>Loam or topsoil, remove and stockpile on site, 200 HP dozer, 6" deep, 500' haul</v>
          </cell>
          <cell r="K125" t="str">
            <v>B10B</v>
          </cell>
          <cell r="L125">
            <v>1325</v>
          </cell>
          <cell r="M125">
            <v>6.0000000000000001E-3</v>
          </cell>
          <cell r="N125" t="str">
            <v>S.Y.</v>
          </cell>
          <cell r="O125">
            <v>0</v>
          </cell>
          <cell r="P125">
            <v>0.18</v>
          </cell>
          <cell r="Q125">
            <v>0.75</v>
          </cell>
          <cell r="R125">
            <v>0.93</v>
          </cell>
          <cell r="S125">
            <v>1.1100000000000001</v>
          </cell>
        </row>
        <row r="126">
          <cell r="I126" t="str">
            <v>02 305 250 0020</v>
          </cell>
          <cell r="J126" t="str">
            <v>Mobilization or demobilization, dozer, loader, backhoe or excavator, 70 H.P. to 250 H.P., up to 50 miles</v>
          </cell>
          <cell r="K126" t="str">
            <v>B34N</v>
          </cell>
          <cell r="L126">
            <v>4</v>
          </cell>
          <cell r="M126">
            <v>2</v>
          </cell>
          <cell r="N126" t="str">
            <v>Ea.</v>
          </cell>
          <cell r="O126">
            <v>0</v>
          </cell>
          <cell r="P126">
            <v>46.5</v>
          </cell>
          <cell r="Q126">
            <v>124</v>
          </cell>
          <cell r="R126">
            <v>170.5</v>
          </cell>
          <cell r="S126">
            <v>215</v>
          </cell>
        </row>
        <row r="127">
          <cell r="I127" t="str">
            <v>02 305 250 0100</v>
          </cell>
          <cell r="J127" t="str">
            <v>Mobilization or demobilization, dozer, loader, backhoe or excavator, above 250 H.P., up to 50 miles</v>
          </cell>
          <cell r="K127" t="str">
            <v>B34K</v>
          </cell>
          <cell r="L127">
            <v>3</v>
          </cell>
          <cell r="M127">
            <v>2.6669999999999998</v>
          </cell>
          <cell r="N127" t="str">
            <v>Ea.</v>
          </cell>
          <cell r="O127">
            <v>0</v>
          </cell>
          <cell r="P127">
            <v>62.5</v>
          </cell>
          <cell r="Q127">
            <v>192</v>
          </cell>
          <cell r="R127">
            <v>254.5</v>
          </cell>
          <cell r="S127">
            <v>315</v>
          </cell>
        </row>
        <row r="128">
          <cell r="I128" t="str">
            <v>02 305 250 1100</v>
          </cell>
          <cell r="J128" t="str">
            <v>Mobilization or demobilization, delivery charge for small equipment on flatbed trailer, minimum</v>
          </cell>
          <cell r="K128" t="str">
            <v>A3A</v>
          </cell>
          <cell r="L128">
            <v>8</v>
          </cell>
          <cell r="M128">
            <v>1</v>
          </cell>
          <cell r="N128" t="str">
            <v>Ea.</v>
          </cell>
          <cell r="O128">
            <v>0</v>
          </cell>
          <cell r="P128">
            <v>22.5</v>
          </cell>
          <cell r="Q128">
            <v>11.4</v>
          </cell>
          <cell r="R128">
            <v>33.9</v>
          </cell>
          <cell r="S128">
            <v>50.5</v>
          </cell>
        </row>
        <row r="129">
          <cell r="I129" t="str">
            <v>02 305 250 1150</v>
          </cell>
          <cell r="J129" t="str">
            <v>Mobilization or demobilization, delivery charge for small equipment on flatbed trailer, maximum</v>
          </cell>
          <cell r="K129" t="str">
            <v>A3D</v>
          </cell>
          <cell r="L129">
            <v>4</v>
          </cell>
          <cell r="M129">
            <v>2</v>
          </cell>
          <cell r="N129" t="str">
            <v>Ea.</v>
          </cell>
          <cell r="O129">
            <v>0</v>
          </cell>
          <cell r="P129">
            <v>45</v>
          </cell>
          <cell r="Q129">
            <v>46</v>
          </cell>
          <cell r="R129">
            <v>91</v>
          </cell>
          <cell r="S129">
            <v>127</v>
          </cell>
        </row>
        <row r="130">
          <cell r="I130" t="str">
            <v>02 305 250 2000</v>
          </cell>
          <cell r="J130" t="str">
            <v>Mobilization or demobilization, crane, truck-mounted, up to 75 ton, includes both mobilization/demobilization</v>
          </cell>
          <cell r="K130" t="str">
            <v>1 Eqhv</v>
          </cell>
          <cell r="L130">
            <v>3.6</v>
          </cell>
          <cell r="M130">
            <v>2.222</v>
          </cell>
          <cell r="N130" t="str">
            <v>Ea.</v>
          </cell>
          <cell r="O130">
            <v>0</v>
          </cell>
          <cell r="P130">
            <v>68</v>
          </cell>
          <cell r="Q130">
            <v>0</v>
          </cell>
          <cell r="R130">
            <v>68</v>
          </cell>
          <cell r="S130">
            <v>112</v>
          </cell>
        </row>
        <row r="131">
          <cell r="I131" t="str">
            <v>02 310 100 0012</v>
          </cell>
          <cell r="J131" t="str">
            <v>Fine grade, small area, to be paved with grader</v>
          </cell>
          <cell r="K131" t="str">
            <v>B11L</v>
          </cell>
          <cell r="L131">
            <v>400</v>
          </cell>
          <cell r="M131">
            <v>0.04</v>
          </cell>
          <cell r="N131" t="str">
            <v>S.Y.</v>
          </cell>
          <cell r="O131">
            <v>0</v>
          </cell>
          <cell r="P131">
            <v>1.03</v>
          </cell>
          <cell r="Q131">
            <v>1.26</v>
          </cell>
          <cell r="R131">
            <v>2.29</v>
          </cell>
          <cell r="S131">
            <v>3.11</v>
          </cell>
        </row>
        <row r="132">
          <cell r="I132" t="str">
            <v>02 310 100 0100</v>
          </cell>
          <cell r="J132" t="str">
            <v>Fine grade, for roadway, base or leveling course, large area, 6,000 S.Y. or more</v>
          </cell>
          <cell r="K132" t="str">
            <v>B11L</v>
          </cell>
          <cell r="L132">
            <v>2000</v>
          </cell>
          <cell r="M132">
            <v>8.0000000000000002E-3</v>
          </cell>
          <cell r="N132" t="str">
            <v>S.Y.</v>
          </cell>
          <cell r="O132">
            <v>0</v>
          </cell>
          <cell r="P132">
            <v>0.21</v>
          </cell>
          <cell r="Q132">
            <v>0.25</v>
          </cell>
          <cell r="R132">
            <v>0.46</v>
          </cell>
          <cell r="S132">
            <v>0.62</v>
          </cell>
        </row>
        <row r="133">
          <cell r="I133" t="str">
            <v>02 310 100 0200</v>
          </cell>
          <cell r="J133" t="str">
            <v>Fine grade, grade subgrade for base course, roadways, large area</v>
          </cell>
          <cell r="K133" t="str">
            <v>B11L</v>
          </cell>
          <cell r="L133">
            <v>3500</v>
          </cell>
          <cell r="M133">
            <v>5.0000000000000001E-3</v>
          </cell>
          <cell r="N133" t="str">
            <v>S.Y.</v>
          </cell>
          <cell r="O133">
            <v>0</v>
          </cell>
          <cell r="P133">
            <v>0.12</v>
          </cell>
          <cell r="Q133">
            <v>0.14000000000000001</v>
          </cell>
          <cell r="R133">
            <v>0.26</v>
          </cell>
          <cell r="S133">
            <v>0.36</v>
          </cell>
        </row>
        <row r="134">
          <cell r="I134" t="str">
            <v>02 310 100 1020</v>
          </cell>
          <cell r="J134" t="str">
            <v>Loam or topsoil, fine grade for large parking lots, 15,000 S.Y. or more</v>
          </cell>
          <cell r="K134" t="str">
            <v>B32C</v>
          </cell>
          <cell r="L134">
            <v>5000</v>
          </cell>
          <cell r="M134">
            <v>0.01</v>
          </cell>
          <cell r="N134" t="str">
            <v>S.Y.</v>
          </cell>
          <cell r="O134">
            <v>0</v>
          </cell>
          <cell r="P134">
            <v>0.25</v>
          </cell>
          <cell r="Q134">
            <v>0.34</v>
          </cell>
          <cell r="R134">
            <v>0.59</v>
          </cell>
          <cell r="S134">
            <v>0.8</v>
          </cell>
        </row>
        <row r="135">
          <cell r="I135" t="str">
            <v>02 310 100 1050</v>
          </cell>
          <cell r="J135" t="str">
            <v>Fine grade, fine grade for small irregular areas, to 15,000 S.Y.</v>
          </cell>
          <cell r="K135" t="str">
            <v>B32C</v>
          </cell>
          <cell r="L135">
            <v>2000</v>
          </cell>
          <cell r="M135">
            <v>2.4E-2</v>
          </cell>
          <cell r="N135" t="str">
            <v>S.Y.</v>
          </cell>
          <cell r="O135">
            <v>0</v>
          </cell>
          <cell r="P135">
            <v>0.63</v>
          </cell>
          <cell r="Q135">
            <v>0.85</v>
          </cell>
          <cell r="R135">
            <v>1.48</v>
          </cell>
          <cell r="S135">
            <v>1.99</v>
          </cell>
        </row>
        <row r="136">
          <cell r="I136" t="str">
            <v>02 310 100 1100</v>
          </cell>
          <cell r="J136" t="str">
            <v>Fine grade, fine grade for slab on grade, machine</v>
          </cell>
          <cell r="K136" t="str">
            <v>B11L</v>
          </cell>
          <cell r="L136">
            <v>1040</v>
          </cell>
          <cell r="M136">
            <v>1.4999999999999999E-2</v>
          </cell>
          <cell r="N136" t="str">
            <v>S.Y.</v>
          </cell>
          <cell r="O136">
            <v>0</v>
          </cell>
          <cell r="P136">
            <v>0.4</v>
          </cell>
          <cell r="Q136">
            <v>0.49</v>
          </cell>
          <cell r="R136">
            <v>0.89</v>
          </cell>
          <cell r="S136">
            <v>1.19</v>
          </cell>
        </row>
        <row r="137">
          <cell r="I137" t="str">
            <v>02 310 100 1150</v>
          </cell>
          <cell r="J137" t="str">
            <v>Fine grade, fine grade for slab on grade, hand grading</v>
          </cell>
          <cell r="K137" t="str">
            <v>B18</v>
          </cell>
          <cell r="L137">
            <v>700</v>
          </cell>
          <cell r="M137">
            <v>3.4000000000000002E-2</v>
          </cell>
          <cell r="N137" t="str">
            <v>S.Y.</v>
          </cell>
          <cell r="O137">
            <v>0</v>
          </cell>
          <cell r="P137">
            <v>0.78</v>
          </cell>
          <cell r="Q137">
            <v>0.05</v>
          </cell>
          <cell r="R137">
            <v>0.83</v>
          </cell>
          <cell r="S137">
            <v>1.38</v>
          </cell>
        </row>
        <row r="138">
          <cell r="I138" t="str">
            <v>02 315 120 2000</v>
          </cell>
          <cell r="J138" t="str">
            <v>Backfill, structural, sand and gravel, 80 H.P. dozer, 50' haul, excludes compaction</v>
          </cell>
          <cell r="K138" t="str">
            <v>B10L</v>
          </cell>
          <cell r="L138">
            <v>1100</v>
          </cell>
          <cell r="M138">
            <v>7.0000000000000001E-3</v>
          </cell>
          <cell r="N138" t="str">
            <v>L.C.Y.</v>
          </cell>
          <cell r="O138">
            <v>0</v>
          </cell>
          <cell r="P138">
            <v>0.21</v>
          </cell>
          <cell r="Q138">
            <v>0.32</v>
          </cell>
          <cell r="R138">
            <v>0.53</v>
          </cell>
          <cell r="S138">
            <v>0.7</v>
          </cell>
        </row>
        <row r="139">
          <cell r="I139" t="str">
            <v>02 315 120 2020</v>
          </cell>
          <cell r="J139" t="str">
            <v>Backfill, structural, common earth, 80 H.P. dozer, 50' haul, excludes compaction</v>
          </cell>
          <cell r="K139" t="str">
            <v>B10L</v>
          </cell>
          <cell r="L139">
            <v>975</v>
          </cell>
          <cell r="M139">
            <v>8.0000000000000002E-3</v>
          </cell>
          <cell r="N139" t="str">
            <v>L.C.Y.</v>
          </cell>
          <cell r="O139">
            <v>0</v>
          </cell>
          <cell r="P139">
            <v>0.24</v>
          </cell>
          <cell r="Q139">
            <v>0.36</v>
          </cell>
          <cell r="R139">
            <v>0.6</v>
          </cell>
          <cell r="S139">
            <v>0.8</v>
          </cell>
        </row>
        <row r="140">
          <cell r="I140" t="str">
            <v>02 315 120 2200</v>
          </cell>
          <cell r="J140" t="str">
            <v>Backfill, structural, sand and gravel, 80 H.P. dozer, 150' haul</v>
          </cell>
          <cell r="K140" t="str">
            <v>B10L</v>
          </cell>
          <cell r="L140">
            <v>550</v>
          </cell>
          <cell r="M140">
            <v>1.4999999999999999E-2</v>
          </cell>
          <cell r="N140" t="str">
            <v>L.C.Y.</v>
          </cell>
          <cell r="O140">
            <v>0</v>
          </cell>
          <cell r="P140">
            <v>0.43</v>
          </cell>
          <cell r="Q140">
            <v>0.65</v>
          </cell>
          <cell r="R140">
            <v>1.08</v>
          </cell>
          <cell r="S140">
            <v>1.42</v>
          </cell>
        </row>
        <row r="141">
          <cell r="I141" t="str">
            <v>02 315 120 2220</v>
          </cell>
          <cell r="J141" t="str">
            <v>Backfill, structural, common earth, 80 H.P. dozer, 150' haul, includes compaction</v>
          </cell>
          <cell r="K141" t="str">
            <v>B10L</v>
          </cell>
          <cell r="L141">
            <v>490</v>
          </cell>
          <cell r="M141">
            <v>1.6E-2</v>
          </cell>
          <cell r="N141" t="str">
            <v>L.C.Y.</v>
          </cell>
          <cell r="O141">
            <v>0</v>
          </cell>
          <cell r="P141">
            <v>0.48</v>
          </cell>
          <cell r="Q141">
            <v>0.72</v>
          </cell>
          <cell r="R141">
            <v>1.2</v>
          </cell>
          <cell r="S141">
            <v>1.59</v>
          </cell>
        </row>
        <row r="142">
          <cell r="I142" t="str">
            <v>02 315 120 2400</v>
          </cell>
          <cell r="J142" t="str">
            <v>Backfill, structural, sand and gravel, 80 H.P. dozer, 300' haul</v>
          </cell>
          <cell r="K142" t="str">
            <v>B10L</v>
          </cell>
          <cell r="L142">
            <v>370</v>
          </cell>
          <cell r="M142">
            <v>2.1999999999999999E-2</v>
          </cell>
          <cell r="N142" t="str">
            <v>L.C.Y.</v>
          </cell>
          <cell r="O142">
            <v>0</v>
          </cell>
          <cell r="P142">
            <v>0.64</v>
          </cell>
          <cell r="Q142">
            <v>0.96</v>
          </cell>
          <cell r="R142">
            <v>1.6</v>
          </cell>
          <cell r="S142">
            <v>2.1</v>
          </cell>
        </row>
        <row r="143">
          <cell r="I143" t="str">
            <v>02 315 120 2420</v>
          </cell>
          <cell r="J143" t="str">
            <v>Backfill, structural, common earth, 80 H.P. dozer, 300' haul</v>
          </cell>
          <cell r="K143" t="str">
            <v>B10L</v>
          </cell>
          <cell r="L143">
            <v>330</v>
          </cell>
          <cell r="M143">
            <v>2.4E-2</v>
          </cell>
          <cell r="N143" t="str">
            <v>L.C.Y.</v>
          </cell>
          <cell r="O143">
            <v>0</v>
          </cell>
          <cell r="P143">
            <v>0.72</v>
          </cell>
          <cell r="Q143">
            <v>1.08</v>
          </cell>
          <cell r="R143">
            <v>1.8</v>
          </cell>
          <cell r="S143">
            <v>2.36</v>
          </cell>
        </row>
        <row r="144">
          <cell r="I144" t="str">
            <v>02 315 120 3000</v>
          </cell>
          <cell r="J144" t="str">
            <v>Backfill, structural, sand and gravel, 105 H.P. dozer, 50' haul</v>
          </cell>
          <cell r="K144" t="str">
            <v>B10W</v>
          </cell>
          <cell r="L144">
            <v>1350</v>
          </cell>
          <cell r="M144">
            <v>6.0000000000000001E-3</v>
          </cell>
          <cell r="N144" t="str">
            <v>L.C.Y.</v>
          </cell>
          <cell r="O144">
            <v>0</v>
          </cell>
          <cell r="P144">
            <v>0.18</v>
          </cell>
          <cell r="Q144">
            <v>0.37</v>
          </cell>
          <cell r="R144">
            <v>0.55000000000000004</v>
          </cell>
          <cell r="S144">
            <v>0.69</v>
          </cell>
        </row>
        <row r="145">
          <cell r="I145" t="str">
            <v>02 315 120 3020</v>
          </cell>
          <cell r="J145" t="str">
            <v>Backfill, structural, common earth, 105 H.P. dozer, 50' haul</v>
          </cell>
          <cell r="K145" t="str">
            <v>B10W</v>
          </cell>
          <cell r="L145">
            <v>1225</v>
          </cell>
          <cell r="M145">
            <v>7.0000000000000001E-3</v>
          </cell>
          <cell r="N145" t="str">
            <v>L.C.Y.</v>
          </cell>
          <cell r="O145">
            <v>0</v>
          </cell>
          <cell r="P145">
            <v>0.19</v>
          </cell>
          <cell r="Q145">
            <v>0.4</v>
          </cell>
          <cell r="R145">
            <v>0.59</v>
          </cell>
          <cell r="S145">
            <v>0.76</v>
          </cell>
        </row>
        <row r="146">
          <cell r="I146" t="str">
            <v>02 315 120 3200</v>
          </cell>
          <cell r="J146" t="str">
            <v>Backfill, structural, sand and gravel, 105 H.P. dozer, 150' haul</v>
          </cell>
          <cell r="K146" t="str">
            <v>B10W</v>
          </cell>
          <cell r="L146">
            <v>670</v>
          </cell>
          <cell r="M146">
            <v>1.2E-2</v>
          </cell>
          <cell r="N146" t="str">
            <v>L.C.Y.</v>
          </cell>
          <cell r="O146">
            <v>0</v>
          </cell>
          <cell r="P146">
            <v>0.35</v>
          </cell>
          <cell r="Q146">
            <v>0.74</v>
          </cell>
          <cell r="R146">
            <v>1.0900000000000001</v>
          </cell>
          <cell r="S146">
            <v>1.39</v>
          </cell>
        </row>
        <row r="147">
          <cell r="I147" t="str">
            <v>02 315 120 3220</v>
          </cell>
          <cell r="J147" t="str">
            <v>Backfill, structural, common earth, 105 H.P. dozer, 150' haul</v>
          </cell>
          <cell r="K147" t="str">
            <v>B10W</v>
          </cell>
          <cell r="L147">
            <v>610</v>
          </cell>
          <cell r="M147">
            <v>1.2999999999999999E-2</v>
          </cell>
          <cell r="N147" t="str">
            <v>L.C.Y.</v>
          </cell>
          <cell r="O147">
            <v>0</v>
          </cell>
          <cell r="P147">
            <v>0.39</v>
          </cell>
          <cell r="Q147">
            <v>0.81</v>
          </cell>
          <cell r="R147">
            <v>1.2</v>
          </cell>
          <cell r="S147">
            <v>1.53</v>
          </cell>
        </row>
        <row r="148">
          <cell r="I148" t="str">
            <v>02 315 120 3300</v>
          </cell>
          <cell r="J148" t="str">
            <v>Backfill, structural, sand and gravel, 105 H.P. dozer, 300' haul</v>
          </cell>
          <cell r="K148" t="str">
            <v>B10W</v>
          </cell>
          <cell r="L148">
            <v>465</v>
          </cell>
          <cell r="M148">
            <v>1.7000000000000001E-2</v>
          </cell>
          <cell r="N148" t="str">
            <v>L.C.Y.</v>
          </cell>
          <cell r="O148">
            <v>0</v>
          </cell>
          <cell r="P148">
            <v>0.51</v>
          </cell>
          <cell r="Q148">
            <v>1.06</v>
          </cell>
          <cell r="R148">
            <v>1.57</v>
          </cell>
          <cell r="S148">
            <v>2.0099999999999998</v>
          </cell>
        </row>
        <row r="149">
          <cell r="I149" t="str">
            <v>02 315 120 3320</v>
          </cell>
          <cell r="J149" t="str">
            <v>Backfill, structural, common earth, 105 H.P. dozer, 300' haul</v>
          </cell>
          <cell r="K149" t="str">
            <v>B10W</v>
          </cell>
          <cell r="L149">
            <v>415</v>
          </cell>
          <cell r="M149">
            <v>1.9E-2</v>
          </cell>
          <cell r="N149" t="str">
            <v>L.C.Y.</v>
          </cell>
          <cell r="O149">
            <v>0</v>
          </cell>
          <cell r="P149">
            <v>0.56999999999999995</v>
          </cell>
          <cell r="Q149">
            <v>1.19</v>
          </cell>
          <cell r="R149">
            <v>1.76</v>
          </cell>
          <cell r="S149">
            <v>2.25</v>
          </cell>
        </row>
        <row r="150">
          <cell r="I150" t="str">
            <v>02 315 120 4000</v>
          </cell>
          <cell r="J150" t="str">
            <v>Backfill, structural, sand and gravel, 200 H.P. dozer, 50' haul</v>
          </cell>
          <cell r="K150" t="str">
            <v>B10B</v>
          </cell>
          <cell r="L150">
            <v>2500</v>
          </cell>
          <cell r="M150">
            <v>3.0000000000000001E-3</v>
          </cell>
          <cell r="N150" t="str">
            <v>L.C.Y.</v>
          </cell>
          <cell r="O150">
            <v>0</v>
          </cell>
          <cell r="P150">
            <v>0.09</v>
          </cell>
          <cell r="Q150">
            <v>0.4</v>
          </cell>
          <cell r="R150">
            <v>0.49</v>
          </cell>
          <cell r="S150">
            <v>0.59</v>
          </cell>
        </row>
        <row r="151">
          <cell r="I151" t="str">
            <v>02 315 120 4020</v>
          </cell>
          <cell r="J151" t="str">
            <v>Backfill, structural, common earth, 200 H.P. dozer, 50' haul</v>
          </cell>
          <cell r="K151" t="str">
            <v>B10B</v>
          </cell>
          <cell r="L151">
            <v>2200</v>
          </cell>
          <cell r="M151">
            <v>4.0000000000000001E-3</v>
          </cell>
          <cell r="N151" t="str">
            <v>L.C.Y.</v>
          </cell>
          <cell r="O151">
            <v>0</v>
          </cell>
          <cell r="P151">
            <v>0.11</v>
          </cell>
          <cell r="Q151">
            <v>0.45</v>
          </cell>
          <cell r="R151">
            <v>0.56000000000000005</v>
          </cell>
          <cell r="S151">
            <v>0.67</v>
          </cell>
        </row>
        <row r="152">
          <cell r="I152" t="str">
            <v>02 315 120 4200</v>
          </cell>
          <cell r="J152" t="str">
            <v>Backfill, structural, sand and gravel, 200 H.P. dozer, 150' haul</v>
          </cell>
          <cell r="K152" t="str">
            <v>B10B</v>
          </cell>
          <cell r="L152">
            <v>1225</v>
          </cell>
          <cell r="M152">
            <v>7.0000000000000001E-3</v>
          </cell>
          <cell r="N152" t="str">
            <v>L.C.Y.</v>
          </cell>
          <cell r="O152">
            <v>0</v>
          </cell>
          <cell r="P152">
            <v>0.19</v>
          </cell>
          <cell r="Q152">
            <v>0.81</v>
          </cell>
          <cell r="R152">
            <v>1</v>
          </cell>
          <cell r="S152">
            <v>1.21</v>
          </cell>
        </row>
        <row r="153">
          <cell r="I153" t="str">
            <v>02 315 120 4220</v>
          </cell>
          <cell r="J153" t="str">
            <v>Backfill, structural, common earth, 200 H.P. dozer, 150' haul</v>
          </cell>
          <cell r="K153" t="str">
            <v>B10B</v>
          </cell>
          <cell r="L153">
            <v>1100</v>
          </cell>
          <cell r="M153">
            <v>7.0000000000000001E-3</v>
          </cell>
          <cell r="N153" t="str">
            <v>L.C.Y.</v>
          </cell>
          <cell r="O153">
            <v>0</v>
          </cell>
          <cell r="P153">
            <v>0.21</v>
          </cell>
          <cell r="Q153">
            <v>0.9</v>
          </cell>
          <cell r="R153">
            <v>1.1100000000000001</v>
          </cell>
          <cell r="S153">
            <v>1.34</v>
          </cell>
        </row>
        <row r="154">
          <cell r="I154" t="str">
            <v>02 315 120 4400</v>
          </cell>
          <cell r="J154" t="str">
            <v>Backfill, structural, sand and gravel, 200 H.P. dozer, 300' haul</v>
          </cell>
          <cell r="K154" t="str">
            <v>B10B</v>
          </cell>
          <cell r="L154">
            <v>805</v>
          </cell>
          <cell r="M154">
            <v>0.01</v>
          </cell>
          <cell r="N154" t="str">
            <v>L.C.Y.</v>
          </cell>
          <cell r="O154">
            <v>0</v>
          </cell>
          <cell r="P154">
            <v>0.28999999999999998</v>
          </cell>
          <cell r="Q154">
            <v>1.23</v>
          </cell>
          <cell r="R154">
            <v>1.52</v>
          </cell>
          <cell r="S154">
            <v>1.83</v>
          </cell>
        </row>
        <row r="155">
          <cell r="I155" t="str">
            <v>02 315 120 4420</v>
          </cell>
          <cell r="J155" t="str">
            <v>Backfill, structural, common earth, 200 H.P. dozer, 300' haul</v>
          </cell>
          <cell r="K155" t="str">
            <v>B10B</v>
          </cell>
          <cell r="L155">
            <v>735</v>
          </cell>
          <cell r="M155">
            <v>1.0999999999999999E-2</v>
          </cell>
          <cell r="N155" t="str">
            <v>L.C.Y.</v>
          </cell>
          <cell r="O155">
            <v>0</v>
          </cell>
          <cell r="P155">
            <v>0.32</v>
          </cell>
          <cell r="Q155">
            <v>1.34</v>
          </cell>
          <cell r="R155">
            <v>1.66</v>
          </cell>
          <cell r="S155">
            <v>2.0099999999999998</v>
          </cell>
        </row>
        <row r="156">
          <cell r="I156" t="str">
            <v>02 315 120 5000</v>
          </cell>
          <cell r="J156" t="str">
            <v>Backfill, structural, sand and gravel, 300 H.P. dozer, 50' haul</v>
          </cell>
          <cell r="K156" t="str">
            <v>B10M</v>
          </cell>
          <cell r="L156">
            <v>3170</v>
          </cell>
          <cell r="M156">
            <v>3.0000000000000001E-3</v>
          </cell>
          <cell r="N156" t="str">
            <v>L.C.Y.</v>
          </cell>
          <cell r="O156">
            <v>0</v>
          </cell>
          <cell r="P156">
            <v>7.0000000000000007E-2</v>
          </cell>
          <cell r="Q156">
            <v>0.41</v>
          </cell>
          <cell r="R156">
            <v>0.48</v>
          </cell>
          <cell r="S156">
            <v>0.56999999999999995</v>
          </cell>
        </row>
        <row r="157">
          <cell r="I157" t="str">
            <v>02 315 120 5020</v>
          </cell>
          <cell r="J157" t="str">
            <v>Backfill, structural, common earth, 300 H.P. dozer, 50' haul</v>
          </cell>
          <cell r="K157" t="str">
            <v>B10M</v>
          </cell>
          <cell r="L157">
            <v>2900</v>
          </cell>
          <cell r="M157">
            <v>3.0000000000000001E-3</v>
          </cell>
          <cell r="N157" t="str">
            <v>L.C.Y.</v>
          </cell>
          <cell r="O157">
            <v>0</v>
          </cell>
          <cell r="P157">
            <v>0.08</v>
          </cell>
          <cell r="Q157">
            <v>0.45</v>
          </cell>
          <cell r="R157">
            <v>0.53</v>
          </cell>
          <cell r="S157">
            <v>0.62</v>
          </cell>
        </row>
        <row r="158">
          <cell r="I158" t="str">
            <v>02 315 120 5200</v>
          </cell>
          <cell r="J158" t="str">
            <v>Backfill, structural, sand and gravel, 300 H.P. dozer, 150' haul</v>
          </cell>
          <cell r="K158" t="str">
            <v>B10M</v>
          </cell>
          <cell r="L158">
            <v>2200</v>
          </cell>
          <cell r="M158">
            <v>4.0000000000000001E-3</v>
          </cell>
          <cell r="N158" t="str">
            <v>L.C.Y.</v>
          </cell>
          <cell r="O158">
            <v>0</v>
          </cell>
          <cell r="P158">
            <v>0.11</v>
          </cell>
          <cell r="Q158">
            <v>0.59</v>
          </cell>
          <cell r="R158">
            <v>0.7</v>
          </cell>
          <cell r="S158">
            <v>0.83</v>
          </cell>
        </row>
        <row r="159">
          <cell r="I159" t="str">
            <v>02 315 120 5220</v>
          </cell>
          <cell r="J159" t="str">
            <v>Backfill, structural, common earth, 300 H.P. dozer, 150' haul</v>
          </cell>
          <cell r="K159" t="str">
            <v>B10M</v>
          </cell>
          <cell r="L159">
            <v>1950</v>
          </cell>
          <cell r="M159">
            <v>4.0000000000000001E-3</v>
          </cell>
          <cell r="N159" t="str">
            <v>L.C.Y.</v>
          </cell>
          <cell r="O159">
            <v>0</v>
          </cell>
          <cell r="P159">
            <v>0.12</v>
          </cell>
          <cell r="Q159">
            <v>0.67</v>
          </cell>
          <cell r="R159">
            <v>0.79</v>
          </cell>
          <cell r="S159">
            <v>0.93</v>
          </cell>
        </row>
        <row r="160">
          <cell r="I160" t="str">
            <v>02 315 120 5400</v>
          </cell>
          <cell r="J160" t="str">
            <v>Backfill, structural, sand and gravel, 300 H.P. dozer, 300' haul</v>
          </cell>
          <cell r="K160" t="str">
            <v>B10M</v>
          </cell>
          <cell r="L160">
            <v>1500</v>
          </cell>
          <cell r="M160">
            <v>5.0000000000000001E-3</v>
          </cell>
          <cell r="N160" t="str">
            <v>L.C.Y.</v>
          </cell>
          <cell r="O160">
            <v>0</v>
          </cell>
          <cell r="P160">
            <v>0.16</v>
          </cell>
          <cell r="Q160">
            <v>0.87</v>
          </cell>
          <cell r="R160">
            <v>1.03</v>
          </cell>
          <cell r="S160">
            <v>1.21</v>
          </cell>
        </row>
        <row r="161">
          <cell r="I161" t="str">
            <v>02 315 120 5420</v>
          </cell>
          <cell r="J161" t="str">
            <v>Backfill, structural, common earth, 300 H.P. dozer, 300' haul</v>
          </cell>
          <cell r="K161" t="str">
            <v>B10M</v>
          </cell>
          <cell r="L161">
            <v>1350</v>
          </cell>
          <cell r="M161">
            <v>6.0000000000000001E-3</v>
          </cell>
          <cell r="N161" t="str">
            <v>L.C.Y.</v>
          </cell>
          <cell r="O161">
            <v>0</v>
          </cell>
          <cell r="P161">
            <v>0.18</v>
          </cell>
          <cell r="Q161">
            <v>0.96</v>
          </cell>
          <cell r="R161">
            <v>1.1399999999999999</v>
          </cell>
          <cell r="S161">
            <v>1.35</v>
          </cell>
        </row>
        <row r="162">
          <cell r="I162" t="str">
            <v>02 315 210 4000</v>
          </cell>
          <cell r="J162" t="str">
            <v>Borrow, common earth, 1 C.Y. bucket, loading and/or spreading, shovel</v>
          </cell>
          <cell r="K162" t="str">
            <v>B12N</v>
          </cell>
          <cell r="L162">
            <v>840</v>
          </cell>
          <cell r="M162">
            <v>1.9E-2</v>
          </cell>
          <cell r="N162" t="str">
            <v>B.C.Y.</v>
          </cell>
          <cell r="O162">
            <v>8.1</v>
          </cell>
          <cell r="P162">
            <v>0.5</v>
          </cell>
          <cell r="Q162">
            <v>1.24</v>
          </cell>
          <cell r="R162">
            <v>9.84</v>
          </cell>
          <cell r="S162">
            <v>11.1</v>
          </cell>
        </row>
        <row r="163">
          <cell r="I163" t="str">
            <v>02 315 210 4010</v>
          </cell>
          <cell r="J163" t="str">
            <v>Borrow, common earth, 1-1/2 C.Y. bucket, loading and/or spreading, shovel</v>
          </cell>
          <cell r="K163" t="str">
            <v>B12O</v>
          </cell>
          <cell r="L163">
            <v>1135</v>
          </cell>
          <cell r="M163">
            <v>1.4E-2</v>
          </cell>
          <cell r="N163" t="str">
            <v>B.C.Y.</v>
          </cell>
          <cell r="O163">
            <v>8.1</v>
          </cell>
          <cell r="P163">
            <v>0.37</v>
          </cell>
          <cell r="Q163">
            <v>0.94</v>
          </cell>
          <cell r="R163">
            <v>9.41</v>
          </cell>
          <cell r="S163">
            <v>10.55</v>
          </cell>
        </row>
        <row r="164">
          <cell r="I164" t="str">
            <v>02 315 210 4050</v>
          </cell>
          <cell r="J164" t="str">
            <v>Borrow, common earth, 3/4 C.Y. bucket, loading and/or spreading, front end loader, wheel-mounted</v>
          </cell>
          <cell r="K164" t="str">
            <v>B10R</v>
          </cell>
          <cell r="L164">
            <v>550</v>
          </cell>
          <cell r="M164">
            <v>1.4999999999999999E-2</v>
          </cell>
          <cell r="N164" t="str">
            <v>B.C.Y.</v>
          </cell>
          <cell r="O164">
            <v>8.1</v>
          </cell>
          <cell r="P164">
            <v>0.43</v>
          </cell>
          <cell r="Q164">
            <v>0.38</v>
          </cell>
          <cell r="R164">
            <v>8.91</v>
          </cell>
          <cell r="S164">
            <v>10.050000000000001</v>
          </cell>
        </row>
        <row r="165">
          <cell r="I165" t="str">
            <v>02 315 210 4060</v>
          </cell>
          <cell r="J165" t="str">
            <v>Borrow, common earth, 1-1/2 C.Y. bucket, loading and/or spreading, front end loader, wheel-mounted</v>
          </cell>
          <cell r="K165" t="str">
            <v>B10S</v>
          </cell>
          <cell r="L165">
            <v>970</v>
          </cell>
          <cell r="M165">
            <v>8.0000000000000002E-3</v>
          </cell>
          <cell r="N165" t="str">
            <v>B.C.Y.</v>
          </cell>
          <cell r="O165">
            <v>8.1</v>
          </cell>
          <cell r="P165">
            <v>0.24</v>
          </cell>
          <cell r="Q165">
            <v>0.28999999999999998</v>
          </cell>
          <cell r="R165">
            <v>8.6300000000000008</v>
          </cell>
          <cell r="S165">
            <v>9.6</v>
          </cell>
        </row>
        <row r="166">
          <cell r="I166" t="str">
            <v>02 315 210 4070</v>
          </cell>
          <cell r="J166" t="str">
            <v>Borrow, common earth, 3 C.Y. bucket, loading and/or spreading, front end loader, wheel-mounted</v>
          </cell>
          <cell r="K166" t="str">
            <v>B10T</v>
          </cell>
          <cell r="L166">
            <v>1575</v>
          </cell>
          <cell r="M166">
            <v>5.0000000000000001E-3</v>
          </cell>
          <cell r="N166" t="str">
            <v>B.C.Y.</v>
          </cell>
          <cell r="O166">
            <v>8.1</v>
          </cell>
          <cell r="P166">
            <v>0.15</v>
          </cell>
          <cell r="Q166">
            <v>0.22</v>
          </cell>
          <cell r="R166">
            <v>8.4700000000000006</v>
          </cell>
          <cell r="S166">
            <v>9.4</v>
          </cell>
        </row>
        <row r="167">
          <cell r="I167" t="str">
            <v>02 315 210 4080</v>
          </cell>
          <cell r="J167" t="str">
            <v>Borrow, common earth, 5 C.Y. bucket, loading and/or spreading, front end loader, wheel-mounted</v>
          </cell>
          <cell r="K167" t="str">
            <v>B10U</v>
          </cell>
          <cell r="L167">
            <v>2600</v>
          </cell>
          <cell r="M167">
            <v>3.0000000000000001E-3</v>
          </cell>
          <cell r="N167" t="str">
            <v>B.C.Y.</v>
          </cell>
          <cell r="O167">
            <v>8.1</v>
          </cell>
          <cell r="P167">
            <v>0.09</v>
          </cell>
          <cell r="Q167">
            <v>0.28999999999999998</v>
          </cell>
          <cell r="R167">
            <v>8.48</v>
          </cell>
          <cell r="S167">
            <v>9.35</v>
          </cell>
        </row>
        <row r="168">
          <cell r="I168" t="str">
            <v>02 315 210 5000</v>
          </cell>
          <cell r="J168" t="str">
            <v>Borrow, select granular fill, 1 C.Y. bucket, loading and/or spreading, shovel</v>
          </cell>
          <cell r="K168" t="str">
            <v>B12N</v>
          </cell>
          <cell r="L168">
            <v>925</v>
          </cell>
          <cell r="M168">
            <v>1.7000000000000001E-2</v>
          </cell>
          <cell r="N168" t="str">
            <v>B.C.Y.</v>
          </cell>
          <cell r="O168">
            <v>9.4499999999999993</v>
          </cell>
          <cell r="P168">
            <v>0.46</v>
          </cell>
          <cell r="Q168">
            <v>1.1299999999999999</v>
          </cell>
          <cell r="R168">
            <v>11.04</v>
          </cell>
          <cell r="S168">
            <v>12.4</v>
          </cell>
        </row>
        <row r="169">
          <cell r="I169" t="str">
            <v>02 315 210 5010</v>
          </cell>
          <cell r="J169" t="str">
            <v>Borrow, select granular fill, 1-1/2 C.Y. bucket, loading and/or spreading, shovel</v>
          </cell>
          <cell r="K169" t="str">
            <v>B12O</v>
          </cell>
          <cell r="L169">
            <v>1250</v>
          </cell>
          <cell r="M169">
            <v>1.2999999999999999E-2</v>
          </cell>
          <cell r="N169" t="str">
            <v>B.C.Y.</v>
          </cell>
          <cell r="O169">
            <v>9.4499999999999993</v>
          </cell>
          <cell r="P169">
            <v>0.34</v>
          </cell>
          <cell r="Q169">
            <v>0.85</v>
          </cell>
          <cell r="R169">
            <v>10.64</v>
          </cell>
          <cell r="S169">
            <v>11.9</v>
          </cell>
        </row>
        <row r="170">
          <cell r="I170" t="str">
            <v>02 315 210 5020</v>
          </cell>
          <cell r="J170" t="str">
            <v>Borrow, select granular fill, 3 C.Y. bucket, loading and/or spreading, shovel</v>
          </cell>
          <cell r="K170" t="str">
            <v>B12T</v>
          </cell>
          <cell r="L170">
            <v>1980</v>
          </cell>
          <cell r="M170">
            <v>8.0000000000000002E-3</v>
          </cell>
          <cell r="N170" t="str">
            <v>B.C.Y.</v>
          </cell>
          <cell r="O170">
            <v>9.4499999999999993</v>
          </cell>
          <cell r="P170">
            <v>0.21</v>
          </cell>
          <cell r="Q170">
            <v>0.75</v>
          </cell>
          <cell r="R170">
            <v>10.41</v>
          </cell>
          <cell r="S170">
            <v>11.6</v>
          </cell>
        </row>
        <row r="171">
          <cell r="I171" t="str">
            <v>02 315 210 5050</v>
          </cell>
          <cell r="J171" t="str">
            <v>Borrow, select granular fill, 3/4 C.Y. bucket, loading and/or spreading, front end loader, wheel mounted</v>
          </cell>
          <cell r="K171" t="str">
            <v>B10R</v>
          </cell>
          <cell r="L171">
            <v>800</v>
          </cell>
          <cell r="M171">
            <v>0.01</v>
          </cell>
          <cell r="N171" t="str">
            <v>B.C.Y.</v>
          </cell>
          <cell r="O171">
            <v>9.4499999999999993</v>
          </cell>
          <cell r="P171">
            <v>0.3</v>
          </cell>
          <cell r="Q171">
            <v>0.26</v>
          </cell>
          <cell r="R171">
            <v>10.01</v>
          </cell>
          <cell r="S171">
            <v>11.2</v>
          </cell>
        </row>
        <row r="172">
          <cell r="I172" t="str">
            <v>02 315 210 5060</v>
          </cell>
          <cell r="J172" t="str">
            <v>Borrow, select granular fill, 1-1/2 C.Y. bucket, loading and/or spreading, front end loader, wheel mounted</v>
          </cell>
          <cell r="K172" t="str">
            <v>B10S</v>
          </cell>
          <cell r="L172">
            <v>1065</v>
          </cell>
          <cell r="M172">
            <v>8.0000000000000002E-3</v>
          </cell>
          <cell r="N172" t="str">
            <v>B.C.Y.</v>
          </cell>
          <cell r="O172">
            <v>9.4499999999999993</v>
          </cell>
          <cell r="P172">
            <v>0.22</v>
          </cell>
          <cell r="Q172">
            <v>0.26</v>
          </cell>
          <cell r="R172">
            <v>9.93</v>
          </cell>
          <cell r="S172">
            <v>11.05</v>
          </cell>
        </row>
        <row r="173">
          <cell r="I173" t="str">
            <v>02 315 210 5070</v>
          </cell>
          <cell r="J173" t="str">
            <v>Borrow, select granular fill, 3 C.Y. bucket, loading and/or spreading, front end loader, wheel mounted</v>
          </cell>
          <cell r="K173" t="str">
            <v>B10T</v>
          </cell>
          <cell r="L173">
            <v>1735</v>
          </cell>
          <cell r="M173">
            <v>5.0000000000000001E-3</v>
          </cell>
          <cell r="N173" t="str">
            <v>B.C.Y.</v>
          </cell>
          <cell r="O173">
            <v>9.4499999999999993</v>
          </cell>
          <cell r="P173">
            <v>0.14000000000000001</v>
          </cell>
          <cell r="Q173">
            <v>0.2</v>
          </cell>
          <cell r="R173">
            <v>9.7899999999999991</v>
          </cell>
          <cell r="S173">
            <v>10.85</v>
          </cell>
        </row>
        <row r="174">
          <cell r="I174" t="str">
            <v>02 315 210 5080</v>
          </cell>
          <cell r="J174" t="str">
            <v>Borrow, select granular fill, 5 C.Y. bucket, loading and/or spreading, front end loader, wheel mounted</v>
          </cell>
          <cell r="K174" t="str">
            <v>B10U</v>
          </cell>
          <cell r="L174">
            <v>2850</v>
          </cell>
          <cell r="M174">
            <v>3.0000000000000001E-3</v>
          </cell>
          <cell r="N174" t="str">
            <v>B.C.Y.</v>
          </cell>
          <cell r="O174">
            <v>9.4499999999999993</v>
          </cell>
          <cell r="P174">
            <v>0.08</v>
          </cell>
          <cell r="Q174">
            <v>0.27</v>
          </cell>
          <cell r="R174">
            <v>9.8000000000000007</v>
          </cell>
          <cell r="S174">
            <v>10.85</v>
          </cell>
        </row>
        <row r="175">
          <cell r="I175" t="str">
            <v>02 315 210 7000</v>
          </cell>
          <cell r="J175" t="str">
            <v>Borrow, topsoil or loam, 1 C.Y. bucket, loading and/or spreading, from stockpile, shovel</v>
          </cell>
          <cell r="K175" t="str">
            <v>B12N</v>
          </cell>
          <cell r="L175">
            <v>840</v>
          </cell>
          <cell r="M175">
            <v>1.9E-2</v>
          </cell>
          <cell r="N175" t="str">
            <v>B.C.Y.</v>
          </cell>
          <cell r="O175">
            <v>22</v>
          </cell>
          <cell r="P175">
            <v>0.5</v>
          </cell>
          <cell r="Q175">
            <v>1.24</v>
          </cell>
          <cell r="R175">
            <v>23.74</v>
          </cell>
          <cell r="S175">
            <v>26</v>
          </cell>
        </row>
        <row r="176">
          <cell r="I176" t="str">
            <v>02 315 210 7010</v>
          </cell>
          <cell r="J176" t="str">
            <v>Borrow, topsoil or loam, 1-1/2 C.Y. bucket, loading and/or spreading, from stockpile, shovel</v>
          </cell>
          <cell r="K176" t="str">
            <v>B12O</v>
          </cell>
          <cell r="L176">
            <v>1135</v>
          </cell>
          <cell r="M176">
            <v>1.4E-2</v>
          </cell>
          <cell r="N176" t="str">
            <v>B.C.Y.</v>
          </cell>
          <cell r="O176">
            <v>22</v>
          </cell>
          <cell r="P176">
            <v>0.37</v>
          </cell>
          <cell r="Q176">
            <v>0.94</v>
          </cell>
          <cell r="R176">
            <v>23.31</v>
          </cell>
          <cell r="S176">
            <v>25.5</v>
          </cell>
        </row>
        <row r="177">
          <cell r="I177" t="str">
            <v>02 315 210 7020</v>
          </cell>
          <cell r="J177" t="str">
            <v>Borrow, topsoil or loam, 3 C.Y. bucket, loading and/or spreading, from stockpile, shovel</v>
          </cell>
          <cell r="K177" t="str">
            <v>B12T</v>
          </cell>
          <cell r="L177">
            <v>1800</v>
          </cell>
          <cell r="M177">
            <v>8.9999999999999993E-3</v>
          </cell>
          <cell r="N177" t="str">
            <v>B.C.Y.</v>
          </cell>
          <cell r="O177">
            <v>22</v>
          </cell>
          <cell r="P177">
            <v>0.23</v>
          </cell>
          <cell r="Q177">
            <v>0.82</v>
          </cell>
          <cell r="R177">
            <v>23.05</v>
          </cell>
          <cell r="S177">
            <v>25.5</v>
          </cell>
        </row>
        <row r="178">
          <cell r="I178" t="str">
            <v>02 315 210 7050</v>
          </cell>
          <cell r="J178" t="str">
            <v>Borrow, topsoil or loam, 3/4 C.Y. bucket, loading and/or spreading, front end loader, wheel mounted</v>
          </cell>
          <cell r="K178" t="str">
            <v>B10R</v>
          </cell>
          <cell r="L178">
            <v>550</v>
          </cell>
          <cell r="M178">
            <v>1.4999999999999999E-2</v>
          </cell>
          <cell r="N178" t="str">
            <v>B.C.Y.</v>
          </cell>
          <cell r="O178">
            <v>22</v>
          </cell>
          <cell r="P178">
            <v>0.43</v>
          </cell>
          <cell r="Q178">
            <v>0.38</v>
          </cell>
          <cell r="R178">
            <v>22.81</v>
          </cell>
          <cell r="S178">
            <v>25</v>
          </cell>
        </row>
        <row r="179">
          <cell r="I179" t="str">
            <v>02 315 210 7060</v>
          </cell>
          <cell r="J179" t="str">
            <v>Borrow, topsoil or loam, 1-1/2 C.Y. bucket, loading and/or spreading, front end loader, wheel mounted</v>
          </cell>
          <cell r="K179" t="str">
            <v>B10S</v>
          </cell>
          <cell r="L179">
            <v>970</v>
          </cell>
          <cell r="M179">
            <v>8.0000000000000002E-3</v>
          </cell>
          <cell r="N179" t="str">
            <v>B.C.Y.</v>
          </cell>
          <cell r="O179">
            <v>22</v>
          </cell>
          <cell r="P179">
            <v>0.24</v>
          </cell>
          <cell r="Q179">
            <v>0.28999999999999998</v>
          </cell>
          <cell r="R179">
            <v>22.53</v>
          </cell>
          <cell r="S179">
            <v>24.5</v>
          </cell>
        </row>
        <row r="180">
          <cell r="I180" t="str">
            <v>02 315 210 7070</v>
          </cell>
          <cell r="J180" t="str">
            <v>Borrow, topsoil or loam, 3 C.Y. bucket, loading and/or spreading, front end loader, wheel mounted</v>
          </cell>
          <cell r="K180" t="str">
            <v>B10T</v>
          </cell>
          <cell r="L180">
            <v>1575</v>
          </cell>
          <cell r="M180">
            <v>5.0000000000000001E-3</v>
          </cell>
          <cell r="N180" t="str">
            <v>B.C.Y.</v>
          </cell>
          <cell r="O180">
            <v>22</v>
          </cell>
          <cell r="P180">
            <v>0.15</v>
          </cell>
          <cell r="Q180">
            <v>0.22</v>
          </cell>
          <cell r="R180">
            <v>22.37</v>
          </cell>
          <cell r="S180">
            <v>24.5</v>
          </cell>
        </row>
        <row r="181">
          <cell r="I181" t="str">
            <v>02 315 210 7080</v>
          </cell>
          <cell r="J181" t="str">
            <v>Borrow, topsoil or loam, 5 C.Y. bucket, loading and/or spreading, front end loader, wheel mounted</v>
          </cell>
          <cell r="K181" t="str">
            <v>B10U</v>
          </cell>
          <cell r="L181">
            <v>2600</v>
          </cell>
          <cell r="M181">
            <v>3.0000000000000001E-3</v>
          </cell>
          <cell r="N181" t="str">
            <v>B.C.Y.</v>
          </cell>
          <cell r="O181">
            <v>22</v>
          </cell>
          <cell r="P181">
            <v>0.09</v>
          </cell>
          <cell r="Q181">
            <v>0.28999999999999998</v>
          </cell>
          <cell r="R181">
            <v>22.38</v>
          </cell>
          <cell r="S181">
            <v>24.5</v>
          </cell>
        </row>
        <row r="182">
          <cell r="I182" t="str">
            <v>02 315 310 5000</v>
          </cell>
          <cell r="J182" t="str">
            <v>Compaction, riding, vibrating roller, 2 passes, 6" lifts</v>
          </cell>
          <cell r="K182" t="str">
            <v>B10Y</v>
          </cell>
          <cell r="L182">
            <v>3000</v>
          </cell>
          <cell r="M182">
            <v>3.0000000000000001E-3</v>
          </cell>
          <cell r="N182" t="str">
            <v>E.C.Y.</v>
          </cell>
          <cell r="O182">
            <v>0</v>
          </cell>
          <cell r="P182">
            <v>0.08</v>
          </cell>
          <cell r="Q182">
            <v>0.15</v>
          </cell>
          <cell r="R182">
            <v>0.23</v>
          </cell>
          <cell r="S182">
            <v>0.28999999999999998</v>
          </cell>
        </row>
        <row r="183">
          <cell r="I183" t="str">
            <v>02 315 310 5020</v>
          </cell>
          <cell r="J183" t="str">
            <v>Compaction, riding, vibrating roller, 3 passes, 6" lifts</v>
          </cell>
          <cell r="K183" t="str">
            <v>B10Y</v>
          </cell>
          <cell r="L183">
            <v>2300</v>
          </cell>
          <cell r="M183">
            <v>3.0000000000000001E-3</v>
          </cell>
          <cell r="N183" t="str">
            <v>E.C.Y.</v>
          </cell>
          <cell r="O183">
            <v>0</v>
          </cell>
          <cell r="P183">
            <v>0.1</v>
          </cell>
          <cell r="Q183">
            <v>0.2</v>
          </cell>
          <cell r="R183">
            <v>0.3</v>
          </cell>
          <cell r="S183">
            <v>0.38</v>
          </cell>
        </row>
        <row r="184">
          <cell r="I184" t="str">
            <v>02 315 310 5060</v>
          </cell>
          <cell r="J184" t="str">
            <v>Compaction, riding, vibrating roller, 2 passes, 12" lifts</v>
          </cell>
          <cell r="K184" t="str">
            <v>B10Y</v>
          </cell>
          <cell r="L184">
            <v>5200</v>
          </cell>
          <cell r="M184">
            <v>2E-3</v>
          </cell>
          <cell r="N184" t="str">
            <v>E.C.Y.</v>
          </cell>
          <cell r="O184">
            <v>0</v>
          </cell>
          <cell r="P184">
            <v>0.05</v>
          </cell>
          <cell r="Q184">
            <v>0.09</v>
          </cell>
          <cell r="R184">
            <v>0.14000000000000001</v>
          </cell>
          <cell r="S184">
            <v>0.17</v>
          </cell>
        </row>
        <row r="185">
          <cell r="I185" t="str">
            <v>02 315 310 5080</v>
          </cell>
          <cell r="J185" t="str">
            <v>Compaction, riding, vibrating roller, 3 passes, 12" lifts</v>
          </cell>
          <cell r="K185" t="str">
            <v>B10Y</v>
          </cell>
          <cell r="L185">
            <v>3500</v>
          </cell>
          <cell r="M185">
            <v>2E-3</v>
          </cell>
          <cell r="N185" t="str">
            <v>E.C.Y.</v>
          </cell>
          <cell r="O185">
            <v>0</v>
          </cell>
          <cell r="P185">
            <v>7.0000000000000007E-2</v>
          </cell>
          <cell r="Q185">
            <v>0.13</v>
          </cell>
          <cell r="R185">
            <v>0.2</v>
          </cell>
          <cell r="S185">
            <v>0.25</v>
          </cell>
        </row>
        <row r="186">
          <cell r="I186" t="str">
            <v>02 315 310 6000</v>
          </cell>
          <cell r="J186" t="str">
            <v>Compaction, 2 passes, 6" lifts, towed sheepsfoot or wobbly wheel roller</v>
          </cell>
          <cell r="K186" t="str">
            <v>B10D</v>
          </cell>
          <cell r="L186">
            <v>10000</v>
          </cell>
          <cell r="M186">
            <v>1E-3</v>
          </cell>
          <cell r="N186" t="str">
            <v>E.C.Y.</v>
          </cell>
          <cell r="O186">
            <v>0</v>
          </cell>
          <cell r="P186">
            <v>0.02</v>
          </cell>
          <cell r="Q186">
            <v>0.14000000000000001</v>
          </cell>
          <cell r="R186">
            <v>0.16</v>
          </cell>
          <cell r="S186">
            <v>0.19</v>
          </cell>
        </row>
        <row r="187">
          <cell r="I187" t="str">
            <v>02 315 310 6020</v>
          </cell>
          <cell r="J187" t="str">
            <v>Compaction, 2 passes, 6" lifts, towed sheepsfoot or wobbly wheel roller</v>
          </cell>
          <cell r="K187" t="str">
            <v>B10D</v>
          </cell>
          <cell r="L187">
            <v>2000</v>
          </cell>
          <cell r="M187">
            <v>4.0000000000000001E-3</v>
          </cell>
          <cell r="N187" t="str">
            <v>E.C.Y.</v>
          </cell>
          <cell r="O187">
            <v>0</v>
          </cell>
          <cell r="P187">
            <v>0.12</v>
          </cell>
          <cell r="Q187">
            <v>0.68</v>
          </cell>
          <cell r="R187">
            <v>0.8</v>
          </cell>
          <cell r="S187">
            <v>0.94</v>
          </cell>
        </row>
        <row r="188">
          <cell r="I188" t="str">
            <v>02 315 310 6050</v>
          </cell>
          <cell r="J188" t="str">
            <v>Compaction, 4 passes, 12" lifts, towed sheepsfoot or wobbly wheel roller</v>
          </cell>
          <cell r="K188" t="str">
            <v>B10D</v>
          </cell>
          <cell r="L188">
            <v>6000</v>
          </cell>
          <cell r="M188">
            <v>1E-3</v>
          </cell>
          <cell r="N188" t="str">
            <v>E.C.Y.</v>
          </cell>
          <cell r="O188">
            <v>0</v>
          </cell>
          <cell r="P188">
            <v>0.04</v>
          </cell>
          <cell r="Q188">
            <v>0.23</v>
          </cell>
          <cell r="R188">
            <v>0.27</v>
          </cell>
          <cell r="S188">
            <v>0.31</v>
          </cell>
        </row>
        <row r="189">
          <cell r="I189" t="str">
            <v>02 315 310 6060</v>
          </cell>
          <cell r="J189" t="str">
            <v>Compaction, 2 passes, 6" lifts, towed sheepsfoot or wobbly wheel roller</v>
          </cell>
          <cell r="K189" t="str">
            <v>B10D</v>
          </cell>
          <cell r="L189">
            <v>4000</v>
          </cell>
          <cell r="M189">
            <v>2E-3</v>
          </cell>
          <cell r="N189" t="str">
            <v>E.C.Y.</v>
          </cell>
          <cell r="O189">
            <v>0</v>
          </cell>
          <cell r="P189">
            <v>0.06</v>
          </cell>
          <cell r="Q189">
            <v>0.34</v>
          </cell>
          <cell r="R189">
            <v>0.4</v>
          </cell>
          <cell r="S189">
            <v>0.48</v>
          </cell>
        </row>
        <row r="190">
          <cell r="I190" t="str">
            <v>02 315 310 6070</v>
          </cell>
          <cell r="J190" t="str">
            <v>Compaction, 3 passes, 6" lifts, towed sheepsfoot or wobbly wheel roller</v>
          </cell>
          <cell r="K190" t="str">
            <v>B10D</v>
          </cell>
          <cell r="L190">
            <v>3000</v>
          </cell>
          <cell r="M190">
            <v>3.0000000000000001E-3</v>
          </cell>
          <cell r="N190" t="str">
            <v>E.C.Y.</v>
          </cell>
          <cell r="O190">
            <v>0</v>
          </cell>
          <cell r="P190">
            <v>0.08</v>
          </cell>
          <cell r="Q190">
            <v>0.46</v>
          </cell>
          <cell r="R190">
            <v>0.54</v>
          </cell>
          <cell r="S190">
            <v>0.63</v>
          </cell>
        </row>
        <row r="191">
          <cell r="I191" t="str">
            <v>02 315 310 6200</v>
          </cell>
          <cell r="J191" t="str">
            <v>Compaction, 4 passes, 6" lifts, towed vibrating roller</v>
          </cell>
          <cell r="K191" t="str">
            <v>B10C</v>
          </cell>
          <cell r="L191">
            <v>2600</v>
          </cell>
          <cell r="M191">
            <v>3.0000000000000001E-3</v>
          </cell>
          <cell r="N191" t="str">
            <v>E.C.Y.</v>
          </cell>
          <cell r="O191">
            <v>0</v>
          </cell>
          <cell r="P191">
            <v>0.09</v>
          </cell>
          <cell r="Q191">
            <v>0.52</v>
          </cell>
          <cell r="R191">
            <v>0.61</v>
          </cell>
          <cell r="S191">
            <v>0.72</v>
          </cell>
        </row>
        <row r="192">
          <cell r="I192" t="str">
            <v>02 315 310 6250</v>
          </cell>
          <cell r="J192" t="str">
            <v>Compaction, 4 passes, 12" lifts, towed vibrating roller</v>
          </cell>
          <cell r="K192" t="str">
            <v>B10C</v>
          </cell>
          <cell r="L192">
            <v>5200</v>
          </cell>
          <cell r="M192">
            <v>2E-3</v>
          </cell>
          <cell r="N192" t="str">
            <v>E.C.Y.</v>
          </cell>
          <cell r="O192">
            <v>0</v>
          </cell>
          <cell r="P192">
            <v>0.05</v>
          </cell>
          <cell r="Q192">
            <v>0.26</v>
          </cell>
          <cell r="R192">
            <v>0.31</v>
          </cell>
          <cell r="S192">
            <v>0.35</v>
          </cell>
        </row>
        <row r="193">
          <cell r="I193" t="str">
            <v>02 315 310 6260</v>
          </cell>
          <cell r="J193" t="str">
            <v>Compaction, 2 passes, 12" lifts, towed vibrating roller</v>
          </cell>
          <cell r="K193" t="str">
            <v>B10C</v>
          </cell>
          <cell r="L193">
            <v>3465</v>
          </cell>
          <cell r="M193">
            <v>2E-3</v>
          </cell>
          <cell r="N193" t="str">
            <v>E.C.Y.</v>
          </cell>
          <cell r="O193">
            <v>0</v>
          </cell>
          <cell r="P193">
            <v>7.0000000000000007E-2</v>
          </cell>
          <cell r="Q193">
            <v>0.39</v>
          </cell>
          <cell r="R193">
            <v>0.46</v>
          </cell>
          <cell r="S193">
            <v>0.54</v>
          </cell>
        </row>
        <row r="194">
          <cell r="I194" t="str">
            <v>02 315 310 7000</v>
          </cell>
          <cell r="J194" t="str">
            <v>Compaction, around structures and trenches, 2 passes, 18" wide, 6" lifts, walk behind, vibrating plate</v>
          </cell>
          <cell r="K194" t="str">
            <v>A1D</v>
          </cell>
          <cell r="L194">
            <v>200</v>
          </cell>
          <cell r="M194">
            <v>0.04</v>
          </cell>
          <cell r="N194" t="str">
            <v>E.C.Y.</v>
          </cell>
          <cell r="O194">
            <v>0</v>
          </cell>
          <cell r="P194">
            <v>0.88</v>
          </cell>
          <cell r="Q194">
            <v>0.15</v>
          </cell>
          <cell r="R194">
            <v>1.03</v>
          </cell>
          <cell r="S194">
            <v>1.66</v>
          </cell>
        </row>
        <row r="195">
          <cell r="I195" t="str">
            <v>02 315 310 7200</v>
          </cell>
          <cell r="J195" t="str">
            <v>Compaction, 2 passes, 18" wide,12" lifts, walk behind, vibrating plate</v>
          </cell>
          <cell r="K195" t="str">
            <v>A1E</v>
          </cell>
          <cell r="L195">
            <v>560</v>
          </cell>
          <cell r="M195">
            <v>1.4E-2</v>
          </cell>
          <cell r="N195" t="str">
            <v>E.C.Y.</v>
          </cell>
          <cell r="O195">
            <v>0</v>
          </cell>
          <cell r="P195">
            <v>0.32</v>
          </cell>
          <cell r="Q195">
            <v>0.06</v>
          </cell>
          <cell r="R195">
            <v>0.38</v>
          </cell>
          <cell r="S195">
            <v>0.61</v>
          </cell>
        </row>
        <row r="196">
          <cell r="I196" t="str">
            <v>02 315 310 7500</v>
          </cell>
          <cell r="J196" t="str">
            <v>Compaction, 2 passes, 24" wide, 6" lifts, walk behind, vibrating roller</v>
          </cell>
          <cell r="K196" t="str">
            <v>B10A</v>
          </cell>
          <cell r="L196">
            <v>420</v>
          </cell>
          <cell r="M196">
            <v>1.9E-2</v>
          </cell>
          <cell r="N196" t="str">
            <v>E.C.Y.</v>
          </cell>
          <cell r="O196">
            <v>0</v>
          </cell>
          <cell r="P196">
            <v>0.56000000000000005</v>
          </cell>
          <cell r="Q196">
            <v>0.32</v>
          </cell>
          <cell r="R196">
            <v>0.88</v>
          </cell>
          <cell r="S196">
            <v>1.28</v>
          </cell>
        </row>
        <row r="197">
          <cell r="I197" t="str">
            <v>02 315 310 7600</v>
          </cell>
          <cell r="J197" t="str">
            <v>Compaction, 2 passes, 24" wide, 12" lifts, walk behind, vibrating roller</v>
          </cell>
          <cell r="K197" t="str">
            <v>B10A</v>
          </cell>
          <cell r="L197">
            <v>840</v>
          </cell>
          <cell r="M197">
            <v>0.01</v>
          </cell>
          <cell r="N197" t="str">
            <v>E.C.Y.</v>
          </cell>
          <cell r="O197">
            <v>0</v>
          </cell>
          <cell r="P197">
            <v>0.28000000000000003</v>
          </cell>
          <cell r="Q197">
            <v>0.16</v>
          </cell>
          <cell r="R197">
            <v>0.44</v>
          </cell>
          <cell r="S197">
            <v>0.64</v>
          </cell>
        </row>
        <row r="198">
          <cell r="I198" t="str">
            <v>02 315 416 0020</v>
          </cell>
          <cell r="J198" t="str">
            <v>Drilling and blasting rock, open face, under 1500 C.Y.</v>
          </cell>
          <cell r="K198" t="str">
            <v>B47</v>
          </cell>
          <cell r="L198">
            <v>225</v>
          </cell>
          <cell r="M198">
            <v>7.0999999999999994E-2</v>
          </cell>
          <cell r="N198" t="str">
            <v>B.C.Y.</v>
          </cell>
          <cell r="O198">
            <v>2.4500000000000002</v>
          </cell>
          <cell r="P198">
            <v>1.64</v>
          </cell>
          <cell r="Q198">
            <v>5.45</v>
          </cell>
          <cell r="R198">
            <v>9.5399999999999991</v>
          </cell>
          <cell r="S198">
            <v>11.45</v>
          </cell>
        </row>
        <row r="199">
          <cell r="I199" t="str">
            <v>02 315 416 0200</v>
          </cell>
          <cell r="J199" t="str">
            <v>Drilling and blasting rock, areas where blasting mats are required, under 1500 C.Y.</v>
          </cell>
          <cell r="K199" t="str">
            <v>B47</v>
          </cell>
          <cell r="L199">
            <v>175</v>
          </cell>
          <cell r="M199">
            <v>9.0999999999999998E-2</v>
          </cell>
          <cell r="N199" t="str">
            <v>B.C.Y.</v>
          </cell>
          <cell r="O199">
            <v>2.4500000000000002</v>
          </cell>
          <cell r="P199">
            <v>2.11</v>
          </cell>
          <cell r="Q199">
            <v>7</v>
          </cell>
          <cell r="R199">
            <v>11.56</v>
          </cell>
          <cell r="S199">
            <v>14</v>
          </cell>
        </row>
        <row r="200">
          <cell r="I200" t="str">
            <v>02 315 418 2200</v>
          </cell>
          <cell r="J200" t="str">
            <v>Ripping shale, soft, ideal conditions, 300 H.P., dozer with single shank ripper</v>
          </cell>
          <cell r="K200" t="str">
            <v>B11S</v>
          </cell>
          <cell r="L200">
            <v>1500</v>
          </cell>
          <cell r="M200">
            <v>8.0000000000000002E-3</v>
          </cell>
          <cell r="N200" t="str">
            <v>B.C.Y.</v>
          </cell>
          <cell r="O200">
            <v>0</v>
          </cell>
          <cell r="P200">
            <v>0.22</v>
          </cell>
          <cell r="Q200">
            <v>0.92</v>
          </cell>
          <cell r="R200">
            <v>1.1399999999999999</v>
          </cell>
          <cell r="S200">
            <v>1.37</v>
          </cell>
        </row>
        <row r="201">
          <cell r="I201" t="str">
            <v>02 315 418 2300</v>
          </cell>
          <cell r="J201" t="str">
            <v>Ripping shale, soft, adverse conditions, 300 H.P., dozer with single shank ripper</v>
          </cell>
          <cell r="K201" t="str">
            <v>B11S</v>
          </cell>
          <cell r="L201">
            <v>1350</v>
          </cell>
          <cell r="M201">
            <v>8.9999999999999993E-3</v>
          </cell>
          <cell r="N201" t="str">
            <v>B.C.Y.</v>
          </cell>
          <cell r="O201">
            <v>0</v>
          </cell>
          <cell r="P201">
            <v>0.24</v>
          </cell>
          <cell r="Q201">
            <v>1.02</v>
          </cell>
          <cell r="R201">
            <v>1.26</v>
          </cell>
          <cell r="S201">
            <v>1.52</v>
          </cell>
        </row>
        <row r="202">
          <cell r="I202" t="str">
            <v>02 315 418 2400</v>
          </cell>
          <cell r="J202" t="str">
            <v>Ripping shale, medium hard, ideal conditions, 300 H.P., dozer with single shank ripper</v>
          </cell>
          <cell r="K202" t="str">
            <v>B11S</v>
          </cell>
          <cell r="L202">
            <v>1200</v>
          </cell>
          <cell r="M202">
            <v>0.01</v>
          </cell>
          <cell r="N202" t="str">
            <v>B.C.Y.</v>
          </cell>
          <cell r="O202">
            <v>0</v>
          </cell>
          <cell r="P202">
            <v>0.27</v>
          </cell>
          <cell r="Q202">
            <v>1.1499999999999999</v>
          </cell>
          <cell r="R202">
            <v>1.42</v>
          </cell>
          <cell r="S202">
            <v>1.71</v>
          </cell>
        </row>
        <row r="203">
          <cell r="I203" t="str">
            <v>02 315 418 2500</v>
          </cell>
          <cell r="J203" t="str">
            <v>Ripping shale, medium hard, adverse conditions, 300 H.P., dozer with single shank ripper</v>
          </cell>
          <cell r="K203" t="str">
            <v>B11S</v>
          </cell>
          <cell r="L203">
            <v>1080</v>
          </cell>
          <cell r="M203">
            <v>1.0999999999999999E-2</v>
          </cell>
          <cell r="N203" t="str">
            <v>B.C.Y.</v>
          </cell>
          <cell r="O203">
            <v>0</v>
          </cell>
          <cell r="P203">
            <v>0.3</v>
          </cell>
          <cell r="Q203">
            <v>1.28</v>
          </cell>
          <cell r="R203">
            <v>1.58</v>
          </cell>
          <cell r="S203">
            <v>1.9</v>
          </cell>
        </row>
        <row r="204">
          <cell r="I204" t="str">
            <v>02 315 418 2800</v>
          </cell>
          <cell r="J204" t="str">
            <v>Ripping till, boulder clay/hardpan, soft, ideal conditions, 300 H.P., dozer with single shank ripper</v>
          </cell>
          <cell r="K204" t="str">
            <v>B11S</v>
          </cell>
          <cell r="L204">
            <v>7000</v>
          </cell>
          <cell r="M204">
            <v>2E-3</v>
          </cell>
          <cell r="N204" t="str">
            <v>B.C.Y.</v>
          </cell>
          <cell r="O204">
            <v>0</v>
          </cell>
          <cell r="P204">
            <v>0.05</v>
          </cell>
          <cell r="Q204">
            <v>0.2</v>
          </cell>
          <cell r="R204">
            <v>0.25</v>
          </cell>
          <cell r="S204">
            <v>0.3</v>
          </cell>
        </row>
        <row r="205">
          <cell r="I205" t="str">
            <v>02 315 418 2810</v>
          </cell>
          <cell r="J205" t="str">
            <v>Ripping till, boulder clay/hardpan, soft, adverse conditions, 300 H.P., dozer with single shank ripper</v>
          </cell>
          <cell r="K205" t="str">
            <v>B11S</v>
          </cell>
          <cell r="L205">
            <v>6300</v>
          </cell>
          <cell r="M205">
            <v>2E-3</v>
          </cell>
          <cell r="N205" t="str">
            <v>B.C.Y.</v>
          </cell>
          <cell r="O205">
            <v>0</v>
          </cell>
          <cell r="P205">
            <v>0.05</v>
          </cell>
          <cell r="Q205">
            <v>0.22</v>
          </cell>
          <cell r="R205">
            <v>0.27</v>
          </cell>
          <cell r="S205">
            <v>0.33</v>
          </cell>
        </row>
        <row r="206">
          <cell r="I206" t="str">
            <v>02 315 418 2820</v>
          </cell>
          <cell r="J206" t="str">
            <v>Ripping till, boulder clay/hardpan, medium hard, ideal conditions, 300 H.P., dozer with single shank ripper</v>
          </cell>
          <cell r="K206" t="str">
            <v>B11S</v>
          </cell>
          <cell r="L206">
            <v>6000</v>
          </cell>
          <cell r="M206">
            <v>2E-3</v>
          </cell>
          <cell r="N206" t="str">
            <v>B.C.Y.</v>
          </cell>
          <cell r="O206">
            <v>0</v>
          </cell>
          <cell r="P206">
            <v>0.05</v>
          </cell>
          <cell r="Q206">
            <v>0.23</v>
          </cell>
          <cell r="R206">
            <v>0.28000000000000003</v>
          </cell>
          <cell r="S206">
            <v>0.34</v>
          </cell>
        </row>
        <row r="207">
          <cell r="I207" t="str">
            <v>02 315 418 2830</v>
          </cell>
          <cell r="J207" t="str">
            <v>Ripping till, boulder clay/hardpan, medium hard, adverse conditions, 300 H.P., dozer with single shank ripper</v>
          </cell>
          <cell r="K207" t="str">
            <v>B11S</v>
          </cell>
          <cell r="L207">
            <v>5400</v>
          </cell>
          <cell r="M207">
            <v>2E-3</v>
          </cell>
          <cell r="N207" t="str">
            <v>B.C.Y.</v>
          </cell>
          <cell r="O207">
            <v>0</v>
          </cell>
          <cell r="P207">
            <v>0.06</v>
          </cell>
          <cell r="Q207">
            <v>0.25</v>
          </cell>
          <cell r="R207">
            <v>0.31</v>
          </cell>
          <cell r="S207">
            <v>0.38</v>
          </cell>
        </row>
        <row r="208">
          <cell r="I208" t="str">
            <v>02 315 418 2840</v>
          </cell>
          <cell r="J208" t="str">
            <v>Ripping till, boulder clay/hardpan, very hard, ideal conditions, 410 H.P., dozer with double shank ripper</v>
          </cell>
          <cell r="K208" t="str">
            <v>B11T</v>
          </cell>
          <cell r="L208">
            <v>5000</v>
          </cell>
          <cell r="M208">
            <v>2E-3</v>
          </cell>
          <cell r="N208" t="str">
            <v>B.C.Y.</v>
          </cell>
          <cell r="O208">
            <v>0</v>
          </cell>
          <cell r="P208">
            <v>7.0000000000000007E-2</v>
          </cell>
          <cell r="Q208">
            <v>0.35</v>
          </cell>
          <cell r="R208">
            <v>0.42</v>
          </cell>
          <cell r="S208">
            <v>0.5</v>
          </cell>
        </row>
        <row r="209">
          <cell r="I209" t="str">
            <v>02 315 418 2850</v>
          </cell>
          <cell r="J209" t="str">
            <v>Ripping till, boulder clay/hardpan, very hard, adverse conditions, 410 H.P., dozer with single shank ripper</v>
          </cell>
          <cell r="K209" t="str">
            <v>B11T</v>
          </cell>
          <cell r="L209">
            <v>4500</v>
          </cell>
          <cell r="M209">
            <v>3.0000000000000001E-3</v>
          </cell>
          <cell r="N209" t="str">
            <v>B.C.Y.</v>
          </cell>
          <cell r="O209">
            <v>0</v>
          </cell>
          <cell r="P209">
            <v>7.0000000000000007E-2</v>
          </cell>
          <cell r="Q209">
            <v>0.39</v>
          </cell>
          <cell r="R209">
            <v>0.46</v>
          </cell>
          <cell r="S209">
            <v>0.55000000000000004</v>
          </cell>
        </row>
        <row r="210">
          <cell r="I210" t="str">
            <v>02 315 418 3000</v>
          </cell>
          <cell r="J210" t="str">
            <v>Dozing ripped material, 100' haul, 200 HP</v>
          </cell>
          <cell r="K210" t="str">
            <v>B10B</v>
          </cell>
          <cell r="L210">
            <v>700</v>
          </cell>
          <cell r="M210">
            <v>1.0999999999999999E-2</v>
          </cell>
          <cell r="N210" t="str">
            <v>B.C.Y.</v>
          </cell>
          <cell r="O210">
            <v>0</v>
          </cell>
          <cell r="P210">
            <v>0.34</v>
          </cell>
          <cell r="Q210">
            <v>1.41</v>
          </cell>
          <cell r="R210">
            <v>1.75</v>
          </cell>
          <cell r="S210">
            <v>2.11</v>
          </cell>
        </row>
        <row r="211">
          <cell r="I211" t="str">
            <v>02 315 418 3050</v>
          </cell>
          <cell r="J211" t="str">
            <v>Dozing ripped material, 300' haul, 200 HP</v>
          </cell>
          <cell r="K211" t="str">
            <v>B10B</v>
          </cell>
          <cell r="L211">
            <v>250</v>
          </cell>
          <cell r="M211">
            <v>3.2000000000000001E-2</v>
          </cell>
          <cell r="N211" t="str">
            <v>B.C.Y.</v>
          </cell>
          <cell r="O211">
            <v>0</v>
          </cell>
          <cell r="P211">
            <v>0.95</v>
          </cell>
          <cell r="Q211">
            <v>3.95</v>
          </cell>
          <cell r="R211">
            <v>4.9000000000000004</v>
          </cell>
          <cell r="S211">
            <v>5.9</v>
          </cell>
        </row>
        <row r="212">
          <cell r="I212" t="str">
            <v>02 315 424 0020</v>
          </cell>
          <cell r="J212" t="str">
            <v>Excavating, bulk bank measure, for loading onto trucks, add</v>
          </cell>
          <cell r="R212">
            <v>0.15</v>
          </cell>
          <cell r="S212">
            <v>0.15</v>
          </cell>
        </row>
        <row r="213">
          <cell r="I213" t="str">
            <v>02 315 424 0200</v>
          </cell>
          <cell r="J213" t="str">
            <v>Excavating, bulk bank measure, 1 C.Y. capacity = 75 C.Y./hour, backhoe, hydraulic, crawler mounted</v>
          </cell>
          <cell r="K213" t="str">
            <v>B12A</v>
          </cell>
          <cell r="L213">
            <v>600</v>
          </cell>
          <cell r="M213">
            <v>2.7E-2</v>
          </cell>
          <cell r="N213" t="str">
            <v>B.C.Y.</v>
          </cell>
          <cell r="O213">
            <v>0</v>
          </cell>
          <cell r="P213">
            <v>0.7</v>
          </cell>
          <cell r="Q213">
            <v>1</v>
          </cell>
          <cell r="R213">
            <v>1.7</v>
          </cell>
          <cell r="S213">
            <v>2.27</v>
          </cell>
        </row>
        <row r="214">
          <cell r="I214" t="str">
            <v>02 315 424 0250</v>
          </cell>
          <cell r="J214" t="str">
            <v>Excavating, bulk bank measure, 1-1/2 C.Y. capacity = 100 C.Y./hour, backhoe, hydraulic, crawler mounted</v>
          </cell>
          <cell r="K214" t="str">
            <v>B12B</v>
          </cell>
          <cell r="L214">
            <v>800</v>
          </cell>
          <cell r="M214">
            <v>0.02</v>
          </cell>
          <cell r="N214" t="str">
            <v>B.C.Y.</v>
          </cell>
          <cell r="O214">
            <v>0</v>
          </cell>
          <cell r="P214">
            <v>0.53</v>
          </cell>
          <cell r="Q214">
            <v>0.97</v>
          </cell>
          <cell r="R214">
            <v>1.5</v>
          </cell>
          <cell r="S214">
            <v>1.95</v>
          </cell>
        </row>
        <row r="215">
          <cell r="I215" t="str">
            <v>02 315 424 0260</v>
          </cell>
          <cell r="J215" t="str">
            <v>Excavating, bulk bank measure, 2 C.Y. capacity = 130 C.Y./hour, backhoe, hydraulic, crawler mounted</v>
          </cell>
          <cell r="K215" t="str">
            <v>B12C</v>
          </cell>
          <cell r="L215">
            <v>1040</v>
          </cell>
          <cell r="M215">
            <v>1.4999999999999999E-2</v>
          </cell>
          <cell r="N215" t="str">
            <v>B.C.Y.</v>
          </cell>
          <cell r="O215">
            <v>0</v>
          </cell>
          <cell r="P215">
            <v>0.41</v>
          </cell>
          <cell r="Q215">
            <v>0.96</v>
          </cell>
          <cell r="R215">
            <v>1.37</v>
          </cell>
          <cell r="S215">
            <v>1.73</v>
          </cell>
        </row>
        <row r="216">
          <cell r="I216" t="str">
            <v>02 315 424 0300</v>
          </cell>
          <cell r="J216" t="str">
            <v>Excavating, bulk bank measure, 3 C.Y. capacity = 160 C.Y./hour, backhoe, hydraulic, crawler mounted</v>
          </cell>
          <cell r="K216" t="str">
            <v>B12D</v>
          </cell>
          <cell r="L216">
            <v>1280</v>
          </cell>
          <cell r="M216">
            <v>1.2999999999999999E-2</v>
          </cell>
          <cell r="N216" t="str">
            <v>B.C.Y.</v>
          </cell>
          <cell r="O216">
            <v>0</v>
          </cell>
          <cell r="P216">
            <v>0.33</v>
          </cell>
          <cell r="Q216">
            <v>1.69</v>
          </cell>
          <cell r="R216">
            <v>2.02</v>
          </cell>
          <cell r="S216">
            <v>2.41</v>
          </cell>
        </row>
        <row r="217">
          <cell r="I217" t="str">
            <v>02 315 424 0310</v>
          </cell>
          <cell r="J217" t="str">
            <v>Excavating, bulk bank measure, 1/2 C.Y. capacity = 30 C.Y./hour, backhoe, hydraulic, wheel mounted</v>
          </cell>
          <cell r="K217" t="str">
            <v>B12E</v>
          </cell>
          <cell r="L217">
            <v>240</v>
          </cell>
          <cell r="M217">
            <v>6.7000000000000004E-2</v>
          </cell>
          <cell r="N217" t="str">
            <v>B.C.Y.</v>
          </cell>
          <cell r="O217">
            <v>0</v>
          </cell>
          <cell r="P217">
            <v>1.76</v>
          </cell>
          <cell r="Q217">
            <v>1.49</v>
          </cell>
          <cell r="R217">
            <v>3.25</v>
          </cell>
          <cell r="S217">
            <v>4.57</v>
          </cell>
        </row>
        <row r="218">
          <cell r="I218" t="str">
            <v>02 315 424 0360</v>
          </cell>
          <cell r="J218" t="str">
            <v>Excavating, bulk bank measure, 3/4 C.Y. capacity = 45 C.Y./hour, backhoe, hydraulic, wheel mounted</v>
          </cell>
          <cell r="K218" t="str">
            <v>B12F</v>
          </cell>
          <cell r="L218">
            <v>360</v>
          </cell>
          <cell r="M218">
            <v>4.3999999999999997E-2</v>
          </cell>
          <cell r="N218" t="str">
            <v>B.C.Y.</v>
          </cell>
          <cell r="O218">
            <v>0</v>
          </cell>
          <cell r="P218">
            <v>1.17</v>
          </cell>
          <cell r="Q218">
            <v>1.43</v>
          </cell>
          <cell r="R218">
            <v>2.6</v>
          </cell>
          <cell r="S218">
            <v>3.54</v>
          </cell>
        </row>
        <row r="219">
          <cell r="I219" t="str">
            <v>02 315 424 1200</v>
          </cell>
          <cell r="J219" t="str">
            <v>Excavating, bulk bank measure, 1-1/2 C.Y. capacity = 70 C.Y./hour, front end loader, track mounted</v>
          </cell>
          <cell r="K219" t="str">
            <v>B10N</v>
          </cell>
          <cell r="L219">
            <v>560</v>
          </cell>
          <cell r="M219">
            <v>1.4E-2</v>
          </cell>
          <cell r="N219" t="str">
            <v>B.C.Y.</v>
          </cell>
          <cell r="O219">
            <v>0</v>
          </cell>
          <cell r="P219">
            <v>0.42</v>
          </cell>
          <cell r="Q219">
            <v>0.6</v>
          </cell>
          <cell r="R219">
            <v>1.02</v>
          </cell>
          <cell r="S219">
            <v>1.36</v>
          </cell>
        </row>
        <row r="220">
          <cell r="I220" t="str">
            <v>02 315 424 1250</v>
          </cell>
          <cell r="J220" t="str">
            <v>Excavating, bulk bank measure, 2-1/2 C.Y. capacity = 95 C.Y./hour, front end loader, track mounted</v>
          </cell>
          <cell r="K220" t="str">
            <v>B10O</v>
          </cell>
          <cell r="L220">
            <v>760</v>
          </cell>
          <cell r="M220">
            <v>1.0999999999999999E-2</v>
          </cell>
          <cell r="N220" t="str">
            <v>B.C.Y.</v>
          </cell>
          <cell r="O220">
            <v>0</v>
          </cell>
          <cell r="P220">
            <v>0.31</v>
          </cell>
          <cell r="Q220">
            <v>0.78</v>
          </cell>
          <cell r="R220">
            <v>1.0900000000000001</v>
          </cell>
          <cell r="S220">
            <v>1.36</v>
          </cell>
        </row>
        <row r="221">
          <cell r="I221" t="str">
            <v>02 315 424 1300</v>
          </cell>
          <cell r="J221" t="str">
            <v>Excavating, bulk bank measure, 3 C.Y. capacity = 130 C.Y./hour, front end loader, track mounted</v>
          </cell>
          <cell r="K221" t="str">
            <v>B10P</v>
          </cell>
          <cell r="L221">
            <v>1040</v>
          </cell>
          <cell r="M221">
            <v>8.0000000000000002E-3</v>
          </cell>
          <cell r="N221" t="str">
            <v>B.C.Y.</v>
          </cell>
          <cell r="O221">
            <v>0</v>
          </cell>
          <cell r="P221">
            <v>0.23</v>
          </cell>
          <cell r="Q221">
            <v>0.8</v>
          </cell>
          <cell r="R221">
            <v>1.03</v>
          </cell>
          <cell r="S221">
            <v>1.25</v>
          </cell>
        </row>
        <row r="222">
          <cell r="I222" t="str">
            <v>02 315 424 1350</v>
          </cell>
          <cell r="J222" t="str">
            <v>Excavating, bulk bank measure, 5 C.Y. capacity = 160 C.Y./hour, front end loader, track mounted</v>
          </cell>
          <cell r="K222" t="str">
            <v>B10Q</v>
          </cell>
          <cell r="L222">
            <v>1280</v>
          </cell>
          <cell r="M222">
            <v>6.0000000000000001E-3</v>
          </cell>
          <cell r="N222" t="str">
            <v>B.C.Y.</v>
          </cell>
          <cell r="O222">
            <v>0</v>
          </cell>
          <cell r="P222">
            <v>0.18</v>
          </cell>
          <cell r="Q222">
            <v>0.89</v>
          </cell>
          <cell r="R222">
            <v>1.07</v>
          </cell>
          <cell r="S222">
            <v>1.28</v>
          </cell>
        </row>
        <row r="223">
          <cell r="I223" t="str">
            <v>02 315 424 1500</v>
          </cell>
          <cell r="J223" t="str">
            <v>Excavating, bulk bank measure, 3/4 C.Y. capacity = 45 C.Y./hour, wheel mounted</v>
          </cell>
          <cell r="K223" t="str">
            <v>B10R</v>
          </cell>
          <cell r="L223">
            <v>360</v>
          </cell>
          <cell r="M223">
            <v>2.1999999999999999E-2</v>
          </cell>
          <cell r="N223" t="str">
            <v>B.C.Y.</v>
          </cell>
          <cell r="O223">
            <v>0</v>
          </cell>
          <cell r="P223">
            <v>0.66</v>
          </cell>
          <cell r="Q223">
            <v>0.57999999999999996</v>
          </cell>
          <cell r="R223">
            <v>1.24</v>
          </cell>
          <cell r="S223">
            <v>1.71</v>
          </cell>
        </row>
        <row r="224">
          <cell r="I224" t="str">
            <v>02 315 424 1550</v>
          </cell>
          <cell r="J224" t="str">
            <v>Excavating, bulk bank measure, 1-1/2 C.Y. capacity = 80 C.Y./hour, wheel mounted</v>
          </cell>
          <cell r="K224" t="str">
            <v>B10S</v>
          </cell>
          <cell r="L224">
            <v>640</v>
          </cell>
          <cell r="M224">
            <v>1.2999999999999999E-2</v>
          </cell>
          <cell r="N224" t="str">
            <v>B.C.Y.</v>
          </cell>
          <cell r="O224">
            <v>0</v>
          </cell>
          <cell r="P224">
            <v>0.37</v>
          </cell>
          <cell r="Q224">
            <v>0.43</v>
          </cell>
          <cell r="R224">
            <v>0.8</v>
          </cell>
          <cell r="S224">
            <v>1.0900000000000001</v>
          </cell>
        </row>
        <row r="225">
          <cell r="I225" t="str">
            <v>02 315 424 1600</v>
          </cell>
          <cell r="J225" t="str">
            <v>Excavating, bulk bank measure, 2-1/4 C.Y. capacity = 100 C.Y./hour, wheel mounted</v>
          </cell>
          <cell r="K225" t="str">
            <v>B10T</v>
          </cell>
          <cell r="L225">
            <v>800</v>
          </cell>
          <cell r="M225">
            <v>0.01</v>
          </cell>
          <cell r="N225" t="str">
            <v>B.C.Y.</v>
          </cell>
          <cell r="O225">
            <v>0</v>
          </cell>
          <cell r="P225">
            <v>0.3</v>
          </cell>
          <cell r="Q225">
            <v>0.44</v>
          </cell>
          <cell r="R225">
            <v>0.74</v>
          </cell>
          <cell r="S225">
            <v>0.97</v>
          </cell>
        </row>
        <row r="226">
          <cell r="I226" t="str">
            <v>02 315 424 1601</v>
          </cell>
          <cell r="J226" t="str">
            <v>Excavating, bulk bank measure, 3 C.Y. capacity = 140 C.Y./hour, wheel mounted</v>
          </cell>
          <cell r="K226" t="str">
            <v>B10T</v>
          </cell>
          <cell r="L226">
            <v>1120</v>
          </cell>
          <cell r="M226">
            <v>7.0000000000000001E-3</v>
          </cell>
          <cell r="N226" t="str">
            <v>B.C.Y.</v>
          </cell>
          <cell r="O226">
            <v>0</v>
          </cell>
          <cell r="P226">
            <v>0.21</v>
          </cell>
          <cell r="Q226">
            <v>0.31</v>
          </cell>
          <cell r="R226">
            <v>0.52</v>
          </cell>
          <cell r="S226">
            <v>0.69</v>
          </cell>
        </row>
        <row r="227">
          <cell r="I227" t="str">
            <v>02 315 424 1650</v>
          </cell>
          <cell r="J227" t="str">
            <v>Excavating, bulk bank measure, 5 C.Y. capacity = 185 C.Y./hour, wheel mounted</v>
          </cell>
          <cell r="K227" t="str">
            <v>B10U</v>
          </cell>
          <cell r="L227">
            <v>1480</v>
          </cell>
          <cell r="M227">
            <v>5.0000000000000001E-3</v>
          </cell>
          <cell r="N227" t="str">
            <v>B.C.Y.</v>
          </cell>
          <cell r="O227">
            <v>0</v>
          </cell>
          <cell r="P227">
            <v>0.16</v>
          </cell>
          <cell r="Q227">
            <v>0.51</v>
          </cell>
          <cell r="R227">
            <v>0.67</v>
          </cell>
          <cell r="S227">
            <v>0.82</v>
          </cell>
        </row>
        <row r="228">
          <cell r="I228" t="str">
            <v>02 315 432 2000</v>
          </cell>
          <cell r="J228" t="str">
            <v>Excavating, bulk, open site, bank measure, sand and gravel, 80 H.P. dozer, 50' haul</v>
          </cell>
          <cell r="K228" t="str">
            <v>B10L</v>
          </cell>
          <cell r="L228">
            <v>460</v>
          </cell>
          <cell r="M228">
            <v>1.7000000000000001E-2</v>
          </cell>
          <cell r="N228" t="str">
            <v>B.C.Y.</v>
          </cell>
          <cell r="O228">
            <v>0</v>
          </cell>
          <cell r="P228">
            <v>0.51</v>
          </cell>
          <cell r="Q228">
            <v>0.77</v>
          </cell>
          <cell r="R228">
            <v>1.28</v>
          </cell>
          <cell r="S228">
            <v>1.7</v>
          </cell>
        </row>
        <row r="229">
          <cell r="I229" t="str">
            <v>02 315 432 2020</v>
          </cell>
          <cell r="J229" t="str">
            <v>Excavating, bulk, open site, bank measure, common earth, 80 H.P. dozer, 50' haul</v>
          </cell>
          <cell r="K229" t="str">
            <v>B10L</v>
          </cell>
          <cell r="L229">
            <v>400</v>
          </cell>
          <cell r="M229">
            <v>0.02</v>
          </cell>
          <cell r="N229" t="str">
            <v>B.C.Y.</v>
          </cell>
          <cell r="O229">
            <v>0</v>
          </cell>
          <cell r="P229">
            <v>0.59</v>
          </cell>
          <cell r="Q229">
            <v>0.89</v>
          </cell>
          <cell r="R229">
            <v>1.48</v>
          </cell>
          <cell r="S229">
            <v>1.95</v>
          </cell>
        </row>
        <row r="230">
          <cell r="I230" t="str">
            <v>02 315 432 2200</v>
          </cell>
          <cell r="J230" t="str">
            <v>Excavating, bulk, open site, bank measure, sand and gravel, 80 H.P. dozer, 150' haul</v>
          </cell>
          <cell r="K230" t="str">
            <v>B10L</v>
          </cell>
          <cell r="L230">
            <v>230</v>
          </cell>
          <cell r="M230">
            <v>3.5000000000000003E-2</v>
          </cell>
          <cell r="N230" t="str">
            <v>B.C.Y.</v>
          </cell>
          <cell r="O230">
            <v>0</v>
          </cell>
          <cell r="P230">
            <v>1.03</v>
          </cell>
          <cell r="Q230">
            <v>1.54</v>
          </cell>
          <cell r="R230">
            <v>2.57</v>
          </cell>
          <cell r="S230">
            <v>3.39</v>
          </cell>
        </row>
        <row r="231">
          <cell r="I231" t="str">
            <v>02 315 432 2220</v>
          </cell>
          <cell r="J231" t="str">
            <v>Excavating, bulk, open site, bank measure, common earth, 80 H.P. dozer, 150' haul</v>
          </cell>
          <cell r="K231" t="str">
            <v>B10L</v>
          </cell>
          <cell r="L231">
            <v>200</v>
          </cell>
          <cell r="M231">
            <v>0.04</v>
          </cell>
          <cell r="N231" t="str">
            <v>B.C.Y.</v>
          </cell>
          <cell r="O231">
            <v>0</v>
          </cell>
          <cell r="P231">
            <v>1.18</v>
          </cell>
          <cell r="Q231">
            <v>1.77</v>
          </cell>
          <cell r="R231">
            <v>2.95</v>
          </cell>
          <cell r="S231">
            <v>3.9</v>
          </cell>
        </row>
        <row r="232">
          <cell r="I232" t="str">
            <v>02 315 432 2400</v>
          </cell>
          <cell r="J232" t="str">
            <v>Excavating, bulk, open site, bank measure, sand and gravel, 80 H.P. dozer, 300' haul</v>
          </cell>
          <cell r="K232" t="str">
            <v>B10L</v>
          </cell>
          <cell r="L232">
            <v>120</v>
          </cell>
          <cell r="M232">
            <v>6.7000000000000004E-2</v>
          </cell>
          <cell r="N232" t="str">
            <v>B.C.Y.</v>
          </cell>
          <cell r="O232">
            <v>0</v>
          </cell>
          <cell r="P232">
            <v>1.97</v>
          </cell>
          <cell r="Q232">
            <v>2.96</v>
          </cell>
          <cell r="R232">
            <v>4.93</v>
          </cell>
          <cell r="S232">
            <v>6.5</v>
          </cell>
        </row>
        <row r="233">
          <cell r="I233" t="str">
            <v>02 315 432 2420</v>
          </cell>
          <cell r="J233" t="str">
            <v>Excavating, bulk, open site, bank measure, common earth, 80 H.P. dozer, 300' haul</v>
          </cell>
          <cell r="K233" t="str">
            <v>B10L</v>
          </cell>
          <cell r="L233">
            <v>100</v>
          </cell>
          <cell r="M233">
            <v>0.08</v>
          </cell>
          <cell r="N233" t="str">
            <v>B.C.Y.</v>
          </cell>
          <cell r="O233">
            <v>0</v>
          </cell>
          <cell r="P233">
            <v>2.36</v>
          </cell>
          <cell r="Q233">
            <v>3.55</v>
          </cell>
          <cell r="R233">
            <v>5.91</v>
          </cell>
          <cell r="S233">
            <v>7.8</v>
          </cell>
        </row>
        <row r="234">
          <cell r="I234" t="str">
            <v>02 315 432 3000</v>
          </cell>
          <cell r="J234" t="str">
            <v>Excavating, bulk, open site, bank measure, sand and gravel, 105 H.P. dozer, 50' haul</v>
          </cell>
          <cell r="K234" t="str">
            <v>B10W</v>
          </cell>
          <cell r="L234">
            <v>700</v>
          </cell>
          <cell r="M234">
            <v>1.0999999999999999E-2</v>
          </cell>
          <cell r="N234" t="str">
            <v>B.C.Y.</v>
          </cell>
          <cell r="O234">
            <v>0</v>
          </cell>
          <cell r="P234">
            <v>0.34</v>
          </cell>
          <cell r="Q234">
            <v>0.71</v>
          </cell>
          <cell r="R234">
            <v>1.05</v>
          </cell>
          <cell r="S234">
            <v>1.34</v>
          </cell>
        </row>
        <row r="235">
          <cell r="I235" t="str">
            <v>02 315 432 3020</v>
          </cell>
          <cell r="J235" t="str">
            <v>Excavating, bulk, open site, bank measure, common earth, 105 H.P. dozer, 50' haul</v>
          </cell>
          <cell r="K235" t="str">
            <v>B10W</v>
          </cell>
          <cell r="L235">
            <v>610</v>
          </cell>
          <cell r="M235">
            <v>1.2999999999999999E-2</v>
          </cell>
          <cell r="N235" t="str">
            <v>B.C.Y.</v>
          </cell>
          <cell r="O235">
            <v>0</v>
          </cell>
          <cell r="P235">
            <v>0.39</v>
          </cell>
          <cell r="Q235">
            <v>0.81</v>
          </cell>
          <cell r="R235">
            <v>1.2</v>
          </cell>
          <cell r="S235">
            <v>1.53</v>
          </cell>
        </row>
        <row r="236">
          <cell r="I236" t="str">
            <v>02 315 432 3200</v>
          </cell>
          <cell r="J236" t="str">
            <v>Excavating, bulk, open site, bank measure, sand and gravel, 105 H.P. dozer, 150' haul</v>
          </cell>
          <cell r="K236" t="str">
            <v>B10W</v>
          </cell>
          <cell r="L236">
            <v>310</v>
          </cell>
          <cell r="M236">
            <v>2.5999999999999999E-2</v>
          </cell>
          <cell r="N236" t="str">
            <v>B.C.Y.</v>
          </cell>
          <cell r="O236">
            <v>0</v>
          </cell>
          <cell r="P236">
            <v>0.76</v>
          </cell>
          <cell r="Q236">
            <v>1.6</v>
          </cell>
          <cell r="R236">
            <v>2.36</v>
          </cell>
          <cell r="S236">
            <v>3.02</v>
          </cell>
        </row>
        <row r="237">
          <cell r="I237" t="str">
            <v>02 315 432 3220</v>
          </cell>
          <cell r="J237" t="str">
            <v>Excavating, bulk, open site, bank measure, common earth, 105 H.P. dozer, 150' haul</v>
          </cell>
          <cell r="K237" t="str">
            <v>B10W</v>
          </cell>
          <cell r="L237">
            <v>270</v>
          </cell>
          <cell r="M237">
            <v>0.03</v>
          </cell>
          <cell r="N237" t="str">
            <v>B.C.Y.</v>
          </cell>
          <cell r="O237">
            <v>0</v>
          </cell>
          <cell r="P237">
            <v>0.88</v>
          </cell>
          <cell r="Q237">
            <v>1.83</v>
          </cell>
          <cell r="R237">
            <v>2.71</v>
          </cell>
          <cell r="S237">
            <v>3.46</v>
          </cell>
        </row>
        <row r="238">
          <cell r="I238" t="str">
            <v>02 315 432 3300</v>
          </cell>
          <cell r="J238" t="str">
            <v>Excavating, bulk, open site, bank measure, sand and gravel, 105 H.P. dozer, 300' haul</v>
          </cell>
          <cell r="K238" t="str">
            <v>B10W</v>
          </cell>
          <cell r="L238">
            <v>140</v>
          </cell>
          <cell r="M238">
            <v>5.7000000000000002E-2</v>
          </cell>
          <cell r="N238" t="str">
            <v>B.C.Y.</v>
          </cell>
          <cell r="O238">
            <v>0</v>
          </cell>
          <cell r="P238">
            <v>1.69</v>
          </cell>
          <cell r="Q238">
            <v>3.53</v>
          </cell>
          <cell r="R238">
            <v>5.22</v>
          </cell>
          <cell r="S238">
            <v>6.65</v>
          </cell>
        </row>
        <row r="239">
          <cell r="I239" t="str">
            <v>02 315 432 3320</v>
          </cell>
          <cell r="J239" t="str">
            <v>Excavating, bulk, open site, bank measure, common earth, 105 H.P. dozer, 300' haul</v>
          </cell>
          <cell r="K239" t="str">
            <v>B10W</v>
          </cell>
          <cell r="L239">
            <v>120</v>
          </cell>
          <cell r="M239">
            <v>6.7000000000000004E-2</v>
          </cell>
          <cell r="N239" t="str">
            <v>B.C.Y.</v>
          </cell>
          <cell r="O239">
            <v>0</v>
          </cell>
          <cell r="P239">
            <v>1.97</v>
          </cell>
          <cell r="Q239">
            <v>4.12</v>
          </cell>
          <cell r="R239">
            <v>6.09</v>
          </cell>
          <cell r="S239">
            <v>7.8</v>
          </cell>
        </row>
        <row r="240">
          <cell r="I240" t="str">
            <v>02 315 432 4000</v>
          </cell>
          <cell r="J240" t="str">
            <v>Excavating, bulk, open site, bank measure, sand and gravel, 200 H.P. dozer, 50' haul</v>
          </cell>
          <cell r="K240" t="str">
            <v>B10B</v>
          </cell>
          <cell r="L240">
            <v>1400</v>
          </cell>
          <cell r="M240">
            <v>6.0000000000000001E-3</v>
          </cell>
          <cell r="N240" t="str">
            <v>B.C.Y.</v>
          </cell>
          <cell r="O240">
            <v>0</v>
          </cell>
          <cell r="P240">
            <v>0.17</v>
          </cell>
          <cell r="Q240">
            <v>0.71</v>
          </cell>
          <cell r="R240">
            <v>0.88</v>
          </cell>
          <cell r="S240">
            <v>1.06</v>
          </cell>
        </row>
        <row r="241">
          <cell r="I241" t="str">
            <v>02 315 432 4020</v>
          </cell>
          <cell r="J241" t="str">
            <v>Excavating, bulk, open site, bank measure, common earth, 200 H.P. dozer, 50' haul</v>
          </cell>
          <cell r="K241" t="str">
            <v>B10B</v>
          </cell>
          <cell r="L241">
            <v>1230</v>
          </cell>
          <cell r="M241">
            <v>6.0000000000000001E-3</v>
          </cell>
          <cell r="N241" t="str">
            <v>B.C.Y.</v>
          </cell>
          <cell r="O241">
            <v>0</v>
          </cell>
          <cell r="P241">
            <v>0.19</v>
          </cell>
          <cell r="Q241">
            <v>0.8</v>
          </cell>
          <cell r="R241">
            <v>0.99</v>
          </cell>
          <cell r="S241">
            <v>1.2</v>
          </cell>
        </row>
        <row r="242">
          <cell r="I242" t="str">
            <v>02 315 432 4200</v>
          </cell>
          <cell r="J242" t="str">
            <v>Excavating, bulk, open site, bank measure, sand and gravel, 200 H.P. dozer, 150' haul</v>
          </cell>
          <cell r="K242" t="str">
            <v>B10B</v>
          </cell>
          <cell r="L242">
            <v>595</v>
          </cell>
          <cell r="M242">
            <v>1.2999999999999999E-2</v>
          </cell>
          <cell r="N242" t="str">
            <v>B.C.Y.</v>
          </cell>
          <cell r="O242">
            <v>0</v>
          </cell>
          <cell r="P242">
            <v>0.4</v>
          </cell>
          <cell r="Q242">
            <v>1.66</v>
          </cell>
          <cell r="R242">
            <v>2.06</v>
          </cell>
          <cell r="S242">
            <v>2.48</v>
          </cell>
        </row>
        <row r="243">
          <cell r="I243" t="str">
            <v>02 315 432 4220</v>
          </cell>
          <cell r="J243" t="str">
            <v>Excavating, bulk, open site, bank measure, common earth, 200 H.P. dozer, 150' push</v>
          </cell>
          <cell r="K243" t="str">
            <v>B10B</v>
          </cell>
          <cell r="L243">
            <v>516</v>
          </cell>
          <cell r="M243">
            <v>1.6E-2</v>
          </cell>
          <cell r="N243" t="str">
            <v>B.C.Y.</v>
          </cell>
          <cell r="O243">
            <v>0</v>
          </cell>
          <cell r="P243">
            <v>0.46</v>
          </cell>
          <cell r="Q243">
            <v>1.92</v>
          </cell>
          <cell r="R243">
            <v>2.38</v>
          </cell>
          <cell r="S243">
            <v>2.86</v>
          </cell>
        </row>
        <row r="244">
          <cell r="I244" t="str">
            <v>02 315 432 4400</v>
          </cell>
          <cell r="J244" t="str">
            <v>Excavating, bulk, open site, bank measure, sand and gravel, 200 H.P. dozer, 300' haul</v>
          </cell>
          <cell r="K244" t="str">
            <v>B10B</v>
          </cell>
          <cell r="L244">
            <v>310</v>
          </cell>
          <cell r="M244">
            <v>2.5999999999999999E-2</v>
          </cell>
          <cell r="N244" t="str">
            <v>B.C.Y.</v>
          </cell>
          <cell r="O244">
            <v>0</v>
          </cell>
          <cell r="P244">
            <v>0.76</v>
          </cell>
          <cell r="Q244">
            <v>3.19</v>
          </cell>
          <cell r="R244">
            <v>3.95</v>
          </cell>
          <cell r="S244">
            <v>4.7699999999999996</v>
          </cell>
        </row>
        <row r="245">
          <cell r="I245" t="str">
            <v>02 315 432 4420</v>
          </cell>
          <cell r="J245" t="str">
            <v>Excavating, bulk, open site, bank measure, common earth, 200 H.P. dozer, 300' push</v>
          </cell>
          <cell r="K245" t="str">
            <v>B10B</v>
          </cell>
          <cell r="L245">
            <v>270</v>
          </cell>
          <cell r="M245">
            <v>0.03</v>
          </cell>
          <cell r="N245" t="str">
            <v>B.C.Y.</v>
          </cell>
          <cell r="O245">
            <v>0</v>
          </cell>
          <cell r="P245">
            <v>0.88</v>
          </cell>
          <cell r="Q245">
            <v>3.66</v>
          </cell>
          <cell r="R245">
            <v>4.54</v>
          </cell>
          <cell r="S245">
            <v>5.45</v>
          </cell>
        </row>
        <row r="246">
          <cell r="I246" t="str">
            <v>02 315 432 5000</v>
          </cell>
          <cell r="J246" t="str">
            <v>Excavating, bulk, open site, bank measure, sand and gravel, 300 H.P. dozer, 50' haul</v>
          </cell>
          <cell r="K246" t="str">
            <v>B10M</v>
          </cell>
          <cell r="L246">
            <v>1900</v>
          </cell>
          <cell r="M246">
            <v>4.0000000000000001E-3</v>
          </cell>
          <cell r="N246" t="str">
            <v>B.C.Y.</v>
          </cell>
          <cell r="O246">
            <v>0</v>
          </cell>
          <cell r="P246">
            <v>0.12</v>
          </cell>
          <cell r="Q246">
            <v>0.68</v>
          </cell>
          <cell r="R246">
            <v>0.8</v>
          </cell>
          <cell r="S246">
            <v>0.95</v>
          </cell>
        </row>
        <row r="247">
          <cell r="I247" t="str">
            <v>02 315 432 5020</v>
          </cell>
          <cell r="J247" t="str">
            <v>Excavating, bulk, open site, bank measure, common earth, 300 H.P. dozer, 50' haul</v>
          </cell>
          <cell r="K247" t="str">
            <v>B10M</v>
          </cell>
          <cell r="L247">
            <v>1650</v>
          </cell>
          <cell r="M247">
            <v>5.0000000000000001E-3</v>
          </cell>
          <cell r="N247" t="str">
            <v>B.C.Y.</v>
          </cell>
          <cell r="O247">
            <v>0</v>
          </cell>
          <cell r="P247">
            <v>0.14000000000000001</v>
          </cell>
          <cell r="Q247">
            <v>0.79</v>
          </cell>
          <cell r="R247">
            <v>0.93</v>
          </cell>
          <cell r="S247">
            <v>1.1100000000000001</v>
          </cell>
        </row>
        <row r="248">
          <cell r="I248" t="str">
            <v>02 315 432 5200</v>
          </cell>
          <cell r="J248" t="str">
            <v>Excavating, bulk, open site, bank measure, sand and gravel, 300 H.P. dozer, 150' haul</v>
          </cell>
          <cell r="K248" t="str">
            <v>B10M</v>
          </cell>
          <cell r="L248">
            <v>920</v>
          </cell>
          <cell r="M248">
            <v>8.9999999999999993E-3</v>
          </cell>
          <cell r="N248" t="str">
            <v>B.C.Y.</v>
          </cell>
          <cell r="O248">
            <v>0</v>
          </cell>
          <cell r="P248">
            <v>0.26</v>
          </cell>
          <cell r="Q248">
            <v>1.41</v>
          </cell>
          <cell r="R248">
            <v>1.67</v>
          </cell>
          <cell r="S248">
            <v>1.98</v>
          </cell>
        </row>
        <row r="249">
          <cell r="I249" t="str">
            <v>02 315 432 5220</v>
          </cell>
          <cell r="J249" t="str">
            <v>Excavating, bulk, open site, bank measure, common earth, 300 H.P. dozer, 150' haul</v>
          </cell>
          <cell r="K249" t="str">
            <v>B10M</v>
          </cell>
          <cell r="L249">
            <v>800</v>
          </cell>
          <cell r="M249">
            <v>0.01</v>
          </cell>
          <cell r="N249" t="str">
            <v>B.C.Y.</v>
          </cell>
          <cell r="O249">
            <v>0</v>
          </cell>
          <cell r="P249">
            <v>0.3</v>
          </cell>
          <cell r="Q249">
            <v>1.63</v>
          </cell>
          <cell r="R249">
            <v>1.93</v>
          </cell>
          <cell r="S249">
            <v>2.2799999999999998</v>
          </cell>
        </row>
        <row r="250">
          <cell r="I250" t="str">
            <v>02 315 432 5400</v>
          </cell>
          <cell r="J250" t="str">
            <v>Excavating, bulk, open site, bank measure, sand and gravel, 300 H.P. dozer, 300' haul</v>
          </cell>
          <cell r="K250" t="str">
            <v>B10M</v>
          </cell>
          <cell r="L250">
            <v>470</v>
          </cell>
          <cell r="M250">
            <v>1.7000000000000001E-2</v>
          </cell>
          <cell r="N250" t="str">
            <v>B.C.Y.</v>
          </cell>
          <cell r="O250">
            <v>0</v>
          </cell>
          <cell r="P250">
            <v>0.5</v>
          </cell>
          <cell r="Q250">
            <v>2.77</v>
          </cell>
          <cell r="R250">
            <v>3.27</v>
          </cell>
          <cell r="S250">
            <v>3.87</v>
          </cell>
        </row>
        <row r="251">
          <cell r="I251" t="str">
            <v>02 315 432 5420</v>
          </cell>
          <cell r="J251" t="str">
            <v>Excavating, bulk, open site, bank measure, common earth, 300 H.P. dozer, 300' haul</v>
          </cell>
          <cell r="K251" t="str">
            <v>B10M</v>
          </cell>
          <cell r="L251">
            <v>410</v>
          </cell>
          <cell r="M251">
            <v>0.02</v>
          </cell>
          <cell r="N251" t="str">
            <v>B.C.Y.</v>
          </cell>
          <cell r="O251">
            <v>0</v>
          </cell>
          <cell r="P251">
            <v>0.57999999999999996</v>
          </cell>
          <cell r="Q251">
            <v>3.17</v>
          </cell>
          <cell r="R251">
            <v>3.75</v>
          </cell>
          <cell r="S251">
            <v>4.4400000000000004</v>
          </cell>
        </row>
        <row r="252">
          <cell r="I252" t="str">
            <v>02 315 462 6030</v>
          </cell>
          <cell r="J252" t="str">
            <v>Excavating, structural, bank measure, for spread and mat footings, elevator pits, and small building foundations, common earth, 1/2 C.Y. bucket, machine excavation, hydraulic backhoe</v>
          </cell>
          <cell r="K252" t="str">
            <v>B12E</v>
          </cell>
          <cell r="L252">
            <v>55</v>
          </cell>
          <cell r="M252">
            <v>0.29099999999999998</v>
          </cell>
          <cell r="N252" t="str">
            <v>B.C.Y.</v>
          </cell>
          <cell r="O252">
            <v>0</v>
          </cell>
          <cell r="P252">
            <v>7.65</v>
          </cell>
          <cell r="Q252">
            <v>6.5</v>
          </cell>
          <cell r="R252">
            <v>14.15</v>
          </cell>
          <cell r="S252">
            <v>19.95</v>
          </cell>
        </row>
        <row r="253">
          <cell r="I253" t="str">
            <v>02 315 462 6035</v>
          </cell>
          <cell r="J253" t="str">
            <v>Excavating, structural, bank measure, for spread and mat footings, elevator pits, and small building foundations, common earth, 3/4 C.Y. bucket, machine excavation, hydraulic backhoe</v>
          </cell>
          <cell r="K253" t="str">
            <v>B12F</v>
          </cell>
          <cell r="L253">
            <v>90</v>
          </cell>
          <cell r="M253">
            <v>0.17799999999999999</v>
          </cell>
          <cell r="N253" t="str">
            <v>B.C.Y.</v>
          </cell>
          <cell r="O253">
            <v>0</v>
          </cell>
          <cell r="P253">
            <v>4.6900000000000004</v>
          </cell>
          <cell r="Q253">
            <v>5.75</v>
          </cell>
          <cell r="R253">
            <v>10.44</v>
          </cell>
          <cell r="S253">
            <v>14.1</v>
          </cell>
        </row>
        <row r="254">
          <cell r="I254" t="str">
            <v>02 315 462 6040</v>
          </cell>
          <cell r="J254" t="str">
            <v>Excavating, structural, bank measure, for spread and mat footings, elevator pits, and small building foundations, common earth, 1 C.Y. bucket, machine excavation, hydraulic backhoe</v>
          </cell>
          <cell r="K254" t="str">
            <v>B12A</v>
          </cell>
          <cell r="L254">
            <v>108</v>
          </cell>
          <cell r="M254">
            <v>0.14799999999999999</v>
          </cell>
          <cell r="N254" t="str">
            <v>B.C.Y.</v>
          </cell>
          <cell r="O254">
            <v>0</v>
          </cell>
          <cell r="P254">
            <v>3.91</v>
          </cell>
          <cell r="Q254">
            <v>5.55</v>
          </cell>
          <cell r="R254">
            <v>9.4600000000000009</v>
          </cell>
          <cell r="S254">
            <v>12.65</v>
          </cell>
        </row>
        <row r="255">
          <cell r="I255" t="str">
            <v>02 315 462 6050</v>
          </cell>
          <cell r="J255" t="str">
            <v>Excavating, structural, bank measure, for spread and mat footings, elevator pits, and small building foundations, common earth, 1-1/2 C.Y. bucket, machine excavation, hydraulic backhoe</v>
          </cell>
          <cell r="K255" t="str">
            <v>B12B</v>
          </cell>
          <cell r="L255">
            <v>144</v>
          </cell>
          <cell r="M255">
            <v>0.111</v>
          </cell>
          <cell r="N255" t="str">
            <v>B.C.Y.</v>
          </cell>
          <cell r="O255">
            <v>0</v>
          </cell>
          <cell r="P255">
            <v>2.93</v>
          </cell>
          <cell r="Q255">
            <v>5.4</v>
          </cell>
          <cell r="R255">
            <v>8.33</v>
          </cell>
          <cell r="S255">
            <v>10.8</v>
          </cell>
        </row>
        <row r="256">
          <cell r="I256" t="str">
            <v>02 315 462 6070</v>
          </cell>
          <cell r="J256" t="str">
            <v>Excavating, structural, bank measure, for spread and mat footings, elevator pits, and small building foundations, sand and gravel, 3/4 C.Y. bucket, machine excavation, hydraulic backhoe</v>
          </cell>
          <cell r="K256" t="str">
            <v>B12F</v>
          </cell>
          <cell r="L256">
            <v>100</v>
          </cell>
          <cell r="M256">
            <v>0.16</v>
          </cell>
          <cell r="N256" t="str">
            <v>B.C.Y.</v>
          </cell>
          <cell r="O256">
            <v>0</v>
          </cell>
          <cell r="P256">
            <v>4.22</v>
          </cell>
          <cell r="Q256">
            <v>5.15</v>
          </cell>
          <cell r="R256">
            <v>9.3699999999999992</v>
          </cell>
          <cell r="S256">
            <v>12.75</v>
          </cell>
        </row>
        <row r="257">
          <cell r="I257" t="str">
            <v>02 315 462 6080</v>
          </cell>
          <cell r="J257" t="str">
            <v>Excavating, structural, bank measure, for spread and mat footings, elevator pits, and small building foundations, sand and gravel, 1 C.Y. bucket, machine excavation, hydraulic backhoe</v>
          </cell>
          <cell r="K257" t="str">
            <v>B12A</v>
          </cell>
          <cell r="L257">
            <v>120</v>
          </cell>
          <cell r="M257">
            <v>0.13300000000000001</v>
          </cell>
          <cell r="N257" t="str">
            <v>B.C.Y.</v>
          </cell>
          <cell r="O257">
            <v>0</v>
          </cell>
          <cell r="P257">
            <v>3.52</v>
          </cell>
          <cell r="Q257">
            <v>5</v>
          </cell>
          <cell r="R257">
            <v>8.52</v>
          </cell>
          <cell r="S257">
            <v>11.35</v>
          </cell>
        </row>
        <row r="258">
          <cell r="I258" t="str">
            <v>02 315 462 6090</v>
          </cell>
          <cell r="J258" t="str">
            <v>Excavating, structural, bank measure, for spread and mat footings, elevator pits, and small building foundations, sand and gravel, 1-1/2 C.Y. bucket, machine excavation, hydraulic backhoe</v>
          </cell>
          <cell r="K258" t="str">
            <v>B12B</v>
          </cell>
          <cell r="L258">
            <v>160</v>
          </cell>
          <cell r="M258">
            <v>0.1</v>
          </cell>
          <cell r="N258" t="str">
            <v>B.C.Y.</v>
          </cell>
          <cell r="O258">
            <v>0</v>
          </cell>
          <cell r="P258">
            <v>2.64</v>
          </cell>
          <cell r="Q258">
            <v>4.8499999999999996</v>
          </cell>
          <cell r="R258">
            <v>7.49</v>
          </cell>
          <cell r="S258">
            <v>9.75</v>
          </cell>
        </row>
        <row r="259">
          <cell r="I259" t="str">
            <v>02 315 462 6110</v>
          </cell>
          <cell r="J259" t="str">
            <v>Excavating, structural, bank measure, for spread and mat footings, elevator pits, and small building foundations, clay, till, or blasted rock, 3/4 C.Y. bucket, machine excavation, hydraulic backhoe</v>
          </cell>
          <cell r="K259" t="str">
            <v>B12F</v>
          </cell>
          <cell r="L259">
            <v>80</v>
          </cell>
          <cell r="M259">
            <v>0.2</v>
          </cell>
          <cell r="N259" t="str">
            <v>B.C.Y.</v>
          </cell>
          <cell r="O259">
            <v>0</v>
          </cell>
          <cell r="P259">
            <v>5.3</v>
          </cell>
          <cell r="Q259">
            <v>6.45</v>
          </cell>
          <cell r="R259">
            <v>11.75</v>
          </cell>
          <cell r="S259">
            <v>15.9</v>
          </cell>
        </row>
        <row r="260">
          <cell r="I260" t="str">
            <v>02 315 462 6120</v>
          </cell>
          <cell r="J260" t="str">
            <v>Excavating, structural, bank measure, for spread and mat footings, elevator pits, and small building foundations, clay, till, or blasted rock, 1 C.Y. bucket, machine excavation, hydraulic backhoe</v>
          </cell>
          <cell r="K260" t="str">
            <v>B12A</v>
          </cell>
          <cell r="L260">
            <v>95</v>
          </cell>
          <cell r="M260">
            <v>0.16800000000000001</v>
          </cell>
          <cell r="N260" t="str">
            <v>B.C.Y.</v>
          </cell>
          <cell r="O260">
            <v>0</v>
          </cell>
          <cell r="P260">
            <v>4.4400000000000004</v>
          </cell>
          <cell r="Q260">
            <v>6.35</v>
          </cell>
          <cell r="R260">
            <v>10.79</v>
          </cell>
          <cell r="S260">
            <v>14.35</v>
          </cell>
        </row>
        <row r="261">
          <cell r="I261" t="str">
            <v>02 315 462 6130</v>
          </cell>
          <cell r="J261" t="str">
            <v>Excavating, structural, bank measure, for spread and mat footings, elevator pits, and small building foundations, clay, till, or blasted rock, 1-1/2 C.Y. bucket, machine excavation, hydraulic backhoe</v>
          </cell>
          <cell r="K261" t="str">
            <v>B12B</v>
          </cell>
          <cell r="L261">
            <v>130</v>
          </cell>
          <cell r="M261">
            <v>0.123</v>
          </cell>
          <cell r="N261" t="str">
            <v>B.C.Y.</v>
          </cell>
          <cell r="O261">
            <v>0</v>
          </cell>
          <cell r="P261">
            <v>3.25</v>
          </cell>
          <cell r="Q261">
            <v>5.95</v>
          </cell>
          <cell r="R261">
            <v>9.1999999999999993</v>
          </cell>
          <cell r="S261">
            <v>11.95</v>
          </cell>
        </row>
        <row r="262">
          <cell r="I262" t="str">
            <v>02 315 490 0310</v>
          </cell>
          <cell r="J262" t="str">
            <v>Hauling, excavated or borrow material, loose cubic yards, 1/4 mile round trip, 3.7 loads/hour, 12 C.Y. dump truck, highway haulers, excludes loading</v>
          </cell>
          <cell r="K262" t="str">
            <v>B34B</v>
          </cell>
          <cell r="L262">
            <v>288</v>
          </cell>
          <cell r="M262">
            <v>2.8000000000000001E-2</v>
          </cell>
          <cell r="N262" t="str">
            <v>L.C.Y.</v>
          </cell>
          <cell r="O262">
            <v>0</v>
          </cell>
          <cell r="P262">
            <v>0.65</v>
          </cell>
          <cell r="Q262">
            <v>1.84</v>
          </cell>
          <cell r="R262">
            <v>2.4900000000000002</v>
          </cell>
          <cell r="S262">
            <v>3.11</v>
          </cell>
        </row>
        <row r="263">
          <cell r="I263" t="str">
            <v>02 315 490 0320</v>
          </cell>
          <cell r="J263" t="str">
            <v>Hauling, excavated or borrow material, loose cubic yards, 1/2 mile round trip, 3.2 loads/hour, 12 C.Y. dump truck, highway haulers, excludes loading</v>
          </cell>
          <cell r="K263" t="str">
            <v>B34B</v>
          </cell>
          <cell r="L263">
            <v>250</v>
          </cell>
          <cell r="M263">
            <v>3.2000000000000001E-2</v>
          </cell>
          <cell r="N263" t="str">
            <v>L.C.Y.</v>
          </cell>
          <cell r="O263">
            <v>0</v>
          </cell>
          <cell r="P263">
            <v>0.75</v>
          </cell>
          <cell r="Q263">
            <v>2.12</v>
          </cell>
          <cell r="R263">
            <v>2.87</v>
          </cell>
          <cell r="S263">
            <v>3.59</v>
          </cell>
        </row>
        <row r="264">
          <cell r="I264" t="str">
            <v>02 315 490 0330</v>
          </cell>
          <cell r="J264" t="str">
            <v>Hauling, excavated or borrow material, loose cubic yards, 1 mile round trip, 2.7 loads/hour, 12 C.Y. dump truck, highway haulers, excludes loading</v>
          </cell>
          <cell r="K264" t="str">
            <v>B34B</v>
          </cell>
          <cell r="L264">
            <v>210</v>
          </cell>
          <cell r="M264">
            <v>3.7999999999999999E-2</v>
          </cell>
          <cell r="N264" t="str">
            <v>L.C.Y.</v>
          </cell>
          <cell r="O264">
            <v>0</v>
          </cell>
          <cell r="P264">
            <v>0.89</v>
          </cell>
          <cell r="Q264">
            <v>2.52</v>
          </cell>
          <cell r="R264">
            <v>3.41</v>
          </cell>
          <cell r="S264">
            <v>4.28</v>
          </cell>
        </row>
        <row r="265">
          <cell r="I265" t="str">
            <v>02 315 490 0400</v>
          </cell>
          <cell r="J265" t="str">
            <v>Hauling, excavated or borrow material, loose cubic yards, 1 mile round trip, 2.2 loads/hour, 12 C.Y. truck, highway haulers, excludes loading</v>
          </cell>
          <cell r="K265" t="str">
            <v>B34B</v>
          </cell>
          <cell r="L265">
            <v>180</v>
          </cell>
          <cell r="M265">
            <v>4.3999999999999997E-2</v>
          </cell>
          <cell r="N265" t="str">
            <v>L.C.Y.</v>
          </cell>
          <cell r="O265">
            <v>0</v>
          </cell>
          <cell r="P265">
            <v>1.04</v>
          </cell>
          <cell r="Q265">
            <v>2.94</v>
          </cell>
          <cell r="R265">
            <v>3.98</v>
          </cell>
          <cell r="S265">
            <v>4.99</v>
          </cell>
        </row>
        <row r="266">
          <cell r="I266" t="str">
            <v>02 315 490 0450</v>
          </cell>
          <cell r="J266" t="str">
            <v>Hauling, excavated or borrow material, loose cubic yards, 3 mile round trip , 1.9 loads/hour, 12 C.Y. truck, highway haulers, excludes loading</v>
          </cell>
          <cell r="K266" t="str">
            <v>B34B</v>
          </cell>
          <cell r="L266">
            <v>170</v>
          </cell>
          <cell r="M266">
            <v>4.7E-2</v>
          </cell>
          <cell r="N266" t="str">
            <v>L.C.Y.</v>
          </cell>
          <cell r="O266">
            <v>0</v>
          </cell>
          <cell r="P266">
            <v>1.1000000000000001</v>
          </cell>
          <cell r="Q266">
            <v>3.12</v>
          </cell>
          <cell r="R266">
            <v>4.22</v>
          </cell>
          <cell r="S266">
            <v>5.3</v>
          </cell>
        </row>
        <row r="267">
          <cell r="I267" t="str">
            <v>02 315 490 0500</v>
          </cell>
          <cell r="J267" t="str">
            <v>Hauling, excavated or borrow material, loose cubic yards, 4 mile round trip, 1.6 loads/hour, 12 C.Y. truck, highway haulers, excludes loading</v>
          </cell>
          <cell r="K267" t="str">
            <v>B34B</v>
          </cell>
          <cell r="L267">
            <v>125</v>
          </cell>
          <cell r="M267">
            <v>6.4000000000000001E-2</v>
          </cell>
          <cell r="N267" t="str">
            <v>L.C.Y.</v>
          </cell>
          <cell r="O267">
            <v>0</v>
          </cell>
          <cell r="P267">
            <v>1.49</v>
          </cell>
          <cell r="Q267">
            <v>4.24</v>
          </cell>
          <cell r="R267">
            <v>5.73</v>
          </cell>
          <cell r="S267">
            <v>7.2</v>
          </cell>
        </row>
        <row r="268">
          <cell r="I268" t="str">
            <v>02 315 490 0540</v>
          </cell>
          <cell r="J268" t="str">
            <v>Hauling, excavated or borrow material, loose cubic yards, 5 mile round trip , 1 loads/hour, 12 C.Y. truck, highway haulers, excludes loading</v>
          </cell>
          <cell r="K268" t="str">
            <v>B34B</v>
          </cell>
          <cell r="L268">
            <v>78</v>
          </cell>
          <cell r="M268">
            <v>0.10299999999999999</v>
          </cell>
          <cell r="N268" t="str">
            <v>L.C.Y.</v>
          </cell>
          <cell r="O268">
            <v>0</v>
          </cell>
          <cell r="P268">
            <v>2.39</v>
          </cell>
          <cell r="Q268">
            <v>6.8</v>
          </cell>
          <cell r="R268">
            <v>9.19</v>
          </cell>
          <cell r="S268">
            <v>11.5</v>
          </cell>
        </row>
        <row r="269">
          <cell r="I269" t="str">
            <v>02 315 490 0550</v>
          </cell>
          <cell r="J269" t="str">
            <v>Hauling, excavated or borrow material, loose cubic yards, 10 mile round trip, .6 loads/hr , base wide rate, 12 C.Y. truck, highway haulers, excludes loading</v>
          </cell>
          <cell r="K269" t="str">
            <v>B34B</v>
          </cell>
          <cell r="L269">
            <v>58</v>
          </cell>
          <cell r="M269">
            <v>0.13800000000000001</v>
          </cell>
          <cell r="N269" t="str">
            <v>L.C.Y.</v>
          </cell>
          <cell r="O269">
            <v>0</v>
          </cell>
          <cell r="P269">
            <v>3.22</v>
          </cell>
          <cell r="Q269">
            <v>9.15</v>
          </cell>
          <cell r="R269">
            <v>12.37</v>
          </cell>
          <cell r="S269">
            <v>15.45</v>
          </cell>
        </row>
        <row r="270">
          <cell r="I270" t="str">
            <v>02 315 490 0560</v>
          </cell>
          <cell r="J270" t="str">
            <v>Hauling, excavated or borrow material, loose cubic yards, 20 mile round trip, 0.4 load/hr, base wide rate, 12 C.Y. truck, highway haulers, excludes loading</v>
          </cell>
          <cell r="K270" t="str">
            <v>B34B</v>
          </cell>
          <cell r="L270">
            <v>39</v>
          </cell>
          <cell r="M270">
            <v>0.20499999999999999</v>
          </cell>
          <cell r="N270" t="str">
            <v>L.C.Y.</v>
          </cell>
          <cell r="O270">
            <v>0</v>
          </cell>
          <cell r="P270">
            <v>4.79</v>
          </cell>
          <cell r="Q270">
            <v>13.6</v>
          </cell>
          <cell r="R270">
            <v>18.39</v>
          </cell>
          <cell r="S270">
            <v>23</v>
          </cell>
        </row>
        <row r="271">
          <cell r="I271" t="str">
            <v>02 315 490 2010</v>
          </cell>
          <cell r="J271" t="str">
            <v>Hauling, excavated or borrow material, loose cubic yards, 1000' round trip, 4.5 loads/hour, 22 C.Y. rear/bottom dump, off highway haulers</v>
          </cell>
          <cell r="K271" t="str">
            <v>B34F</v>
          </cell>
          <cell r="L271">
            <v>645</v>
          </cell>
          <cell r="M271">
            <v>1.2E-2</v>
          </cell>
          <cell r="N271" t="str">
            <v>L.C.Y.</v>
          </cell>
          <cell r="O271">
            <v>0</v>
          </cell>
          <cell r="P271">
            <v>0.28999999999999998</v>
          </cell>
          <cell r="Q271">
            <v>1.57</v>
          </cell>
          <cell r="R271">
            <v>1.86</v>
          </cell>
          <cell r="S271">
            <v>2.2200000000000002</v>
          </cell>
        </row>
        <row r="272">
          <cell r="I272" t="str">
            <v>02 315 490 2050</v>
          </cell>
          <cell r="J272" t="str">
            <v>Hauling, excavated or borrow material, loose cubic yards, 1000' round trip, 4.0 loads/hour, 34 C.Y. rear or bottom dump, off highway haulers</v>
          </cell>
          <cell r="K272" t="str">
            <v>B34G</v>
          </cell>
          <cell r="L272">
            <v>885</v>
          </cell>
          <cell r="M272">
            <v>8.9999999999999993E-3</v>
          </cell>
          <cell r="N272" t="str">
            <v>L.C.Y.</v>
          </cell>
          <cell r="O272">
            <v>0</v>
          </cell>
          <cell r="P272">
            <v>0.21</v>
          </cell>
          <cell r="Q272">
            <v>1.48</v>
          </cell>
          <cell r="R272">
            <v>1.69</v>
          </cell>
          <cell r="S272">
            <v>1.99</v>
          </cell>
        </row>
        <row r="273">
          <cell r="I273" t="str">
            <v>02 315 490 2090</v>
          </cell>
          <cell r="J273" t="str">
            <v>Hauling, excavated or borrow material, loose cubic yards, 1000' round trip, 3.8 loads/hour, 42 C.Y. rear or bottom bump, off highway haulers</v>
          </cell>
          <cell r="K273" t="str">
            <v>B34H</v>
          </cell>
          <cell r="L273">
            <v>1040</v>
          </cell>
          <cell r="M273">
            <v>8.0000000000000002E-3</v>
          </cell>
          <cell r="N273" t="str">
            <v>L.C.Y.</v>
          </cell>
          <cell r="O273">
            <v>0</v>
          </cell>
          <cell r="P273">
            <v>0.18</v>
          </cell>
          <cell r="Q273">
            <v>1.34</v>
          </cell>
          <cell r="R273">
            <v>1.52</v>
          </cell>
          <cell r="S273">
            <v>1.77</v>
          </cell>
        </row>
        <row r="274">
          <cell r="I274" t="str">
            <v>02 315 490 2130</v>
          </cell>
          <cell r="J274" t="str">
            <v>Hauling, excavated or borrow material, loose cubic yards, 1000' round trip, 3.6 loads/hour, 60 C.Y. rear or bottom dump, off highway haulers</v>
          </cell>
          <cell r="K274" t="str">
            <v>B34J</v>
          </cell>
          <cell r="L274">
            <v>1400</v>
          </cell>
          <cell r="M274">
            <v>6.0000000000000001E-3</v>
          </cell>
          <cell r="N274" t="str">
            <v>L.C.Y.</v>
          </cell>
          <cell r="O274">
            <v>0</v>
          </cell>
          <cell r="P274">
            <v>0.13</v>
          </cell>
          <cell r="Q274">
            <v>1.28</v>
          </cell>
          <cell r="R274">
            <v>1.41</v>
          </cell>
          <cell r="S274">
            <v>1.63</v>
          </cell>
        </row>
        <row r="275">
          <cell r="I275" t="str">
            <v>02 315 520 0020</v>
          </cell>
          <cell r="J275" t="str">
            <v>Fill, dumped material, spread, by dozer, excludes compaction</v>
          </cell>
          <cell r="K275" t="str">
            <v>B10B</v>
          </cell>
          <cell r="L275">
            <v>1000</v>
          </cell>
          <cell r="M275">
            <v>8.0000000000000002E-3</v>
          </cell>
          <cell r="N275" t="str">
            <v>L.C.Y.</v>
          </cell>
          <cell r="O275">
            <v>0</v>
          </cell>
          <cell r="P275">
            <v>0.24</v>
          </cell>
          <cell r="Q275">
            <v>0.99</v>
          </cell>
          <cell r="R275">
            <v>1.23</v>
          </cell>
          <cell r="S275">
            <v>1.48</v>
          </cell>
        </row>
        <row r="276">
          <cell r="I276" t="str">
            <v>02 315 520 0190</v>
          </cell>
          <cell r="J276" t="str">
            <v>Fill, from stockpile, 300 H.P. dozer, 2-1/2 C.Y., 300' haul, spread fill, with front-end loader, excludes compaction</v>
          </cell>
          <cell r="K276" t="str">
            <v>B10M</v>
          </cell>
          <cell r="L276">
            <v>600</v>
          </cell>
          <cell r="M276">
            <v>1.2999999999999999E-2</v>
          </cell>
          <cell r="N276" t="str">
            <v>L.C.Y.</v>
          </cell>
          <cell r="O276">
            <v>0</v>
          </cell>
          <cell r="P276">
            <v>0.39</v>
          </cell>
          <cell r="Q276">
            <v>2.17</v>
          </cell>
          <cell r="R276">
            <v>2.56</v>
          </cell>
          <cell r="S276">
            <v>3.03</v>
          </cell>
        </row>
        <row r="277">
          <cell r="I277" t="str">
            <v>02 315 520 0500</v>
          </cell>
          <cell r="J277" t="str">
            <v>Fill, gravel fill, compacted, under floor slabs, 4" deep</v>
          </cell>
          <cell r="K277" t="str">
            <v>B37</v>
          </cell>
          <cell r="L277">
            <v>10000</v>
          </cell>
          <cell r="M277">
            <v>5.0000000000000001E-3</v>
          </cell>
          <cell r="N277" t="str">
            <v>S.F.</v>
          </cell>
          <cell r="O277">
            <v>0.19</v>
          </cell>
          <cell r="P277">
            <v>0.11</v>
          </cell>
          <cell r="Q277">
            <v>0.01</v>
          </cell>
          <cell r="R277">
            <v>0.31</v>
          </cell>
          <cell r="S277">
            <v>0.41</v>
          </cell>
        </row>
        <row r="278">
          <cell r="I278" t="str">
            <v>02 315 520 0600</v>
          </cell>
          <cell r="J278" t="str">
            <v>Fill, gravel fill, compacted, under floor slabs, 6" deep</v>
          </cell>
          <cell r="K278" t="str">
            <v>B37</v>
          </cell>
          <cell r="L278">
            <v>8600</v>
          </cell>
          <cell r="M278">
            <v>6.0000000000000001E-3</v>
          </cell>
          <cell r="N278" t="str">
            <v>S.F.</v>
          </cell>
          <cell r="O278">
            <v>0.28000000000000003</v>
          </cell>
          <cell r="P278">
            <v>0.13</v>
          </cell>
          <cell r="Q278">
            <v>0.01</v>
          </cell>
          <cell r="R278">
            <v>0.42</v>
          </cell>
          <cell r="S278">
            <v>0.55000000000000004</v>
          </cell>
        </row>
        <row r="279">
          <cell r="I279" t="str">
            <v>02 315 520 0700</v>
          </cell>
          <cell r="J279" t="str">
            <v>Fill, gravel fill, compacted, under floor slabs, 9" deep</v>
          </cell>
          <cell r="K279" t="str">
            <v>B37</v>
          </cell>
          <cell r="L279">
            <v>7200</v>
          </cell>
          <cell r="M279">
            <v>7.0000000000000001E-3</v>
          </cell>
          <cell r="N279" t="str">
            <v>S.F.</v>
          </cell>
          <cell r="O279">
            <v>0.47</v>
          </cell>
          <cell r="P279">
            <v>0.16</v>
          </cell>
          <cell r="Q279">
            <v>0.02</v>
          </cell>
          <cell r="R279">
            <v>0.65</v>
          </cell>
          <cell r="S279">
            <v>0.8</v>
          </cell>
        </row>
        <row r="280">
          <cell r="I280" t="str">
            <v>02 315 520 0800</v>
          </cell>
          <cell r="J280" t="str">
            <v>Fill, gravel fill, compacted, under floor slabs, 12" deep</v>
          </cell>
          <cell r="K280" t="str">
            <v>B37</v>
          </cell>
          <cell r="L280">
            <v>6000</v>
          </cell>
          <cell r="M280">
            <v>8.0000000000000002E-3</v>
          </cell>
          <cell r="N280" t="str">
            <v>S.F.</v>
          </cell>
          <cell r="O280">
            <v>0.66</v>
          </cell>
          <cell r="P280">
            <v>0.19</v>
          </cell>
          <cell r="Q280">
            <v>0.02</v>
          </cell>
          <cell r="R280">
            <v>0.87</v>
          </cell>
          <cell r="S280">
            <v>1.07</v>
          </cell>
        </row>
        <row r="281">
          <cell r="I281" t="str">
            <v>02 315 520 1000</v>
          </cell>
          <cell r="J281" t="str">
            <v>Fill, gravel fill, compacted, under floor slabs, alternate pricing method, 4" deep</v>
          </cell>
          <cell r="K281" t="str">
            <v>B37</v>
          </cell>
          <cell r="L281">
            <v>120</v>
          </cell>
          <cell r="M281">
            <v>0.4</v>
          </cell>
          <cell r="N281" t="str">
            <v>E.C.Y.</v>
          </cell>
          <cell r="O281">
            <v>14.2</v>
          </cell>
          <cell r="P281">
            <v>9.4</v>
          </cell>
          <cell r="Q281">
            <v>1.02</v>
          </cell>
          <cell r="R281">
            <v>24.62</v>
          </cell>
          <cell r="S281">
            <v>32.5</v>
          </cell>
        </row>
        <row r="282">
          <cell r="I282" t="str">
            <v>02 315 520 1100</v>
          </cell>
          <cell r="J282" t="str">
            <v>Fill, gravel fill, compacted, under floor slabs, alternate pricing method, 6" deep</v>
          </cell>
          <cell r="K282" t="str">
            <v>B37</v>
          </cell>
          <cell r="L282">
            <v>160</v>
          </cell>
          <cell r="M282">
            <v>0.3</v>
          </cell>
          <cell r="N282" t="str">
            <v>E.C.Y.</v>
          </cell>
          <cell r="O282">
            <v>14.2</v>
          </cell>
          <cell r="P282">
            <v>7.05</v>
          </cell>
          <cell r="Q282">
            <v>0.77</v>
          </cell>
          <cell r="R282">
            <v>22.02</v>
          </cell>
          <cell r="S282">
            <v>28.5</v>
          </cell>
        </row>
        <row r="283">
          <cell r="I283" t="str">
            <v>02 315 520 1200</v>
          </cell>
          <cell r="J283" t="str">
            <v>Fill, gravel fill, compacted, under floor slabs, alternate pricing method, 9" deep</v>
          </cell>
          <cell r="K283" t="str">
            <v>B37</v>
          </cell>
          <cell r="L283">
            <v>200</v>
          </cell>
          <cell r="M283">
            <v>0.24</v>
          </cell>
          <cell r="N283" t="str">
            <v>E.C.Y.</v>
          </cell>
          <cell r="O283">
            <v>14.2</v>
          </cell>
          <cell r="P283">
            <v>5.65</v>
          </cell>
          <cell r="Q283">
            <v>0.61</v>
          </cell>
          <cell r="R283">
            <v>20.46</v>
          </cell>
          <cell r="S283">
            <v>26</v>
          </cell>
        </row>
        <row r="284">
          <cell r="I284" t="str">
            <v>02 315 520 1300</v>
          </cell>
          <cell r="J284" t="str">
            <v>Fill, gravel fill, compacted, under floor slabs, alternate pricing method, 12" deep</v>
          </cell>
          <cell r="K284" t="str">
            <v>B37</v>
          </cell>
          <cell r="L284">
            <v>220</v>
          </cell>
          <cell r="M284">
            <v>0.218</v>
          </cell>
          <cell r="N284" t="str">
            <v>E.C.Y.</v>
          </cell>
          <cell r="O284">
            <v>14.2</v>
          </cell>
          <cell r="P284">
            <v>5.0999999999999996</v>
          </cell>
          <cell r="Q284">
            <v>0.56000000000000005</v>
          </cell>
          <cell r="R284">
            <v>19.86</v>
          </cell>
          <cell r="S284">
            <v>25</v>
          </cell>
        </row>
        <row r="285">
          <cell r="I285" t="str">
            <v>02 315 610 0050</v>
          </cell>
          <cell r="J285" t="str">
            <v>Excavating, trench or continuous footing, common earth, 3/8 C.Y. excavator, 1' to 4' deep, excludes sheeting or dewatering</v>
          </cell>
          <cell r="K285" t="str">
            <v>B11C</v>
          </cell>
          <cell r="L285">
            <v>150</v>
          </cell>
          <cell r="M285">
            <v>0.107</v>
          </cell>
          <cell r="N285" t="str">
            <v>B.C.Y.</v>
          </cell>
          <cell r="O285">
            <v>0</v>
          </cell>
          <cell r="P285">
            <v>2.76</v>
          </cell>
          <cell r="Q285">
            <v>1.62</v>
          </cell>
          <cell r="R285">
            <v>4.38</v>
          </cell>
          <cell r="S285">
            <v>6.4</v>
          </cell>
        </row>
        <row r="286">
          <cell r="I286" t="str">
            <v>02 315 610 0060</v>
          </cell>
          <cell r="J286" t="str">
            <v>Excavating, trench or continuous footing, common earth, 1/2 C.Y. excavator, 1' to 4' deep, excludes sheeting or dewatering</v>
          </cell>
          <cell r="K286" t="str">
            <v>B11M</v>
          </cell>
          <cell r="L286">
            <v>200</v>
          </cell>
          <cell r="M286">
            <v>0.08</v>
          </cell>
          <cell r="N286" t="str">
            <v>B.C.Y.</v>
          </cell>
          <cell r="O286">
            <v>0</v>
          </cell>
          <cell r="P286">
            <v>2.0699999999999998</v>
          </cell>
          <cell r="Q286">
            <v>1.43</v>
          </cell>
          <cell r="R286">
            <v>3.5</v>
          </cell>
          <cell r="S286">
            <v>5</v>
          </cell>
        </row>
        <row r="287">
          <cell r="I287" t="str">
            <v>02 315 610 0062</v>
          </cell>
          <cell r="J287" t="str">
            <v>Excavating, trench or continuous footing, common earth, 3/4 C.Y. excavator, 1' to 4' deep, excludes sheeting or dewatering</v>
          </cell>
          <cell r="K287" t="str">
            <v>B12F</v>
          </cell>
          <cell r="L287">
            <v>270</v>
          </cell>
          <cell r="M287">
            <v>5.8999999999999997E-2</v>
          </cell>
          <cell r="N287" t="str">
            <v>B.C.Y.</v>
          </cell>
          <cell r="O287">
            <v>0</v>
          </cell>
          <cell r="P287">
            <v>1.56</v>
          </cell>
          <cell r="Q287">
            <v>1.91</v>
          </cell>
          <cell r="R287">
            <v>3.47</v>
          </cell>
          <cell r="S287">
            <v>4.71</v>
          </cell>
        </row>
        <row r="288">
          <cell r="I288" t="str">
            <v>02 315 610 0090</v>
          </cell>
          <cell r="J288" t="str">
            <v>Excavating, trench or continuous footing, common earth, 1/2 C.Y. excavator, 4' to 6' deep, excludes sheeting or dewatering</v>
          </cell>
          <cell r="K288" t="str">
            <v>B11M</v>
          </cell>
          <cell r="L288">
            <v>200</v>
          </cell>
          <cell r="M288">
            <v>0.08</v>
          </cell>
          <cell r="N288" t="str">
            <v>B.C.Y.</v>
          </cell>
          <cell r="O288">
            <v>0</v>
          </cell>
          <cell r="P288">
            <v>2.0699999999999998</v>
          </cell>
          <cell r="Q288">
            <v>1.43</v>
          </cell>
          <cell r="R288">
            <v>3.5</v>
          </cell>
          <cell r="S288">
            <v>5</v>
          </cell>
        </row>
        <row r="289">
          <cell r="I289" t="str">
            <v>02 315 610 0100</v>
          </cell>
          <cell r="J289" t="str">
            <v>Excavating, trench or continuous footing, common earth, 5/8 C.Y. excavator, 4' to 6' deep, excludes sheeting or dewatering</v>
          </cell>
          <cell r="K289" t="str">
            <v>B12Q</v>
          </cell>
          <cell r="L289">
            <v>250</v>
          </cell>
          <cell r="M289">
            <v>6.4000000000000001E-2</v>
          </cell>
          <cell r="N289" t="str">
            <v>B.C.Y.</v>
          </cell>
          <cell r="O289">
            <v>0</v>
          </cell>
          <cell r="P289">
            <v>1.69</v>
          </cell>
          <cell r="Q289">
            <v>1.85</v>
          </cell>
          <cell r="R289">
            <v>3.54</v>
          </cell>
          <cell r="S289">
            <v>4.8499999999999996</v>
          </cell>
        </row>
        <row r="290">
          <cell r="I290" t="str">
            <v>02 315 610 0110</v>
          </cell>
          <cell r="J290" t="str">
            <v>Excavating, trench or continuous footing, common earth, 3/4 C.Y. excavator, 4' to 6' deep, excavator, excludes sheeting or dewatering</v>
          </cell>
          <cell r="K290" t="str">
            <v>B12F</v>
          </cell>
          <cell r="L290">
            <v>300</v>
          </cell>
          <cell r="M290">
            <v>5.2999999999999999E-2</v>
          </cell>
          <cell r="N290" t="str">
            <v>B.C.Y.</v>
          </cell>
          <cell r="O290">
            <v>0</v>
          </cell>
          <cell r="P290">
            <v>1.41</v>
          </cell>
          <cell r="Q290">
            <v>1.72</v>
          </cell>
          <cell r="R290">
            <v>3.13</v>
          </cell>
          <cell r="S290">
            <v>4.24</v>
          </cell>
        </row>
        <row r="291">
          <cell r="I291" t="str">
            <v>02 315 610 0120</v>
          </cell>
          <cell r="J291" t="str">
            <v>Excavating, trench or continuous footing, common earth, 1 C.Y. excavator, 4' to 6' deep, excludes sheeting or dewatering</v>
          </cell>
          <cell r="K291" t="str">
            <v>B12A</v>
          </cell>
          <cell r="L291">
            <v>400</v>
          </cell>
          <cell r="M291">
            <v>0.04</v>
          </cell>
          <cell r="N291" t="str">
            <v>B.C.Y.</v>
          </cell>
          <cell r="O291">
            <v>0</v>
          </cell>
          <cell r="P291">
            <v>1.06</v>
          </cell>
          <cell r="Q291">
            <v>1.5</v>
          </cell>
          <cell r="R291">
            <v>2.56</v>
          </cell>
          <cell r="S291">
            <v>3.41</v>
          </cell>
        </row>
        <row r="292">
          <cell r="I292" t="str">
            <v>02 315 610 0500</v>
          </cell>
          <cell r="J292" t="str">
            <v>Excavating, trench or continuous footing, common earth, 3/4 C.Y. excavator, 6' to 10' deep, excludes sheeting or dewatering</v>
          </cell>
          <cell r="K292" t="str">
            <v>B12F</v>
          </cell>
          <cell r="L292">
            <v>225</v>
          </cell>
          <cell r="M292">
            <v>7.0999999999999994E-2</v>
          </cell>
          <cell r="N292" t="str">
            <v>B.C.Y.</v>
          </cell>
          <cell r="O292">
            <v>0</v>
          </cell>
          <cell r="P292">
            <v>1.88</v>
          </cell>
          <cell r="Q292">
            <v>2.2999999999999998</v>
          </cell>
          <cell r="R292">
            <v>4.18</v>
          </cell>
          <cell r="S292">
            <v>5.65</v>
          </cell>
        </row>
        <row r="293">
          <cell r="I293" t="str">
            <v>02 315 610 0510</v>
          </cell>
          <cell r="J293" t="str">
            <v>Excavating, trench or continuous footing, common earth, 1 C.Y. excavator, 6' to 10' deep, excludes sheeting or dewatering</v>
          </cell>
          <cell r="K293" t="str">
            <v>B12A</v>
          </cell>
          <cell r="L293">
            <v>400</v>
          </cell>
          <cell r="M293">
            <v>0.04</v>
          </cell>
          <cell r="N293" t="str">
            <v>B.C.Y.</v>
          </cell>
          <cell r="O293">
            <v>0</v>
          </cell>
          <cell r="P293">
            <v>1.06</v>
          </cell>
          <cell r="Q293">
            <v>1.5</v>
          </cell>
          <cell r="R293">
            <v>2.56</v>
          </cell>
          <cell r="S293">
            <v>3.41</v>
          </cell>
        </row>
        <row r="294">
          <cell r="I294" t="str">
            <v>02 315 610 0600</v>
          </cell>
          <cell r="J294" t="str">
            <v>Excavating, trench or continuous footing, common earth, 1 C.Y. excavator, truck mounted, 6' to 10' deep, excludes sheeting or dewatering</v>
          </cell>
          <cell r="K294" t="str">
            <v>B12K</v>
          </cell>
          <cell r="L294">
            <v>400</v>
          </cell>
          <cell r="M294">
            <v>0.04</v>
          </cell>
          <cell r="N294" t="str">
            <v>B.C.Y.</v>
          </cell>
          <cell r="O294">
            <v>0</v>
          </cell>
          <cell r="P294">
            <v>1.06</v>
          </cell>
          <cell r="Q294">
            <v>2.57</v>
          </cell>
          <cell r="R294">
            <v>3.63</v>
          </cell>
          <cell r="S294">
            <v>4.58</v>
          </cell>
        </row>
        <row r="295">
          <cell r="I295" t="str">
            <v>02 315 610 0610</v>
          </cell>
          <cell r="J295" t="str">
            <v>Excavating, trench or continuous footing, common earth, 1 1/2 C.Y. excavator, 6' to 10' deep, excludes sheeting or dewatering</v>
          </cell>
          <cell r="K295" t="str">
            <v>B12B</v>
          </cell>
          <cell r="L295">
            <v>600</v>
          </cell>
          <cell r="M295">
            <v>2.7E-2</v>
          </cell>
          <cell r="N295" t="str">
            <v>B.C.Y.</v>
          </cell>
          <cell r="O295">
            <v>0</v>
          </cell>
          <cell r="P295">
            <v>0.7</v>
          </cell>
          <cell r="Q295">
            <v>1.29</v>
          </cell>
          <cell r="R295">
            <v>1.99</v>
          </cell>
          <cell r="S295">
            <v>2.59</v>
          </cell>
        </row>
        <row r="296">
          <cell r="I296" t="str">
            <v>02 315 610 0900</v>
          </cell>
          <cell r="J296" t="str">
            <v>Excavating, trench or continuous footing, common earth, 3/4 C.Y. excavator, 10' to 14' deep, excludes sheeting or dewatering</v>
          </cell>
          <cell r="K296" t="str">
            <v>B12F</v>
          </cell>
          <cell r="L296">
            <v>200</v>
          </cell>
          <cell r="M296">
            <v>0.08</v>
          </cell>
          <cell r="N296" t="str">
            <v>B.C.Y.</v>
          </cell>
          <cell r="O296">
            <v>0</v>
          </cell>
          <cell r="P296">
            <v>2.11</v>
          </cell>
          <cell r="Q296">
            <v>2.58</v>
          </cell>
          <cell r="R296">
            <v>4.6900000000000004</v>
          </cell>
          <cell r="S296">
            <v>6.35</v>
          </cell>
        </row>
        <row r="297">
          <cell r="I297" t="str">
            <v>02 315 610 0910</v>
          </cell>
          <cell r="J297" t="str">
            <v>Excavating, trench or continuous footing, common earth, 1 C.Y. excavator, 10' to 14' deep, excludes sheeting or dewatering</v>
          </cell>
          <cell r="K297" t="str">
            <v>B12A</v>
          </cell>
          <cell r="L297">
            <v>360</v>
          </cell>
          <cell r="M297">
            <v>4.3999999999999997E-2</v>
          </cell>
          <cell r="N297" t="str">
            <v>B.C.Y.</v>
          </cell>
          <cell r="O297">
            <v>0</v>
          </cell>
          <cell r="P297">
            <v>1.17</v>
          </cell>
          <cell r="Q297">
            <v>1.67</v>
          </cell>
          <cell r="R297">
            <v>2.84</v>
          </cell>
          <cell r="S297">
            <v>3.8</v>
          </cell>
        </row>
        <row r="298">
          <cell r="I298" t="str">
            <v>02 315 610 1000</v>
          </cell>
          <cell r="J298" t="str">
            <v>Excavating, trench or continuous footing, common earth, 1 1/2 C.Y. excavator, 10' to 14' deep, excludes sheeting or dewatering</v>
          </cell>
          <cell r="K298" t="str">
            <v>B12B</v>
          </cell>
          <cell r="L298">
            <v>540</v>
          </cell>
          <cell r="M298">
            <v>0.03</v>
          </cell>
          <cell r="N298" t="str">
            <v>B.C.Y.</v>
          </cell>
          <cell r="O298">
            <v>0</v>
          </cell>
          <cell r="P298">
            <v>0.78</v>
          </cell>
          <cell r="Q298">
            <v>1.44</v>
          </cell>
          <cell r="R298">
            <v>2.2200000000000002</v>
          </cell>
          <cell r="S298">
            <v>2.88</v>
          </cell>
        </row>
        <row r="299">
          <cell r="I299" t="str">
            <v>02 315 610 1020</v>
          </cell>
          <cell r="J299" t="str">
            <v>Excavating, trench or continuous footing, common earth, 2 1/2 C.Y. excavator, 10' to 14' deep, excludes sheeting or dewatering</v>
          </cell>
          <cell r="K299" t="str">
            <v>B12S</v>
          </cell>
          <cell r="L299">
            <v>1000</v>
          </cell>
          <cell r="M299">
            <v>1.6E-2</v>
          </cell>
          <cell r="N299" t="str">
            <v>B.C.Y.</v>
          </cell>
          <cell r="O299">
            <v>0</v>
          </cell>
          <cell r="P299">
            <v>0.42</v>
          </cell>
          <cell r="Q299">
            <v>1.33</v>
          </cell>
          <cell r="R299">
            <v>1.75</v>
          </cell>
          <cell r="S299">
            <v>2.17</v>
          </cell>
        </row>
        <row r="300">
          <cell r="I300" t="str">
            <v>02 315 610 3020</v>
          </cell>
          <cell r="J300" t="str">
            <v>Excavating, trench backfill, 1 C.Y. bucket, minimal haul, front end loader, wheel mounted, excludes dewatering</v>
          </cell>
          <cell r="K300" t="str">
            <v>B10R</v>
          </cell>
          <cell r="L300">
            <v>400</v>
          </cell>
          <cell r="M300">
            <v>0.02</v>
          </cell>
          <cell r="N300" t="str">
            <v>L.C.Y.</v>
          </cell>
          <cell r="O300">
            <v>0</v>
          </cell>
          <cell r="P300">
            <v>0.59</v>
          </cell>
          <cell r="Q300">
            <v>0.52</v>
          </cell>
          <cell r="R300">
            <v>1.1100000000000001</v>
          </cell>
          <cell r="S300">
            <v>1.54</v>
          </cell>
        </row>
        <row r="301">
          <cell r="I301" t="str">
            <v>02 315 610 3040</v>
          </cell>
          <cell r="J301" t="str">
            <v>Excavating, trench backfill, 1 C.Y. bucket, 100' haul, front end loader, wheel mounted, excludes dewatering</v>
          </cell>
          <cell r="K301" t="str">
            <v>B10R</v>
          </cell>
          <cell r="L301">
            <v>200</v>
          </cell>
          <cell r="M301">
            <v>0.04</v>
          </cell>
          <cell r="N301" t="str">
            <v>L.C.Y.</v>
          </cell>
          <cell r="O301">
            <v>0</v>
          </cell>
          <cell r="P301">
            <v>1.18</v>
          </cell>
          <cell r="Q301">
            <v>1.04</v>
          </cell>
          <cell r="R301">
            <v>2.2200000000000002</v>
          </cell>
          <cell r="S301">
            <v>3.09</v>
          </cell>
        </row>
        <row r="302">
          <cell r="I302" t="str">
            <v>02 315 610 3080</v>
          </cell>
          <cell r="J302" t="str">
            <v>Excavating, trench backfill, 2-1/4 C.Y. bucket, minimal haul, front end loader, wheel mounted, excludes dewatering</v>
          </cell>
          <cell r="K302" t="str">
            <v>B10T</v>
          </cell>
          <cell r="L302">
            <v>600</v>
          </cell>
          <cell r="M302">
            <v>1.2999999999999999E-2</v>
          </cell>
          <cell r="N302" t="str">
            <v>L.C.Y.</v>
          </cell>
          <cell r="O302">
            <v>0</v>
          </cell>
          <cell r="P302">
            <v>0.39</v>
          </cell>
          <cell r="Q302">
            <v>0.57999999999999996</v>
          </cell>
          <cell r="R302">
            <v>0.97</v>
          </cell>
          <cell r="S302">
            <v>1.29</v>
          </cell>
        </row>
        <row r="303">
          <cell r="I303" t="str">
            <v>02 315 610 3090</v>
          </cell>
          <cell r="J303" t="str">
            <v>Excavating, trench backfill, 2-1/4 C.Y. bucket, 100' haul, front end loader, wheel mounted, excludes dewatering</v>
          </cell>
          <cell r="K303" t="str">
            <v>B10T</v>
          </cell>
          <cell r="L303">
            <v>300</v>
          </cell>
          <cell r="M303">
            <v>2.7E-2</v>
          </cell>
          <cell r="N303" t="str">
            <v>L.C.Y.</v>
          </cell>
          <cell r="O303">
            <v>0</v>
          </cell>
          <cell r="P303">
            <v>0.79</v>
          </cell>
          <cell r="Q303">
            <v>1.1599999999999999</v>
          </cell>
          <cell r="R303">
            <v>1.95</v>
          </cell>
          <cell r="S303">
            <v>2.58</v>
          </cell>
        </row>
        <row r="304">
          <cell r="I304" t="str">
            <v>02 315 640 0050</v>
          </cell>
          <cell r="J304" t="str">
            <v>Bedding, for pipe and conduit, crushed or screened bank run gravel, excludes compaction</v>
          </cell>
          <cell r="K304" t="str">
            <v>B6</v>
          </cell>
          <cell r="L304">
            <v>150</v>
          </cell>
          <cell r="M304">
            <v>0.16</v>
          </cell>
          <cell r="N304" t="str">
            <v>L.C.Y.</v>
          </cell>
          <cell r="O304">
            <v>24</v>
          </cell>
          <cell r="P304">
            <v>3.87</v>
          </cell>
          <cell r="Q304">
            <v>1.62</v>
          </cell>
          <cell r="R304">
            <v>29.49</v>
          </cell>
          <cell r="S304">
            <v>35</v>
          </cell>
        </row>
        <row r="305">
          <cell r="I305" t="str">
            <v>02 315 640 0100</v>
          </cell>
          <cell r="J305" t="str">
            <v>Bedding, for pipe and conduit, crushed stone, 3/4" to 1/2", excludes compaction</v>
          </cell>
          <cell r="K305" t="str">
            <v>B6</v>
          </cell>
          <cell r="L305">
            <v>150</v>
          </cell>
          <cell r="M305">
            <v>0.16</v>
          </cell>
          <cell r="N305" t="str">
            <v>L.C.Y.</v>
          </cell>
          <cell r="O305">
            <v>32</v>
          </cell>
          <cell r="P305">
            <v>3.87</v>
          </cell>
          <cell r="Q305">
            <v>1.62</v>
          </cell>
          <cell r="R305">
            <v>37.49</v>
          </cell>
          <cell r="S305">
            <v>43.5</v>
          </cell>
        </row>
        <row r="306">
          <cell r="I306" t="str">
            <v>02 315 640 0200</v>
          </cell>
          <cell r="J306" t="str">
            <v>Bedding, for pipe and conduit, sand, dead or bank, excludes compaction</v>
          </cell>
          <cell r="K306" t="str">
            <v>B6</v>
          </cell>
          <cell r="L306">
            <v>150</v>
          </cell>
          <cell r="M306">
            <v>0.16</v>
          </cell>
          <cell r="N306" t="str">
            <v>L.C.Y.</v>
          </cell>
          <cell r="O306">
            <v>6.25</v>
          </cell>
          <cell r="P306">
            <v>3.87</v>
          </cell>
          <cell r="Q306">
            <v>1.62</v>
          </cell>
          <cell r="R306">
            <v>11.74</v>
          </cell>
          <cell r="S306">
            <v>15.2</v>
          </cell>
        </row>
        <row r="307">
          <cell r="I307" t="str">
            <v>02 315 640 0500</v>
          </cell>
          <cell r="J307" t="str">
            <v>Bedding, for pipe and conduit, compacting bedding in trench</v>
          </cell>
          <cell r="K307" t="str">
            <v>A1D</v>
          </cell>
          <cell r="L307">
            <v>90</v>
          </cell>
          <cell r="M307">
            <v>8.8999999999999996E-2</v>
          </cell>
          <cell r="N307" t="str">
            <v>E.C.Y.</v>
          </cell>
          <cell r="O307">
            <v>0</v>
          </cell>
          <cell r="P307">
            <v>1.96</v>
          </cell>
          <cell r="Q307">
            <v>0.32</v>
          </cell>
          <cell r="R307">
            <v>2.2799999999999998</v>
          </cell>
          <cell r="S307">
            <v>3.69</v>
          </cell>
        </row>
        <row r="308">
          <cell r="I308" t="str">
            <v>02 340 300 1510</v>
          </cell>
          <cell r="J308" t="str">
            <v>Soil stabilization, geotextile fabric, woven, heavy duty, 600 lb. tensile strength</v>
          </cell>
          <cell r="K308" t="str">
            <v>2 Clab</v>
          </cell>
          <cell r="L308">
            <v>2400</v>
          </cell>
          <cell r="M308">
            <v>7.0000000000000001E-3</v>
          </cell>
          <cell r="N308" t="str">
            <v>S.Y.</v>
          </cell>
          <cell r="O308">
            <v>1.85</v>
          </cell>
          <cell r="P308">
            <v>0.15</v>
          </cell>
          <cell r="Q308">
            <v>0</v>
          </cell>
          <cell r="R308">
            <v>2</v>
          </cell>
          <cell r="S308">
            <v>2.29</v>
          </cell>
        </row>
        <row r="309">
          <cell r="I309" t="str">
            <v>02 340 300 1550</v>
          </cell>
          <cell r="J309" t="str">
            <v>Soil stabilization, geotextile fabric, non-woven, 120 lb. tensile strength, includes scarifying and compaction</v>
          </cell>
          <cell r="K309" t="str">
            <v>2 Clab</v>
          </cell>
          <cell r="L309">
            <v>2500</v>
          </cell>
          <cell r="M309">
            <v>6.0000000000000001E-3</v>
          </cell>
          <cell r="N309" t="str">
            <v>S.Y.</v>
          </cell>
          <cell r="O309">
            <v>1.05</v>
          </cell>
          <cell r="P309">
            <v>0.14000000000000001</v>
          </cell>
          <cell r="Q309">
            <v>0</v>
          </cell>
          <cell r="R309">
            <v>1.19</v>
          </cell>
          <cell r="S309">
            <v>1.4</v>
          </cell>
        </row>
        <row r="310">
          <cell r="I310" t="str">
            <v>02 370 450 0100</v>
          </cell>
          <cell r="J310" t="str">
            <v>Rip-rap, random, broken stone, machine placed for slope protection</v>
          </cell>
          <cell r="K310" t="str">
            <v>B12G</v>
          </cell>
          <cell r="L310">
            <v>62</v>
          </cell>
          <cell r="M310">
            <v>0.25800000000000001</v>
          </cell>
          <cell r="N310" t="str">
            <v>L.C.Y.</v>
          </cell>
          <cell r="O310">
            <v>25.5</v>
          </cell>
          <cell r="P310">
            <v>6.8</v>
          </cell>
          <cell r="Q310">
            <v>9.85</v>
          </cell>
          <cell r="R310">
            <v>42.15</v>
          </cell>
          <cell r="S310">
            <v>50</v>
          </cell>
        </row>
        <row r="311">
          <cell r="I311" t="str">
            <v>02 370 450 0200</v>
          </cell>
          <cell r="J311" t="str">
            <v>Rip-rap, random, broken stone, 18" minimum thickness, machine placed for slope protection, not grouted</v>
          </cell>
          <cell r="K311" t="str">
            <v>B13</v>
          </cell>
          <cell r="L311">
            <v>53</v>
          </cell>
          <cell r="M311">
            <v>0.90600000000000003</v>
          </cell>
          <cell r="N311" t="str">
            <v>S.Y.</v>
          </cell>
          <cell r="O311">
            <v>15.85</v>
          </cell>
          <cell r="P311">
            <v>21.5</v>
          </cell>
          <cell r="Q311">
            <v>13.95</v>
          </cell>
          <cell r="R311">
            <v>51.3</v>
          </cell>
          <cell r="S311">
            <v>69.5</v>
          </cell>
        </row>
        <row r="312">
          <cell r="I312" t="str">
            <v>02 370 450 0400</v>
          </cell>
          <cell r="J312" t="str">
            <v>Gabions, galvanized steel mesh mats or boxes, stone filled, 6" deep</v>
          </cell>
          <cell r="K312" t="str">
            <v>B13</v>
          </cell>
          <cell r="L312">
            <v>200</v>
          </cell>
          <cell r="M312">
            <v>0.24</v>
          </cell>
          <cell r="N312" t="str">
            <v>S.Y.</v>
          </cell>
          <cell r="O312">
            <v>20.5</v>
          </cell>
          <cell r="P312">
            <v>5.75</v>
          </cell>
          <cell r="Q312">
            <v>3.7</v>
          </cell>
          <cell r="R312">
            <v>29.95</v>
          </cell>
          <cell r="S312">
            <v>36</v>
          </cell>
        </row>
        <row r="313">
          <cell r="I313" t="str">
            <v>02 370 450 0500</v>
          </cell>
          <cell r="J313" t="str">
            <v>Gabions, galvanized steel mesh mats or boxes, stone filled, 9" deep</v>
          </cell>
          <cell r="K313" t="str">
            <v>B13</v>
          </cell>
          <cell r="L313">
            <v>163</v>
          </cell>
          <cell r="M313">
            <v>0.29399999999999998</v>
          </cell>
          <cell r="N313" t="str">
            <v>S.Y.</v>
          </cell>
          <cell r="O313">
            <v>31.5</v>
          </cell>
          <cell r="P313">
            <v>7.05</v>
          </cell>
          <cell r="Q313">
            <v>4.54</v>
          </cell>
          <cell r="R313">
            <v>43.09</v>
          </cell>
          <cell r="S313">
            <v>52</v>
          </cell>
        </row>
        <row r="314">
          <cell r="I314" t="str">
            <v>02 370 450 0600</v>
          </cell>
          <cell r="J314" t="str">
            <v>Gabions, galvanized steel mesh mats or boxes, stone filled, 12" deep</v>
          </cell>
          <cell r="K314" t="str">
            <v>B13</v>
          </cell>
          <cell r="L314">
            <v>153</v>
          </cell>
          <cell r="M314">
            <v>0.314</v>
          </cell>
          <cell r="N314" t="str">
            <v>S.Y.</v>
          </cell>
          <cell r="O314">
            <v>33</v>
          </cell>
          <cell r="P314">
            <v>7.5</v>
          </cell>
          <cell r="Q314">
            <v>4.83</v>
          </cell>
          <cell r="R314">
            <v>45.33</v>
          </cell>
          <cell r="S314">
            <v>54.5</v>
          </cell>
        </row>
        <row r="315">
          <cell r="I315" t="str">
            <v>02 370 450 0700</v>
          </cell>
          <cell r="J315" t="str">
            <v>Gabions, galvanized steel mesh mats or boxes, stone filled, 18" deep</v>
          </cell>
          <cell r="K315" t="str">
            <v>B13</v>
          </cell>
          <cell r="L315">
            <v>102</v>
          </cell>
          <cell r="M315">
            <v>0.47099999999999997</v>
          </cell>
          <cell r="N315" t="str">
            <v>S.Y.</v>
          </cell>
          <cell r="O315">
            <v>41.5</v>
          </cell>
          <cell r="P315">
            <v>11.25</v>
          </cell>
          <cell r="Q315">
            <v>7.25</v>
          </cell>
          <cell r="R315">
            <v>60</v>
          </cell>
          <cell r="S315">
            <v>73</v>
          </cell>
        </row>
        <row r="316">
          <cell r="I316" t="str">
            <v>02 370 450 0800</v>
          </cell>
          <cell r="J316" t="str">
            <v>Gabions, galvanized steel mesh mats or boxes, stone filled, 36" deep</v>
          </cell>
          <cell r="K316" t="str">
            <v>B13</v>
          </cell>
          <cell r="L316">
            <v>60</v>
          </cell>
          <cell r="M316">
            <v>0.8</v>
          </cell>
          <cell r="N316" t="str">
            <v>S.Y.</v>
          </cell>
          <cell r="O316">
            <v>70</v>
          </cell>
          <cell r="P316">
            <v>19.100000000000001</v>
          </cell>
          <cell r="Q316">
            <v>12.35</v>
          </cell>
          <cell r="R316">
            <v>101.45</v>
          </cell>
          <cell r="S316">
            <v>123</v>
          </cell>
        </row>
        <row r="317">
          <cell r="I317" t="str">
            <v>02 370 700 0020</v>
          </cell>
          <cell r="J317" t="str">
            <v>Erosion control, jute mesh, 100 SY per roll, 4' wide, stapled</v>
          </cell>
          <cell r="K317" t="str">
            <v>B80A</v>
          </cell>
          <cell r="L317">
            <v>2400</v>
          </cell>
          <cell r="M317">
            <v>0.01</v>
          </cell>
          <cell r="N317" t="str">
            <v>S.Y.</v>
          </cell>
          <cell r="O317">
            <v>0.94</v>
          </cell>
          <cell r="P317">
            <v>0.22</v>
          </cell>
          <cell r="Q317">
            <v>0.08</v>
          </cell>
          <cell r="R317">
            <v>1.24</v>
          </cell>
          <cell r="S317">
            <v>1.49</v>
          </cell>
        </row>
        <row r="318">
          <cell r="I318" t="str">
            <v>02 370 700 0100</v>
          </cell>
          <cell r="J318" t="str">
            <v>Erosion control, plastic netting, 20 mil, 2" x 1" mesh, stapled</v>
          </cell>
          <cell r="K318" t="str">
            <v>B1</v>
          </cell>
          <cell r="L318">
            <v>2500</v>
          </cell>
          <cell r="M318">
            <v>0.01</v>
          </cell>
          <cell r="N318" t="str">
            <v>S.Y.</v>
          </cell>
          <cell r="O318">
            <v>0.71</v>
          </cell>
          <cell r="P318">
            <v>0.22</v>
          </cell>
          <cell r="Q318">
            <v>0</v>
          </cell>
          <cell r="R318">
            <v>0.93</v>
          </cell>
          <cell r="S318">
            <v>1.1499999999999999</v>
          </cell>
        </row>
        <row r="319">
          <cell r="I319" t="str">
            <v>02 370 700 0200</v>
          </cell>
          <cell r="J319" t="str">
            <v>Erosion control, polypropylene mesh, stapled, 6.5 oz./ S.Y.</v>
          </cell>
          <cell r="K319" t="str">
            <v>B1</v>
          </cell>
          <cell r="L319">
            <v>2500</v>
          </cell>
          <cell r="M319">
            <v>0.01</v>
          </cell>
          <cell r="N319" t="str">
            <v>S.Y.</v>
          </cell>
          <cell r="O319">
            <v>1.47</v>
          </cell>
          <cell r="P319">
            <v>0.22</v>
          </cell>
          <cell r="Q319">
            <v>0</v>
          </cell>
          <cell r="R319">
            <v>1.69</v>
          </cell>
          <cell r="S319">
            <v>1.99</v>
          </cell>
        </row>
        <row r="320">
          <cell r="I320" t="str">
            <v>02 370 700 0300</v>
          </cell>
          <cell r="J320" t="str">
            <v>Erosion control, tobacco netting, or jute mesh #2, stapled</v>
          </cell>
          <cell r="K320" t="str">
            <v>B1</v>
          </cell>
          <cell r="L320">
            <v>2500</v>
          </cell>
          <cell r="M320">
            <v>0.01</v>
          </cell>
          <cell r="N320" t="str">
            <v>S.Y.</v>
          </cell>
          <cell r="O320">
            <v>0.08</v>
          </cell>
          <cell r="P320">
            <v>0.22</v>
          </cell>
          <cell r="Q320">
            <v>0</v>
          </cell>
          <cell r="R320">
            <v>0.3</v>
          </cell>
          <cell r="S320">
            <v>0.46</v>
          </cell>
        </row>
        <row r="321">
          <cell r="I321" t="str">
            <v>02 370 700 1000</v>
          </cell>
          <cell r="J321" t="str">
            <v>Erosion control, silt fence, polypropylene, ideal conditions, 3' high</v>
          </cell>
          <cell r="K321" t="str">
            <v>2 Clab</v>
          </cell>
          <cell r="L321">
            <v>1600</v>
          </cell>
          <cell r="M321">
            <v>0.01</v>
          </cell>
          <cell r="N321" t="str">
            <v>L.F.</v>
          </cell>
          <cell r="O321">
            <v>0.34</v>
          </cell>
          <cell r="P321">
            <v>0.22</v>
          </cell>
          <cell r="Q321">
            <v>0</v>
          </cell>
          <cell r="R321">
            <v>0.56000000000000005</v>
          </cell>
          <cell r="S321">
            <v>0.75</v>
          </cell>
        </row>
        <row r="322">
          <cell r="I322" t="str">
            <v>02 370 700 1100</v>
          </cell>
          <cell r="J322" t="str">
            <v>Erosion control, silt fence, polypropylene, adverse conditions, 3' high</v>
          </cell>
          <cell r="K322" t="str">
            <v>2 Clab</v>
          </cell>
          <cell r="L322">
            <v>950</v>
          </cell>
          <cell r="M322">
            <v>1.7000000000000001E-2</v>
          </cell>
          <cell r="N322" t="str">
            <v>L.F.</v>
          </cell>
          <cell r="O322">
            <v>0.34</v>
          </cell>
          <cell r="P322">
            <v>0.37</v>
          </cell>
          <cell r="Q322">
            <v>0</v>
          </cell>
          <cell r="R322">
            <v>0.71</v>
          </cell>
          <cell r="S322">
            <v>1</v>
          </cell>
        </row>
        <row r="323">
          <cell r="I323" t="str">
            <v>02 370 700 1200</v>
          </cell>
          <cell r="J323" t="str">
            <v>Erosion control, place and remove hay bales</v>
          </cell>
          <cell r="K323" t="str">
            <v>A2</v>
          </cell>
          <cell r="L323">
            <v>3</v>
          </cell>
          <cell r="M323">
            <v>8</v>
          </cell>
          <cell r="N323" t="str">
            <v>Ton</v>
          </cell>
          <cell r="O323">
            <v>151</v>
          </cell>
          <cell r="P323">
            <v>178</v>
          </cell>
          <cell r="Q323">
            <v>47</v>
          </cell>
          <cell r="R323">
            <v>376</v>
          </cell>
          <cell r="S323">
            <v>520</v>
          </cell>
        </row>
        <row r="324">
          <cell r="I324" t="str">
            <v>02 370 700 1250</v>
          </cell>
          <cell r="J324" t="str">
            <v>Erosion control, hay bales, staked</v>
          </cell>
          <cell r="K324" t="str">
            <v>A2</v>
          </cell>
          <cell r="L324">
            <v>2500</v>
          </cell>
          <cell r="M324">
            <v>0.01</v>
          </cell>
          <cell r="N324" t="str">
            <v>L.F.</v>
          </cell>
          <cell r="O324">
            <v>6.05</v>
          </cell>
          <cell r="P324">
            <v>0.21</v>
          </cell>
          <cell r="Q324">
            <v>0.06</v>
          </cell>
          <cell r="R324">
            <v>6.32</v>
          </cell>
          <cell r="S324">
            <v>7.05</v>
          </cell>
        </row>
        <row r="325">
          <cell r="I325" t="str">
            <v>02 445 300 0100</v>
          </cell>
          <cell r="J325" t="str">
            <v>Horizontal boring, roadwork, 1/2" thick wall, 24" diameter casing, includes casing only, 100' minimum, excludes jacking pits or dewatering</v>
          </cell>
          <cell r="K325" t="str">
            <v>B42</v>
          </cell>
          <cell r="L325">
            <v>20</v>
          </cell>
          <cell r="M325">
            <v>2.8</v>
          </cell>
          <cell r="N325" t="str">
            <v>L.F.</v>
          </cell>
          <cell r="O325">
            <v>79.5</v>
          </cell>
          <cell r="P325">
            <v>70.5</v>
          </cell>
          <cell r="Q325">
            <v>64</v>
          </cell>
          <cell r="R325">
            <v>214</v>
          </cell>
          <cell r="S325">
            <v>276</v>
          </cell>
        </row>
        <row r="326">
          <cell r="I326" t="str">
            <v>02 445 300 0200</v>
          </cell>
          <cell r="J326" t="str">
            <v>Horizontal boring, roadwork, 1/2" thick wall, 36" diameter casing, includes casing only, 100' minimum, excludes jacking pits or dewatering</v>
          </cell>
          <cell r="K326" t="str">
            <v>B42</v>
          </cell>
          <cell r="L326">
            <v>16</v>
          </cell>
          <cell r="M326">
            <v>3.5</v>
          </cell>
          <cell r="N326" t="str">
            <v>L.F.</v>
          </cell>
          <cell r="O326">
            <v>127</v>
          </cell>
          <cell r="P326">
            <v>88</v>
          </cell>
          <cell r="Q326">
            <v>80</v>
          </cell>
          <cell r="R326">
            <v>295</v>
          </cell>
          <cell r="S326">
            <v>375</v>
          </cell>
        </row>
        <row r="327">
          <cell r="I327" t="str">
            <v>02 445 300 0300</v>
          </cell>
          <cell r="J327" t="str">
            <v>Horizontal boring, roadwork, 1/2" thick wall, 48" diameter casing, includes casing only, 100' minimum, excludes jacking pits or dewatering</v>
          </cell>
          <cell r="K327" t="str">
            <v>B42</v>
          </cell>
          <cell r="L327">
            <v>15</v>
          </cell>
          <cell r="M327">
            <v>3.7330000000000001</v>
          </cell>
          <cell r="N327" t="str">
            <v>L.F.</v>
          </cell>
          <cell r="O327">
            <v>186</v>
          </cell>
          <cell r="P327">
            <v>94</v>
          </cell>
          <cell r="Q327">
            <v>85</v>
          </cell>
          <cell r="R327">
            <v>365</v>
          </cell>
          <cell r="S327">
            <v>455</v>
          </cell>
        </row>
        <row r="328">
          <cell r="I328" t="str">
            <v>02 445 300 1000</v>
          </cell>
          <cell r="J328" t="str">
            <v>Horizontal boring, small diameter boring, sandy soil, 3", includes casing only, 100' minimum, excludes jacking pits or dewatering</v>
          </cell>
          <cell r="K328" t="str">
            <v>B82</v>
          </cell>
          <cell r="L328">
            <v>900</v>
          </cell>
          <cell r="M328">
            <v>1.7999999999999999E-2</v>
          </cell>
          <cell r="N328" t="str">
            <v>L.F.</v>
          </cell>
          <cell r="O328">
            <v>21</v>
          </cell>
          <cell r="P328">
            <v>0.45</v>
          </cell>
          <cell r="Q328">
            <v>0.08</v>
          </cell>
          <cell r="R328">
            <v>21.53</v>
          </cell>
          <cell r="S328">
            <v>24</v>
          </cell>
        </row>
        <row r="329">
          <cell r="I329" t="str">
            <v>02 445 300 1040</v>
          </cell>
          <cell r="J329" t="str">
            <v>Horizontal boring, small diameter boring, rocky soil, 3", includes casing only, 100' minimum, excludes jacking pits or dewatering</v>
          </cell>
          <cell r="K329" t="str">
            <v>B82</v>
          </cell>
          <cell r="L329">
            <v>500</v>
          </cell>
          <cell r="M329">
            <v>3.2000000000000001E-2</v>
          </cell>
          <cell r="N329" t="str">
            <v>L.F.</v>
          </cell>
          <cell r="O329">
            <v>21</v>
          </cell>
          <cell r="P329">
            <v>0.81</v>
          </cell>
          <cell r="Q329">
            <v>0.14000000000000001</v>
          </cell>
          <cell r="R329">
            <v>21.95</v>
          </cell>
          <cell r="S329">
            <v>24.5</v>
          </cell>
        </row>
        <row r="330">
          <cell r="I330" t="str">
            <v>02 530 780 2000</v>
          </cell>
          <cell r="J330" t="str">
            <v>Polyvinyl chloride pipe, B &amp; S, 10' lengths, 4" diameter, SDR 35, excludes excavation or backfill</v>
          </cell>
          <cell r="K330" t="str">
            <v>B20</v>
          </cell>
          <cell r="L330">
            <v>375</v>
          </cell>
          <cell r="M330">
            <v>6.4000000000000001E-2</v>
          </cell>
          <cell r="N330" t="str">
            <v>L.F.</v>
          </cell>
          <cell r="O330">
            <v>2.33</v>
          </cell>
          <cell r="P330">
            <v>1.46</v>
          </cell>
          <cell r="Q330">
            <v>0</v>
          </cell>
          <cell r="R330">
            <v>3.79</v>
          </cell>
          <cell r="S330">
            <v>5.05</v>
          </cell>
        </row>
        <row r="331">
          <cell r="I331" t="str">
            <v>02 540 400 0015</v>
          </cell>
          <cell r="J331" t="str">
            <v>Septic tanks, precast concrete, 1,000 gallon, excludes excavation or piping</v>
          </cell>
          <cell r="K331" t="str">
            <v>B21</v>
          </cell>
          <cell r="L331">
            <v>8</v>
          </cell>
          <cell r="M331">
            <v>3.5</v>
          </cell>
          <cell r="N331" t="str">
            <v>Ea.</v>
          </cell>
          <cell r="O331">
            <v>635</v>
          </cell>
          <cell r="P331">
            <v>83.5</v>
          </cell>
          <cell r="Q331">
            <v>20.5</v>
          </cell>
          <cell r="R331">
            <v>739</v>
          </cell>
          <cell r="S331">
            <v>860</v>
          </cell>
        </row>
        <row r="332">
          <cell r="I332" t="str">
            <v>02 540 400 0060</v>
          </cell>
          <cell r="J332" t="str">
            <v>Septic tanks, precast concrete, 1,500 gallon, excludes excavation or piping</v>
          </cell>
          <cell r="K332" t="str">
            <v>B21</v>
          </cell>
          <cell r="L332">
            <v>7</v>
          </cell>
          <cell r="M332">
            <v>4</v>
          </cell>
          <cell r="N332" t="str">
            <v>Ea.</v>
          </cell>
          <cell r="O332">
            <v>1050</v>
          </cell>
          <cell r="P332">
            <v>95.5</v>
          </cell>
          <cell r="Q332">
            <v>23.5</v>
          </cell>
          <cell r="R332">
            <v>1169</v>
          </cell>
          <cell r="S332">
            <v>1325</v>
          </cell>
        </row>
        <row r="333">
          <cell r="I333" t="str">
            <v>02 540 400 0100</v>
          </cell>
          <cell r="J333" t="str">
            <v>Septic tanks, precast concrete, 2,000 gallon, excludes excavation or piping</v>
          </cell>
          <cell r="K333" t="str">
            <v>B21</v>
          </cell>
          <cell r="L333">
            <v>5</v>
          </cell>
          <cell r="M333">
            <v>5.6</v>
          </cell>
          <cell r="N333" t="str">
            <v>Ea.</v>
          </cell>
          <cell r="O333">
            <v>1975</v>
          </cell>
          <cell r="P333">
            <v>134</v>
          </cell>
          <cell r="Q333">
            <v>32.5</v>
          </cell>
          <cell r="R333">
            <v>2141.5</v>
          </cell>
          <cell r="S333">
            <v>2425</v>
          </cell>
        </row>
        <row r="334">
          <cell r="I334" t="str">
            <v>02 540 400 0600</v>
          </cell>
          <cell r="J334" t="str">
            <v>Septic tanks, high density polyethylene, 1,000 gallon, excludes excavation or piping</v>
          </cell>
          <cell r="K334" t="str">
            <v>B21</v>
          </cell>
          <cell r="L334">
            <v>6</v>
          </cell>
          <cell r="M334">
            <v>4.6669999999999998</v>
          </cell>
          <cell r="N334" t="str">
            <v>Ea.</v>
          </cell>
          <cell r="O334">
            <v>1050</v>
          </cell>
          <cell r="P334">
            <v>111</v>
          </cell>
          <cell r="Q334">
            <v>27.5</v>
          </cell>
          <cell r="R334">
            <v>1188.5</v>
          </cell>
          <cell r="S334">
            <v>1375</v>
          </cell>
        </row>
        <row r="335">
          <cell r="I335" t="str">
            <v>02 540 400 0700</v>
          </cell>
          <cell r="J335" t="str">
            <v>Septic tanks, high density polyethylene, 1,500 gallon, excludes excavation or piping</v>
          </cell>
          <cell r="K335" t="str">
            <v>B21</v>
          </cell>
          <cell r="L335">
            <v>4</v>
          </cell>
          <cell r="M335">
            <v>7</v>
          </cell>
          <cell r="N335" t="str">
            <v>Ea.</v>
          </cell>
          <cell r="O335">
            <v>1350</v>
          </cell>
          <cell r="P335">
            <v>167</v>
          </cell>
          <cell r="Q335">
            <v>41</v>
          </cell>
          <cell r="R335">
            <v>1558</v>
          </cell>
          <cell r="S335">
            <v>1825</v>
          </cell>
        </row>
        <row r="336">
          <cell r="I336" t="str">
            <v>02 540 400 1000</v>
          </cell>
          <cell r="J336" t="str">
            <v>Septic tanks, distribution boxes, concrete, 7 outlets, excludes excavation or piping</v>
          </cell>
          <cell r="K336" t="str">
            <v>2 Clab</v>
          </cell>
          <cell r="L336">
            <v>16</v>
          </cell>
          <cell r="M336">
            <v>1</v>
          </cell>
          <cell r="N336" t="str">
            <v>Ea.</v>
          </cell>
          <cell r="O336">
            <v>117</v>
          </cell>
          <cell r="P336">
            <v>22</v>
          </cell>
          <cell r="Q336">
            <v>0</v>
          </cell>
          <cell r="R336">
            <v>139</v>
          </cell>
          <cell r="S336">
            <v>167</v>
          </cell>
        </row>
        <row r="337">
          <cell r="I337" t="str">
            <v>02 540 400 1150</v>
          </cell>
          <cell r="J337" t="str">
            <v>Septic tanks, leaching field chambers, standard, 13' x 3'-7" x 1'-4", excludes excavation or piping</v>
          </cell>
          <cell r="K337" t="str">
            <v>B13</v>
          </cell>
          <cell r="L337">
            <v>16</v>
          </cell>
          <cell r="M337">
            <v>3</v>
          </cell>
          <cell r="N337" t="str">
            <v>Ea.</v>
          </cell>
          <cell r="O337">
            <v>645</v>
          </cell>
          <cell r="P337">
            <v>71.5</v>
          </cell>
          <cell r="Q337">
            <v>46</v>
          </cell>
          <cell r="R337">
            <v>762.5</v>
          </cell>
          <cell r="S337">
            <v>880</v>
          </cell>
        </row>
        <row r="338">
          <cell r="I338" t="str">
            <v>02 540 400 1200</v>
          </cell>
          <cell r="J338" t="str">
            <v>Septic tanks, leaching field chambers,heavy duty, 8' x 4' x 1'-6", excludes excavation or piping</v>
          </cell>
          <cell r="K338" t="str">
            <v>B13</v>
          </cell>
          <cell r="L338">
            <v>14</v>
          </cell>
          <cell r="M338">
            <v>3.4289999999999998</v>
          </cell>
          <cell r="N338" t="str">
            <v>Ea.</v>
          </cell>
          <cell r="O338">
            <v>410</v>
          </cell>
          <cell r="P338">
            <v>82</v>
          </cell>
          <cell r="Q338">
            <v>53</v>
          </cell>
          <cell r="R338">
            <v>545</v>
          </cell>
          <cell r="S338">
            <v>645</v>
          </cell>
        </row>
        <row r="339">
          <cell r="I339" t="str">
            <v>02 540 400 2200</v>
          </cell>
          <cell r="J339" t="str">
            <v>Septic tanks, septic tank, 3/4 C.Y. bucket, excavation with backhoe</v>
          </cell>
          <cell r="K339" t="str">
            <v>B12F</v>
          </cell>
          <cell r="L339">
            <v>145</v>
          </cell>
          <cell r="M339">
            <v>0.11</v>
          </cell>
          <cell r="N339" t="str">
            <v>C.Y.</v>
          </cell>
          <cell r="O339">
            <v>0</v>
          </cell>
          <cell r="P339">
            <v>2.91</v>
          </cell>
          <cell r="Q339">
            <v>3.56</v>
          </cell>
          <cell r="R339">
            <v>6.47</v>
          </cell>
          <cell r="S339">
            <v>8.8000000000000007</v>
          </cell>
        </row>
        <row r="340">
          <cell r="I340" t="str">
            <v>02 540 400 2400</v>
          </cell>
          <cell r="J340" t="str">
            <v>Septic tanks, 4' trench for disposal field, backhoe, 3/4 C.Y. bucket, excavation with backhoe</v>
          </cell>
          <cell r="K340" t="str">
            <v>B12F</v>
          </cell>
          <cell r="L340">
            <v>335</v>
          </cell>
          <cell r="M340">
            <v>4.8000000000000001E-2</v>
          </cell>
          <cell r="N340" t="str">
            <v>L.F.</v>
          </cell>
          <cell r="O340">
            <v>0</v>
          </cell>
          <cell r="P340">
            <v>1.26</v>
          </cell>
          <cell r="Q340">
            <v>1.54</v>
          </cell>
          <cell r="R340">
            <v>2.8</v>
          </cell>
          <cell r="S340">
            <v>3.8</v>
          </cell>
        </row>
        <row r="341">
          <cell r="I341" t="str">
            <v>02 540 400 2600</v>
          </cell>
          <cell r="J341" t="str">
            <v>Septic tanks, gravel fill, run of bank, excludes excavation or piping</v>
          </cell>
          <cell r="K341" t="str">
            <v>B6</v>
          </cell>
          <cell r="L341">
            <v>150</v>
          </cell>
          <cell r="M341">
            <v>0.16</v>
          </cell>
          <cell r="N341" t="str">
            <v>C.Y.</v>
          </cell>
          <cell r="O341">
            <v>19.350000000000001</v>
          </cell>
          <cell r="P341">
            <v>3.87</v>
          </cell>
          <cell r="Q341">
            <v>1.62</v>
          </cell>
          <cell r="R341">
            <v>24.84</v>
          </cell>
          <cell r="S341">
            <v>30</v>
          </cell>
        </row>
        <row r="342">
          <cell r="I342" t="str">
            <v>02 540 400 2800</v>
          </cell>
          <cell r="J342" t="str">
            <v>Septic tanks, crushed stone, 3/4", excludes excavation or piping</v>
          </cell>
          <cell r="K342" t="str">
            <v>B6</v>
          </cell>
          <cell r="L342">
            <v>150</v>
          </cell>
          <cell r="M342">
            <v>0.16</v>
          </cell>
          <cell r="N342" t="str">
            <v>C.Y.</v>
          </cell>
          <cell r="O342">
            <v>23</v>
          </cell>
          <cell r="P342">
            <v>3.87</v>
          </cell>
          <cell r="Q342">
            <v>1.62</v>
          </cell>
          <cell r="R342">
            <v>28.49</v>
          </cell>
          <cell r="S342">
            <v>34</v>
          </cell>
        </row>
        <row r="343">
          <cell r="I343" t="str">
            <v>02 620 300 0100</v>
          </cell>
          <cell r="J343" t="str">
            <v>Drainage geotextiles, fabric, laid in trench, polypropylene, ideal conditions</v>
          </cell>
          <cell r="K343" t="str">
            <v>2 Clab</v>
          </cell>
          <cell r="L343">
            <v>2400</v>
          </cell>
          <cell r="M343">
            <v>7.0000000000000001E-3</v>
          </cell>
          <cell r="N343" t="str">
            <v>S.Y.</v>
          </cell>
          <cell r="O343">
            <v>1.45</v>
          </cell>
          <cell r="P343">
            <v>0.15</v>
          </cell>
          <cell r="Q343">
            <v>0</v>
          </cell>
          <cell r="R343">
            <v>1.6</v>
          </cell>
          <cell r="S343">
            <v>1.85</v>
          </cell>
        </row>
        <row r="344">
          <cell r="I344" t="str">
            <v>02 620 300 0110</v>
          </cell>
          <cell r="J344" t="str">
            <v>Drainage geotextiles, fabric, laid in trench, polypropylene, adverse conditions</v>
          </cell>
          <cell r="K344" t="str">
            <v>2 Clab</v>
          </cell>
          <cell r="L344">
            <v>1600</v>
          </cell>
          <cell r="M344">
            <v>0.01</v>
          </cell>
          <cell r="N344" t="str">
            <v>S.Y.</v>
          </cell>
          <cell r="O344">
            <v>1.45</v>
          </cell>
          <cell r="P344">
            <v>0.22</v>
          </cell>
          <cell r="Q344">
            <v>0</v>
          </cell>
          <cell r="R344">
            <v>1.67</v>
          </cell>
          <cell r="S344">
            <v>1.98</v>
          </cell>
        </row>
        <row r="345">
          <cell r="I345" t="str">
            <v>02 620 300 0300</v>
          </cell>
          <cell r="J345" t="str">
            <v>Drainage geotextiles, drainage material, gravel fill in trench, 3/4"</v>
          </cell>
          <cell r="K345" t="str">
            <v>B6</v>
          </cell>
          <cell r="L345">
            <v>260</v>
          </cell>
          <cell r="M345">
            <v>9.1999999999999998E-2</v>
          </cell>
          <cell r="N345" t="str">
            <v>C.Y.</v>
          </cell>
          <cell r="O345">
            <v>23</v>
          </cell>
          <cell r="P345">
            <v>2.23</v>
          </cell>
          <cell r="Q345">
            <v>0.94</v>
          </cell>
          <cell r="R345">
            <v>26.17</v>
          </cell>
          <cell r="S345">
            <v>30.5</v>
          </cell>
        </row>
        <row r="346">
          <cell r="I346" t="str">
            <v>02 620 300 0400</v>
          </cell>
          <cell r="J346" t="str">
            <v>Drainage geotextiles, drainage material, pea stone fill in trench</v>
          </cell>
          <cell r="K346" t="str">
            <v>B6</v>
          </cell>
          <cell r="L346">
            <v>260</v>
          </cell>
          <cell r="M346">
            <v>9.1999999999999998E-2</v>
          </cell>
          <cell r="N346" t="str">
            <v>C.Y.</v>
          </cell>
          <cell r="O346">
            <v>23</v>
          </cell>
          <cell r="P346">
            <v>2.23</v>
          </cell>
          <cell r="Q346">
            <v>0.94</v>
          </cell>
          <cell r="R346">
            <v>26.17</v>
          </cell>
          <cell r="S346">
            <v>30.5</v>
          </cell>
        </row>
        <row r="347">
          <cell r="I347" t="str">
            <v>02 720 200 0050</v>
          </cell>
          <cell r="J347" t="str">
            <v>Aggregrate base course, for roadways and large paved areas, compacted, 3" deep, crushed 3/4" stone base</v>
          </cell>
          <cell r="K347" t="str">
            <v>B36C</v>
          </cell>
          <cell r="L347">
            <v>5200</v>
          </cell>
          <cell r="M347">
            <v>8.0000000000000002E-3</v>
          </cell>
          <cell r="N347" t="str">
            <v>S.Y.</v>
          </cell>
          <cell r="O347">
            <v>3.09</v>
          </cell>
          <cell r="P347">
            <v>0.21</v>
          </cell>
          <cell r="Q347">
            <v>0.56000000000000005</v>
          </cell>
          <cell r="R347">
            <v>3.86</v>
          </cell>
          <cell r="S347">
            <v>4.3600000000000003</v>
          </cell>
        </row>
        <row r="348">
          <cell r="I348" t="str">
            <v>02 720 200 0100</v>
          </cell>
          <cell r="J348" t="str">
            <v>Aggregrate base course, for roadways and large paved areas, stone base, compacted, 3/4" stone base, to 6" deep</v>
          </cell>
          <cell r="K348" t="str">
            <v>B36C</v>
          </cell>
          <cell r="L348">
            <v>5000</v>
          </cell>
          <cell r="M348">
            <v>8.0000000000000002E-3</v>
          </cell>
          <cell r="N348" t="str">
            <v>S.Y.</v>
          </cell>
          <cell r="O348">
            <v>6.2</v>
          </cell>
          <cell r="P348">
            <v>0.22</v>
          </cell>
          <cell r="Q348">
            <v>0.57999999999999996</v>
          </cell>
          <cell r="R348">
            <v>7</v>
          </cell>
          <cell r="S348">
            <v>7.8</v>
          </cell>
        </row>
        <row r="349">
          <cell r="I349" t="str">
            <v>02 720 200 0200</v>
          </cell>
          <cell r="J349" t="str">
            <v>Aggregrate base course, for roadways and large paved areas, stone base, compacted, 3/4" stone base, to 9" deep</v>
          </cell>
          <cell r="K349" t="str">
            <v>B36C</v>
          </cell>
          <cell r="L349">
            <v>4600</v>
          </cell>
          <cell r="M349">
            <v>8.9999999999999993E-3</v>
          </cell>
          <cell r="N349" t="str">
            <v>S.Y.</v>
          </cell>
          <cell r="O349">
            <v>9.3000000000000007</v>
          </cell>
          <cell r="P349">
            <v>0.24</v>
          </cell>
          <cell r="Q349">
            <v>0.63</v>
          </cell>
          <cell r="R349">
            <v>10.17</v>
          </cell>
          <cell r="S349">
            <v>11.3</v>
          </cell>
        </row>
        <row r="350">
          <cell r="I350" t="str">
            <v>02 720 200 0300</v>
          </cell>
          <cell r="J350" t="str">
            <v>Aggregrate base course, for roadways and large paved areas, stone base, compacted, 3/4" stone base, to 12" deep</v>
          </cell>
          <cell r="K350" t="str">
            <v>B36C</v>
          </cell>
          <cell r="L350">
            <v>4200</v>
          </cell>
          <cell r="M350">
            <v>0.01</v>
          </cell>
          <cell r="N350" t="str">
            <v>S.Y.</v>
          </cell>
          <cell r="O350">
            <v>12.4</v>
          </cell>
          <cell r="P350">
            <v>0.26</v>
          </cell>
          <cell r="Q350">
            <v>0.69</v>
          </cell>
          <cell r="R350">
            <v>13.35</v>
          </cell>
          <cell r="S350">
            <v>14.8</v>
          </cell>
        </row>
        <row r="351">
          <cell r="I351" t="str">
            <v>02 720 200 0301</v>
          </cell>
          <cell r="J351" t="str">
            <v>Aggregrate base course, for roadways and large paved areas, crushed stone base, compacted, crushed 1-1/2" stone base, to 4" deep</v>
          </cell>
          <cell r="K351" t="str">
            <v>B36B</v>
          </cell>
          <cell r="L351">
            <v>6000</v>
          </cell>
          <cell r="M351">
            <v>1.0999999999999999E-2</v>
          </cell>
          <cell r="N351" t="str">
            <v>S.Y.</v>
          </cell>
          <cell r="O351">
            <v>4.8099999999999996</v>
          </cell>
          <cell r="P351">
            <v>0.28000000000000003</v>
          </cell>
          <cell r="Q351">
            <v>0.55000000000000004</v>
          </cell>
          <cell r="R351">
            <v>5.64</v>
          </cell>
          <cell r="S351">
            <v>6.35</v>
          </cell>
        </row>
        <row r="352">
          <cell r="I352" t="str">
            <v>02 720 200 0302</v>
          </cell>
          <cell r="J352" t="str">
            <v>Aggregrate base course, for roadways and large paved areas, crushed stone base, compacted, crushed 1-1/2" stone base, to 6" deep</v>
          </cell>
          <cell r="K352" t="str">
            <v>B36B</v>
          </cell>
          <cell r="L352">
            <v>5400</v>
          </cell>
          <cell r="M352">
            <v>1.2E-2</v>
          </cell>
          <cell r="N352" t="str">
            <v>S.Y.</v>
          </cell>
          <cell r="O352">
            <v>7.2</v>
          </cell>
          <cell r="P352">
            <v>0.31</v>
          </cell>
          <cell r="Q352">
            <v>0.61</v>
          </cell>
          <cell r="R352">
            <v>8.1199999999999992</v>
          </cell>
          <cell r="S352">
            <v>9.15</v>
          </cell>
        </row>
        <row r="353">
          <cell r="I353" t="str">
            <v>02 720 200 0303</v>
          </cell>
          <cell r="J353" t="str">
            <v>Aggregrate base course, for roadways and large paved areas, crushed stone base, compacted, crushed 1-1/2" stone base, to 5" deep</v>
          </cell>
          <cell r="K353" t="str">
            <v>B36B</v>
          </cell>
          <cell r="L353">
            <v>4500</v>
          </cell>
          <cell r="M353">
            <v>1.4E-2</v>
          </cell>
          <cell r="N353" t="str">
            <v>S.Y.</v>
          </cell>
          <cell r="O353">
            <v>9.6</v>
          </cell>
          <cell r="P353">
            <v>0.37</v>
          </cell>
          <cell r="Q353">
            <v>0.73</v>
          </cell>
          <cell r="R353">
            <v>10.7</v>
          </cell>
          <cell r="S353">
            <v>12</v>
          </cell>
        </row>
        <row r="354">
          <cell r="I354" t="str">
            <v>02 720 200 0304</v>
          </cell>
          <cell r="J354" t="str">
            <v>Aggregrate base course, for roadways and large paved areas, crushed stone base, compacted, crushed 1-1/2" stone base, to 12" deep</v>
          </cell>
          <cell r="K354" t="str">
            <v>B36B</v>
          </cell>
          <cell r="L354">
            <v>3800</v>
          </cell>
          <cell r="M354">
            <v>1.7000000000000001E-2</v>
          </cell>
          <cell r="N354" t="str">
            <v>S.Y.</v>
          </cell>
          <cell r="O354">
            <v>14.45</v>
          </cell>
          <cell r="P354">
            <v>0.44</v>
          </cell>
          <cell r="Q354">
            <v>0.87</v>
          </cell>
          <cell r="R354">
            <v>15.76</v>
          </cell>
          <cell r="S354">
            <v>17.55</v>
          </cell>
        </row>
        <row r="355">
          <cell r="I355" t="str">
            <v>02 720 200 0370</v>
          </cell>
          <cell r="J355" t="str">
            <v>Aggregrate base course, for roadways and large paved areas, bank run gravel, spread and compacted, 6" deep</v>
          </cell>
          <cell r="K355" t="str">
            <v>B32</v>
          </cell>
          <cell r="L355">
            <v>6000</v>
          </cell>
          <cell r="M355">
            <v>5.0000000000000001E-3</v>
          </cell>
          <cell r="N355" t="str">
            <v>S.Y.</v>
          </cell>
          <cell r="O355">
            <v>4.1500000000000004</v>
          </cell>
          <cell r="P355">
            <v>0.15</v>
          </cell>
          <cell r="Q355">
            <v>0.28000000000000003</v>
          </cell>
          <cell r="R355">
            <v>4.58</v>
          </cell>
          <cell r="S355">
            <v>5.0999999999999996</v>
          </cell>
        </row>
        <row r="356">
          <cell r="I356" t="str">
            <v>02 720 200 0390</v>
          </cell>
          <cell r="J356" t="str">
            <v>Aggregrate base course, for roadways and large paved areas, bank run gravel, spread and compacted, 9" deep</v>
          </cell>
          <cell r="K356" t="str">
            <v>B32</v>
          </cell>
          <cell r="L356">
            <v>4900</v>
          </cell>
          <cell r="M356">
            <v>7.0000000000000001E-3</v>
          </cell>
          <cell r="N356" t="str">
            <v>S.Y.</v>
          </cell>
          <cell r="O356">
            <v>6.25</v>
          </cell>
          <cell r="P356">
            <v>0.18</v>
          </cell>
          <cell r="Q356">
            <v>0.35</v>
          </cell>
          <cell r="R356">
            <v>6.78</v>
          </cell>
          <cell r="S356">
            <v>7.55</v>
          </cell>
        </row>
        <row r="357">
          <cell r="I357" t="str">
            <v>02 720 200 0400</v>
          </cell>
          <cell r="J357" t="str">
            <v>Aggregrate base course, for roadways and large paved areas, bank run gravel, spread and compacted, 12" deep</v>
          </cell>
          <cell r="K357" t="str">
            <v>B32</v>
          </cell>
          <cell r="L357">
            <v>4200</v>
          </cell>
          <cell r="M357">
            <v>8.0000000000000002E-3</v>
          </cell>
          <cell r="N357" t="str">
            <v>S.Y.</v>
          </cell>
          <cell r="O357">
            <v>8.3000000000000007</v>
          </cell>
          <cell r="P357">
            <v>0.21</v>
          </cell>
          <cell r="Q357">
            <v>0.41</v>
          </cell>
          <cell r="R357">
            <v>8.92</v>
          </cell>
          <cell r="S357">
            <v>9.9499999999999993</v>
          </cell>
        </row>
        <row r="358">
          <cell r="I358" t="str">
            <v>02 720 200 1510</v>
          </cell>
          <cell r="J358" t="str">
            <v>Aggregrate base course, for roadways and large paved areas, sand, washed and graded, compacted, 3/4", 3" deep</v>
          </cell>
          <cell r="K358" t="str">
            <v>B36C</v>
          </cell>
          <cell r="L358">
            <v>435</v>
          </cell>
          <cell r="M358">
            <v>9.1999999999999998E-2</v>
          </cell>
          <cell r="N358" t="str">
            <v>E.C.Y.</v>
          </cell>
          <cell r="O358">
            <v>32</v>
          </cell>
          <cell r="P358">
            <v>2.5</v>
          </cell>
          <cell r="Q358">
            <v>6.65</v>
          </cell>
          <cell r="R358">
            <v>41.15</v>
          </cell>
          <cell r="S358">
            <v>46.5</v>
          </cell>
        </row>
        <row r="359">
          <cell r="I359" t="str">
            <v>02 720 200 1511</v>
          </cell>
          <cell r="J359" t="str">
            <v>Aggregrate base course, for roadways and large paved areas, alternate method to figure base course, crushed stone,compacted, 3/4", 6" deep</v>
          </cell>
          <cell r="K359" t="str">
            <v>B36B</v>
          </cell>
          <cell r="L359">
            <v>835</v>
          </cell>
          <cell r="M359">
            <v>7.6999999999999999E-2</v>
          </cell>
          <cell r="N359" t="str">
            <v>E.C.Y.</v>
          </cell>
          <cell r="O359">
            <v>32</v>
          </cell>
          <cell r="P359">
            <v>2.0099999999999998</v>
          </cell>
          <cell r="Q359">
            <v>3.94</v>
          </cell>
          <cell r="R359">
            <v>37.950000000000003</v>
          </cell>
          <cell r="S359">
            <v>42.5</v>
          </cell>
        </row>
        <row r="360">
          <cell r="I360" t="str">
            <v>02 720 200 1512</v>
          </cell>
          <cell r="J360" t="str">
            <v>Aggregrate base course, for roadways and large paved areas, alternate method to figure base course, crushed stone, compacted, 3/4", 9" deep</v>
          </cell>
          <cell r="K360" t="str">
            <v>B36B</v>
          </cell>
          <cell r="L360">
            <v>1150</v>
          </cell>
          <cell r="M360">
            <v>5.6000000000000001E-2</v>
          </cell>
          <cell r="N360" t="str">
            <v>E.C.Y.</v>
          </cell>
          <cell r="O360">
            <v>32</v>
          </cell>
          <cell r="P360">
            <v>1.46</v>
          </cell>
          <cell r="Q360">
            <v>2.86</v>
          </cell>
          <cell r="R360">
            <v>36.32</v>
          </cell>
          <cell r="S360">
            <v>40.5</v>
          </cell>
        </row>
        <row r="361">
          <cell r="I361" t="str">
            <v>02 720 200 1513</v>
          </cell>
          <cell r="J361" t="str">
            <v>Aggregrate base course, for roadways and large paved areas, alternate method to figure base course, crushed stone, compacted, 3/4", 12" deep</v>
          </cell>
          <cell r="K361" t="str">
            <v>B36B</v>
          </cell>
          <cell r="L361">
            <v>1400</v>
          </cell>
          <cell r="M361">
            <v>4.5999999999999999E-2</v>
          </cell>
          <cell r="N361" t="str">
            <v>E.C.Y.</v>
          </cell>
          <cell r="O361">
            <v>32</v>
          </cell>
          <cell r="P361">
            <v>1.2</v>
          </cell>
          <cell r="Q361">
            <v>2.35</v>
          </cell>
          <cell r="R361">
            <v>35.549999999999997</v>
          </cell>
          <cell r="S361">
            <v>39.5</v>
          </cell>
        </row>
        <row r="362">
          <cell r="I362" t="str">
            <v>02 720 200 1520</v>
          </cell>
          <cell r="J362" t="str">
            <v>Aggregrate base course, for roadways and large paved areas, alternate method to figure base course, crushed stone, compacted, 1-1/2", 4" deep</v>
          </cell>
          <cell r="K362" t="str">
            <v>B36B</v>
          </cell>
          <cell r="L362">
            <v>665</v>
          </cell>
          <cell r="M362">
            <v>9.6000000000000002E-2</v>
          </cell>
          <cell r="N362" t="str">
            <v>E.C.Y.</v>
          </cell>
          <cell r="O362">
            <v>32</v>
          </cell>
          <cell r="P362">
            <v>2.52</v>
          </cell>
          <cell r="Q362">
            <v>4.9400000000000004</v>
          </cell>
          <cell r="R362">
            <v>39.46</v>
          </cell>
          <cell r="S362">
            <v>44.5</v>
          </cell>
        </row>
        <row r="363">
          <cell r="I363" t="str">
            <v>02 720 200 1521</v>
          </cell>
          <cell r="J363" t="str">
            <v>Aggregrate base course, for roadways and large paved areas, alternate method to figure base course, crushed stone, compacted, 1-1/2", 6" deep</v>
          </cell>
          <cell r="K363" t="str">
            <v>B36B</v>
          </cell>
          <cell r="L363">
            <v>900</v>
          </cell>
          <cell r="M363">
            <v>7.0999999999999994E-2</v>
          </cell>
          <cell r="N363" t="str">
            <v>E.C.Y.</v>
          </cell>
          <cell r="O363">
            <v>32</v>
          </cell>
          <cell r="P363">
            <v>1.87</v>
          </cell>
          <cell r="Q363">
            <v>3.65</v>
          </cell>
          <cell r="R363">
            <v>37.520000000000003</v>
          </cell>
          <cell r="S363">
            <v>42</v>
          </cell>
        </row>
        <row r="364">
          <cell r="I364" t="str">
            <v>02 720 200 1522</v>
          </cell>
          <cell r="J364" t="str">
            <v>Aggregrate base course, for roadways and large paved areas, alternate method to figure base course, crushed stone, compacted, 1-1/2", 8" deep</v>
          </cell>
          <cell r="K364" t="str">
            <v>B36B</v>
          </cell>
          <cell r="L364">
            <v>1000</v>
          </cell>
          <cell r="M364">
            <v>6.4000000000000001E-2</v>
          </cell>
          <cell r="N364" t="str">
            <v>E.C.Y.</v>
          </cell>
          <cell r="O364">
            <v>32</v>
          </cell>
          <cell r="P364">
            <v>1.68</v>
          </cell>
          <cell r="Q364">
            <v>3.29</v>
          </cell>
          <cell r="R364">
            <v>36.97</v>
          </cell>
          <cell r="S364">
            <v>41.5</v>
          </cell>
        </row>
        <row r="365">
          <cell r="I365" t="str">
            <v>02 720 200 1523</v>
          </cell>
          <cell r="J365" t="str">
            <v>Aggregrate base course, for roadways and large paved areas, alternate method to figure base course, crushed stone, compacted, 1-1/2", 12" deep</v>
          </cell>
          <cell r="K365" t="str">
            <v>B36B</v>
          </cell>
          <cell r="L365">
            <v>1265</v>
          </cell>
          <cell r="M365">
            <v>5.0999999999999997E-2</v>
          </cell>
          <cell r="N365" t="str">
            <v>E.C.Y.</v>
          </cell>
          <cell r="O365">
            <v>32</v>
          </cell>
          <cell r="P365">
            <v>1.33</v>
          </cell>
          <cell r="Q365">
            <v>2.6</v>
          </cell>
          <cell r="R365">
            <v>35.93</v>
          </cell>
          <cell r="S365">
            <v>40</v>
          </cell>
        </row>
        <row r="366">
          <cell r="I366" t="str">
            <v>02 720 200 1530</v>
          </cell>
          <cell r="J366" t="str">
            <v>Aggregrate base course, for roadways and large paved areas, sand, washed and graded, compacted, 6" deep</v>
          </cell>
          <cell r="K366" t="str">
            <v>B36C</v>
          </cell>
          <cell r="L366">
            <v>835</v>
          </cell>
          <cell r="M366">
            <v>4.8000000000000001E-2</v>
          </cell>
          <cell r="N366" t="str">
            <v>E.C.Y.</v>
          </cell>
          <cell r="O366">
            <v>21.5</v>
          </cell>
          <cell r="P366">
            <v>1.3</v>
          </cell>
          <cell r="Q366">
            <v>3.46</v>
          </cell>
          <cell r="R366">
            <v>26.26</v>
          </cell>
          <cell r="S366">
            <v>29.5</v>
          </cell>
        </row>
        <row r="367">
          <cell r="I367" t="str">
            <v>02 720 200 1531</v>
          </cell>
          <cell r="J367" t="str">
            <v>Aggregrate base course, for roadways and large paved areas, alternate method to figure base course, gravel, bank run, compacted, 9" deep</v>
          </cell>
          <cell r="K367" t="str">
            <v>B36C</v>
          </cell>
          <cell r="L367">
            <v>1150</v>
          </cell>
          <cell r="M367">
            <v>3.5000000000000003E-2</v>
          </cell>
          <cell r="N367" t="str">
            <v>E.C.Y.</v>
          </cell>
          <cell r="O367">
            <v>21.5</v>
          </cell>
          <cell r="P367">
            <v>0.95</v>
          </cell>
          <cell r="Q367">
            <v>2.5099999999999998</v>
          </cell>
          <cell r="R367">
            <v>24.96</v>
          </cell>
          <cell r="S367">
            <v>28</v>
          </cell>
        </row>
        <row r="368">
          <cell r="I368" t="str">
            <v>02 720 200 1532</v>
          </cell>
          <cell r="J368" t="str">
            <v>Aggregrate base course, for roadways and large paved areas, alternate method to figure base course, gravel, bank run, compacted, 12" deep</v>
          </cell>
          <cell r="K368" t="str">
            <v>B36C</v>
          </cell>
          <cell r="L368">
            <v>1400</v>
          </cell>
          <cell r="M368">
            <v>2.9000000000000001E-2</v>
          </cell>
          <cell r="N368" t="str">
            <v>E.C.Y.</v>
          </cell>
          <cell r="O368">
            <v>21.5</v>
          </cell>
          <cell r="P368">
            <v>0.78</v>
          </cell>
          <cell r="Q368">
            <v>2.06</v>
          </cell>
          <cell r="R368">
            <v>24.34</v>
          </cell>
          <cell r="S368">
            <v>27</v>
          </cell>
        </row>
        <row r="369">
          <cell r="I369" t="str">
            <v>02 720 200 6000</v>
          </cell>
          <cell r="J369" t="str">
            <v>Aggregrate base course, for roadways and large paved areas, stabilization fabric, polypropylene, 6 oz./S.Y.</v>
          </cell>
          <cell r="K369" t="str">
            <v>B6</v>
          </cell>
          <cell r="L369">
            <v>10000</v>
          </cell>
          <cell r="M369">
            <v>2E-3</v>
          </cell>
          <cell r="N369" t="str">
            <v>S.Y.</v>
          </cell>
          <cell r="O369">
            <v>1.07</v>
          </cell>
          <cell r="P369">
            <v>0.06</v>
          </cell>
          <cell r="Q369">
            <v>0.02</v>
          </cell>
          <cell r="R369">
            <v>1.1499999999999999</v>
          </cell>
          <cell r="S369">
            <v>1.31</v>
          </cell>
        </row>
        <row r="370">
          <cell r="I370" t="str">
            <v>02 720 200 6900</v>
          </cell>
          <cell r="J370" t="str">
            <v>Aggregrate base course, for small and irregular areas, add</v>
          </cell>
          <cell r="P370">
            <v>0.5</v>
          </cell>
          <cell r="Q370">
            <v>0.5</v>
          </cell>
        </row>
        <row r="371">
          <cell r="I371" t="str">
            <v>02 740 315 0020</v>
          </cell>
          <cell r="J371" t="str">
            <v>Paving, asphaltic concrete, parking lots &amp; driveways, 6" stone base, 2" binder course, 1" topping</v>
          </cell>
          <cell r="K371" t="str">
            <v>B25C</v>
          </cell>
          <cell r="L371">
            <v>9000</v>
          </cell>
          <cell r="M371">
            <v>5.0000000000000001E-3</v>
          </cell>
          <cell r="N371" t="str">
            <v>S.F.</v>
          </cell>
          <cell r="O371">
            <v>1.73</v>
          </cell>
          <cell r="P371">
            <v>0.13</v>
          </cell>
          <cell r="Q371">
            <v>0.22</v>
          </cell>
          <cell r="R371">
            <v>2.08</v>
          </cell>
          <cell r="S371">
            <v>2.36</v>
          </cell>
        </row>
        <row r="372">
          <cell r="I372" t="str">
            <v>02 740 315 0300</v>
          </cell>
          <cell r="J372" t="str">
            <v>Paving, asphaltic concrete, parking lots &amp; driveways, base course, 1-1/2"</v>
          </cell>
          <cell r="K372" t="str">
            <v>B25C</v>
          </cell>
          <cell r="L372">
            <v>35000</v>
          </cell>
          <cell r="M372">
            <v>1E-3</v>
          </cell>
          <cell r="N372" t="str">
            <v>S.F.</v>
          </cell>
          <cell r="O372">
            <v>0.44</v>
          </cell>
          <cell r="P372">
            <v>0.03</v>
          </cell>
          <cell r="Q372">
            <v>0.06</v>
          </cell>
          <cell r="R372">
            <v>0.53</v>
          </cell>
          <cell r="S372">
            <v>0.6</v>
          </cell>
        </row>
        <row r="373">
          <cell r="I373" t="str">
            <v>02 740 315 0400</v>
          </cell>
          <cell r="J373" t="str">
            <v>Paving, asphaltic concrete, parking lots &amp; driveways, base course, 2 "</v>
          </cell>
          <cell r="K373" t="str">
            <v>B25C</v>
          </cell>
          <cell r="L373">
            <v>25000</v>
          </cell>
          <cell r="M373">
            <v>2E-3</v>
          </cell>
          <cell r="N373" t="str">
            <v>S.F.</v>
          </cell>
          <cell r="O373">
            <v>0.56000000000000005</v>
          </cell>
          <cell r="P373">
            <v>0.05</v>
          </cell>
          <cell r="Q373">
            <v>0.08</v>
          </cell>
          <cell r="R373">
            <v>0.69</v>
          </cell>
          <cell r="S373">
            <v>0.79</v>
          </cell>
        </row>
        <row r="374">
          <cell r="I374" t="str">
            <v>02 740 315 0500</v>
          </cell>
          <cell r="J374" t="str">
            <v>Paving, asphaltic concrete, parking lots &amp; driveways, base course, 3 "</v>
          </cell>
          <cell r="K374" t="str">
            <v>B25C</v>
          </cell>
          <cell r="L374">
            <v>15000</v>
          </cell>
          <cell r="M374">
            <v>3.0000000000000001E-3</v>
          </cell>
          <cell r="N374" t="str">
            <v>S.F.</v>
          </cell>
          <cell r="O374">
            <v>0.87</v>
          </cell>
          <cell r="P374">
            <v>0.08</v>
          </cell>
          <cell r="Q374">
            <v>0.13</v>
          </cell>
          <cell r="R374">
            <v>1.08</v>
          </cell>
          <cell r="S374">
            <v>1.23</v>
          </cell>
        </row>
        <row r="375">
          <cell r="I375" t="str">
            <v>02 740 315 0600</v>
          </cell>
          <cell r="J375" t="str">
            <v>Paving, asphaltic concrete, parking lots &amp; driveways, base course, 4 "</v>
          </cell>
          <cell r="K375" t="str">
            <v>B25C</v>
          </cell>
          <cell r="L375">
            <v>10800</v>
          </cell>
          <cell r="M375">
            <v>4.0000000000000001E-3</v>
          </cell>
          <cell r="N375" t="str">
            <v>S.F.</v>
          </cell>
          <cell r="O375">
            <v>1.1399999999999999</v>
          </cell>
          <cell r="P375">
            <v>0.11</v>
          </cell>
          <cell r="Q375">
            <v>0.18</v>
          </cell>
          <cell r="R375">
            <v>1.43</v>
          </cell>
          <cell r="S375">
            <v>1.65</v>
          </cell>
        </row>
        <row r="376">
          <cell r="I376" t="str">
            <v>02 740 315 0800</v>
          </cell>
          <cell r="J376" t="str">
            <v>Paving, asphaltic concrete, parking lots &amp; driveways, sand finish course, 3/4" thick</v>
          </cell>
          <cell r="K376" t="str">
            <v>B25C</v>
          </cell>
          <cell r="L376">
            <v>41000</v>
          </cell>
          <cell r="M376">
            <v>1E-3</v>
          </cell>
          <cell r="N376" t="str">
            <v>S.F.</v>
          </cell>
          <cell r="O376">
            <v>0.25</v>
          </cell>
          <cell r="P376">
            <v>0.03</v>
          </cell>
          <cell r="Q376">
            <v>0.05</v>
          </cell>
          <cell r="R376">
            <v>0.33</v>
          </cell>
          <cell r="S376">
            <v>0.38</v>
          </cell>
        </row>
        <row r="377">
          <cell r="I377" t="str">
            <v>02 740 315 0900</v>
          </cell>
          <cell r="J377" t="str">
            <v>Paving, asphaltic concrete, parking lots &amp; driveways, sand finish course, 1" thick</v>
          </cell>
          <cell r="K377" t="str">
            <v>B25C</v>
          </cell>
          <cell r="L377">
            <v>34000</v>
          </cell>
          <cell r="M377">
            <v>1E-3</v>
          </cell>
          <cell r="N377" t="str">
            <v>S.F.</v>
          </cell>
          <cell r="O377">
            <v>0.31</v>
          </cell>
          <cell r="P377">
            <v>0.04</v>
          </cell>
          <cell r="Q377">
            <v>0.06</v>
          </cell>
          <cell r="R377">
            <v>0.41</v>
          </cell>
          <cell r="S377">
            <v>0.46</v>
          </cell>
        </row>
        <row r="378">
          <cell r="I378" t="str">
            <v>02 750 300 1000</v>
          </cell>
          <cell r="J378" t="str">
            <v>Plain cement concrete pavement, curing, with sprayed membrane, by hand</v>
          </cell>
          <cell r="K378" t="str">
            <v>2 Clab</v>
          </cell>
          <cell r="L378">
            <v>1500</v>
          </cell>
          <cell r="M378">
            <v>1.0999999999999999E-2</v>
          </cell>
          <cell r="N378" t="str">
            <v>S.Y.</v>
          </cell>
          <cell r="O378">
            <v>0.42</v>
          </cell>
          <cell r="P378">
            <v>0.24</v>
          </cell>
          <cell r="Q378">
            <v>0</v>
          </cell>
          <cell r="R378">
            <v>0.66</v>
          </cell>
          <cell r="S378">
            <v>0.86</v>
          </cell>
        </row>
        <row r="379">
          <cell r="I379" t="str">
            <v>02 820 130 0200</v>
          </cell>
          <cell r="J379" t="str">
            <v>Chain link fence, industrial, galvanized steel, 3 strands barb wire, 2" posts @ 10' OC, 9 ga. wire, 6' high, schedule 40, includes excavation</v>
          </cell>
          <cell r="K379" t="str">
            <v>B80C</v>
          </cell>
          <cell r="L379">
            <v>240</v>
          </cell>
          <cell r="M379">
            <v>0.1</v>
          </cell>
          <cell r="N379" t="str">
            <v>L.F.</v>
          </cell>
          <cell r="O379">
            <v>14</v>
          </cell>
          <cell r="P379">
            <v>2.23</v>
          </cell>
          <cell r="Q379">
            <v>0.61</v>
          </cell>
          <cell r="R379">
            <v>16.84</v>
          </cell>
          <cell r="S379">
            <v>19.850000000000001</v>
          </cell>
        </row>
        <row r="380">
          <cell r="I380" t="str">
            <v>02 820 130 0500</v>
          </cell>
          <cell r="J380" t="str">
            <v>Chain link fence, industrial, galvanized steel, 6 ga. wire, 2" posts @ 10' OC,, 6' high, includes excavation</v>
          </cell>
          <cell r="K380" t="str">
            <v>B80C</v>
          </cell>
          <cell r="L380">
            <v>240</v>
          </cell>
          <cell r="M380">
            <v>0.1</v>
          </cell>
          <cell r="N380" t="str">
            <v>L.F.</v>
          </cell>
          <cell r="O380">
            <v>22</v>
          </cell>
          <cell r="P380">
            <v>2.23</v>
          </cell>
          <cell r="Q380">
            <v>0.61</v>
          </cell>
          <cell r="R380">
            <v>24.84</v>
          </cell>
          <cell r="S380">
            <v>28.5</v>
          </cell>
        </row>
        <row r="381">
          <cell r="I381" t="str">
            <v>02 820 130 0800</v>
          </cell>
          <cell r="J381" t="str">
            <v>Chain link fence, industrial, galvanized steel, 6 ga. wire, 2" posts @ 10' OC, 6' high, includes excavation, excludes barbed wire</v>
          </cell>
          <cell r="K381" t="str">
            <v>B80C</v>
          </cell>
          <cell r="L381">
            <v>250</v>
          </cell>
          <cell r="M381">
            <v>9.6000000000000002E-2</v>
          </cell>
          <cell r="N381" t="str">
            <v>L.F.</v>
          </cell>
          <cell r="O381">
            <v>21</v>
          </cell>
          <cell r="P381">
            <v>2.14</v>
          </cell>
          <cell r="Q381">
            <v>0.59</v>
          </cell>
          <cell r="R381">
            <v>23.73</v>
          </cell>
          <cell r="S381">
            <v>28</v>
          </cell>
        </row>
        <row r="382">
          <cell r="I382" t="str">
            <v>02 820 130 2100</v>
          </cell>
          <cell r="J382" t="str">
            <v>Chain link fence, industrial, chain link fence, no barbed wire, galvanized steel, 2" line post, 10' O.C., 1-5/8" top rail, 5' - 0" high, includes excavation</v>
          </cell>
          <cell r="K382" t="str">
            <v>B80C</v>
          </cell>
          <cell r="L382">
            <v>300</v>
          </cell>
          <cell r="M382">
            <v>0.08</v>
          </cell>
          <cell r="N382" t="str">
            <v>L.F.</v>
          </cell>
          <cell r="O382">
            <v>12.2</v>
          </cell>
          <cell r="P382">
            <v>1.78</v>
          </cell>
          <cell r="Q382">
            <v>0.49</v>
          </cell>
          <cell r="R382">
            <v>14.47</v>
          </cell>
          <cell r="S382">
            <v>16.95</v>
          </cell>
        </row>
        <row r="383">
          <cell r="I383" t="str">
            <v>02 820 140 0050</v>
          </cell>
          <cell r="J383" t="str">
            <v>Chain link fence, residential, galvanized steel, 11 ga. wire, 1-5/8" post, 10' O.C., 1-3/8" top rail, 2" corner post, 4' high, schedule 20, excludes excavation &amp; concrete</v>
          </cell>
          <cell r="K383" t="str">
            <v>B80C</v>
          </cell>
          <cell r="L383">
            <v>400</v>
          </cell>
          <cell r="M383">
            <v>0.06</v>
          </cell>
          <cell r="N383" t="str">
            <v>L.F.</v>
          </cell>
          <cell r="O383">
            <v>4.7699999999999996</v>
          </cell>
          <cell r="P383">
            <v>1.34</v>
          </cell>
          <cell r="Q383">
            <v>0.37</v>
          </cell>
          <cell r="R383">
            <v>6.48</v>
          </cell>
          <cell r="S383">
            <v>7.9</v>
          </cell>
        </row>
        <row r="384">
          <cell r="I384" t="str">
            <v>02 820 140 0100</v>
          </cell>
          <cell r="J384" t="str">
            <v>Chain link fence, residential, galvanized steel, 11 ga. wire, 1-5/8" post, 10' O.C., 1-3/8" top rail, 2" corner post, 6' high, schedule 20, excludes excavation &amp; concrete</v>
          </cell>
          <cell r="K384" t="str">
            <v>B80C</v>
          </cell>
          <cell r="L384">
            <v>200</v>
          </cell>
          <cell r="M384">
            <v>0.12</v>
          </cell>
          <cell r="N384" t="str">
            <v>L.F.</v>
          </cell>
          <cell r="O384">
            <v>5.8</v>
          </cell>
          <cell r="P384">
            <v>2.67</v>
          </cell>
          <cell r="Q384">
            <v>0.74</v>
          </cell>
          <cell r="R384">
            <v>9.2100000000000009</v>
          </cell>
          <cell r="S384">
            <v>11.75</v>
          </cell>
        </row>
        <row r="385">
          <cell r="I385" t="str">
            <v>02 820 410 0300</v>
          </cell>
          <cell r="J385" t="str">
            <v>Fence, miscellaneous metal, chicken wire, galvanized steel, 2" x 4" mesh, 12 ga, posts 5' O.C., 5' high, includes excavation</v>
          </cell>
          <cell r="K385" t="str">
            <v>B80C</v>
          </cell>
          <cell r="L385">
            <v>300</v>
          </cell>
          <cell r="M385">
            <v>0.08</v>
          </cell>
          <cell r="N385" t="str">
            <v>L.F.</v>
          </cell>
          <cell r="O385">
            <v>3.45</v>
          </cell>
          <cell r="P385">
            <v>1.78</v>
          </cell>
          <cell r="Q385">
            <v>0.49</v>
          </cell>
          <cell r="R385">
            <v>5.72</v>
          </cell>
          <cell r="S385">
            <v>7.35</v>
          </cell>
        </row>
        <row r="386">
          <cell r="I386" t="str">
            <v>02 820 420 0015</v>
          </cell>
          <cell r="J386" t="str">
            <v>Wire fencing, barbed wire, galvanized, domestic steel, hi-tensile, 15-1/2 ga.</v>
          </cell>
          <cell r="N386" t="str">
            <v>M.L.F.</v>
          </cell>
          <cell r="O386">
            <v>31.5</v>
          </cell>
          <cell r="P386">
            <v>0</v>
          </cell>
          <cell r="Q386">
            <v>0</v>
          </cell>
          <cell r="R386">
            <v>31.5</v>
          </cell>
          <cell r="S386">
            <v>35</v>
          </cell>
        </row>
        <row r="387">
          <cell r="I387" t="str">
            <v>02 820 420 0020</v>
          </cell>
          <cell r="J387" t="str">
            <v>Wire fencing, barbed wire, galvanized, domestic steel, standard, 12-3/4 ga.</v>
          </cell>
          <cell r="N387" t="str">
            <v>M.L.F.</v>
          </cell>
          <cell r="O387">
            <v>42.5</v>
          </cell>
          <cell r="P387">
            <v>0</v>
          </cell>
          <cell r="Q387">
            <v>0</v>
          </cell>
          <cell r="R387">
            <v>42.5</v>
          </cell>
          <cell r="S387">
            <v>46.5</v>
          </cell>
        </row>
        <row r="388">
          <cell r="I388" t="str">
            <v>02 820 510 0340</v>
          </cell>
          <cell r="J388" t="str">
            <v>Fence, wood, board fence, No. 2 grade western cedar, 2 rail, 1 x 4 boards, 2 x 4 rails, 4 x 4 post, 4' high, includes post and post hole</v>
          </cell>
          <cell r="K388" t="str">
            <v>B80C</v>
          </cell>
          <cell r="L388">
            <v>135</v>
          </cell>
          <cell r="M388">
            <v>0.17799999999999999</v>
          </cell>
          <cell r="N388" t="str">
            <v>L.F.</v>
          </cell>
          <cell r="O388">
            <v>8.5</v>
          </cell>
          <cell r="P388">
            <v>3.96</v>
          </cell>
          <cell r="Q388">
            <v>1.0900000000000001</v>
          </cell>
          <cell r="R388">
            <v>13.55</v>
          </cell>
          <cell r="S388">
            <v>17.25</v>
          </cell>
        </row>
        <row r="389">
          <cell r="I389" t="str">
            <v>02 820 510 0360</v>
          </cell>
          <cell r="J389" t="str">
            <v>Fence, wood, board fence, No. 2 grade western cedar, 3 rail, 1 x 4 boards, 2 x 4 rails, 4 x 4 post, 5' high, includes post and post hole</v>
          </cell>
          <cell r="K389" t="str">
            <v>B80C</v>
          </cell>
          <cell r="L389">
            <v>130</v>
          </cell>
          <cell r="M389">
            <v>0.185</v>
          </cell>
          <cell r="N389" t="str">
            <v>L.F.</v>
          </cell>
          <cell r="O389">
            <v>9.8000000000000007</v>
          </cell>
          <cell r="P389">
            <v>4.1100000000000003</v>
          </cell>
          <cell r="Q389">
            <v>1.1299999999999999</v>
          </cell>
          <cell r="R389">
            <v>15.04</v>
          </cell>
          <cell r="S389">
            <v>19</v>
          </cell>
        </row>
        <row r="390">
          <cell r="I390" t="str">
            <v>02 820 510 0400</v>
          </cell>
          <cell r="J390" t="str">
            <v>Fence, wood, board fence, No. 2 grade western cedar, 3 rail, 1 x 4 boards, 2 x 4 rails, 4 x 4 post, 6' high, includes post and post hole</v>
          </cell>
          <cell r="K390" t="str">
            <v>B80C</v>
          </cell>
          <cell r="L390">
            <v>125</v>
          </cell>
          <cell r="M390">
            <v>0.192</v>
          </cell>
          <cell r="N390" t="str">
            <v>L.F.</v>
          </cell>
          <cell r="O390">
            <v>10.75</v>
          </cell>
          <cell r="P390">
            <v>4.2699999999999996</v>
          </cell>
          <cell r="Q390">
            <v>1.18</v>
          </cell>
          <cell r="R390">
            <v>16.2</v>
          </cell>
          <cell r="S390">
            <v>20.5</v>
          </cell>
        </row>
        <row r="391">
          <cell r="I391" t="str">
            <v>02 830 700 6010</v>
          </cell>
          <cell r="J391" t="str">
            <v>Retaining walls, stone filled gabions, stone delivered, galvanized, 3' wide, 6' long, 1'-6" high, excludes excavation</v>
          </cell>
          <cell r="K391" t="str">
            <v>B13</v>
          </cell>
          <cell r="L391">
            <v>50</v>
          </cell>
          <cell r="M391">
            <v>0.96</v>
          </cell>
          <cell r="N391" t="str">
            <v>C.Y.</v>
          </cell>
          <cell r="O391">
            <v>87</v>
          </cell>
          <cell r="P391">
            <v>23</v>
          </cell>
          <cell r="Q391">
            <v>14.8</v>
          </cell>
          <cell r="R391">
            <v>124.8</v>
          </cell>
          <cell r="S391">
            <v>151</v>
          </cell>
        </row>
        <row r="392">
          <cell r="I392" t="str">
            <v>02 830 700 6020</v>
          </cell>
          <cell r="J392" t="str">
            <v>Retaining walls, stone filled gabions, stone delivered, galvanized, 3' wide, 6' long, 3'-0" high, excludes excavation</v>
          </cell>
          <cell r="K392" t="str">
            <v>B13</v>
          </cell>
          <cell r="L392">
            <v>25</v>
          </cell>
          <cell r="M392">
            <v>1.92</v>
          </cell>
          <cell r="N392" t="str">
            <v>C.Y.</v>
          </cell>
          <cell r="O392">
            <v>72</v>
          </cell>
          <cell r="P392">
            <v>46</v>
          </cell>
          <cell r="Q392">
            <v>29.5</v>
          </cell>
          <cell r="R392">
            <v>147.5</v>
          </cell>
          <cell r="S392">
            <v>189</v>
          </cell>
        </row>
        <row r="393">
          <cell r="I393" t="str">
            <v>02 830 700 6040</v>
          </cell>
          <cell r="J393" t="str">
            <v>Retaining walls, stone filled gabions, stone delivered, galvanized, 3' wide, 9' long, 1'-6" high, excludes excavation</v>
          </cell>
          <cell r="K393" t="str">
            <v>B13</v>
          </cell>
          <cell r="L393">
            <v>33.299999999999997</v>
          </cell>
          <cell r="M393">
            <v>1.4410000000000001</v>
          </cell>
          <cell r="N393" t="str">
            <v>C.Y.</v>
          </cell>
          <cell r="O393">
            <v>85.5</v>
          </cell>
          <cell r="P393">
            <v>34.5</v>
          </cell>
          <cell r="Q393">
            <v>22</v>
          </cell>
          <cell r="R393">
            <v>142</v>
          </cell>
          <cell r="S393">
            <v>177</v>
          </cell>
        </row>
        <row r="394">
          <cell r="I394" t="str">
            <v>02 830 700 6050</v>
          </cell>
          <cell r="J394" t="str">
            <v>Retaining walls, stone filled gabions, stone delivered, galvanized, 3' wide, 9' long, 3'-0" high, excludes excavation</v>
          </cell>
          <cell r="K394" t="str">
            <v>B13</v>
          </cell>
          <cell r="L394">
            <v>16.7</v>
          </cell>
          <cell r="M394">
            <v>2.8740000000000001</v>
          </cell>
          <cell r="N394" t="str">
            <v>C.Y.</v>
          </cell>
          <cell r="O394">
            <v>73</v>
          </cell>
          <cell r="P394">
            <v>68.5</v>
          </cell>
          <cell r="Q394">
            <v>44.5</v>
          </cell>
          <cell r="R394">
            <v>186</v>
          </cell>
          <cell r="S394">
            <v>245</v>
          </cell>
        </row>
        <row r="395">
          <cell r="I395" t="str">
            <v>02 830 700 6070</v>
          </cell>
          <cell r="J395" t="str">
            <v>Retaining walls, stone filled gabions, stone delivered, galvanized, 3' wide, 12' long, 1'-6" high, excludes excavation</v>
          </cell>
          <cell r="K395" t="str">
            <v>B13</v>
          </cell>
          <cell r="L395">
            <v>25</v>
          </cell>
          <cell r="M395">
            <v>1.92</v>
          </cell>
          <cell r="N395" t="str">
            <v>C.Y.</v>
          </cell>
          <cell r="O395">
            <v>84</v>
          </cell>
          <cell r="P395">
            <v>46</v>
          </cell>
          <cell r="Q395">
            <v>29.5</v>
          </cell>
          <cell r="R395">
            <v>159.5</v>
          </cell>
          <cell r="S395">
            <v>202</v>
          </cell>
        </row>
        <row r="396">
          <cell r="I396" t="str">
            <v>02 830 700 6080</v>
          </cell>
          <cell r="J396" t="str">
            <v>Retaining walls, stone filled gabions, stone delivered, galvanized, 3' wide, 12' long, 3'-0" high, excludes excavation</v>
          </cell>
          <cell r="K396" t="str">
            <v>B13</v>
          </cell>
          <cell r="L396">
            <v>12.5</v>
          </cell>
          <cell r="M396">
            <v>3.84</v>
          </cell>
          <cell r="N396" t="str">
            <v>C.Y.</v>
          </cell>
          <cell r="O396">
            <v>72</v>
          </cell>
          <cell r="P396">
            <v>91.5</v>
          </cell>
          <cell r="Q396">
            <v>59</v>
          </cell>
          <cell r="R396">
            <v>222.5</v>
          </cell>
          <cell r="S396">
            <v>299</v>
          </cell>
        </row>
        <row r="397">
          <cell r="I397" t="str">
            <v>02 910 500 0200</v>
          </cell>
          <cell r="J397" t="str">
            <v>Mulch, hay, 1" deep, hand spread</v>
          </cell>
          <cell r="K397" t="str">
            <v>1 Clab</v>
          </cell>
          <cell r="L397">
            <v>475</v>
          </cell>
          <cell r="M397">
            <v>1.7000000000000001E-2</v>
          </cell>
          <cell r="N397" t="str">
            <v>S.Y.</v>
          </cell>
          <cell r="O397">
            <v>0.4</v>
          </cell>
          <cell r="P397">
            <v>0.37</v>
          </cell>
          <cell r="Q397">
            <v>0</v>
          </cell>
          <cell r="R397">
            <v>0.77</v>
          </cell>
          <cell r="S397">
            <v>1.07</v>
          </cell>
        </row>
        <row r="398">
          <cell r="I398" t="str">
            <v>02 910 500 0250</v>
          </cell>
          <cell r="J398" t="str">
            <v>Mulch, hay, 1" deep, power mulcher, small</v>
          </cell>
          <cell r="K398" t="str">
            <v>B64</v>
          </cell>
          <cell r="L398">
            <v>180</v>
          </cell>
          <cell r="M398">
            <v>8.8999999999999996E-2</v>
          </cell>
          <cell r="N398" t="str">
            <v>M.S.F.</v>
          </cell>
          <cell r="O398">
            <v>44.5</v>
          </cell>
          <cell r="P398">
            <v>1.98</v>
          </cell>
          <cell r="Q398">
            <v>1.45</v>
          </cell>
          <cell r="R398">
            <v>47.93</v>
          </cell>
          <cell r="S398">
            <v>54</v>
          </cell>
        </row>
        <row r="399">
          <cell r="I399" t="str">
            <v>02 910 500 0350</v>
          </cell>
          <cell r="J399" t="str">
            <v>Mulch, hay, 1" deep, power mulcher, large</v>
          </cell>
          <cell r="K399" t="str">
            <v>B65</v>
          </cell>
          <cell r="L399">
            <v>530</v>
          </cell>
          <cell r="M399">
            <v>0.03</v>
          </cell>
          <cell r="N399" t="str">
            <v>M.S.F.</v>
          </cell>
          <cell r="O399">
            <v>44.5</v>
          </cell>
          <cell r="P399">
            <v>0.67</v>
          </cell>
          <cell r="Q399">
            <v>0.65</v>
          </cell>
          <cell r="R399">
            <v>45.82</v>
          </cell>
          <cell r="S399">
            <v>51</v>
          </cell>
        </row>
        <row r="400">
          <cell r="I400" t="str">
            <v>02 910 500 0600</v>
          </cell>
          <cell r="J400" t="str">
            <v>Mulch, oat straw, 1" deep, hand spread</v>
          </cell>
          <cell r="K400" t="str">
            <v>1 Clab</v>
          </cell>
          <cell r="L400">
            <v>475</v>
          </cell>
          <cell r="M400">
            <v>1.7000000000000001E-2</v>
          </cell>
          <cell r="N400" t="str">
            <v>S.Y.</v>
          </cell>
          <cell r="O400">
            <v>0.43</v>
          </cell>
          <cell r="P400">
            <v>0.37</v>
          </cell>
          <cell r="Q400">
            <v>0</v>
          </cell>
          <cell r="R400">
            <v>0.8</v>
          </cell>
          <cell r="S400">
            <v>1.1000000000000001</v>
          </cell>
        </row>
        <row r="401">
          <cell r="I401" t="str">
            <v>02 910 500 0650</v>
          </cell>
          <cell r="J401" t="str">
            <v>Mulch, oat straw, 1" deep, power mulcher, small</v>
          </cell>
          <cell r="K401" t="str">
            <v>B64</v>
          </cell>
          <cell r="L401">
            <v>180</v>
          </cell>
          <cell r="M401">
            <v>8.8999999999999996E-2</v>
          </cell>
          <cell r="N401" t="str">
            <v>M.S.F.</v>
          </cell>
          <cell r="O401">
            <v>48</v>
          </cell>
          <cell r="P401">
            <v>1.98</v>
          </cell>
          <cell r="Q401">
            <v>1.45</v>
          </cell>
          <cell r="R401">
            <v>51.43</v>
          </cell>
          <cell r="S401">
            <v>57.5</v>
          </cell>
        </row>
        <row r="402">
          <cell r="I402" t="str">
            <v>02 910 500 0700</v>
          </cell>
          <cell r="J402" t="str">
            <v>Mulch, oat straw, 1" deep, power mulcher, large</v>
          </cell>
          <cell r="K402" t="str">
            <v>B65</v>
          </cell>
          <cell r="L402">
            <v>530</v>
          </cell>
          <cell r="M402">
            <v>0.03</v>
          </cell>
          <cell r="N402" t="str">
            <v>M.S.F.</v>
          </cell>
          <cell r="O402">
            <v>48</v>
          </cell>
          <cell r="P402">
            <v>0.67</v>
          </cell>
          <cell r="Q402">
            <v>0.65</v>
          </cell>
          <cell r="R402">
            <v>49.32</v>
          </cell>
          <cell r="S402">
            <v>54.5</v>
          </cell>
        </row>
        <row r="403">
          <cell r="I403" t="str">
            <v>02 910 710 2610</v>
          </cell>
          <cell r="J403" t="str">
            <v>Lawn bed preparation, rough grade &amp; scarify subsoil to receive topsoil, common earth, 200 H.P. dozer with scarifier</v>
          </cell>
          <cell r="K403" t="str">
            <v>B11A</v>
          </cell>
          <cell r="L403">
            <v>80</v>
          </cell>
          <cell r="M403">
            <v>0.2</v>
          </cell>
          <cell r="N403" t="str">
            <v>M.S.F.</v>
          </cell>
          <cell r="O403">
            <v>0</v>
          </cell>
          <cell r="P403">
            <v>5.15</v>
          </cell>
          <cell r="Q403">
            <v>12.35</v>
          </cell>
          <cell r="R403">
            <v>17.5</v>
          </cell>
          <cell r="S403">
            <v>22</v>
          </cell>
        </row>
        <row r="404">
          <cell r="I404" t="str">
            <v>02 910 710 3850</v>
          </cell>
          <cell r="J404" t="str">
            <v>Lawn bed preparation, spread conditioned topsoil, 6" deep, 300 HP dozer</v>
          </cell>
          <cell r="K404" t="str">
            <v>B10M</v>
          </cell>
          <cell r="L404">
            <v>27</v>
          </cell>
          <cell r="M404">
            <v>0.29599999999999999</v>
          </cell>
          <cell r="N404" t="str">
            <v>M.S.F.</v>
          </cell>
          <cell r="O404">
            <v>530</v>
          </cell>
          <cell r="P404">
            <v>8.75</v>
          </cell>
          <cell r="Q404">
            <v>48</v>
          </cell>
          <cell r="R404">
            <v>586.75</v>
          </cell>
          <cell r="S404">
            <v>645</v>
          </cell>
        </row>
        <row r="405">
          <cell r="I405" t="str">
            <v>02 910 710 3920</v>
          </cell>
          <cell r="J405" t="str">
            <v>Lawn bed preparation, spread conditioned topsoil, 4" deep, 300 H.P. dozer</v>
          </cell>
          <cell r="K405" t="str">
            <v>B10M</v>
          </cell>
          <cell r="L405">
            <v>34</v>
          </cell>
          <cell r="M405">
            <v>0.23499999999999999</v>
          </cell>
          <cell r="N405" t="str">
            <v>M.S.F.</v>
          </cell>
          <cell r="O405">
            <v>395</v>
          </cell>
          <cell r="P405">
            <v>6.95</v>
          </cell>
          <cell r="Q405">
            <v>38.5</v>
          </cell>
          <cell r="R405">
            <v>440.45</v>
          </cell>
          <cell r="S405">
            <v>490</v>
          </cell>
        </row>
        <row r="406">
          <cell r="I406" t="str">
            <v>02 910 810 0400</v>
          </cell>
          <cell r="J406" t="str">
            <v>Loam or topsoil, F.E. loader, 1-1/2 C.Y., remove and stockpile on site, spread from pile to rough finish grade</v>
          </cell>
          <cell r="K406" t="str">
            <v>B10S</v>
          </cell>
          <cell r="L406">
            <v>200</v>
          </cell>
          <cell r="M406">
            <v>0.04</v>
          </cell>
          <cell r="N406" t="str">
            <v>E.C.Y.</v>
          </cell>
          <cell r="O406">
            <v>0</v>
          </cell>
          <cell r="P406">
            <v>1.18</v>
          </cell>
          <cell r="Q406">
            <v>1.39</v>
          </cell>
          <cell r="R406">
            <v>2.57</v>
          </cell>
          <cell r="S406">
            <v>3.48</v>
          </cell>
        </row>
        <row r="407">
          <cell r="I407" t="str">
            <v>02 910 810 0700</v>
          </cell>
          <cell r="J407" t="str">
            <v>Loam or topsoil, screened, 4" deep, furnish and place, truck dumped</v>
          </cell>
          <cell r="K407" t="str">
            <v>B10S</v>
          </cell>
          <cell r="L407">
            <v>1300</v>
          </cell>
          <cell r="M407">
            <v>6.0000000000000001E-3</v>
          </cell>
          <cell r="N407" t="str">
            <v>S.Y.</v>
          </cell>
          <cell r="O407">
            <v>2.6</v>
          </cell>
          <cell r="P407">
            <v>0.18</v>
          </cell>
          <cell r="Q407">
            <v>0.21</v>
          </cell>
          <cell r="R407">
            <v>2.99</v>
          </cell>
          <cell r="S407">
            <v>3.39</v>
          </cell>
        </row>
        <row r="408">
          <cell r="I408" t="str">
            <v>02 910 810 0800</v>
          </cell>
          <cell r="J408" t="str">
            <v>Loam or topsoil, screened, 6" deep, furnish and place, truck dumped</v>
          </cell>
          <cell r="K408" t="str">
            <v>B10S</v>
          </cell>
          <cell r="L408">
            <v>820</v>
          </cell>
          <cell r="M408">
            <v>0.01</v>
          </cell>
          <cell r="N408" t="str">
            <v>S.Y.</v>
          </cell>
          <cell r="O408">
            <v>3.33</v>
          </cell>
          <cell r="P408">
            <v>0.28999999999999998</v>
          </cell>
          <cell r="Q408">
            <v>0.34</v>
          </cell>
          <cell r="R408">
            <v>3.96</v>
          </cell>
          <cell r="S408">
            <v>4.5</v>
          </cell>
        </row>
        <row r="409">
          <cell r="I409" t="str">
            <v>02 920 400 0020</v>
          </cell>
          <cell r="J409" t="str">
            <v>Sodding, bluegrass sod, on level ground, 1" deep, 8 M.S.F.</v>
          </cell>
          <cell r="K409" t="str">
            <v>B63</v>
          </cell>
          <cell r="L409">
            <v>22</v>
          </cell>
          <cell r="M409">
            <v>1.8180000000000001</v>
          </cell>
          <cell r="N409" t="str">
            <v>M.S.F.</v>
          </cell>
          <cell r="O409">
            <v>234</v>
          </cell>
          <cell r="P409">
            <v>40</v>
          </cell>
          <cell r="Q409">
            <v>5.55</v>
          </cell>
          <cell r="R409">
            <v>279.55</v>
          </cell>
          <cell r="S409">
            <v>330</v>
          </cell>
        </row>
        <row r="410">
          <cell r="I410" t="str">
            <v>02 920 400 0200</v>
          </cell>
          <cell r="J410" t="str">
            <v>Sodding, bluegrass sod, on level ground, 1" deep, 4 M.S.F.</v>
          </cell>
          <cell r="K410" t="str">
            <v>B63</v>
          </cell>
          <cell r="L410">
            <v>17</v>
          </cell>
          <cell r="M410">
            <v>2.3530000000000002</v>
          </cell>
          <cell r="N410" t="str">
            <v>M.S.F.</v>
          </cell>
          <cell r="O410">
            <v>261</v>
          </cell>
          <cell r="P410">
            <v>52</v>
          </cell>
          <cell r="Q410">
            <v>7.2</v>
          </cell>
          <cell r="R410">
            <v>320.2</v>
          </cell>
          <cell r="S410">
            <v>385</v>
          </cell>
        </row>
        <row r="411">
          <cell r="I411" t="str">
            <v>02 920 400 0300</v>
          </cell>
          <cell r="J411" t="str">
            <v>Sodding, bluegrass sod, on level ground, 1000 S.F.</v>
          </cell>
          <cell r="K411" t="str">
            <v>B63</v>
          </cell>
          <cell r="L411">
            <v>13.5</v>
          </cell>
          <cell r="M411">
            <v>2.9630000000000001</v>
          </cell>
          <cell r="N411" t="str">
            <v>M.S.F.</v>
          </cell>
          <cell r="O411">
            <v>285</v>
          </cell>
          <cell r="P411">
            <v>65.5</v>
          </cell>
          <cell r="Q411">
            <v>9.0500000000000007</v>
          </cell>
          <cell r="R411">
            <v>359.55</v>
          </cell>
          <cell r="S411">
            <v>435</v>
          </cell>
        </row>
        <row r="412">
          <cell r="I412" t="str">
            <v>02 920 400 0500</v>
          </cell>
          <cell r="J412" t="str">
            <v>Sodding, bluegrass sod, on sloped ground, over 8 M.S.F.</v>
          </cell>
          <cell r="K412" t="str">
            <v>B63</v>
          </cell>
          <cell r="L412">
            <v>6</v>
          </cell>
          <cell r="M412">
            <v>6.6669999999999998</v>
          </cell>
          <cell r="N412" t="str">
            <v>M.S.F.</v>
          </cell>
          <cell r="O412">
            <v>234</v>
          </cell>
          <cell r="P412">
            <v>147</v>
          </cell>
          <cell r="Q412">
            <v>20.5</v>
          </cell>
          <cell r="R412">
            <v>401.5</v>
          </cell>
          <cell r="S412">
            <v>530</v>
          </cell>
        </row>
        <row r="413">
          <cell r="I413" t="str">
            <v>02 920 400 0600</v>
          </cell>
          <cell r="J413" t="str">
            <v>Sodding, bluegrass sod, on sloped ground, 4 M.S.F.</v>
          </cell>
          <cell r="K413" t="str">
            <v>B63</v>
          </cell>
          <cell r="L413">
            <v>5</v>
          </cell>
          <cell r="M413">
            <v>8</v>
          </cell>
          <cell r="N413" t="str">
            <v>M.S.F.</v>
          </cell>
          <cell r="O413">
            <v>261</v>
          </cell>
          <cell r="P413">
            <v>177</v>
          </cell>
          <cell r="Q413">
            <v>24.5</v>
          </cell>
          <cell r="R413">
            <v>462.5</v>
          </cell>
          <cell r="S413">
            <v>615</v>
          </cell>
        </row>
        <row r="414">
          <cell r="I414" t="str">
            <v>02 920 400 0700</v>
          </cell>
          <cell r="J414" t="str">
            <v>Sodding, bluegrass sod, on sloped ground, 1000 S.F.</v>
          </cell>
          <cell r="K414" t="str">
            <v>B63</v>
          </cell>
          <cell r="L414">
            <v>4</v>
          </cell>
          <cell r="M414">
            <v>10</v>
          </cell>
          <cell r="N414" t="str">
            <v>M.S.F.</v>
          </cell>
          <cell r="O414">
            <v>285</v>
          </cell>
          <cell r="P414">
            <v>221</v>
          </cell>
          <cell r="Q414">
            <v>30.5</v>
          </cell>
          <cell r="R414">
            <v>536.5</v>
          </cell>
          <cell r="S414">
            <v>725</v>
          </cell>
        </row>
        <row r="415">
          <cell r="I415" t="str">
            <v>02 920 400 1000</v>
          </cell>
          <cell r="J415" t="str">
            <v>Sodding, bent grass sod, on level ground, over 6 M.S.F.</v>
          </cell>
          <cell r="K415" t="str">
            <v>B63</v>
          </cell>
          <cell r="L415">
            <v>20</v>
          </cell>
          <cell r="M415">
            <v>2</v>
          </cell>
          <cell r="N415" t="str">
            <v>M.S.F.</v>
          </cell>
          <cell r="O415">
            <v>525</v>
          </cell>
          <cell r="P415">
            <v>44</v>
          </cell>
          <cell r="Q415">
            <v>6.1</v>
          </cell>
          <cell r="R415">
            <v>575.1</v>
          </cell>
          <cell r="S415">
            <v>655</v>
          </cell>
        </row>
        <row r="416">
          <cell r="I416" t="str">
            <v>02 920 400 1100</v>
          </cell>
          <cell r="J416" t="str">
            <v>Sodding, bent grass sod, on level ground, 3 M.S.F.</v>
          </cell>
          <cell r="K416" t="str">
            <v>B63</v>
          </cell>
          <cell r="L416">
            <v>18</v>
          </cell>
          <cell r="M416">
            <v>2.222</v>
          </cell>
          <cell r="N416" t="str">
            <v>M.S.F.</v>
          </cell>
          <cell r="O416">
            <v>580</v>
          </cell>
          <cell r="P416">
            <v>49</v>
          </cell>
          <cell r="Q416">
            <v>6.8</v>
          </cell>
          <cell r="R416">
            <v>635.79999999999995</v>
          </cell>
          <cell r="S416">
            <v>730</v>
          </cell>
        </row>
        <row r="417">
          <cell r="I417" t="str">
            <v>02 920 400 1200</v>
          </cell>
          <cell r="J417" t="str">
            <v>Sodding, bent grass sod, on level ground, 1000 S.F. or less</v>
          </cell>
          <cell r="K417" t="str">
            <v>B63</v>
          </cell>
          <cell r="L417">
            <v>14</v>
          </cell>
          <cell r="M417">
            <v>2.8570000000000002</v>
          </cell>
          <cell r="N417" t="str">
            <v>M.S.F.</v>
          </cell>
          <cell r="O417">
            <v>665</v>
          </cell>
          <cell r="P417">
            <v>63</v>
          </cell>
          <cell r="Q417">
            <v>8.6999999999999993</v>
          </cell>
          <cell r="R417">
            <v>736.7</v>
          </cell>
          <cell r="S417">
            <v>845</v>
          </cell>
        </row>
        <row r="418">
          <cell r="I418" t="str">
            <v>02 920 400 1500</v>
          </cell>
          <cell r="J418" t="str">
            <v>Sodding, bent grass sod, on sloped ground, over 6 M.S.F.</v>
          </cell>
          <cell r="K418" t="str">
            <v>B63</v>
          </cell>
          <cell r="L418">
            <v>15</v>
          </cell>
          <cell r="M418">
            <v>2.6669999999999998</v>
          </cell>
          <cell r="N418" t="str">
            <v>M.S.F.</v>
          </cell>
          <cell r="O418">
            <v>525</v>
          </cell>
          <cell r="P418">
            <v>59</v>
          </cell>
          <cell r="Q418">
            <v>8.15</v>
          </cell>
          <cell r="R418">
            <v>592.15</v>
          </cell>
          <cell r="S418">
            <v>685</v>
          </cell>
        </row>
        <row r="419">
          <cell r="I419" t="str">
            <v>02 920 400 1600</v>
          </cell>
          <cell r="J419" t="str">
            <v>Sodding, bent grass sod, on sloped ground, 3 M.S.F.</v>
          </cell>
          <cell r="K419" t="str">
            <v>B63</v>
          </cell>
          <cell r="L419">
            <v>13.5</v>
          </cell>
          <cell r="M419">
            <v>2.9630000000000001</v>
          </cell>
          <cell r="N419" t="str">
            <v>M.S.F.</v>
          </cell>
          <cell r="O419">
            <v>580</v>
          </cell>
          <cell r="P419">
            <v>65.5</v>
          </cell>
          <cell r="Q419">
            <v>9.0500000000000007</v>
          </cell>
          <cell r="R419">
            <v>654.54999999999995</v>
          </cell>
          <cell r="S419">
            <v>760</v>
          </cell>
        </row>
        <row r="420">
          <cell r="I420" t="str">
            <v>02 920 400 1700</v>
          </cell>
          <cell r="J420" t="str">
            <v>Sodding, bent grass sod, on sloped ground, 1000 S.F. or less</v>
          </cell>
          <cell r="K420" t="str">
            <v>B63</v>
          </cell>
          <cell r="L420">
            <v>12</v>
          </cell>
          <cell r="M420">
            <v>3.3330000000000002</v>
          </cell>
          <cell r="N420" t="str">
            <v>M.S.F.</v>
          </cell>
          <cell r="O420">
            <v>665</v>
          </cell>
          <cell r="P420">
            <v>73.5</v>
          </cell>
          <cell r="Q420">
            <v>10.15</v>
          </cell>
          <cell r="R420">
            <v>748.65</v>
          </cell>
          <cell r="S420">
            <v>865</v>
          </cell>
        </row>
        <row r="421">
          <cell r="I421" t="str">
            <v>03 060 100 0220</v>
          </cell>
          <cell r="J421" t="str">
            <v>Concrete admixture, air entraining agent, 0.7 to 1.5 oz per bag, 5 gallon pail, includes material only</v>
          </cell>
          <cell r="N421" t="str">
            <v>Gal.</v>
          </cell>
          <cell r="O421">
            <v>10</v>
          </cell>
          <cell r="P421">
            <v>0</v>
          </cell>
          <cell r="Q421">
            <v>0</v>
          </cell>
          <cell r="R421">
            <v>10</v>
          </cell>
          <cell r="S421">
            <v>11</v>
          </cell>
        </row>
        <row r="422">
          <cell r="I422" t="str">
            <v>03 060 100 0700</v>
          </cell>
          <cell r="J422" t="str">
            <v>Concrete surface treatment, curing compound, 200-400 S.F. per gallon, 55 gal. lots, includes material only</v>
          </cell>
          <cell r="N422" t="str">
            <v>Gal.</v>
          </cell>
          <cell r="O422">
            <v>12.05</v>
          </cell>
          <cell r="P422">
            <v>0</v>
          </cell>
          <cell r="Q422">
            <v>0</v>
          </cell>
          <cell r="R422">
            <v>12.05</v>
          </cell>
          <cell r="S422">
            <v>13.25</v>
          </cell>
        </row>
        <row r="423">
          <cell r="I423" t="str">
            <v>03 060 100 0800</v>
          </cell>
          <cell r="J423" t="str">
            <v>Concrete surface treatment, curing compound, water based, 350 S.F. per gallon, 55 gallon drum, includes material only</v>
          </cell>
          <cell r="N423" t="str">
            <v>Gal.</v>
          </cell>
          <cell r="O423">
            <v>14.2</v>
          </cell>
          <cell r="P423">
            <v>0</v>
          </cell>
          <cell r="Q423">
            <v>0</v>
          </cell>
          <cell r="R423">
            <v>14.2</v>
          </cell>
          <cell r="S423">
            <v>15.65</v>
          </cell>
        </row>
        <row r="424">
          <cell r="I424" t="str">
            <v>03 060 100 1900</v>
          </cell>
          <cell r="J424" t="str">
            <v>Concrete surface treatment, set retarder, 100 SF/gal, 5 gallon pail, includes material only</v>
          </cell>
          <cell r="N424" t="str">
            <v>Gal.</v>
          </cell>
          <cell r="O424">
            <v>15.05</v>
          </cell>
          <cell r="P424">
            <v>0</v>
          </cell>
          <cell r="Q424">
            <v>0</v>
          </cell>
          <cell r="R424">
            <v>15.05</v>
          </cell>
          <cell r="S424">
            <v>16.55</v>
          </cell>
        </row>
        <row r="425">
          <cell r="I425" t="str">
            <v>03 060 870 0012</v>
          </cell>
          <cell r="J425" t="str">
            <v>Winter Protection, for heated ready mix, includes material only, add, minimum</v>
          </cell>
          <cell r="N425" t="str">
            <v>C.Y.</v>
          </cell>
          <cell r="O425">
            <v>5.5</v>
          </cell>
          <cell r="P425">
            <v>0</v>
          </cell>
          <cell r="Q425">
            <v>0</v>
          </cell>
          <cell r="R425">
            <v>5.5</v>
          </cell>
          <cell r="S425">
            <v>6.05</v>
          </cell>
        </row>
        <row r="426">
          <cell r="I426" t="str">
            <v>03 060 870 0050</v>
          </cell>
          <cell r="J426" t="str">
            <v>Winter Protection, for heated ready mix, includes material only, add, maximum</v>
          </cell>
          <cell r="N426" t="str">
            <v>C.Y.</v>
          </cell>
          <cell r="O426">
            <v>6.9</v>
          </cell>
          <cell r="P426">
            <v>0</v>
          </cell>
          <cell r="Q426">
            <v>0</v>
          </cell>
          <cell r="R426">
            <v>6.9</v>
          </cell>
          <cell r="S426">
            <v>7.55</v>
          </cell>
        </row>
        <row r="427">
          <cell r="I427" t="str">
            <v>03 060 870 0100</v>
          </cell>
          <cell r="J427" t="str">
            <v>Winter Protection, temporary heat, add or remove, minimum</v>
          </cell>
          <cell r="K427" t="str">
            <v>2 Clab</v>
          </cell>
          <cell r="L427">
            <v>50</v>
          </cell>
          <cell r="M427">
            <v>0.32</v>
          </cell>
          <cell r="N427" t="str">
            <v>M.S.F.</v>
          </cell>
          <cell r="O427">
            <v>200</v>
          </cell>
          <cell r="P427">
            <v>7.05</v>
          </cell>
          <cell r="Q427">
            <v>0</v>
          </cell>
          <cell r="R427">
            <v>207.05</v>
          </cell>
          <cell r="S427">
            <v>232</v>
          </cell>
        </row>
        <row r="428">
          <cell r="I428" t="str">
            <v>03 060 870 0150</v>
          </cell>
          <cell r="J428" t="str">
            <v>Winter Protection, temporary heat, add or remove, maximum</v>
          </cell>
          <cell r="K428" t="str">
            <v>2 Clab</v>
          </cell>
          <cell r="L428">
            <v>25</v>
          </cell>
          <cell r="M428">
            <v>0.64</v>
          </cell>
          <cell r="N428" t="str">
            <v>M.S.F.</v>
          </cell>
          <cell r="O428">
            <v>260</v>
          </cell>
          <cell r="P428">
            <v>14.15</v>
          </cell>
          <cell r="Q428">
            <v>0</v>
          </cell>
          <cell r="R428">
            <v>274.14999999999998</v>
          </cell>
          <cell r="S428">
            <v>310</v>
          </cell>
        </row>
        <row r="429">
          <cell r="I429" t="str">
            <v>03 060 870 0201</v>
          </cell>
          <cell r="J429" t="str">
            <v>Winter Protection, temporary shelter, slab on grede, wood frame and polyethylene sheeting, build or remove, minimum</v>
          </cell>
          <cell r="K429" t="str">
            <v>2 Carp</v>
          </cell>
          <cell r="L429">
            <v>10</v>
          </cell>
          <cell r="M429">
            <v>1.6</v>
          </cell>
          <cell r="N429" t="str">
            <v>M.S.F.</v>
          </cell>
          <cell r="O429">
            <v>291</v>
          </cell>
          <cell r="P429">
            <v>46</v>
          </cell>
          <cell r="Q429">
            <v>0</v>
          </cell>
          <cell r="R429">
            <v>337</v>
          </cell>
          <cell r="S429">
            <v>400</v>
          </cell>
        </row>
        <row r="430">
          <cell r="I430" t="str">
            <v>03 060 870 0210</v>
          </cell>
          <cell r="J430" t="str">
            <v>Winter Protection, temporary shelter, slab on grede, wood frame and polyethylene sheeting, build or remove, maximum</v>
          </cell>
          <cell r="K430" t="str">
            <v>2 Carp</v>
          </cell>
          <cell r="L430">
            <v>3</v>
          </cell>
          <cell r="M430">
            <v>5.3330000000000002</v>
          </cell>
          <cell r="N430" t="str">
            <v>M.S.F.</v>
          </cell>
          <cell r="O430">
            <v>345</v>
          </cell>
          <cell r="P430">
            <v>153</v>
          </cell>
          <cell r="Q430">
            <v>0</v>
          </cell>
          <cell r="R430">
            <v>498</v>
          </cell>
          <cell r="S430">
            <v>640</v>
          </cell>
        </row>
        <row r="431">
          <cell r="I431" t="str">
            <v>03 110 430 0100</v>
          </cell>
          <cell r="J431" t="str">
            <v>C.I.P. concrete forms, footing, continuous wall, plywood, 3 use, includes erecting, bracing, stripping and cleaning</v>
          </cell>
          <cell r="K431" t="str">
            <v>C1</v>
          </cell>
          <cell r="L431">
            <v>470</v>
          </cell>
          <cell r="M431">
            <v>6.8000000000000005E-2</v>
          </cell>
          <cell r="N431" t="str">
            <v>SFCA</v>
          </cell>
          <cell r="O431">
            <v>1.06</v>
          </cell>
          <cell r="P431">
            <v>1.71</v>
          </cell>
          <cell r="Q431">
            <v>0</v>
          </cell>
          <cell r="R431">
            <v>2.77</v>
          </cell>
          <cell r="S431">
            <v>4.0599999999999996</v>
          </cell>
        </row>
        <row r="432">
          <cell r="I432" t="str">
            <v>03 110 430 0150</v>
          </cell>
          <cell r="J432" t="str">
            <v>C.I.P. concrete forms, footing, continuous wall, plywood, 4 use, includes erecting, bracing, stripping and cleaning</v>
          </cell>
          <cell r="K432" t="str">
            <v>C1</v>
          </cell>
          <cell r="L432">
            <v>485</v>
          </cell>
          <cell r="M432">
            <v>6.6000000000000003E-2</v>
          </cell>
          <cell r="N432" t="str">
            <v>SFCA</v>
          </cell>
          <cell r="O432">
            <v>0.86</v>
          </cell>
          <cell r="P432">
            <v>1.66</v>
          </cell>
          <cell r="Q432">
            <v>0</v>
          </cell>
          <cell r="R432">
            <v>2.52</v>
          </cell>
          <cell r="S432">
            <v>3.76</v>
          </cell>
        </row>
        <row r="433">
          <cell r="I433" t="str">
            <v>03 110 430 0500</v>
          </cell>
          <cell r="J433" t="str">
            <v>C.I.P. concrete forms, footing, continuous wall, dowel supports, more than 20' below grade, includes erecting, bracing, stripping and cleaning</v>
          </cell>
          <cell r="K433" t="str">
            <v>C1</v>
          </cell>
          <cell r="L433">
            <v>500</v>
          </cell>
          <cell r="M433">
            <v>6.4000000000000001E-2</v>
          </cell>
          <cell r="N433" t="str">
            <v>L.F.</v>
          </cell>
          <cell r="O433">
            <v>0.84</v>
          </cell>
          <cell r="P433">
            <v>1.61</v>
          </cell>
          <cell r="Q433">
            <v>0</v>
          </cell>
          <cell r="R433">
            <v>2.4500000000000002</v>
          </cell>
          <cell r="S433">
            <v>3.66</v>
          </cell>
        </row>
        <row r="434">
          <cell r="I434" t="str">
            <v>03 110 430 1500</v>
          </cell>
          <cell r="J434" t="str">
            <v>C.I.P. concrete forms, footing, keyway, tapered wood, 2" x 4", 4 use, includes erecting, bracing, stripping and cleaning</v>
          </cell>
          <cell r="K434" t="str">
            <v>1 Carp</v>
          </cell>
          <cell r="L434">
            <v>530</v>
          </cell>
          <cell r="M434">
            <v>1.4999999999999999E-2</v>
          </cell>
          <cell r="N434" t="str">
            <v>L.F.</v>
          </cell>
          <cell r="O434">
            <v>0.2</v>
          </cell>
          <cell r="P434">
            <v>0.43</v>
          </cell>
          <cell r="Q434">
            <v>0</v>
          </cell>
          <cell r="R434">
            <v>0.63</v>
          </cell>
          <cell r="S434">
            <v>0.95</v>
          </cell>
        </row>
        <row r="435">
          <cell r="I435" t="str">
            <v>03 110 430 2250</v>
          </cell>
          <cell r="J435" t="str">
            <v>C.I.P. concrete forms, footing, for keyway hung from supports, add</v>
          </cell>
          <cell r="K435" t="str">
            <v>1 Carp</v>
          </cell>
          <cell r="L435">
            <v>150</v>
          </cell>
          <cell r="M435">
            <v>5.2999999999999999E-2</v>
          </cell>
          <cell r="N435" t="str">
            <v>L.F.</v>
          </cell>
          <cell r="O435">
            <v>0.84</v>
          </cell>
          <cell r="P435">
            <v>1.53</v>
          </cell>
          <cell r="Q435">
            <v>0</v>
          </cell>
          <cell r="R435">
            <v>2.37</v>
          </cell>
          <cell r="S435">
            <v>3.52</v>
          </cell>
        </row>
        <row r="436">
          <cell r="I436" t="str">
            <v>03 110 445 2000</v>
          </cell>
          <cell r="J436" t="str">
            <v>C.I.P. concrete forms, slab on grade, curb, wood, 6" to 12" high, 1 use, includes erecting, bracing, stripping and cleaning</v>
          </cell>
          <cell r="K436" t="str">
            <v>C1</v>
          </cell>
          <cell r="L436">
            <v>215</v>
          </cell>
          <cell r="M436">
            <v>0.14899999999999999</v>
          </cell>
          <cell r="N436" t="str">
            <v>SFCA</v>
          </cell>
          <cell r="O436">
            <v>1.95</v>
          </cell>
          <cell r="P436">
            <v>3.74</v>
          </cell>
          <cell r="Q436">
            <v>0</v>
          </cell>
          <cell r="R436">
            <v>5.69</v>
          </cell>
          <cell r="S436">
            <v>8.5</v>
          </cell>
        </row>
        <row r="437">
          <cell r="I437" t="str">
            <v>03 110 445 2050</v>
          </cell>
          <cell r="J437" t="str">
            <v>C.I.P. concrete forms, slab on grade, curb, wood, 6" to 12" high, 2 use, includes erecting, bracing, stripping and cleaning</v>
          </cell>
          <cell r="K437" t="str">
            <v>C1</v>
          </cell>
          <cell r="L437">
            <v>250</v>
          </cell>
          <cell r="M437">
            <v>0.128</v>
          </cell>
          <cell r="N437" t="str">
            <v>SFCA</v>
          </cell>
          <cell r="O437">
            <v>1.08</v>
          </cell>
          <cell r="P437">
            <v>3.22</v>
          </cell>
          <cell r="Q437">
            <v>0</v>
          </cell>
          <cell r="R437">
            <v>4.3</v>
          </cell>
          <cell r="S437">
            <v>6.65</v>
          </cell>
        </row>
        <row r="438">
          <cell r="I438" t="str">
            <v>03 110 445 3000</v>
          </cell>
          <cell r="J438" t="str">
            <v>C.I.P. concrete forms, slab on grade, edge, wood, to 6" high, 4 use, includes erecting, bracing, stripping and cleaning</v>
          </cell>
          <cell r="K438" t="str">
            <v>C1</v>
          </cell>
          <cell r="L438">
            <v>600</v>
          </cell>
          <cell r="M438">
            <v>5.2999999999999999E-2</v>
          </cell>
          <cell r="N438" t="str">
            <v>L.F.</v>
          </cell>
          <cell r="O438">
            <v>0.28999999999999998</v>
          </cell>
          <cell r="P438">
            <v>1.34</v>
          </cell>
          <cell r="Q438">
            <v>0</v>
          </cell>
          <cell r="R438">
            <v>1.63</v>
          </cell>
          <cell r="S438">
            <v>2.6</v>
          </cell>
        </row>
        <row r="439">
          <cell r="I439" t="str">
            <v>03 110 445 3050</v>
          </cell>
          <cell r="J439" t="str">
            <v>C.I.P. concrete forms, slab on grade, edge, wood, 7" to 12" high, 4 use, includes erecting, bracing, stripping and cleaning</v>
          </cell>
          <cell r="K439" t="str">
            <v>C1</v>
          </cell>
          <cell r="L439">
            <v>435</v>
          </cell>
          <cell r="M439">
            <v>7.3999999999999996E-2</v>
          </cell>
          <cell r="N439" t="str">
            <v>SFCA</v>
          </cell>
          <cell r="O439">
            <v>0.65</v>
          </cell>
          <cell r="P439">
            <v>1.85</v>
          </cell>
          <cell r="Q439">
            <v>0</v>
          </cell>
          <cell r="R439">
            <v>2.5</v>
          </cell>
          <cell r="S439">
            <v>3.85</v>
          </cell>
        </row>
        <row r="440">
          <cell r="I440" t="str">
            <v>03 110 455 2000</v>
          </cell>
          <cell r="J440" t="str">
            <v>C.I.P. concrete forms, wall, job built, plywood, below grade, to 8' high, 1 use, includes erecting, bracing, stripping and cleaning</v>
          </cell>
          <cell r="K440" t="str">
            <v>C2</v>
          </cell>
          <cell r="L440">
            <v>300</v>
          </cell>
          <cell r="M440">
            <v>0.16</v>
          </cell>
          <cell r="N440" t="str">
            <v>SFCA</v>
          </cell>
          <cell r="O440">
            <v>2.4900000000000002</v>
          </cell>
          <cell r="P440">
            <v>4.07</v>
          </cell>
          <cell r="Q440">
            <v>0</v>
          </cell>
          <cell r="R440">
            <v>6.56</v>
          </cell>
          <cell r="S440">
            <v>9.65</v>
          </cell>
        </row>
        <row r="441">
          <cell r="I441" t="str">
            <v>03 110 455 2400</v>
          </cell>
          <cell r="J441" t="str">
            <v>C.I.P. concrete forms, wall, job built, plywood, over 8' to 16' high, 1 use, includes erecting, bracing, stripping and cleaning</v>
          </cell>
          <cell r="K441" t="str">
            <v>C2</v>
          </cell>
          <cell r="L441">
            <v>280</v>
          </cell>
          <cell r="M441">
            <v>0.17100000000000001</v>
          </cell>
          <cell r="N441" t="str">
            <v>SFCA</v>
          </cell>
          <cell r="O441">
            <v>5.2</v>
          </cell>
          <cell r="P441">
            <v>4.3600000000000003</v>
          </cell>
          <cell r="Q441">
            <v>0</v>
          </cell>
          <cell r="R441">
            <v>9.56</v>
          </cell>
          <cell r="S441">
            <v>13.1</v>
          </cell>
        </row>
        <row r="442">
          <cell r="I442" t="str">
            <v>03 110 455 2420</v>
          </cell>
          <cell r="J442" t="str">
            <v>C.I.P. concrete forms, wall, job built, plywood, interior, 8 to 16' high, 2 use, includes erecting, bracing, stripping and cleaning</v>
          </cell>
          <cell r="K442" t="str">
            <v>C2</v>
          </cell>
          <cell r="L442">
            <v>345</v>
          </cell>
          <cell r="M442">
            <v>0.13900000000000001</v>
          </cell>
          <cell r="N442" t="str">
            <v>SFCA</v>
          </cell>
          <cell r="O442">
            <v>1.98</v>
          </cell>
          <cell r="P442">
            <v>3.54</v>
          </cell>
          <cell r="Q442">
            <v>0</v>
          </cell>
          <cell r="R442">
            <v>5.52</v>
          </cell>
          <cell r="S442">
            <v>8.1999999999999993</v>
          </cell>
        </row>
        <row r="443">
          <cell r="I443" t="str">
            <v>03 110 455 2445</v>
          </cell>
          <cell r="J443" t="str">
            <v>C.I.P. concrete forms, wall, job built, plywood, exterior, 8 to 16' high, 1 use, includes erecting, bracing, stripping and cleaning</v>
          </cell>
          <cell r="K443" t="str">
            <v>C2</v>
          </cell>
          <cell r="L443">
            <v>280</v>
          </cell>
          <cell r="M443">
            <v>0.17100000000000001</v>
          </cell>
          <cell r="N443" t="str">
            <v>SFCA</v>
          </cell>
          <cell r="O443">
            <v>2.06</v>
          </cell>
          <cell r="P443">
            <v>4.3600000000000003</v>
          </cell>
          <cell r="Q443">
            <v>0</v>
          </cell>
          <cell r="R443">
            <v>6.42</v>
          </cell>
          <cell r="S443">
            <v>9.65</v>
          </cell>
        </row>
        <row r="444">
          <cell r="I444" t="str">
            <v>03 110 455 2450</v>
          </cell>
          <cell r="J444" t="str">
            <v>C.I.P. concrete forms, wall, job built, plywood, exterior, 8 to 16' high, 2 use, includes erecting, bracing, stripping and cleaning</v>
          </cell>
          <cell r="K444" t="str">
            <v>C2</v>
          </cell>
          <cell r="L444">
            <v>345</v>
          </cell>
          <cell r="M444">
            <v>0.13900000000000001</v>
          </cell>
          <cell r="N444" t="str">
            <v>SFCA</v>
          </cell>
          <cell r="O444">
            <v>1.1399999999999999</v>
          </cell>
          <cell r="P444">
            <v>3.54</v>
          </cell>
          <cell r="Q444">
            <v>0</v>
          </cell>
          <cell r="R444">
            <v>4.68</v>
          </cell>
          <cell r="S444">
            <v>7.25</v>
          </cell>
        </row>
        <row r="445">
          <cell r="I445" t="str">
            <v>03 110 455 7820</v>
          </cell>
          <cell r="J445" t="str">
            <v>C.I.P. concrete forms, walls, modular prefabricated plywood, to 8' high, 2 use per month, includes erecting, bracing, stripping and cleaning</v>
          </cell>
          <cell r="K445" t="str">
            <v>C2</v>
          </cell>
          <cell r="L445">
            <v>1200</v>
          </cell>
          <cell r="M445">
            <v>0.04</v>
          </cell>
          <cell r="N445" t="str">
            <v>SFCA</v>
          </cell>
          <cell r="O445">
            <v>1.1100000000000001</v>
          </cell>
          <cell r="P445">
            <v>1.02</v>
          </cell>
          <cell r="Q445">
            <v>0</v>
          </cell>
          <cell r="R445">
            <v>2.13</v>
          </cell>
          <cell r="S445">
            <v>2.94</v>
          </cell>
        </row>
        <row r="446">
          <cell r="I446" t="str">
            <v>03 110 455 7860</v>
          </cell>
          <cell r="J446" t="str">
            <v>C.I.P. concrete forms, walls, modular prefabricated plywood, to 8' high, 4 use per month, includes erecting, bracing, stripping and cleaning</v>
          </cell>
          <cell r="K446" t="str">
            <v>C2</v>
          </cell>
          <cell r="L446">
            <v>1260</v>
          </cell>
          <cell r="M446">
            <v>3.7999999999999999E-2</v>
          </cell>
          <cell r="N446" t="str">
            <v>SFCA</v>
          </cell>
          <cell r="O446">
            <v>0.66</v>
          </cell>
          <cell r="P446">
            <v>0.97</v>
          </cell>
          <cell r="Q446">
            <v>0</v>
          </cell>
          <cell r="R446">
            <v>1.63</v>
          </cell>
          <cell r="S446">
            <v>2.37</v>
          </cell>
        </row>
        <row r="447">
          <cell r="I447" t="str">
            <v>03 110 455 8020</v>
          </cell>
          <cell r="J447" t="str">
            <v>C.I.P. concrete forms, walls, modular prefabricated plywood, over 8' to 16' high, 2 use per month, includes erecting, bracing, stripping and cleaning</v>
          </cell>
          <cell r="K447" t="str">
            <v>C2</v>
          </cell>
          <cell r="L447">
            <v>740</v>
          </cell>
          <cell r="M447">
            <v>6.5000000000000002E-2</v>
          </cell>
          <cell r="N447" t="str">
            <v>SFCA</v>
          </cell>
          <cell r="O447">
            <v>1.46</v>
          </cell>
          <cell r="P447">
            <v>1.65</v>
          </cell>
          <cell r="Q447">
            <v>0</v>
          </cell>
          <cell r="R447">
            <v>3.11</v>
          </cell>
          <cell r="S447">
            <v>4.4000000000000004</v>
          </cell>
        </row>
        <row r="448">
          <cell r="I448" t="str">
            <v>03 110 455 8060</v>
          </cell>
          <cell r="J448" t="str">
            <v>C.I.P. concrete forms, walls, modular prefabricated plywood, over 8' to 16' high, 4 use per month, includes erecting, bracing, stripping and cleaning</v>
          </cell>
          <cell r="K448" t="str">
            <v>C2</v>
          </cell>
          <cell r="L448">
            <v>790</v>
          </cell>
          <cell r="M448">
            <v>6.0999999999999999E-2</v>
          </cell>
          <cell r="N448" t="str">
            <v>SFCA</v>
          </cell>
          <cell r="O448">
            <v>0.87</v>
          </cell>
          <cell r="P448">
            <v>1.55</v>
          </cell>
          <cell r="Q448">
            <v>0</v>
          </cell>
          <cell r="R448">
            <v>2.42</v>
          </cell>
          <cell r="S448">
            <v>3.58</v>
          </cell>
        </row>
        <row r="449">
          <cell r="I449" t="str">
            <v>03 110 455 9060</v>
          </cell>
          <cell r="J449" t="str">
            <v>C.I.P. concrete forms, walls, steel framed plywood, to 8' high, based on 100 uses of purchased forms, 4 uses of bracing lumber, includes erecting, bracing, stripping and cleaning</v>
          </cell>
          <cell r="K449" t="str">
            <v>C2</v>
          </cell>
          <cell r="L449">
            <v>600</v>
          </cell>
          <cell r="M449">
            <v>0.08</v>
          </cell>
          <cell r="N449" t="str">
            <v>SFCA</v>
          </cell>
          <cell r="O449">
            <v>0.42</v>
          </cell>
          <cell r="P449">
            <v>2.0299999999999998</v>
          </cell>
          <cell r="Q449">
            <v>0</v>
          </cell>
          <cell r="R449">
            <v>2.4500000000000002</v>
          </cell>
          <cell r="S449">
            <v>3.91</v>
          </cell>
        </row>
        <row r="450">
          <cell r="I450" t="str">
            <v>03 110 455 9260</v>
          </cell>
          <cell r="J450" t="str">
            <v>C.I.P. concrete forms, walls, steel framed plywood, over 8' to 16' high, based on 100 uses of purchased forms, 4 uses of bracing lumber, includes erecting, bracing, stripping and cleaning</v>
          </cell>
          <cell r="K450" t="str">
            <v>C2</v>
          </cell>
          <cell r="L450">
            <v>450</v>
          </cell>
          <cell r="M450">
            <v>0.107</v>
          </cell>
          <cell r="N450" t="str">
            <v>SFCA</v>
          </cell>
          <cell r="O450">
            <v>0.42</v>
          </cell>
          <cell r="P450">
            <v>2.71</v>
          </cell>
          <cell r="Q450">
            <v>0</v>
          </cell>
          <cell r="R450">
            <v>3.13</v>
          </cell>
          <cell r="S450">
            <v>5.05</v>
          </cell>
        </row>
        <row r="451">
          <cell r="I451" t="str">
            <v>03 150 080 0100</v>
          </cell>
          <cell r="J451" t="str">
            <v>Anchor bolts, J-type, 1/2" diameter x 12" long, includes nut and washer</v>
          </cell>
          <cell r="K451" t="str">
            <v>1 Carp</v>
          </cell>
          <cell r="L451">
            <v>85</v>
          </cell>
          <cell r="M451">
            <v>9.4E-2</v>
          </cell>
          <cell r="N451" t="str">
            <v>Ea.</v>
          </cell>
          <cell r="O451">
            <v>1.36</v>
          </cell>
          <cell r="P451">
            <v>2.7</v>
          </cell>
          <cell r="Q451">
            <v>0</v>
          </cell>
          <cell r="R451">
            <v>4.0599999999999996</v>
          </cell>
          <cell r="S451">
            <v>6.05</v>
          </cell>
        </row>
        <row r="452">
          <cell r="I452" t="str">
            <v>03 150 080 2100</v>
          </cell>
          <cell r="J452" t="str">
            <v>Anchor bolts, J-type, 1/2" diameter x 6" long, galvanized, includes nut and washer</v>
          </cell>
          <cell r="K452" t="str">
            <v>1 Carp</v>
          </cell>
          <cell r="L452">
            <v>90</v>
          </cell>
          <cell r="M452">
            <v>8.8999999999999996E-2</v>
          </cell>
          <cell r="N452" t="str">
            <v>Ea.</v>
          </cell>
          <cell r="O452">
            <v>1.9</v>
          </cell>
          <cell r="P452">
            <v>2.5499999999999998</v>
          </cell>
          <cell r="Q452">
            <v>0</v>
          </cell>
          <cell r="R452">
            <v>4.45</v>
          </cell>
          <cell r="S452">
            <v>6.4</v>
          </cell>
        </row>
        <row r="453">
          <cell r="I453" t="str">
            <v>03 150 080 2150</v>
          </cell>
          <cell r="J453" t="str">
            <v>Anchor bolts, J-type, 1/2" diameter x 10" long, galvanized, includes nut and washer</v>
          </cell>
          <cell r="K453" t="str">
            <v>1 Carp</v>
          </cell>
          <cell r="L453">
            <v>85</v>
          </cell>
          <cell r="M453">
            <v>9.4E-2</v>
          </cell>
          <cell r="N453" t="str">
            <v>Ea.</v>
          </cell>
          <cell r="O453">
            <v>2.17</v>
          </cell>
          <cell r="P453">
            <v>2.7</v>
          </cell>
          <cell r="Q453">
            <v>0</v>
          </cell>
          <cell r="R453">
            <v>4.87</v>
          </cell>
          <cell r="S453">
            <v>6.95</v>
          </cell>
        </row>
        <row r="454">
          <cell r="I454" t="str">
            <v>03 150 080 2200</v>
          </cell>
          <cell r="J454" t="str">
            <v>Anchor bolts, J-type, 1/2" diameter x 12" long, galvanized, includes nut and washer</v>
          </cell>
          <cell r="K454" t="str">
            <v>1 Carp</v>
          </cell>
          <cell r="L454">
            <v>85</v>
          </cell>
          <cell r="M454">
            <v>9.4E-2</v>
          </cell>
          <cell r="N454" t="str">
            <v>Ea.</v>
          </cell>
          <cell r="O454">
            <v>2.38</v>
          </cell>
          <cell r="P454">
            <v>2.7</v>
          </cell>
          <cell r="Q454">
            <v>0</v>
          </cell>
          <cell r="R454">
            <v>5.08</v>
          </cell>
          <cell r="S454">
            <v>7.2</v>
          </cell>
        </row>
        <row r="455">
          <cell r="I455" t="str">
            <v>03 150 080 2500</v>
          </cell>
          <cell r="J455" t="str">
            <v>Anchor bolts, J-type, 5/8" diameter x 12" long, galvanized, includes nut and washer</v>
          </cell>
          <cell r="K455" t="str">
            <v>1 Carp</v>
          </cell>
          <cell r="L455">
            <v>80</v>
          </cell>
          <cell r="M455">
            <v>0.1</v>
          </cell>
          <cell r="N455" t="str">
            <v>Ea.</v>
          </cell>
          <cell r="O455">
            <v>2.39</v>
          </cell>
          <cell r="P455">
            <v>2.87</v>
          </cell>
          <cell r="Q455">
            <v>0</v>
          </cell>
          <cell r="R455">
            <v>5.26</v>
          </cell>
          <cell r="S455">
            <v>7.5</v>
          </cell>
        </row>
        <row r="456">
          <cell r="I456" t="str">
            <v>03 150 080 2550</v>
          </cell>
          <cell r="J456" t="str">
            <v>Anchor bolts, J-type, 5/8" diameter x 18" long, galvanized, includes nut and washer</v>
          </cell>
          <cell r="K456" t="str">
            <v>1 Carp</v>
          </cell>
          <cell r="L456">
            <v>70</v>
          </cell>
          <cell r="M456">
            <v>0.114</v>
          </cell>
          <cell r="N456" t="str">
            <v>Ea.</v>
          </cell>
          <cell r="O456">
            <v>2.81</v>
          </cell>
          <cell r="P456">
            <v>3.27</v>
          </cell>
          <cell r="Q456">
            <v>0</v>
          </cell>
          <cell r="R456">
            <v>6.08</v>
          </cell>
          <cell r="S456">
            <v>8.65</v>
          </cell>
        </row>
        <row r="457">
          <cell r="I457" t="str">
            <v>03 150 080 2700</v>
          </cell>
          <cell r="J457" t="str">
            <v>Anchor bolts, J-type, 3/4" diameter x 8" long, galvanized, includes nut and washer</v>
          </cell>
          <cell r="K457" t="str">
            <v>1 Carp</v>
          </cell>
          <cell r="L457">
            <v>80</v>
          </cell>
          <cell r="M457">
            <v>0.1</v>
          </cell>
          <cell r="N457" t="str">
            <v>Ea.</v>
          </cell>
          <cell r="O457">
            <v>2.81</v>
          </cell>
          <cell r="P457">
            <v>2.87</v>
          </cell>
          <cell r="Q457">
            <v>0</v>
          </cell>
          <cell r="R457">
            <v>5.68</v>
          </cell>
          <cell r="S457">
            <v>7.95</v>
          </cell>
        </row>
        <row r="458">
          <cell r="I458" t="str">
            <v>03 150 080 2750</v>
          </cell>
          <cell r="J458" t="str">
            <v>Anchor bolts, J-type, 3/4" diameter x 12" long, galvanized, includes nut and washer</v>
          </cell>
          <cell r="K458" t="str">
            <v>1 Carp</v>
          </cell>
          <cell r="L458">
            <v>70</v>
          </cell>
          <cell r="M458">
            <v>0.114</v>
          </cell>
          <cell r="N458" t="str">
            <v>Ea.</v>
          </cell>
          <cell r="O458">
            <v>3.52</v>
          </cell>
          <cell r="P458">
            <v>3.27</v>
          </cell>
          <cell r="Q458">
            <v>0</v>
          </cell>
          <cell r="R458">
            <v>6.79</v>
          </cell>
          <cell r="S458">
            <v>9.4</v>
          </cell>
        </row>
        <row r="459">
          <cell r="I459" t="str">
            <v>03 150 080 2800</v>
          </cell>
          <cell r="J459" t="str">
            <v>Anchor bolts, J-type, 3/4" diameter x 18" long, galvanized, includes nut and washer</v>
          </cell>
          <cell r="K459" t="str">
            <v>1 Carp</v>
          </cell>
          <cell r="L459">
            <v>60</v>
          </cell>
          <cell r="M459">
            <v>0.13300000000000001</v>
          </cell>
          <cell r="N459" t="str">
            <v>Ea.</v>
          </cell>
          <cell r="O459">
            <v>4.57</v>
          </cell>
          <cell r="P459">
            <v>3.82</v>
          </cell>
          <cell r="Q459">
            <v>0</v>
          </cell>
          <cell r="R459">
            <v>8.39</v>
          </cell>
          <cell r="S459">
            <v>11.55</v>
          </cell>
        </row>
        <row r="460">
          <cell r="I460" t="str">
            <v>03 150 080 3200</v>
          </cell>
          <cell r="J460" t="str">
            <v>Anchor bolts, J-type, 1" diameter x 12" long, galvanized, includes nut and washer</v>
          </cell>
          <cell r="K460" t="str">
            <v>1 Carp</v>
          </cell>
          <cell r="L460">
            <v>55</v>
          </cell>
          <cell r="M460">
            <v>0.14499999999999999</v>
          </cell>
          <cell r="N460" t="str">
            <v>Ea.</v>
          </cell>
          <cell r="O460">
            <v>6.7</v>
          </cell>
          <cell r="P460">
            <v>4.17</v>
          </cell>
          <cell r="Q460">
            <v>0</v>
          </cell>
          <cell r="R460">
            <v>10.87</v>
          </cell>
          <cell r="S460">
            <v>14.45</v>
          </cell>
        </row>
        <row r="461">
          <cell r="I461" t="str">
            <v>03 150 080 3250</v>
          </cell>
          <cell r="J461" t="str">
            <v>Anchor bolts, J-type, 1" diameter x 18" long, galvanized, includes nut and washer</v>
          </cell>
          <cell r="K461" t="str">
            <v>1 Carp</v>
          </cell>
          <cell r="L461">
            <v>45</v>
          </cell>
          <cell r="M461">
            <v>0.17799999999999999</v>
          </cell>
          <cell r="N461" t="str">
            <v>Ea.</v>
          </cell>
          <cell r="O461">
            <v>8.1</v>
          </cell>
          <cell r="P461">
            <v>5.0999999999999996</v>
          </cell>
          <cell r="Q461">
            <v>0</v>
          </cell>
          <cell r="R461">
            <v>13.2</v>
          </cell>
          <cell r="S461">
            <v>17.55</v>
          </cell>
        </row>
        <row r="462">
          <cell r="I462" t="str">
            <v>03 150 080 3300</v>
          </cell>
          <cell r="J462" t="str">
            <v>Anchor bolts, J-type, 1" diameter x 24" long, galvanized, includes nut and washer</v>
          </cell>
          <cell r="K462" t="str">
            <v>1 Carp</v>
          </cell>
          <cell r="L462">
            <v>35</v>
          </cell>
          <cell r="M462">
            <v>0.22900000000000001</v>
          </cell>
          <cell r="N462" t="str">
            <v>Ea.</v>
          </cell>
          <cell r="O462">
            <v>9.9</v>
          </cell>
          <cell r="P462">
            <v>6.55</v>
          </cell>
          <cell r="Q462">
            <v>0</v>
          </cell>
          <cell r="R462">
            <v>16.45</v>
          </cell>
          <cell r="S462">
            <v>22</v>
          </cell>
        </row>
        <row r="463">
          <cell r="I463" t="str">
            <v>03 150 250 0050</v>
          </cell>
          <cell r="J463" t="str">
            <v>Expansion joint, cold, keyed, 24 ga. X 4-1/2" high, includes stakes</v>
          </cell>
          <cell r="K463" t="str">
            <v>1 Carp</v>
          </cell>
          <cell r="L463">
            <v>200</v>
          </cell>
          <cell r="M463">
            <v>0.04</v>
          </cell>
          <cell r="N463" t="str">
            <v>L.F.</v>
          </cell>
          <cell r="O463">
            <v>0.84</v>
          </cell>
          <cell r="P463">
            <v>1.1499999999999999</v>
          </cell>
          <cell r="Q463">
            <v>0</v>
          </cell>
          <cell r="R463">
            <v>1.99</v>
          </cell>
          <cell r="S463">
            <v>2.86</v>
          </cell>
        </row>
        <row r="464">
          <cell r="I464" t="str">
            <v>03 150 250 0100</v>
          </cell>
          <cell r="J464" t="str">
            <v>Expansion joint, cold, keyed, 24 ga. X 5-1/2" high, includes stakes</v>
          </cell>
          <cell r="K464" t="str">
            <v>1 Carp</v>
          </cell>
          <cell r="L464">
            <v>195</v>
          </cell>
          <cell r="M464">
            <v>4.1000000000000002E-2</v>
          </cell>
          <cell r="N464" t="str">
            <v>L.F.</v>
          </cell>
          <cell r="O464">
            <v>0.9</v>
          </cell>
          <cell r="P464">
            <v>1.18</v>
          </cell>
          <cell r="Q464">
            <v>0</v>
          </cell>
          <cell r="R464">
            <v>2.08</v>
          </cell>
          <cell r="S464">
            <v>2.98</v>
          </cell>
        </row>
        <row r="465">
          <cell r="I465" t="str">
            <v>03 150 250 0150</v>
          </cell>
          <cell r="J465" t="str">
            <v>Expansion joint, cold, keyed, 24 ga. X 7-1/2" high, includes stakes</v>
          </cell>
          <cell r="K465" t="str">
            <v>1 Carp</v>
          </cell>
          <cell r="L465">
            <v>190</v>
          </cell>
          <cell r="M465">
            <v>4.2000000000000003E-2</v>
          </cell>
          <cell r="N465" t="str">
            <v>L.F.</v>
          </cell>
          <cell r="O465">
            <v>1.08</v>
          </cell>
          <cell r="P465">
            <v>1.21</v>
          </cell>
          <cell r="Q465">
            <v>0</v>
          </cell>
          <cell r="R465">
            <v>2.29</v>
          </cell>
          <cell r="S465">
            <v>3.24</v>
          </cell>
        </row>
        <row r="466">
          <cell r="I466" t="str">
            <v>03 150 250 0200</v>
          </cell>
          <cell r="J466" t="str">
            <v>Expansion joint, cold, keyed, 24 ga. X 9-1/2" high, includes stakes</v>
          </cell>
          <cell r="K466" t="str">
            <v>1 Carp</v>
          </cell>
          <cell r="L466">
            <v>185</v>
          </cell>
          <cell r="M466">
            <v>4.2999999999999997E-2</v>
          </cell>
          <cell r="N466" t="str">
            <v>L.F.</v>
          </cell>
          <cell r="O466">
            <v>2.29</v>
          </cell>
          <cell r="P466">
            <v>1.24</v>
          </cell>
          <cell r="Q466">
            <v>0</v>
          </cell>
          <cell r="R466">
            <v>3.53</v>
          </cell>
          <cell r="S466">
            <v>4.62</v>
          </cell>
        </row>
        <row r="467">
          <cell r="I467" t="str">
            <v>03 150 250 2000</v>
          </cell>
          <cell r="J467" t="str">
            <v>Expansion joint, premolded, bituminous fiber, 1/2" x 6"</v>
          </cell>
          <cell r="K467" t="str">
            <v>1 Carp</v>
          </cell>
          <cell r="L467">
            <v>375</v>
          </cell>
          <cell r="M467">
            <v>2.1000000000000001E-2</v>
          </cell>
          <cell r="N467" t="str">
            <v>L.F.</v>
          </cell>
          <cell r="O467">
            <v>0.41</v>
          </cell>
          <cell r="P467">
            <v>0.61</v>
          </cell>
          <cell r="Q467">
            <v>0</v>
          </cell>
          <cell r="R467">
            <v>1.02</v>
          </cell>
          <cell r="S467">
            <v>1.49</v>
          </cell>
        </row>
        <row r="468">
          <cell r="I468" t="str">
            <v>03 150 860 0020</v>
          </cell>
          <cell r="J468" t="str">
            <v>Waterstop, PVC, ribbed, 3/16" thick x 4" wide</v>
          </cell>
          <cell r="K468" t="str">
            <v>1 Carp</v>
          </cell>
          <cell r="L468">
            <v>155</v>
          </cell>
          <cell r="M468">
            <v>5.1999999999999998E-2</v>
          </cell>
          <cell r="N468" t="str">
            <v>L.F.</v>
          </cell>
          <cell r="O468">
            <v>0.91</v>
          </cell>
          <cell r="P468">
            <v>1.48</v>
          </cell>
          <cell r="Q468">
            <v>0</v>
          </cell>
          <cell r="R468">
            <v>2.39</v>
          </cell>
          <cell r="S468">
            <v>3.51</v>
          </cell>
        </row>
        <row r="469">
          <cell r="I469" t="str">
            <v>03 150 860 0050</v>
          </cell>
          <cell r="J469" t="str">
            <v>Waterstop, PVC, ribbed, 3/16" thick x 6" wide</v>
          </cell>
          <cell r="K469" t="str">
            <v>1 Carp</v>
          </cell>
          <cell r="L469">
            <v>145</v>
          </cell>
          <cell r="M469">
            <v>5.5E-2</v>
          </cell>
          <cell r="N469" t="str">
            <v>L.F.</v>
          </cell>
          <cell r="O469">
            <v>1.39</v>
          </cell>
          <cell r="P469">
            <v>1.58</v>
          </cell>
          <cell r="Q469">
            <v>0</v>
          </cell>
          <cell r="R469">
            <v>2.97</v>
          </cell>
          <cell r="S469">
            <v>4.21</v>
          </cell>
        </row>
        <row r="470">
          <cell r="I470" t="str">
            <v>03 150 860 0500</v>
          </cell>
          <cell r="J470" t="str">
            <v>Waterstop, PVC, ribbed, with center bulb, 3/16" thick x 6" wide</v>
          </cell>
          <cell r="K470" t="str">
            <v>1 Carp</v>
          </cell>
          <cell r="L470">
            <v>135</v>
          </cell>
          <cell r="M470">
            <v>5.8999999999999997E-2</v>
          </cell>
          <cell r="N470" t="str">
            <v>L.F.</v>
          </cell>
          <cell r="O470">
            <v>1.36</v>
          </cell>
          <cell r="P470">
            <v>1.7</v>
          </cell>
          <cell r="Q470">
            <v>0</v>
          </cell>
          <cell r="R470">
            <v>3.06</v>
          </cell>
          <cell r="S470">
            <v>4.38</v>
          </cell>
        </row>
        <row r="471">
          <cell r="I471" t="str">
            <v>03 150 860 0800</v>
          </cell>
          <cell r="J471" t="str">
            <v>Waterstop, PVC, dumbbell type, 3/16" thick x 6" wide</v>
          </cell>
          <cell r="K471" t="str">
            <v>1 Carp</v>
          </cell>
          <cell r="L471">
            <v>150</v>
          </cell>
          <cell r="M471">
            <v>5.2999999999999999E-2</v>
          </cell>
          <cell r="N471" t="str">
            <v>L.F.</v>
          </cell>
          <cell r="O471">
            <v>1.31</v>
          </cell>
          <cell r="P471">
            <v>1.53</v>
          </cell>
          <cell r="Q471">
            <v>0</v>
          </cell>
          <cell r="R471">
            <v>2.84</v>
          </cell>
          <cell r="S471">
            <v>4.03</v>
          </cell>
        </row>
        <row r="472">
          <cell r="I472" t="str">
            <v>03 150 860 0850</v>
          </cell>
          <cell r="J472" t="str">
            <v>Waterstop, PVC, dumbbell type, 3/8" thick x 6" wide</v>
          </cell>
          <cell r="K472" t="str">
            <v>1 Carp</v>
          </cell>
          <cell r="L472">
            <v>145</v>
          </cell>
          <cell r="M472">
            <v>5.5E-2</v>
          </cell>
          <cell r="N472" t="str">
            <v>L.F.</v>
          </cell>
          <cell r="O472">
            <v>2.59</v>
          </cell>
          <cell r="P472">
            <v>1.58</v>
          </cell>
          <cell r="Q472">
            <v>0</v>
          </cell>
          <cell r="R472">
            <v>4.17</v>
          </cell>
          <cell r="S472">
            <v>5.55</v>
          </cell>
        </row>
        <row r="473">
          <cell r="I473" t="str">
            <v>03 150 860 1000</v>
          </cell>
          <cell r="J473" t="str">
            <v>Waterstop, PVC, dumbbell type, plain, 3/8" thick x 9" wide</v>
          </cell>
          <cell r="K473" t="str">
            <v>1 Carp</v>
          </cell>
          <cell r="L473">
            <v>130</v>
          </cell>
          <cell r="M473">
            <v>6.2E-2</v>
          </cell>
          <cell r="N473" t="str">
            <v>L.F.</v>
          </cell>
          <cell r="O473">
            <v>3.74</v>
          </cell>
          <cell r="P473">
            <v>1.76</v>
          </cell>
          <cell r="Q473">
            <v>0</v>
          </cell>
          <cell r="R473">
            <v>5.5</v>
          </cell>
          <cell r="S473">
            <v>7.1</v>
          </cell>
        </row>
        <row r="474">
          <cell r="I474" t="str">
            <v>03 150 860 1050</v>
          </cell>
          <cell r="J474" t="str">
            <v>Waterstop, PVC, dumbbell type, center bulb, 3/8" thick x 9" wide</v>
          </cell>
          <cell r="K474" t="str">
            <v>1 Carp</v>
          </cell>
          <cell r="L474">
            <v>130</v>
          </cell>
          <cell r="M474">
            <v>6.2E-2</v>
          </cell>
          <cell r="N474" t="str">
            <v>L.F.</v>
          </cell>
          <cell r="O474">
            <v>7.35</v>
          </cell>
          <cell r="P474">
            <v>1.76</v>
          </cell>
          <cell r="Q474">
            <v>0</v>
          </cell>
          <cell r="R474">
            <v>9.11</v>
          </cell>
          <cell r="S474">
            <v>11.05</v>
          </cell>
        </row>
        <row r="475">
          <cell r="I475" t="str">
            <v>03 150 860 1250</v>
          </cell>
          <cell r="J475" t="str">
            <v>Waterstop, PVC, dumbbell type, split, 3/16" thick x 6" wide</v>
          </cell>
          <cell r="K475" t="str">
            <v>1 Carp</v>
          </cell>
          <cell r="L475">
            <v>145</v>
          </cell>
          <cell r="M475">
            <v>5.5E-2</v>
          </cell>
          <cell r="N475" t="str">
            <v>L.F.</v>
          </cell>
          <cell r="O475">
            <v>1.49</v>
          </cell>
          <cell r="P475">
            <v>1.58</v>
          </cell>
          <cell r="Q475">
            <v>0</v>
          </cell>
          <cell r="R475">
            <v>3.07</v>
          </cell>
          <cell r="S475">
            <v>4.32</v>
          </cell>
        </row>
        <row r="476">
          <cell r="I476" t="str">
            <v>03 150 860 1300</v>
          </cell>
          <cell r="J476" t="str">
            <v>Waterstop, PVC, dumbbell type, split, 3/8" thick x 6" wide</v>
          </cell>
          <cell r="K476" t="str">
            <v>1 Carp</v>
          </cell>
          <cell r="L476">
            <v>130</v>
          </cell>
          <cell r="M476">
            <v>6.2E-2</v>
          </cell>
          <cell r="N476" t="str">
            <v>L.F.</v>
          </cell>
          <cell r="O476">
            <v>2.86</v>
          </cell>
          <cell r="P476">
            <v>1.76</v>
          </cell>
          <cell r="Q476">
            <v>0</v>
          </cell>
          <cell r="R476">
            <v>4.62</v>
          </cell>
          <cell r="S476">
            <v>6.15</v>
          </cell>
        </row>
        <row r="477">
          <cell r="I477" t="str">
            <v>03 150 860 5200</v>
          </cell>
          <cell r="J477" t="str">
            <v>Waterstop, fittings, rubber, flat, dumbbel or center bulb, field union, 3/8" thick x 9" wide</v>
          </cell>
          <cell r="K477" t="str">
            <v>1 Carp</v>
          </cell>
          <cell r="L477">
            <v>50</v>
          </cell>
          <cell r="M477">
            <v>0.16</v>
          </cell>
          <cell r="N477" t="str">
            <v>Ea.</v>
          </cell>
          <cell r="O477">
            <v>23</v>
          </cell>
          <cell r="P477">
            <v>4.58</v>
          </cell>
          <cell r="Q477">
            <v>0</v>
          </cell>
          <cell r="R477">
            <v>27.58</v>
          </cell>
          <cell r="S477">
            <v>33.5</v>
          </cell>
        </row>
        <row r="478">
          <cell r="I478" t="str">
            <v>03 150 860 5250</v>
          </cell>
          <cell r="J478" t="str">
            <v>Waterstop, fittings, rubber, flat, dumbbel or center bulb, field union, 3/8" thick x 6" wide</v>
          </cell>
          <cell r="K478" t="str">
            <v>1 Carp</v>
          </cell>
          <cell r="L478">
            <v>50</v>
          </cell>
          <cell r="M478">
            <v>0.16</v>
          </cell>
          <cell r="N478" t="str">
            <v>Ea.</v>
          </cell>
          <cell r="O478">
            <v>27.5</v>
          </cell>
          <cell r="P478">
            <v>4.58</v>
          </cell>
          <cell r="Q478">
            <v>0</v>
          </cell>
          <cell r="R478">
            <v>32.08</v>
          </cell>
          <cell r="S478">
            <v>38</v>
          </cell>
        </row>
        <row r="479">
          <cell r="I479" t="str">
            <v>03 150 860 5500</v>
          </cell>
          <cell r="J479" t="str">
            <v>Waterstop, fittings, rubber, flat, dumbbel or center bulb, flat cross, 3/8" thick x 9" wide</v>
          </cell>
          <cell r="K479" t="str">
            <v>1 Carp</v>
          </cell>
          <cell r="L479">
            <v>30</v>
          </cell>
          <cell r="M479">
            <v>0.26700000000000002</v>
          </cell>
          <cell r="N479" t="str">
            <v>Ea.</v>
          </cell>
          <cell r="O479">
            <v>48</v>
          </cell>
          <cell r="P479">
            <v>7.65</v>
          </cell>
          <cell r="Q479">
            <v>0</v>
          </cell>
          <cell r="R479">
            <v>55.65</v>
          </cell>
          <cell r="S479">
            <v>65.5</v>
          </cell>
        </row>
        <row r="480">
          <cell r="I480" t="str">
            <v>03 150 860 5550</v>
          </cell>
          <cell r="J480" t="str">
            <v>Waterstop, fittings, rubber, flat, dumbbel or center bulb, flat cross, 3/8" thick x 6" wide</v>
          </cell>
          <cell r="K480" t="str">
            <v>1 Carp</v>
          </cell>
          <cell r="L480">
            <v>30</v>
          </cell>
          <cell r="M480">
            <v>0.26700000000000002</v>
          </cell>
          <cell r="N480" t="str">
            <v>Ea.</v>
          </cell>
          <cell r="O480">
            <v>68.5</v>
          </cell>
          <cell r="P480">
            <v>7.65</v>
          </cell>
          <cell r="Q480">
            <v>0</v>
          </cell>
          <cell r="R480">
            <v>76.150000000000006</v>
          </cell>
          <cell r="S480">
            <v>88.5</v>
          </cell>
        </row>
        <row r="481">
          <cell r="I481" t="str">
            <v>03 150 860 6000</v>
          </cell>
          <cell r="J481" t="str">
            <v>Waterstop, fittings, rubber, flat, dumbbel or center bulb, flat tee, 3/8" thick x 9" wide</v>
          </cell>
          <cell r="K481" t="str">
            <v>1 Carp</v>
          </cell>
          <cell r="L481">
            <v>30</v>
          </cell>
          <cell r="M481">
            <v>0.26700000000000002</v>
          </cell>
          <cell r="N481" t="str">
            <v>Ea.</v>
          </cell>
          <cell r="O481">
            <v>44.5</v>
          </cell>
          <cell r="P481">
            <v>7.65</v>
          </cell>
          <cell r="Q481">
            <v>0</v>
          </cell>
          <cell r="R481">
            <v>52.15</v>
          </cell>
          <cell r="S481">
            <v>61.5</v>
          </cell>
        </row>
        <row r="482">
          <cell r="I482" t="str">
            <v>03 150 860 6050</v>
          </cell>
          <cell r="J482" t="str">
            <v>Waterstop, fittings, rubber, flat, dumbbel or center bulb, flat tee, 3/8" thick x 6" wide</v>
          </cell>
          <cell r="K482" t="str">
            <v>1 Carp</v>
          </cell>
          <cell r="L482">
            <v>30</v>
          </cell>
          <cell r="M482">
            <v>0.26700000000000002</v>
          </cell>
          <cell r="N482" t="str">
            <v>Ea.</v>
          </cell>
          <cell r="O482">
            <v>58.5</v>
          </cell>
          <cell r="P482">
            <v>7.65</v>
          </cell>
          <cell r="Q482">
            <v>0</v>
          </cell>
          <cell r="R482">
            <v>66.150000000000006</v>
          </cell>
          <cell r="S482">
            <v>77</v>
          </cell>
        </row>
        <row r="483">
          <cell r="I483" t="str">
            <v>03 150 860 6500</v>
          </cell>
          <cell r="J483" t="str">
            <v>Waterstop, fittings, rubber, flat, dumbbel or center bulb, flat ell, 3/8" thick x 9" wide</v>
          </cell>
          <cell r="K483" t="str">
            <v>1 Carp</v>
          </cell>
          <cell r="L483">
            <v>40</v>
          </cell>
          <cell r="M483">
            <v>0.2</v>
          </cell>
          <cell r="N483" t="str">
            <v>Ea.</v>
          </cell>
          <cell r="O483">
            <v>40</v>
          </cell>
          <cell r="P483">
            <v>5.75</v>
          </cell>
          <cell r="Q483">
            <v>0</v>
          </cell>
          <cell r="R483">
            <v>45.75</v>
          </cell>
          <cell r="S483">
            <v>53.5</v>
          </cell>
        </row>
        <row r="484">
          <cell r="I484" t="str">
            <v>03 150 860 6550</v>
          </cell>
          <cell r="J484" t="str">
            <v>Waterstop, fittings, rubber, flat, dumbbel or center bulb, flat ell, 3/8" thick x 6" wide</v>
          </cell>
          <cell r="K484" t="str">
            <v>1 Carp</v>
          </cell>
          <cell r="L484">
            <v>40</v>
          </cell>
          <cell r="M484">
            <v>0.2</v>
          </cell>
          <cell r="N484" t="str">
            <v>Ea.</v>
          </cell>
          <cell r="O484">
            <v>54</v>
          </cell>
          <cell r="P484">
            <v>5.75</v>
          </cell>
          <cell r="Q484">
            <v>0</v>
          </cell>
          <cell r="R484">
            <v>59.75</v>
          </cell>
          <cell r="S484">
            <v>68.5</v>
          </cell>
        </row>
        <row r="485">
          <cell r="I485" t="str">
            <v>03 150 860 7000</v>
          </cell>
          <cell r="J485" t="str">
            <v>Waterstop, fittings, rubber, flat, dumbbel or center bulb, vertical tee, 3/8" thick x 9" wide</v>
          </cell>
          <cell r="K485" t="str">
            <v>1 Carp</v>
          </cell>
          <cell r="L485">
            <v>25</v>
          </cell>
          <cell r="M485">
            <v>0.32</v>
          </cell>
          <cell r="N485" t="str">
            <v>Ea.</v>
          </cell>
          <cell r="O485">
            <v>38.5</v>
          </cell>
          <cell r="P485">
            <v>9.15</v>
          </cell>
          <cell r="Q485">
            <v>0</v>
          </cell>
          <cell r="R485">
            <v>47.65</v>
          </cell>
          <cell r="S485">
            <v>58</v>
          </cell>
        </row>
        <row r="486">
          <cell r="I486" t="str">
            <v>03 150 860 7050</v>
          </cell>
          <cell r="J486" t="str">
            <v>Waterstop, fittings, rubber, flat, dumbbel or center bulb, vertical tee, 3/8" thick x 6" wide</v>
          </cell>
          <cell r="K486" t="str">
            <v>1 Carp</v>
          </cell>
          <cell r="L486">
            <v>25</v>
          </cell>
          <cell r="M486">
            <v>0.32</v>
          </cell>
          <cell r="N486" t="str">
            <v>Ea.</v>
          </cell>
          <cell r="O486">
            <v>49.5</v>
          </cell>
          <cell r="P486">
            <v>9.15</v>
          </cell>
          <cell r="Q486">
            <v>0</v>
          </cell>
          <cell r="R486">
            <v>58.65</v>
          </cell>
          <cell r="S486">
            <v>70</v>
          </cell>
        </row>
        <row r="487">
          <cell r="I487" t="str">
            <v>03 150 860 7500</v>
          </cell>
          <cell r="J487" t="str">
            <v>Waterstop, fittings, rubber, flat, dumbbel or center bulb, vertical ell, 3/8" thick x 9" wide</v>
          </cell>
          <cell r="K487" t="str">
            <v>1 Carp</v>
          </cell>
          <cell r="L487">
            <v>35</v>
          </cell>
          <cell r="M487">
            <v>0.22900000000000001</v>
          </cell>
          <cell r="N487" t="str">
            <v>Ea.</v>
          </cell>
          <cell r="O487">
            <v>34.5</v>
          </cell>
          <cell r="P487">
            <v>6.55</v>
          </cell>
          <cell r="Q487">
            <v>0</v>
          </cell>
          <cell r="R487">
            <v>41.05</v>
          </cell>
          <cell r="S487">
            <v>49</v>
          </cell>
        </row>
        <row r="488">
          <cell r="I488" t="str">
            <v>03 150 860 7550</v>
          </cell>
          <cell r="J488" t="str">
            <v>Waterstop, fittings, rubber, flat, dumbbel or center bulb, vertical ell, 3/8" thick x 6" wide</v>
          </cell>
          <cell r="K488" t="str">
            <v>1 Carp</v>
          </cell>
          <cell r="L488">
            <v>35</v>
          </cell>
          <cell r="M488">
            <v>0.22900000000000001</v>
          </cell>
          <cell r="N488" t="str">
            <v>Ea.</v>
          </cell>
          <cell r="O488">
            <v>47.5</v>
          </cell>
          <cell r="P488">
            <v>6.55</v>
          </cell>
          <cell r="Q488">
            <v>0</v>
          </cell>
          <cell r="R488">
            <v>54.05</v>
          </cell>
          <cell r="S488">
            <v>63</v>
          </cell>
        </row>
        <row r="489">
          <cell r="I489" t="str">
            <v>03 210 100 1200</v>
          </cell>
          <cell r="J489" t="str">
            <v>High chairs, for reinforcing steel, individual, no plates, plain steel, to 3" high, includes material only</v>
          </cell>
          <cell r="N489" t="str">
            <v>C</v>
          </cell>
          <cell r="O489">
            <v>81</v>
          </cell>
          <cell r="P489">
            <v>0</v>
          </cell>
          <cell r="Q489">
            <v>0</v>
          </cell>
          <cell r="R489">
            <v>81</v>
          </cell>
          <cell r="S489">
            <v>89.5</v>
          </cell>
        </row>
        <row r="490">
          <cell r="I490" t="str">
            <v>03 210 100 1206</v>
          </cell>
          <cell r="J490" t="str">
            <v>High chairs, for reinforcing steel, individual, no plates, plastic, to 3" high, includes material only</v>
          </cell>
          <cell r="N490" t="str">
            <v>C</v>
          </cell>
          <cell r="O490">
            <v>108</v>
          </cell>
          <cell r="P490">
            <v>0</v>
          </cell>
          <cell r="Q490">
            <v>0</v>
          </cell>
          <cell r="R490">
            <v>108</v>
          </cell>
          <cell r="S490">
            <v>119</v>
          </cell>
        </row>
        <row r="491">
          <cell r="I491" t="str">
            <v>03 210 100 1210</v>
          </cell>
          <cell r="J491" t="str">
            <v>High chairs, for reinforcing steel, individual, no plates, plain steel, 5" high, includes material only</v>
          </cell>
          <cell r="N491" t="str">
            <v>C</v>
          </cell>
          <cell r="O491">
            <v>125</v>
          </cell>
          <cell r="P491">
            <v>0</v>
          </cell>
          <cell r="Q491">
            <v>0</v>
          </cell>
          <cell r="R491">
            <v>125</v>
          </cell>
          <cell r="S491">
            <v>137</v>
          </cell>
        </row>
        <row r="492">
          <cell r="I492" t="str">
            <v>03 210 100 1220</v>
          </cell>
          <cell r="J492" t="str">
            <v>High chairs, for reinforcing steel, individual, no plates, plain steel, 8" high, includes material only</v>
          </cell>
          <cell r="N492" t="str">
            <v>C</v>
          </cell>
          <cell r="O492">
            <v>270</v>
          </cell>
          <cell r="P492">
            <v>0</v>
          </cell>
          <cell r="Q492">
            <v>0</v>
          </cell>
          <cell r="R492">
            <v>270</v>
          </cell>
          <cell r="S492">
            <v>297</v>
          </cell>
        </row>
        <row r="493">
          <cell r="I493" t="str">
            <v>03 210 100 1400</v>
          </cell>
          <cell r="J493" t="str">
            <v>High chairs, for reinforcing steel, individual, no plates, to 5" high, for plates, add, includes material only</v>
          </cell>
          <cell r="N493" t="str">
            <v>C</v>
          </cell>
          <cell r="O493">
            <v>355</v>
          </cell>
          <cell r="P493">
            <v>0</v>
          </cell>
          <cell r="Q493">
            <v>0</v>
          </cell>
          <cell r="R493">
            <v>355</v>
          </cell>
          <cell r="S493">
            <v>395</v>
          </cell>
        </row>
        <row r="494">
          <cell r="I494" t="str">
            <v>03 210 100 1410</v>
          </cell>
          <cell r="J494" t="str">
            <v>High chairs, for reinforcing steel, individual, no plates, over 5" high, for plates, add, includes material only</v>
          </cell>
          <cell r="N494" t="str">
            <v>C</v>
          </cell>
          <cell r="O494">
            <v>410</v>
          </cell>
          <cell r="P494">
            <v>0</v>
          </cell>
          <cell r="Q494">
            <v>0</v>
          </cell>
          <cell r="R494">
            <v>410</v>
          </cell>
          <cell r="S494">
            <v>450</v>
          </cell>
        </row>
        <row r="495">
          <cell r="I495" t="str">
            <v>03 210 100 1500</v>
          </cell>
          <cell r="J495" t="str">
            <v>Bar chair, for reinforcing steel, plain steel, includes material only</v>
          </cell>
          <cell r="N495" t="str">
            <v>C</v>
          </cell>
          <cell r="O495">
            <v>46</v>
          </cell>
          <cell r="P495">
            <v>0</v>
          </cell>
          <cell r="Q495">
            <v>0</v>
          </cell>
          <cell r="R495">
            <v>46</v>
          </cell>
          <cell r="S495">
            <v>50.5</v>
          </cell>
        </row>
        <row r="496">
          <cell r="I496" t="str">
            <v>03 210 100 1520</v>
          </cell>
          <cell r="J496" t="str">
            <v>Bar chair, for reinforcing steel, galvanized, includes material only</v>
          </cell>
          <cell r="N496" t="str">
            <v>C</v>
          </cell>
          <cell r="O496">
            <v>53</v>
          </cell>
          <cell r="P496">
            <v>0</v>
          </cell>
          <cell r="Q496">
            <v>0</v>
          </cell>
          <cell r="R496">
            <v>53</v>
          </cell>
          <cell r="S496">
            <v>58.5</v>
          </cell>
        </row>
        <row r="497">
          <cell r="I497" t="str">
            <v>03 210 200 0100</v>
          </cell>
          <cell r="J497" t="str">
            <v>Epoxy coating, for reinforcing steel, A775, add to fabricated &amp; delivered price</v>
          </cell>
          <cell r="N497" t="str">
            <v>Ton</v>
          </cell>
          <cell r="O497">
            <v>380</v>
          </cell>
          <cell r="P497">
            <v>0</v>
          </cell>
          <cell r="Q497">
            <v>0</v>
          </cell>
          <cell r="R497">
            <v>380</v>
          </cell>
          <cell r="S497">
            <v>420</v>
          </cell>
        </row>
        <row r="498">
          <cell r="I498" t="str">
            <v>03 210 200 0150</v>
          </cell>
          <cell r="J498" t="str">
            <v>Galvanized coating, for reinforcing steel, #3 bar, add to fabricated &amp; delivered price</v>
          </cell>
          <cell r="N498" t="str">
            <v>Ton</v>
          </cell>
          <cell r="O498">
            <v>740</v>
          </cell>
          <cell r="P498">
            <v>0</v>
          </cell>
          <cell r="Q498">
            <v>0</v>
          </cell>
          <cell r="R498">
            <v>740</v>
          </cell>
          <cell r="S498">
            <v>815</v>
          </cell>
        </row>
        <row r="499">
          <cell r="I499" t="str">
            <v>03 210 200 0200</v>
          </cell>
          <cell r="J499" t="str">
            <v>Galvanized coating, for reinforcing steel, #4 bar, add to fabricated &amp; delivered price</v>
          </cell>
          <cell r="N499" t="str">
            <v>Ton</v>
          </cell>
          <cell r="O499">
            <v>740</v>
          </cell>
          <cell r="P499">
            <v>0</v>
          </cell>
          <cell r="Q499">
            <v>0</v>
          </cell>
          <cell r="R499">
            <v>740</v>
          </cell>
          <cell r="S499">
            <v>815</v>
          </cell>
        </row>
        <row r="500">
          <cell r="I500" t="str">
            <v>03 210 200 0250</v>
          </cell>
          <cell r="J500" t="str">
            <v>Galvanized coating, for reinforcing steel, #5 bar, add to fabricated &amp; delivered price</v>
          </cell>
          <cell r="N500" t="str">
            <v>Ton</v>
          </cell>
          <cell r="O500">
            <v>725</v>
          </cell>
          <cell r="P500">
            <v>0</v>
          </cell>
          <cell r="Q500">
            <v>0</v>
          </cell>
          <cell r="R500">
            <v>725</v>
          </cell>
          <cell r="S500">
            <v>795</v>
          </cell>
        </row>
        <row r="501">
          <cell r="I501" t="str">
            <v>03 210 200 0300</v>
          </cell>
          <cell r="J501" t="str">
            <v>Galvanized coating, for reinforcing steel, #6 bar and larger, add to fabricated &amp; delivered price</v>
          </cell>
          <cell r="N501" t="str">
            <v>Ton</v>
          </cell>
          <cell r="O501">
            <v>725</v>
          </cell>
          <cell r="P501">
            <v>0</v>
          </cell>
          <cell r="Q501">
            <v>0</v>
          </cell>
          <cell r="R501">
            <v>725</v>
          </cell>
          <cell r="S501">
            <v>795</v>
          </cell>
        </row>
        <row r="502">
          <cell r="I502" t="str">
            <v>03 210 600 0500</v>
          </cell>
          <cell r="J502" t="str">
            <v>Reinforcing steel, in place, footings, #4 to #7, A615, grade 60, incl labor for accessories, excl material for accessories</v>
          </cell>
          <cell r="K502" t="str">
            <v>4 Rodm</v>
          </cell>
          <cell r="L502">
            <v>2.1</v>
          </cell>
          <cell r="M502">
            <v>15.238</v>
          </cell>
          <cell r="N502" t="str">
            <v>Ton</v>
          </cell>
          <cell r="O502">
            <v>850</v>
          </cell>
          <cell r="P502">
            <v>470</v>
          </cell>
          <cell r="Q502">
            <v>0</v>
          </cell>
          <cell r="R502">
            <v>1320</v>
          </cell>
          <cell r="S502">
            <v>1775</v>
          </cell>
        </row>
        <row r="503">
          <cell r="I503" t="str">
            <v>03 210 600 0600</v>
          </cell>
          <cell r="J503" t="str">
            <v>Reinforcing steel, in place, slab on grade, #3 to #7, A615, grade 60, incl labor for accessories, excl material for accessories</v>
          </cell>
          <cell r="K503" t="str">
            <v>4 Rodm</v>
          </cell>
          <cell r="L503">
            <v>2.2999999999999998</v>
          </cell>
          <cell r="M503">
            <v>13.913</v>
          </cell>
          <cell r="N503" t="str">
            <v>Ton</v>
          </cell>
          <cell r="O503">
            <v>850</v>
          </cell>
          <cell r="P503">
            <v>430</v>
          </cell>
          <cell r="Q503">
            <v>0</v>
          </cell>
          <cell r="R503">
            <v>1280</v>
          </cell>
          <cell r="S503">
            <v>1700</v>
          </cell>
        </row>
        <row r="504">
          <cell r="I504" t="str">
            <v>03 210 600 0700</v>
          </cell>
          <cell r="J504" t="str">
            <v>Reinforcing steel, in place, walls, #3 to #7, A615, grade 60, incl labor for accessories, excl material for accessories</v>
          </cell>
          <cell r="K504" t="str">
            <v>4 Rodm</v>
          </cell>
          <cell r="L504">
            <v>3</v>
          </cell>
          <cell r="M504">
            <v>10.667</v>
          </cell>
          <cell r="N504" t="str">
            <v>Ton</v>
          </cell>
          <cell r="O504">
            <v>850</v>
          </cell>
          <cell r="P504">
            <v>330</v>
          </cell>
          <cell r="Q504">
            <v>0</v>
          </cell>
          <cell r="R504">
            <v>1180</v>
          </cell>
          <cell r="S504">
            <v>1525</v>
          </cell>
        </row>
        <row r="505">
          <cell r="I505" t="str">
            <v>03 210 600 0750</v>
          </cell>
          <cell r="J505" t="str">
            <v>Reinforcing steel, in place, walls, #8 to #18, A615, grade 60, incl labor for accessories, excl material for accessories</v>
          </cell>
          <cell r="K505" t="str">
            <v>4 Rodm</v>
          </cell>
          <cell r="L505">
            <v>4</v>
          </cell>
          <cell r="M505">
            <v>8</v>
          </cell>
          <cell r="N505" t="str">
            <v>Ton</v>
          </cell>
          <cell r="O505">
            <v>850</v>
          </cell>
          <cell r="P505">
            <v>248</v>
          </cell>
          <cell r="Q505">
            <v>0</v>
          </cell>
          <cell r="R505">
            <v>1098</v>
          </cell>
          <cell r="S505">
            <v>1375</v>
          </cell>
        </row>
        <row r="506">
          <cell r="I506" t="str">
            <v>03 210 600 1000</v>
          </cell>
          <cell r="J506" t="str">
            <v>Reinforcing steel, in place, typical, average, under 10 ton job, #3 to #7, A615, grade 60, incl labor for accessories, excl material for accessories</v>
          </cell>
          <cell r="K506" t="str">
            <v>4 Rodm</v>
          </cell>
          <cell r="L506">
            <v>1.8</v>
          </cell>
          <cell r="M506">
            <v>17.777999999999999</v>
          </cell>
          <cell r="N506" t="str">
            <v>Ton</v>
          </cell>
          <cell r="O506">
            <v>925</v>
          </cell>
          <cell r="P506">
            <v>550</v>
          </cell>
          <cell r="Q506">
            <v>0</v>
          </cell>
          <cell r="R506">
            <v>1475</v>
          </cell>
          <cell r="S506">
            <v>2000</v>
          </cell>
        </row>
        <row r="507">
          <cell r="I507" t="str">
            <v>03 210 600 1050</v>
          </cell>
          <cell r="J507" t="str">
            <v>Reinforcing steel, in place, typical, average, 10 - 50 ton job, #3 to #7, A615, grade 60, incl labor for accessories, excl material for accessories</v>
          </cell>
          <cell r="K507" t="str">
            <v>4 Rodm</v>
          </cell>
          <cell r="L507">
            <v>2.1</v>
          </cell>
          <cell r="M507">
            <v>15.238</v>
          </cell>
          <cell r="N507" t="str">
            <v>Ton</v>
          </cell>
          <cell r="O507">
            <v>910</v>
          </cell>
          <cell r="P507">
            <v>470</v>
          </cell>
          <cell r="Q507">
            <v>0</v>
          </cell>
          <cell r="R507">
            <v>1380</v>
          </cell>
          <cell r="S507">
            <v>1850</v>
          </cell>
        </row>
        <row r="508">
          <cell r="I508" t="str">
            <v>03 210 600 2400</v>
          </cell>
          <cell r="J508" t="str">
            <v>Reinforcing steel, in place, dowels, deformed, 2' long, #3, A615, grade 60</v>
          </cell>
          <cell r="K508" t="str">
            <v>2 Rodm</v>
          </cell>
          <cell r="L508">
            <v>520</v>
          </cell>
          <cell r="M508">
            <v>3.1E-2</v>
          </cell>
          <cell r="N508" t="str">
            <v>Ea.</v>
          </cell>
          <cell r="O508">
            <v>0.37</v>
          </cell>
          <cell r="P508">
            <v>0.95</v>
          </cell>
          <cell r="Q508">
            <v>0</v>
          </cell>
          <cell r="R508">
            <v>1.32</v>
          </cell>
          <cell r="S508">
            <v>2.11</v>
          </cell>
        </row>
        <row r="509">
          <cell r="I509" t="str">
            <v>03 210 600 2410</v>
          </cell>
          <cell r="J509" t="str">
            <v>Reinforcing steel, in place, dowels, deformed, 2' long, #4, A615, grade 60</v>
          </cell>
          <cell r="K509" t="str">
            <v>2 Rodm</v>
          </cell>
          <cell r="L509">
            <v>480</v>
          </cell>
          <cell r="M509">
            <v>3.3000000000000002E-2</v>
          </cell>
          <cell r="N509" t="str">
            <v>Ea.</v>
          </cell>
          <cell r="O509">
            <v>0.66</v>
          </cell>
          <cell r="P509">
            <v>1.03</v>
          </cell>
          <cell r="Q509">
            <v>0</v>
          </cell>
          <cell r="R509">
            <v>1.69</v>
          </cell>
          <cell r="S509">
            <v>2.56</v>
          </cell>
        </row>
        <row r="510">
          <cell r="I510" t="str">
            <v>03 210 600 2420</v>
          </cell>
          <cell r="J510" t="str">
            <v>Reinforcing steel, in place, dowels, deformed, 2' long, #5, A615, grade 60</v>
          </cell>
          <cell r="K510" t="str">
            <v>2 Rodm</v>
          </cell>
          <cell r="L510">
            <v>435</v>
          </cell>
          <cell r="M510">
            <v>3.6999999999999998E-2</v>
          </cell>
          <cell r="N510" t="str">
            <v>Ea.</v>
          </cell>
          <cell r="O510">
            <v>1.03</v>
          </cell>
          <cell r="P510">
            <v>1.1399999999999999</v>
          </cell>
          <cell r="Q510">
            <v>0</v>
          </cell>
          <cell r="R510">
            <v>2.17</v>
          </cell>
          <cell r="S510">
            <v>3.16</v>
          </cell>
        </row>
        <row r="511">
          <cell r="I511" t="str">
            <v>03 210 600 2450</v>
          </cell>
          <cell r="J511" t="str">
            <v>Reinforcing steel, in place, dowels, deformed, A615, grade 60, longer and heavier, add</v>
          </cell>
          <cell r="K511" t="str">
            <v>2 Rodm</v>
          </cell>
          <cell r="L511">
            <v>725</v>
          </cell>
          <cell r="M511">
            <v>2.1999999999999999E-2</v>
          </cell>
          <cell r="N511" t="str">
            <v>Lb.</v>
          </cell>
          <cell r="O511">
            <v>0.49</v>
          </cell>
          <cell r="P511">
            <v>0.68</v>
          </cell>
          <cell r="Q511">
            <v>0</v>
          </cell>
          <cell r="R511">
            <v>1.17</v>
          </cell>
          <cell r="S511">
            <v>1.76</v>
          </cell>
        </row>
        <row r="512">
          <cell r="I512" t="str">
            <v>03 220 200 0200</v>
          </cell>
          <cell r="J512" t="str">
            <v>Welded wire fabric, sheets, 6 x 6 - W2.1 x W2.1 (8 x 8) 30 lb. per C.S.F., A185</v>
          </cell>
          <cell r="K512" t="str">
            <v>2 Rodm</v>
          </cell>
          <cell r="L512">
            <v>31</v>
          </cell>
          <cell r="M512">
            <v>0.51600000000000001</v>
          </cell>
          <cell r="N512" t="str">
            <v>C.S.F.</v>
          </cell>
          <cell r="O512">
            <v>15.4</v>
          </cell>
          <cell r="P512">
            <v>16</v>
          </cell>
          <cell r="Q512">
            <v>0</v>
          </cell>
          <cell r="R512">
            <v>31.4</v>
          </cell>
          <cell r="S512">
            <v>45.5</v>
          </cell>
        </row>
        <row r="513">
          <cell r="I513" t="str">
            <v>03 220 200 0300</v>
          </cell>
          <cell r="J513" t="str">
            <v>Welded wire fabric, sheets, 6 x 6 - W2.9 x W2.9 (6 x 6) 42 lb. per C.S.F., A185</v>
          </cell>
          <cell r="K513" t="str">
            <v>2 Rodm</v>
          </cell>
          <cell r="L513">
            <v>29</v>
          </cell>
          <cell r="M513">
            <v>0.55200000000000005</v>
          </cell>
          <cell r="N513" t="str">
            <v>C.S.F.</v>
          </cell>
          <cell r="O513">
            <v>19.8</v>
          </cell>
          <cell r="P513">
            <v>17.100000000000001</v>
          </cell>
          <cell r="Q513">
            <v>0</v>
          </cell>
          <cell r="R513">
            <v>36.9</v>
          </cell>
          <cell r="S513">
            <v>52.5</v>
          </cell>
        </row>
        <row r="514">
          <cell r="I514" t="str">
            <v>03 220 200 0400</v>
          </cell>
          <cell r="J514" t="str">
            <v>Welded wire fabric, sheets, 6 x 6 - W4 x W4 (4 x 4) 58 lb. per C.S.F., A185</v>
          </cell>
          <cell r="K514" t="str">
            <v>2 Rodm</v>
          </cell>
          <cell r="L514">
            <v>27</v>
          </cell>
          <cell r="M514">
            <v>0.59299999999999997</v>
          </cell>
          <cell r="N514" t="str">
            <v>C.S.F.</v>
          </cell>
          <cell r="O514">
            <v>28</v>
          </cell>
          <cell r="P514">
            <v>18.350000000000001</v>
          </cell>
          <cell r="Q514">
            <v>0</v>
          </cell>
          <cell r="R514">
            <v>46.35</v>
          </cell>
          <cell r="S514">
            <v>63</v>
          </cell>
        </row>
        <row r="515">
          <cell r="I515" t="str">
            <v>03 310 220 0150</v>
          </cell>
          <cell r="J515" t="str">
            <v>Structural concrete, ready mix, normal weight, 3000 psi, includes local aggregate, sand, portland cement and water, excludes all additives and treatments</v>
          </cell>
          <cell r="N515" t="str">
            <v>C.Y.</v>
          </cell>
          <cell r="O515">
            <v>104</v>
          </cell>
          <cell r="P515">
            <v>0</v>
          </cell>
          <cell r="Q515">
            <v>0</v>
          </cell>
          <cell r="R515">
            <v>104</v>
          </cell>
          <cell r="S515">
            <v>114</v>
          </cell>
        </row>
        <row r="516">
          <cell r="I516" t="str">
            <v>03 310 220 0200</v>
          </cell>
          <cell r="J516" t="str">
            <v>Structural concrete, ready mix, normal weight, 3500 psi, includes local aggregate, sand, portland cement and water, excludes all additives and treatments</v>
          </cell>
          <cell r="N516" t="str">
            <v>C.Y.</v>
          </cell>
          <cell r="O516">
            <v>106</v>
          </cell>
          <cell r="P516">
            <v>0</v>
          </cell>
          <cell r="Q516">
            <v>0</v>
          </cell>
          <cell r="R516">
            <v>106</v>
          </cell>
          <cell r="S516">
            <v>116</v>
          </cell>
        </row>
        <row r="517">
          <cell r="I517" t="str">
            <v>03 310 220 0300</v>
          </cell>
          <cell r="J517" t="str">
            <v>Structural concrete, ready mix, normal weight, 4000 PSI, includes local aggregate, sand, portland cement and water, excludes all additives and treatments</v>
          </cell>
          <cell r="N517" t="str">
            <v>C.Y.</v>
          </cell>
          <cell r="O517">
            <v>108</v>
          </cell>
          <cell r="P517">
            <v>0</v>
          </cell>
          <cell r="Q517">
            <v>0</v>
          </cell>
          <cell r="R517">
            <v>108</v>
          </cell>
          <cell r="S517">
            <v>119</v>
          </cell>
        </row>
        <row r="518">
          <cell r="I518" t="str">
            <v>03 310 220 0350</v>
          </cell>
          <cell r="J518" t="str">
            <v>Structural concrete, ready mix, normal weight, 4500 psi, includes local aggregate, sand, portland cement and water, excludes all additives and treatments</v>
          </cell>
          <cell r="N518" t="str">
            <v>C.Y.</v>
          </cell>
          <cell r="O518">
            <v>110</v>
          </cell>
          <cell r="P518">
            <v>0</v>
          </cell>
          <cell r="Q518">
            <v>0</v>
          </cell>
          <cell r="R518">
            <v>110</v>
          </cell>
          <cell r="S518">
            <v>121</v>
          </cell>
        </row>
        <row r="519">
          <cell r="I519" t="str">
            <v>03 310 220 0400</v>
          </cell>
          <cell r="J519" t="str">
            <v>Structural concrete, ready mix, normal weight, 5000 psi, includes local aggregate, sand, portland cement and water, excludes all additives and treatments</v>
          </cell>
          <cell r="N519" t="str">
            <v>C.Y.</v>
          </cell>
          <cell r="O519">
            <v>114</v>
          </cell>
          <cell r="P519">
            <v>0</v>
          </cell>
          <cell r="Q519">
            <v>0</v>
          </cell>
          <cell r="R519">
            <v>114</v>
          </cell>
          <cell r="S519">
            <v>125</v>
          </cell>
        </row>
        <row r="520">
          <cell r="I520" t="str">
            <v>03 310 220 1300</v>
          </cell>
          <cell r="J520" t="str">
            <v>Structural concrete, ready mix, winter mix, add</v>
          </cell>
          <cell r="N520" t="str">
            <v>C.Y.</v>
          </cell>
          <cell r="O520">
            <v>5.5</v>
          </cell>
          <cell r="P520">
            <v>0</v>
          </cell>
          <cell r="Q520">
            <v>0</v>
          </cell>
          <cell r="R520">
            <v>5.5</v>
          </cell>
          <cell r="S520">
            <v>6.05</v>
          </cell>
        </row>
        <row r="521">
          <cell r="I521" t="str">
            <v>03 310 220 1400</v>
          </cell>
          <cell r="J521" t="str">
            <v>Structural concrete, ready mix, hot weather mix, add</v>
          </cell>
          <cell r="N521" t="str">
            <v>C.Y.</v>
          </cell>
          <cell r="O521">
            <v>6.9</v>
          </cell>
          <cell r="P521">
            <v>0</v>
          </cell>
          <cell r="Q521">
            <v>0</v>
          </cell>
          <cell r="R521">
            <v>6.9</v>
          </cell>
          <cell r="S521">
            <v>7.6</v>
          </cell>
        </row>
        <row r="522">
          <cell r="I522" t="str">
            <v>03 310 240 4200</v>
          </cell>
          <cell r="J522" t="str">
            <v>Structural concrete, in place, grade wall, 8" thick x 8' high, includes forms(4 uses), reinforcing steel, and finishing</v>
          </cell>
          <cell r="K522" t="str">
            <v>C14D</v>
          </cell>
          <cell r="L522">
            <v>45.83</v>
          </cell>
          <cell r="M522">
            <v>4.3639999999999999</v>
          </cell>
          <cell r="N522" t="str">
            <v>C.Y.</v>
          </cell>
          <cell r="O522">
            <v>177</v>
          </cell>
          <cell r="P522">
            <v>124</v>
          </cell>
          <cell r="Q522">
            <v>15.95</v>
          </cell>
          <cell r="R522">
            <v>316.95</v>
          </cell>
          <cell r="S522">
            <v>425</v>
          </cell>
        </row>
        <row r="523">
          <cell r="I523" t="str">
            <v>03 310 240 4650</v>
          </cell>
          <cell r="J523" t="str">
            <v>Structural concrete, in place, slab on grade, 4" thick, includes forms(4 uses) and reinforcing steel</v>
          </cell>
          <cell r="K523" t="str">
            <v>C14E</v>
          </cell>
          <cell r="L523">
            <v>60.75</v>
          </cell>
          <cell r="M523">
            <v>1.4490000000000001</v>
          </cell>
          <cell r="N523" t="str">
            <v>C.Y.</v>
          </cell>
          <cell r="O523">
            <v>124</v>
          </cell>
          <cell r="P523">
            <v>40.5</v>
          </cell>
          <cell r="Q523">
            <v>0.35</v>
          </cell>
          <cell r="R523">
            <v>164.85</v>
          </cell>
          <cell r="S523">
            <v>206</v>
          </cell>
        </row>
        <row r="524">
          <cell r="I524" t="str">
            <v>03 310 240 4700</v>
          </cell>
          <cell r="J524" t="str">
            <v>Structural concrete, in place, slab on grade, 6" thick, includes forms(4 uses) and reinforcing steel</v>
          </cell>
          <cell r="K524" t="str">
            <v>C14E</v>
          </cell>
          <cell r="L524">
            <v>92</v>
          </cell>
          <cell r="M524">
            <v>0.95699999999999996</v>
          </cell>
          <cell r="N524" t="str">
            <v>C.Y.</v>
          </cell>
          <cell r="O524">
            <v>120</v>
          </cell>
          <cell r="P524">
            <v>26.5</v>
          </cell>
          <cell r="Q524">
            <v>0.23</v>
          </cell>
          <cell r="R524">
            <v>146.72999999999999</v>
          </cell>
          <cell r="S524">
            <v>178</v>
          </cell>
        </row>
        <row r="525">
          <cell r="I525" t="str">
            <v>03 310 240 4760</v>
          </cell>
          <cell r="J525" t="str">
            <v>Structural concrete, in place, slab on grade, over 10000 S.F., 4" thick, includes finishing only</v>
          </cell>
          <cell r="K525" t="str">
            <v>C14F</v>
          </cell>
          <cell r="L525">
            <v>3425</v>
          </cell>
          <cell r="M525">
            <v>2.1000000000000001E-2</v>
          </cell>
          <cell r="N525" t="str">
            <v>S.F.</v>
          </cell>
          <cell r="O525">
            <v>1.37</v>
          </cell>
          <cell r="P525">
            <v>0.55000000000000004</v>
          </cell>
          <cell r="Q525">
            <v>0.01</v>
          </cell>
          <cell r="R525">
            <v>1.93</v>
          </cell>
          <cell r="S525">
            <v>2.42</v>
          </cell>
        </row>
        <row r="526">
          <cell r="I526" t="str">
            <v>03 310 240 4820</v>
          </cell>
          <cell r="J526" t="str">
            <v>Structural concrete, in place, slab on grade, over 10000 S.F., 6" thick, includes finishing only</v>
          </cell>
          <cell r="K526" t="str">
            <v>C14F</v>
          </cell>
          <cell r="L526">
            <v>3350</v>
          </cell>
          <cell r="M526">
            <v>2.1000000000000001E-2</v>
          </cell>
          <cell r="N526" t="str">
            <v>S.F.</v>
          </cell>
          <cell r="O526">
            <v>2.0099999999999998</v>
          </cell>
          <cell r="P526">
            <v>0.56000000000000005</v>
          </cell>
          <cell r="Q526">
            <v>0.01</v>
          </cell>
          <cell r="R526">
            <v>2.58</v>
          </cell>
          <cell r="S526">
            <v>3.14</v>
          </cell>
        </row>
        <row r="527">
          <cell r="I527" t="str">
            <v>03 310 700 1900</v>
          </cell>
          <cell r="J527" t="str">
            <v>Structural concrete, placing, continuous footing, shallow, direct chute, includes vibrating, excludes material</v>
          </cell>
          <cell r="K527" t="str">
            <v>C6</v>
          </cell>
          <cell r="L527">
            <v>120</v>
          </cell>
          <cell r="M527">
            <v>0.4</v>
          </cell>
          <cell r="N527" t="str">
            <v>C.Y.</v>
          </cell>
          <cell r="O527">
            <v>0</v>
          </cell>
          <cell r="P527">
            <v>9.35</v>
          </cell>
          <cell r="Q527">
            <v>0.36</v>
          </cell>
          <cell r="R527">
            <v>9.7100000000000009</v>
          </cell>
          <cell r="S527">
            <v>16.100000000000001</v>
          </cell>
        </row>
        <row r="528">
          <cell r="I528" t="str">
            <v>03 310 700 1950</v>
          </cell>
          <cell r="J528" t="str">
            <v>Structural concrete, placing, continuous footing, shallow, pumped, includes vibrating, excludes material</v>
          </cell>
          <cell r="K528" t="str">
            <v>C20</v>
          </cell>
          <cell r="L528">
            <v>150</v>
          </cell>
          <cell r="M528">
            <v>0.42699999999999999</v>
          </cell>
          <cell r="N528" t="str">
            <v>C.Y.</v>
          </cell>
          <cell r="O528">
            <v>0</v>
          </cell>
          <cell r="P528">
            <v>10.25</v>
          </cell>
          <cell r="Q528">
            <v>5</v>
          </cell>
          <cell r="R528">
            <v>15.25</v>
          </cell>
          <cell r="S528">
            <v>22.5</v>
          </cell>
        </row>
        <row r="529">
          <cell r="I529" t="str">
            <v>03 310 700 2000</v>
          </cell>
          <cell r="J529" t="str">
            <v>Structural concrete, placing, continuous footing, shallow, with crane and bucket, includes vibrating, excludes material</v>
          </cell>
          <cell r="K529" t="str">
            <v>C7</v>
          </cell>
          <cell r="L529">
            <v>90</v>
          </cell>
          <cell r="M529">
            <v>0.8</v>
          </cell>
          <cell r="N529" t="str">
            <v>C.Y.</v>
          </cell>
          <cell r="O529">
            <v>0</v>
          </cell>
          <cell r="P529">
            <v>19.399999999999999</v>
          </cell>
          <cell r="Q529">
            <v>12.45</v>
          </cell>
          <cell r="R529">
            <v>31.85</v>
          </cell>
          <cell r="S529">
            <v>46</v>
          </cell>
        </row>
        <row r="530">
          <cell r="I530" t="str">
            <v>03 310 700 2100</v>
          </cell>
          <cell r="J530" t="str">
            <v>Structural concrete, placing, continuous footing, deep, direct chute, includes vibrating, excludes material</v>
          </cell>
          <cell r="K530" t="str">
            <v>C6</v>
          </cell>
          <cell r="L530">
            <v>140</v>
          </cell>
          <cell r="M530">
            <v>0.34300000000000003</v>
          </cell>
          <cell r="N530" t="str">
            <v>C.Y.</v>
          </cell>
          <cell r="O530">
            <v>0</v>
          </cell>
          <cell r="P530">
            <v>8</v>
          </cell>
          <cell r="Q530">
            <v>0.31</v>
          </cell>
          <cell r="R530">
            <v>8.31</v>
          </cell>
          <cell r="S530">
            <v>13.8</v>
          </cell>
        </row>
        <row r="531">
          <cell r="I531" t="str">
            <v>03 310 700 2150</v>
          </cell>
          <cell r="J531" t="str">
            <v>Structural concrete, placing, continuous footing, deep, pumped, includes vibrating, excludes material</v>
          </cell>
          <cell r="K531" t="str">
            <v>C20</v>
          </cell>
          <cell r="L531">
            <v>160</v>
          </cell>
          <cell r="M531">
            <v>0.4</v>
          </cell>
          <cell r="N531" t="str">
            <v>C.Y.</v>
          </cell>
          <cell r="O531">
            <v>0</v>
          </cell>
          <cell r="P531">
            <v>9.6</v>
          </cell>
          <cell r="Q531">
            <v>4.7</v>
          </cell>
          <cell r="R531">
            <v>14.3</v>
          </cell>
          <cell r="S531">
            <v>21.5</v>
          </cell>
        </row>
        <row r="532">
          <cell r="I532" t="str">
            <v>03 310 700 2200</v>
          </cell>
          <cell r="J532" t="str">
            <v>Structural concrete, placing, continuous footing, deep, with crane and bucket, includes vibrating, excludes material</v>
          </cell>
          <cell r="K532" t="str">
            <v>C7</v>
          </cell>
          <cell r="L532">
            <v>110</v>
          </cell>
          <cell r="M532">
            <v>0.65500000000000003</v>
          </cell>
          <cell r="N532" t="str">
            <v>C.Y.</v>
          </cell>
          <cell r="O532">
            <v>0</v>
          </cell>
          <cell r="P532">
            <v>15.85</v>
          </cell>
          <cell r="Q532">
            <v>10.199999999999999</v>
          </cell>
          <cell r="R532">
            <v>26.05</v>
          </cell>
          <cell r="S532">
            <v>37.5</v>
          </cell>
        </row>
        <row r="533">
          <cell r="I533" t="str">
            <v>03 310 700 2400</v>
          </cell>
          <cell r="J533" t="str">
            <v>Structural concrete, placing, spread footing, direct chute, under 1 C.Y., includes vibrating, excludes material</v>
          </cell>
          <cell r="K533" t="str">
            <v>C6</v>
          </cell>
          <cell r="L533">
            <v>55</v>
          </cell>
          <cell r="M533">
            <v>0.873</v>
          </cell>
          <cell r="N533" t="str">
            <v>C.Y.</v>
          </cell>
          <cell r="O533">
            <v>0</v>
          </cell>
          <cell r="P533">
            <v>20.5</v>
          </cell>
          <cell r="Q533">
            <v>0.78</v>
          </cell>
          <cell r="R533">
            <v>21.28</v>
          </cell>
          <cell r="S533">
            <v>35.5</v>
          </cell>
        </row>
        <row r="534">
          <cell r="I534" t="str">
            <v>03 310 700 4300</v>
          </cell>
          <cell r="J534" t="str">
            <v>Structural concrete, placing, slab on grade, direct chute, 4" thick, includes vibrating, excludes material</v>
          </cell>
          <cell r="K534" t="str">
            <v>C6</v>
          </cell>
          <cell r="L534">
            <v>110</v>
          </cell>
          <cell r="M534">
            <v>0.436</v>
          </cell>
          <cell r="N534" t="str">
            <v>C.Y.</v>
          </cell>
          <cell r="O534">
            <v>0</v>
          </cell>
          <cell r="P534">
            <v>10.199999999999999</v>
          </cell>
          <cell r="Q534">
            <v>0.39</v>
          </cell>
          <cell r="R534">
            <v>10.59</v>
          </cell>
          <cell r="S534">
            <v>17.55</v>
          </cell>
        </row>
        <row r="535">
          <cell r="I535" t="str">
            <v>03 310 700 4350</v>
          </cell>
          <cell r="J535" t="str">
            <v>Structural concrete, placing, slab on grade, pumped, 4" thick, includes vibrating, excludes material</v>
          </cell>
          <cell r="K535" t="str">
            <v>C20</v>
          </cell>
          <cell r="L535">
            <v>130</v>
          </cell>
          <cell r="M535">
            <v>0.49199999999999999</v>
          </cell>
          <cell r="N535" t="str">
            <v>C.Y.</v>
          </cell>
          <cell r="O535">
            <v>0</v>
          </cell>
          <cell r="P535">
            <v>11.8</v>
          </cell>
          <cell r="Q535">
            <v>5.8</v>
          </cell>
          <cell r="R535">
            <v>17.600000000000001</v>
          </cell>
          <cell r="S535">
            <v>26</v>
          </cell>
        </row>
        <row r="536">
          <cell r="I536" t="str">
            <v>03 310 700 4400</v>
          </cell>
          <cell r="J536" t="str">
            <v>Structural concrete, placing, slab on grade, with crane and bucket, 4" thick, includes vibrating, excludes material</v>
          </cell>
          <cell r="K536" t="str">
            <v>C7</v>
          </cell>
          <cell r="L536">
            <v>110</v>
          </cell>
          <cell r="M536">
            <v>0.65500000000000003</v>
          </cell>
          <cell r="N536" t="str">
            <v>C.Y.</v>
          </cell>
          <cell r="O536">
            <v>0</v>
          </cell>
          <cell r="P536">
            <v>15.85</v>
          </cell>
          <cell r="Q536">
            <v>10.199999999999999</v>
          </cell>
          <cell r="R536">
            <v>26.05</v>
          </cell>
          <cell r="S536">
            <v>37.5</v>
          </cell>
        </row>
        <row r="537">
          <cell r="I537" t="str">
            <v>03 310 700 4900</v>
          </cell>
          <cell r="J537" t="str">
            <v>Structural concrete, placing, walls, direct chute, 8" thick, includes vibrating, excludes material</v>
          </cell>
          <cell r="K537" t="str">
            <v>C6</v>
          </cell>
          <cell r="L537">
            <v>90</v>
          </cell>
          <cell r="M537">
            <v>0.53300000000000003</v>
          </cell>
          <cell r="N537" t="str">
            <v>C.Y.</v>
          </cell>
          <cell r="O537">
            <v>0</v>
          </cell>
          <cell r="P537">
            <v>12.45</v>
          </cell>
          <cell r="Q537">
            <v>0.47</v>
          </cell>
          <cell r="R537">
            <v>12.92</v>
          </cell>
          <cell r="S537">
            <v>21.5</v>
          </cell>
        </row>
        <row r="538">
          <cell r="I538" t="str">
            <v>03 310 700 4950</v>
          </cell>
          <cell r="J538" t="str">
            <v>Structural concrete, placing, walls, pumped, 8" thick, includes vibrating, excludes material</v>
          </cell>
          <cell r="K538" t="str">
            <v>C20</v>
          </cell>
          <cell r="L538">
            <v>100</v>
          </cell>
          <cell r="M538">
            <v>0.64</v>
          </cell>
          <cell r="N538" t="str">
            <v>C.Y.</v>
          </cell>
          <cell r="O538">
            <v>0</v>
          </cell>
          <cell r="P538">
            <v>15.35</v>
          </cell>
          <cell r="Q538">
            <v>7.5</v>
          </cell>
          <cell r="R538">
            <v>22.85</v>
          </cell>
          <cell r="S538">
            <v>34</v>
          </cell>
        </row>
        <row r="539">
          <cell r="I539" t="str">
            <v>03 310 700 5000</v>
          </cell>
          <cell r="J539" t="str">
            <v>Structural concrete, placing, walls, with crane and bucket, 8" thick, includes vibrating, excludes material</v>
          </cell>
          <cell r="K539" t="str">
            <v>C7</v>
          </cell>
          <cell r="L539">
            <v>80</v>
          </cell>
          <cell r="M539">
            <v>0.9</v>
          </cell>
          <cell r="N539" t="str">
            <v>C.Y.</v>
          </cell>
          <cell r="O539">
            <v>0</v>
          </cell>
          <cell r="P539">
            <v>22</v>
          </cell>
          <cell r="Q539">
            <v>14</v>
          </cell>
          <cell r="R539">
            <v>36</v>
          </cell>
          <cell r="S539">
            <v>52</v>
          </cell>
        </row>
        <row r="540">
          <cell r="I540" t="str">
            <v>03 310 700 5050</v>
          </cell>
          <cell r="J540" t="str">
            <v>Structural concrete, placing, walls, direct chute, 12" thick, includes vibrating, excludes material</v>
          </cell>
          <cell r="K540" t="str">
            <v>C6</v>
          </cell>
          <cell r="L540">
            <v>100</v>
          </cell>
          <cell r="M540">
            <v>0.48</v>
          </cell>
          <cell r="N540" t="str">
            <v>C.Y.</v>
          </cell>
          <cell r="O540">
            <v>0</v>
          </cell>
          <cell r="P540">
            <v>11.2</v>
          </cell>
          <cell r="Q540">
            <v>0.43</v>
          </cell>
          <cell r="R540">
            <v>11.63</v>
          </cell>
          <cell r="S540">
            <v>19.3</v>
          </cell>
        </row>
        <row r="541">
          <cell r="I541" t="str">
            <v>03 310 700 5100</v>
          </cell>
          <cell r="J541" t="str">
            <v>Structural concrete, placing, walls, pumped, 12" thick, includes vibrating, excludes material</v>
          </cell>
          <cell r="K541" t="str">
            <v>C20</v>
          </cell>
          <cell r="L541">
            <v>110</v>
          </cell>
          <cell r="M541">
            <v>0.58199999999999996</v>
          </cell>
          <cell r="N541" t="str">
            <v>C.Y.</v>
          </cell>
          <cell r="O541">
            <v>0</v>
          </cell>
          <cell r="P541">
            <v>13.95</v>
          </cell>
          <cell r="Q541">
            <v>6.85</v>
          </cell>
          <cell r="R541">
            <v>20.8</v>
          </cell>
          <cell r="S541">
            <v>31</v>
          </cell>
        </row>
        <row r="542">
          <cell r="I542" t="str">
            <v>03 310 700 5200</v>
          </cell>
          <cell r="J542" t="str">
            <v>Structural concrete, placing, walls, with crane and bucket, 12" thick, includes vibrating, excludes material</v>
          </cell>
          <cell r="K542" t="str">
            <v>C7</v>
          </cell>
          <cell r="L542">
            <v>90</v>
          </cell>
          <cell r="M542">
            <v>0.8</v>
          </cell>
          <cell r="N542" t="str">
            <v>C.Y.</v>
          </cell>
          <cell r="O542">
            <v>0</v>
          </cell>
          <cell r="P542">
            <v>19.399999999999999</v>
          </cell>
          <cell r="Q542">
            <v>12.45</v>
          </cell>
          <cell r="R542">
            <v>31.85</v>
          </cell>
          <cell r="S542">
            <v>46</v>
          </cell>
        </row>
        <row r="543">
          <cell r="I543" t="str">
            <v>03 310 700 5610</v>
          </cell>
          <cell r="J543" t="str">
            <v>Structural concrete, placing, by walking cart, 50' haul, includes vibrating, excludes material, add to placing costs above</v>
          </cell>
          <cell r="K543" t="str">
            <v>C18</v>
          </cell>
          <cell r="L543">
            <v>32</v>
          </cell>
          <cell r="M543">
            <v>0.28100000000000003</v>
          </cell>
          <cell r="N543" t="str">
            <v>C.Y.</v>
          </cell>
          <cell r="O543">
            <v>0</v>
          </cell>
          <cell r="P543">
            <v>6.3</v>
          </cell>
          <cell r="Q543">
            <v>1.67</v>
          </cell>
          <cell r="R543">
            <v>7.97</v>
          </cell>
          <cell r="S543">
            <v>12.5</v>
          </cell>
        </row>
        <row r="544">
          <cell r="I544" t="str">
            <v>03 310 700 5620</v>
          </cell>
          <cell r="J544" t="str">
            <v>Structural concrete, placing, by walking cart, 150' haul, includes vibrating, excludes material, add to placing costs above</v>
          </cell>
          <cell r="K544" t="str">
            <v>C18</v>
          </cell>
          <cell r="L544">
            <v>24</v>
          </cell>
          <cell r="M544">
            <v>0.375</v>
          </cell>
          <cell r="N544" t="str">
            <v>C.Y.</v>
          </cell>
          <cell r="O544">
            <v>0</v>
          </cell>
          <cell r="P544">
            <v>8.35</v>
          </cell>
          <cell r="Q544">
            <v>2.2200000000000002</v>
          </cell>
          <cell r="R544">
            <v>10.57</v>
          </cell>
          <cell r="S544">
            <v>16.649999999999999</v>
          </cell>
        </row>
        <row r="545">
          <cell r="I545" t="str">
            <v>03 310 700 5800</v>
          </cell>
          <cell r="J545" t="str">
            <v>Structural concrete, placing, by wheeled riding cart, 50' haul, includes vibrating, excludes material, add to placing costs above</v>
          </cell>
          <cell r="K545" t="str">
            <v>C19</v>
          </cell>
          <cell r="L545">
            <v>80</v>
          </cell>
          <cell r="M545">
            <v>0.113</v>
          </cell>
          <cell r="N545" t="str">
            <v>C.Y.</v>
          </cell>
          <cell r="O545">
            <v>0</v>
          </cell>
          <cell r="P545">
            <v>2.5099999999999998</v>
          </cell>
          <cell r="Q545">
            <v>0.99</v>
          </cell>
          <cell r="R545">
            <v>3.5</v>
          </cell>
          <cell r="S545">
            <v>5.35</v>
          </cell>
        </row>
        <row r="546">
          <cell r="I546" t="str">
            <v>03 310 700 5810</v>
          </cell>
          <cell r="J546" t="str">
            <v>Structural concrete, placing, by wheeled riding cart, 150' haul, includes vibrating, excludes material, add to placing costs above</v>
          </cell>
          <cell r="K546" t="str">
            <v>C19</v>
          </cell>
          <cell r="L546">
            <v>60</v>
          </cell>
          <cell r="M546">
            <v>0.15</v>
          </cell>
          <cell r="N546" t="str">
            <v>C.Y.</v>
          </cell>
          <cell r="O546">
            <v>0</v>
          </cell>
          <cell r="P546">
            <v>3.35</v>
          </cell>
          <cell r="Q546">
            <v>1.31</v>
          </cell>
          <cell r="R546">
            <v>4.66</v>
          </cell>
          <cell r="S546">
            <v>7.15</v>
          </cell>
        </row>
        <row r="547">
          <cell r="I547" t="str">
            <v>03 350 300 0020</v>
          </cell>
          <cell r="J547" t="str">
            <v>Concrete finishing, floors, monolithic, screed finish</v>
          </cell>
          <cell r="K547" t="str">
            <v>1 Cefi</v>
          </cell>
          <cell r="L547">
            <v>900</v>
          </cell>
          <cell r="M547">
            <v>8.9999999999999993E-3</v>
          </cell>
          <cell r="N547" t="str">
            <v>S.F.</v>
          </cell>
          <cell r="O547">
            <v>0</v>
          </cell>
          <cell r="P547">
            <v>0.25</v>
          </cell>
          <cell r="Q547">
            <v>0</v>
          </cell>
          <cell r="R547">
            <v>0.25</v>
          </cell>
          <cell r="S547">
            <v>0.4</v>
          </cell>
        </row>
        <row r="548">
          <cell r="I548" t="str">
            <v>03 350 300 0100</v>
          </cell>
          <cell r="J548" t="str">
            <v>Concrete finishing, floors, monolithic, screed and bull float(darby) finish</v>
          </cell>
          <cell r="K548" t="str">
            <v>1 Cefi</v>
          </cell>
          <cell r="L548">
            <v>725</v>
          </cell>
          <cell r="M548">
            <v>1.0999999999999999E-2</v>
          </cell>
          <cell r="N548" t="str">
            <v>S.F.</v>
          </cell>
          <cell r="O548">
            <v>0</v>
          </cell>
          <cell r="P548">
            <v>0.31</v>
          </cell>
          <cell r="Q548">
            <v>0</v>
          </cell>
          <cell r="R548">
            <v>0.31</v>
          </cell>
          <cell r="S548">
            <v>0.49</v>
          </cell>
        </row>
        <row r="549">
          <cell r="I549" t="str">
            <v>03 350 300 0150</v>
          </cell>
          <cell r="J549" t="str">
            <v>Concrete finishing, floors, monolithic, screed, float and broom finish</v>
          </cell>
          <cell r="K549" t="str">
            <v>1 Cefi</v>
          </cell>
          <cell r="L549">
            <v>630</v>
          </cell>
          <cell r="M549">
            <v>1.2999999999999999E-2</v>
          </cell>
          <cell r="N549" t="str">
            <v>S.F.</v>
          </cell>
          <cell r="O549">
            <v>0</v>
          </cell>
          <cell r="P549">
            <v>0.35</v>
          </cell>
          <cell r="Q549">
            <v>0</v>
          </cell>
          <cell r="R549">
            <v>0.35</v>
          </cell>
          <cell r="S549">
            <v>0.56999999999999995</v>
          </cell>
        </row>
        <row r="550">
          <cell r="I550" t="str">
            <v>03 350 300 4000</v>
          </cell>
          <cell r="J550" t="str">
            <v>Concrete finishing, floor, dustproofing, epoxy-based, clear, 1 coat</v>
          </cell>
          <cell r="K550" t="str">
            <v>1 Cefi</v>
          </cell>
          <cell r="L550">
            <v>1500</v>
          </cell>
          <cell r="M550">
            <v>5.0000000000000001E-3</v>
          </cell>
          <cell r="N550" t="str">
            <v>S.F.</v>
          </cell>
          <cell r="O550">
            <v>0.12</v>
          </cell>
          <cell r="P550">
            <v>0.15</v>
          </cell>
          <cell r="Q550">
            <v>0</v>
          </cell>
          <cell r="R550">
            <v>0.27</v>
          </cell>
          <cell r="S550">
            <v>0.37</v>
          </cell>
        </row>
        <row r="551">
          <cell r="I551" t="str">
            <v>03 350 325 0140</v>
          </cell>
          <cell r="J551" t="str">
            <v>Control joint, concrete floor slab, sawcut in green concrete, 1-1/2" depth</v>
          </cell>
          <cell r="K551" t="str">
            <v>C27</v>
          </cell>
          <cell r="L551">
            <v>1800</v>
          </cell>
          <cell r="M551">
            <v>8.9999999999999993E-3</v>
          </cell>
          <cell r="N551" t="str">
            <v>L.F.</v>
          </cell>
          <cell r="O551">
            <v>0.14000000000000001</v>
          </cell>
          <cell r="P551">
            <v>0.25</v>
          </cell>
          <cell r="Q551">
            <v>7.0000000000000007E-2</v>
          </cell>
          <cell r="R551">
            <v>0.46</v>
          </cell>
          <cell r="S551">
            <v>0.62</v>
          </cell>
        </row>
        <row r="552">
          <cell r="I552" t="str">
            <v>03 350 325 0160</v>
          </cell>
          <cell r="J552" t="str">
            <v>Control joint, concrete floor slab, sawcut in green concrete, 2" depth</v>
          </cell>
          <cell r="K552" t="str">
            <v>C27</v>
          </cell>
          <cell r="L552">
            <v>1600</v>
          </cell>
          <cell r="M552">
            <v>0.01</v>
          </cell>
          <cell r="N552" t="str">
            <v>L.F.</v>
          </cell>
          <cell r="O552">
            <v>0.18</v>
          </cell>
          <cell r="P552">
            <v>0.28000000000000003</v>
          </cell>
          <cell r="Q552">
            <v>7.0000000000000007E-2</v>
          </cell>
          <cell r="R552">
            <v>0.53</v>
          </cell>
          <cell r="S552">
            <v>0.73</v>
          </cell>
        </row>
        <row r="553">
          <cell r="I553" t="str">
            <v>03 350 325 0200</v>
          </cell>
          <cell r="J553" t="str">
            <v>Control joint, clean out control joint of debris</v>
          </cell>
          <cell r="K553" t="str">
            <v>C28</v>
          </cell>
          <cell r="L553">
            <v>6000</v>
          </cell>
          <cell r="M553">
            <v>1E-3</v>
          </cell>
          <cell r="N553" t="str">
            <v>L.F.</v>
          </cell>
          <cell r="O553">
            <v>0</v>
          </cell>
          <cell r="P553">
            <v>0.04</v>
          </cell>
          <cell r="Q553">
            <v>0</v>
          </cell>
          <cell r="R553">
            <v>0.04</v>
          </cell>
          <cell r="S553">
            <v>0.06</v>
          </cell>
        </row>
        <row r="554">
          <cell r="I554" t="str">
            <v>03 350 325 0320</v>
          </cell>
          <cell r="J554" t="str">
            <v>Control joint, backer rod, polyethylene, 1/4" diameter</v>
          </cell>
          <cell r="K554" t="str">
            <v>1 Cefi</v>
          </cell>
          <cell r="L554">
            <v>460</v>
          </cell>
          <cell r="M554">
            <v>1.7000000000000001E-2</v>
          </cell>
          <cell r="N554" t="str">
            <v>L.F.</v>
          </cell>
          <cell r="O554">
            <v>0.04</v>
          </cell>
          <cell r="P554">
            <v>0.48</v>
          </cell>
          <cell r="Q554">
            <v>0</v>
          </cell>
          <cell r="R554">
            <v>0.52</v>
          </cell>
          <cell r="S554">
            <v>0.82</v>
          </cell>
        </row>
        <row r="555">
          <cell r="I555" t="str">
            <v>03 350 325 0360</v>
          </cell>
          <cell r="J555" t="str">
            <v>Control joint, joint sealant, polyurethane, 1/4" x 1/4" (308 LF/Gal)</v>
          </cell>
          <cell r="K555" t="str">
            <v>1 Cefi</v>
          </cell>
          <cell r="L555">
            <v>270</v>
          </cell>
          <cell r="M555">
            <v>0.03</v>
          </cell>
          <cell r="N555" t="str">
            <v>L.F.</v>
          </cell>
          <cell r="O555">
            <v>0.17</v>
          </cell>
          <cell r="P555">
            <v>0.82</v>
          </cell>
          <cell r="Q555">
            <v>0</v>
          </cell>
          <cell r="R555">
            <v>0.99</v>
          </cell>
          <cell r="S555">
            <v>1.51</v>
          </cell>
        </row>
        <row r="556">
          <cell r="I556" t="str">
            <v>03 350 325 0380</v>
          </cell>
          <cell r="J556" t="str">
            <v>Control joint, joint sealant, polyurethane, 1/4" x 1/2" (154 LF/Gal)</v>
          </cell>
          <cell r="K556" t="str">
            <v>1 Cefi</v>
          </cell>
          <cell r="L556">
            <v>255</v>
          </cell>
          <cell r="M556">
            <v>3.1E-2</v>
          </cell>
          <cell r="N556" t="str">
            <v>L.F.</v>
          </cell>
          <cell r="O556">
            <v>0.34</v>
          </cell>
          <cell r="P556">
            <v>0.87</v>
          </cell>
          <cell r="Q556">
            <v>0</v>
          </cell>
          <cell r="R556">
            <v>1.21</v>
          </cell>
          <cell r="S556">
            <v>1.77</v>
          </cell>
        </row>
        <row r="557">
          <cell r="I557" t="str">
            <v>03 350 350 0020</v>
          </cell>
          <cell r="J557" t="str">
            <v>Concrete finishing, walls, includes breaking ties and patching voids</v>
          </cell>
          <cell r="K557" t="str">
            <v>1 Cefi</v>
          </cell>
          <cell r="L557">
            <v>540</v>
          </cell>
          <cell r="M557">
            <v>1.4999999999999999E-2</v>
          </cell>
          <cell r="N557" t="str">
            <v>S.F.</v>
          </cell>
          <cell r="O557">
            <v>0.03</v>
          </cell>
          <cell r="P557">
            <v>0.41</v>
          </cell>
          <cell r="Q557">
            <v>0</v>
          </cell>
          <cell r="R557">
            <v>0.44</v>
          </cell>
          <cell r="S557">
            <v>0.69</v>
          </cell>
        </row>
        <row r="558">
          <cell r="I558" t="str">
            <v>03 350 350 0050</v>
          </cell>
          <cell r="J558" t="str">
            <v>Concrete finishing, walls, burlap rub with grout, includes breaking ties and patching voids</v>
          </cell>
          <cell r="K558" t="str">
            <v>1 Cefi</v>
          </cell>
          <cell r="L558">
            <v>450</v>
          </cell>
          <cell r="M558">
            <v>1.7999999999999999E-2</v>
          </cell>
          <cell r="N558" t="str">
            <v>S.F.</v>
          </cell>
          <cell r="O558">
            <v>0.03</v>
          </cell>
          <cell r="P558">
            <v>0.49</v>
          </cell>
          <cell r="Q558">
            <v>0</v>
          </cell>
          <cell r="R558">
            <v>0.52</v>
          </cell>
          <cell r="S558">
            <v>0.82</v>
          </cell>
        </row>
        <row r="559">
          <cell r="I559" t="str">
            <v>03 350 350 0100</v>
          </cell>
          <cell r="J559" t="str">
            <v>Concrete finishing, walls, carborundum rub, dry, includes breaking ties and patching voids</v>
          </cell>
          <cell r="K559" t="str">
            <v>1 Cefi</v>
          </cell>
          <cell r="L559">
            <v>270</v>
          </cell>
          <cell r="M559">
            <v>0.03</v>
          </cell>
          <cell r="N559" t="str">
            <v>S.F.</v>
          </cell>
          <cell r="O559">
            <v>0</v>
          </cell>
          <cell r="P559">
            <v>0.82</v>
          </cell>
          <cell r="Q559">
            <v>0</v>
          </cell>
          <cell r="R559">
            <v>0.82</v>
          </cell>
          <cell r="S559">
            <v>1.32</v>
          </cell>
        </row>
        <row r="560">
          <cell r="I560" t="str">
            <v>03 350 350 0150</v>
          </cell>
          <cell r="J560" t="str">
            <v>Concrete finishing, walls, carborundum rub, wet, includes breaking ties and patching voids</v>
          </cell>
          <cell r="K560" t="str">
            <v>1 Cefi</v>
          </cell>
          <cell r="L560">
            <v>175</v>
          </cell>
          <cell r="M560">
            <v>4.5999999999999999E-2</v>
          </cell>
          <cell r="N560" t="str">
            <v>S.F.</v>
          </cell>
          <cell r="O560">
            <v>0</v>
          </cell>
          <cell r="P560">
            <v>1.27</v>
          </cell>
          <cell r="Q560">
            <v>0</v>
          </cell>
          <cell r="R560">
            <v>1.27</v>
          </cell>
          <cell r="S560">
            <v>2.04</v>
          </cell>
        </row>
        <row r="561">
          <cell r="I561" t="str">
            <v>03 390 200 0015</v>
          </cell>
          <cell r="J561" t="str">
            <v>Curing, burlap, 7.5 oz., 4 uses assumed</v>
          </cell>
          <cell r="K561" t="str">
            <v>2 Clab</v>
          </cell>
          <cell r="L561">
            <v>55</v>
          </cell>
          <cell r="M561">
            <v>0.29099999999999998</v>
          </cell>
          <cell r="N561" t="str">
            <v>C.S.F.</v>
          </cell>
          <cell r="O561">
            <v>7.25</v>
          </cell>
          <cell r="P561">
            <v>6.45</v>
          </cell>
          <cell r="Q561">
            <v>0</v>
          </cell>
          <cell r="R561">
            <v>13.7</v>
          </cell>
          <cell r="S561">
            <v>18.899999999999999</v>
          </cell>
        </row>
        <row r="562">
          <cell r="I562" t="str">
            <v>03 390 200 0300</v>
          </cell>
          <cell r="J562" t="str">
            <v>Curing, sprayed membrane compound</v>
          </cell>
          <cell r="K562" t="str">
            <v>2 Clab</v>
          </cell>
          <cell r="L562">
            <v>95</v>
          </cell>
          <cell r="M562">
            <v>0.16800000000000001</v>
          </cell>
          <cell r="N562" t="str">
            <v>C.S.F.</v>
          </cell>
          <cell r="O562">
            <v>4.6900000000000004</v>
          </cell>
          <cell r="P562">
            <v>3.72</v>
          </cell>
          <cell r="Q562">
            <v>0</v>
          </cell>
          <cell r="R562">
            <v>8.41</v>
          </cell>
          <cell r="S562">
            <v>11.45</v>
          </cell>
        </row>
        <row r="563">
          <cell r="I563" t="str">
            <v>13 128 700 0150</v>
          </cell>
          <cell r="J563" t="str">
            <v>Pre-Eng Steel Bldg, clear span rigid frame, 30 psf roof and 20 psf wind load, 20' W x 10' eave H, incl. 26 ga. colored ribbed roofing &amp; siding, excl. footings, slab, anchor bolts</v>
          </cell>
          <cell r="K563" t="str">
            <v>E2</v>
          </cell>
          <cell r="L563">
            <v>425</v>
          </cell>
          <cell r="M563">
            <v>0.113</v>
          </cell>
          <cell r="N563" t="str">
            <v>SF Flr.</v>
          </cell>
          <cell r="O563">
            <v>7.85</v>
          </cell>
          <cell r="P563">
            <v>3.53</v>
          </cell>
          <cell r="Q563">
            <v>3.64</v>
          </cell>
          <cell r="R563">
            <v>15.02</v>
          </cell>
          <cell r="S563">
            <v>19.3</v>
          </cell>
        </row>
        <row r="564">
          <cell r="I564" t="str">
            <v>13 128 700 0160</v>
          </cell>
          <cell r="J564" t="str">
            <v>Pre-Eng Steel Bldg, clear span rigid frame, 30 psf roof and 20 psf wind load, 20' W x 14' eave H, incl. 26 ga. colored ribbed roofing &amp; siding, excl. footings, slab, anchor bolts</v>
          </cell>
          <cell r="K564" t="str">
            <v>E2</v>
          </cell>
          <cell r="L564">
            <v>350</v>
          </cell>
          <cell r="M564">
            <v>0.13700000000000001</v>
          </cell>
          <cell r="N564" t="str">
            <v>SF Flr.</v>
          </cell>
          <cell r="O564">
            <v>8.3000000000000007</v>
          </cell>
          <cell r="P564">
            <v>4.29</v>
          </cell>
          <cell r="Q564">
            <v>4.42</v>
          </cell>
          <cell r="R564">
            <v>17.010000000000002</v>
          </cell>
          <cell r="S564">
            <v>22</v>
          </cell>
        </row>
        <row r="565">
          <cell r="I565" t="str">
            <v>13 128 700 0200</v>
          </cell>
          <cell r="J565" t="str">
            <v>Pre-Eng Steel Bldg, clear span rigid frame, 30 psf roof and 20 psf wind load, 30' to 40' W x 10' eave H, incl. 26 ga. colored ribbed roofing &amp; siding, excl. footings, slab, anchor bolts</v>
          </cell>
          <cell r="K565" t="str">
            <v>E2</v>
          </cell>
          <cell r="L565">
            <v>535</v>
          </cell>
          <cell r="M565">
            <v>0.09</v>
          </cell>
          <cell r="N565" t="str">
            <v>SF Flr.</v>
          </cell>
          <cell r="O565">
            <v>6.5</v>
          </cell>
          <cell r="P565">
            <v>2.81</v>
          </cell>
          <cell r="Q565">
            <v>2.89</v>
          </cell>
          <cell r="R565">
            <v>12.2</v>
          </cell>
          <cell r="S565">
            <v>15.7</v>
          </cell>
        </row>
        <row r="566">
          <cell r="I566" t="str">
            <v>13 128 700 0300</v>
          </cell>
          <cell r="J566" t="str">
            <v>Pre-Eng Steel Bldg, clear span rigid frame, 30 psf roof and 20 psf wind load, 30' to 40' W x 14' eave H, incl. 26 ga. colored ribbed roofing &amp; siding, excl. footings, slab, anchor bolts</v>
          </cell>
          <cell r="K566" t="str">
            <v>E2</v>
          </cell>
          <cell r="L566">
            <v>450</v>
          </cell>
          <cell r="M566">
            <v>0.107</v>
          </cell>
          <cell r="N566" t="str">
            <v>SF Flr.</v>
          </cell>
          <cell r="O566">
            <v>6.85</v>
          </cell>
          <cell r="P566">
            <v>3.34</v>
          </cell>
          <cell r="Q566">
            <v>3.44</v>
          </cell>
          <cell r="R566">
            <v>13.63</v>
          </cell>
          <cell r="S566">
            <v>17.7</v>
          </cell>
        </row>
        <row r="567">
          <cell r="I567" t="str">
            <v>13 128 700 0700</v>
          </cell>
          <cell r="J567" t="str">
            <v>Pre-Eng Steel Bldg, clear span rigid frame, 30 psf roof and 20 psf wind load, 50' to 100' W x 10' eave H, incl. 26 ga. colored ribbed roofing &amp; siding, excl. footings, slab, anchor bolts</v>
          </cell>
          <cell r="K567" t="str">
            <v>E2</v>
          </cell>
          <cell r="L567">
            <v>865</v>
          </cell>
          <cell r="M567">
            <v>5.5E-2</v>
          </cell>
          <cell r="N567" t="str">
            <v>SF Flr.</v>
          </cell>
          <cell r="O567">
            <v>5.6</v>
          </cell>
          <cell r="P567">
            <v>1.74</v>
          </cell>
          <cell r="Q567">
            <v>1.79</v>
          </cell>
          <cell r="R567">
            <v>9.1300000000000008</v>
          </cell>
          <cell r="S567">
            <v>11.4</v>
          </cell>
        </row>
        <row r="568">
          <cell r="I568" t="str">
            <v>13 128 700 0800</v>
          </cell>
          <cell r="J568" t="str">
            <v>Pre-Eng Steel Bldg, clear span rigid frame, 30 psf roof and 20 psf wind load, 50' to 100' W x 14' eave H, incl. 26 ga. colored ribbed roofing &amp; siding, excl. footings, slab, anchor bolts</v>
          </cell>
          <cell r="K568" t="str">
            <v>E2</v>
          </cell>
          <cell r="L568">
            <v>770</v>
          </cell>
          <cell r="M568">
            <v>6.2E-2</v>
          </cell>
          <cell r="N568" t="str">
            <v>SF Flr.</v>
          </cell>
          <cell r="O568">
            <v>5.95</v>
          </cell>
          <cell r="P568">
            <v>1.95</v>
          </cell>
          <cell r="Q568">
            <v>2.0099999999999998</v>
          </cell>
          <cell r="R568">
            <v>9.91</v>
          </cell>
          <cell r="S568">
            <v>12.45</v>
          </cell>
        </row>
        <row r="569">
          <cell r="I569" t="str">
            <v>13 128 700 5250</v>
          </cell>
          <cell r="J569" t="str">
            <v>Pre-Eng Steel Bldg Access., eave overhang, with soffit, 26 gauge, 2' W</v>
          </cell>
          <cell r="K569" t="str">
            <v>E2</v>
          </cell>
          <cell r="L569">
            <v>360</v>
          </cell>
          <cell r="M569">
            <v>0.13300000000000001</v>
          </cell>
          <cell r="N569" t="str">
            <v>L.F.</v>
          </cell>
          <cell r="O569">
            <v>24</v>
          </cell>
          <cell r="P569">
            <v>4.17</v>
          </cell>
          <cell r="Q569">
            <v>4.3</v>
          </cell>
          <cell r="R569">
            <v>32.47</v>
          </cell>
          <cell r="S569">
            <v>38.5</v>
          </cell>
        </row>
        <row r="570">
          <cell r="I570" t="str">
            <v>13 128 700 5300</v>
          </cell>
          <cell r="J570" t="str">
            <v>Pre-Eng Steel Bldg Access., eave overhang, without soffit, 26 gauge, 4' w</v>
          </cell>
          <cell r="K570" t="str">
            <v>E2</v>
          </cell>
          <cell r="L570">
            <v>300</v>
          </cell>
          <cell r="M570">
            <v>0.16</v>
          </cell>
          <cell r="N570" t="str">
            <v>L.F.</v>
          </cell>
          <cell r="O570">
            <v>23</v>
          </cell>
          <cell r="P570">
            <v>5</v>
          </cell>
          <cell r="Q570">
            <v>5.15</v>
          </cell>
          <cell r="R570">
            <v>33.15</v>
          </cell>
          <cell r="S570">
            <v>40</v>
          </cell>
        </row>
        <row r="571">
          <cell r="I571" t="str">
            <v>02 220 360 0400</v>
          </cell>
          <cell r="J571" t="str">
            <v>Concrete sawing, concrete slabs, mesh reinforcing, up to 3" deep</v>
          </cell>
          <cell r="K571" t="str">
            <v>B89</v>
          </cell>
          <cell r="L571">
            <v>980</v>
          </cell>
          <cell r="M571">
            <v>1.6E-2</v>
          </cell>
          <cell r="N571" t="str">
            <v>L.F.</v>
          </cell>
          <cell r="O571">
            <v>0.41</v>
          </cell>
          <cell r="P571">
            <v>0.42</v>
          </cell>
          <cell r="Q571">
            <v>7.0000000000000007E-2</v>
          </cell>
          <cell r="R571">
            <v>0.9</v>
          </cell>
          <cell r="S571">
            <v>1.24</v>
          </cell>
        </row>
        <row r="572">
          <cell r="I572" t="str">
            <v>02 315 610 1700</v>
          </cell>
          <cell r="J572" t="str">
            <v>Excavating, trench or continuous footing, common earth, for tamping backfilled trenches, 6" lift, air tamped, excludes sheeting or dewatering, add</v>
          </cell>
          <cell r="K572" t="str">
            <v>A1G</v>
          </cell>
          <cell r="L572">
            <v>100</v>
          </cell>
          <cell r="M572">
            <v>0.08</v>
          </cell>
          <cell r="N572" t="str">
            <v>E.C.Y.</v>
          </cell>
          <cell r="O572">
            <v>0</v>
          </cell>
          <cell r="P572">
            <v>1.77</v>
          </cell>
          <cell r="Q572">
            <v>0.38</v>
          </cell>
          <cell r="R572">
            <v>2.15</v>
          </cell>
          <cell r="S572">
            <v>3.42</v>
          </cell>
        </row>
        <row r="573">
          <cell r="I573" t="str">
            <v>02 315 610 1900</v>
          </cell>
          <cell r="J573" t="str">
            <v>Excavating, trench or continuous footing, common earth, for tamping backfilled trenches, 6" lift, vibrating plate, excludes sheeting or dewatering, add</v>
          </cell>
          <cell r="K573" t="str">
            <v>B18</v>
          </cell>
          <cell r="L573">
            <v>180</v>
          </cell>
          <cell r="M573">
            <v>0.13300000000000001</v>
          </cell>
          <cell r="N573" t="str">
            <v>E.C.Y.</v>
          </cell>
          <cell r="O573">
            <v>0</v>
          </cell>
          <cell r="P573">
            <v>3.04</v>
          </cell>
          <cell r="Q573">
            <v>0.2</v>
          </cell>
          <cell r="R573">
            <v>3.24</v>
          </cell>
          <cell r="S573">
            <v>5.35</v>
          </cell>
        </row>
      </sheetData>
      <sheetData sheetId="4">
        <row r="8">
          <cell r="B8" t="str">
            <v>L014.1</v>
          </cell>
          <cell r="C8" t="str">
            <v>Pumping, Concrete, Footings &amp; Slabs, 18.75cy/hr (include drive time)</v>
          </cell>
          <cell r="D8" t="str">
            <v>HR.</v>
          </cell>
          <cell r="E8">
            <v>31</v>
          </cell>
          <cell r="F8" t="str">
            <v>2.4.2</v>
          </cell>
          <cell r="G8">
            <v>425</v>
          </cell>
          <cell r="H8" t="str">
            <v>Statewide</v>
          </cell>
          <cell r="I8">
            <v>425</v>
          </cell>
          <cell r="J8">
            <v>1</v>
          </cell>
          <cell r="K8" t="str">
            <v>Conc_Misc</v>
          </cell>
        </row>
        <row r="9">
          <cell r="B9" t="str">
            <v>L014.2</v>
          </cell>
          <cell r="C9" t="str">
            <v>Pumping, Concrete, Walls, 12.5cy/hr (include drive time)</v>
          </cell>
          <cell r="D9" t="str">
            <v>HR.</v>
          </cell>
          <cell r="E9">
            <v>31</v>
          </cell>
          <cell r="F9" t="str">
            <v>2.4.3</v>
          </cell>
          <cell r="G9">
            <v>425</v>
          </cell>
          <cell r="H9" t="str">
            <v>Statewide</v>
          </cell>
          <cell r="I9">
            <v>425</v>
          </cell>
          <cell r="J9">
            <v>1</v>
          </cell>
          <cell r="K9" t="str">
            <v>Conc_Misc</v>
          </cell>
        </row>
        <row r="10">
          <cell r="B10" t="str">
            <v>L014.3</v>
          </cell>
          <cell r="C10" t="str">
            <v>Block, Concrete, 2'x2'x2'</v>
          </cell>
          <cell r="D10" t="str">
            <v>EA.</v>
          </cell>
          <cell r="E10">
            <v>31</v>
          </cell>
          <cell r="F10" t="str">
            <v>2.14.0</v>
          </cell>
          <cell r="G10">
            <v>40</v>
          </cell>
          <cell r="H10" t="str">
            <v>Statewide</v>
          </cell>
          <cell r="I10">
            <v>40</v>
          </cell>
          <cell r="J10">
            <v>1</v>
          </cell>
          <cell r="K10" t="str">
            <v>Conc_Precast</v>
          </cell>
        </row>
        <row r="11">
          <cell r="B11" t="str">
            <v>L014.4</v>
          </cell>
          <cell r="C11" t="str">
            <v>Block, Concrete, 2'x2'x4'</v>
          </cell>
          <cell r="D11" t="str">
            <v>EA.</v>
          </cell>
          <cell r="E11">
            <v>31</v>
          </cell>
          <cell r="F11" t="str">
            <v>2.14.1</v>
          </cell>
          <cell r="G11">
            <v>50</v>
          </cell>
          <cell r="H11" t="str">
            <v>Statewide</v>
          </cell>
          <cell r="I11">
            <v>50</v>
          </cell>
          <cell r="J11">
            <v>1</v>
          </cell>
          <cell r="K11" t="str">
            <v>Conc_Precast</v>
          </cell>
        </row>
        <row r="12">
          <cell r="B12" t="str">
            <v>L014.18</v>
          </cell>
          <cell r="C12" t="str">
            <v>Pump Chamber, precast, heavy duty, 1500 gal, delivered &amp; set, &lt; 100 mi</v>
          </cell>
          <cell r="D12" t="str">
            <v>EA.</v>
          </cell>
          <cell r="E12" t="str">
            <v>1,5,11,31</v>
          </cell>
          <cell r="F12" t="str">
            <v>24.6.8</v>
          </cell>
          <cell r="G12">
            <v>2800</v>
          </cell>
          <cell r="H12" t="str">
            <v>Statewide</v>
          </cell>
          <cell r="I12">
            <v>2800</v>
          </cell>
          <cell r="J12">
            <v>1</v>
          </cell>
          <cell r="K12" t="str">
            <v>Conc_Precast</v>
          </cell>
        </row>
        <row r="13">
          <cell r="B13" t="str">
            <v>L014.19</v>
          </cell>
          <cell r="C13" t="str">
            <v>Pump Chamber, precast, heavy duty, 5000 gal, delivered &amp; set, &lt; 100 mi</v>
          </cell>
          <cell r="D13" t="str">
            <v>EA.</v>
          </cell>
          <cell r="E13" t="str">
            <v>1,5,11,31</v>
          </cell>
          <cell r="F13" t="str">
            <v>24.6.10</v>
          </cell>
          <cell r="G13">
            <v>8200</v>
          </cell>
          <cell r="H13" t="str">
            <v>Statewide</v>
          </cell>
          <cell r="I13">
            <v>8200</v>
          </cell>
          <cell r="J13">
            <v>1</v>
          </cell>
          <cell r="K13" t="str">
            <v>Conc_Precast</v>
          </cell>
        </row>
        <row r="14">
          <cell r="B14" t="str">
            <v>L014.20</v>
          </cell>
          <cell r="C14" t="str">
            <v>Pump Chamber, precast, heavy duty, 12000 gal, delivered, &lt; 100 mi (needs crane)</v>
          </cell>
          <cell r="D14" t="str">
            <v>EA.</v>
          </cell>
          <cell r="E14" t="str">
            <v>1,5,11,31</v>
          </cell>
          <cell r="F14" t="str">
            <v>24.6.9</v>
          </cell>
          <cell r="G14">
            <v>13000</v>
          </cell>
          <cell r="H14" t="str">
            <v>Statewide</v>
          </cell>
          <cell r="I14">
            <v>13000</v>
          </cell>
          <cell r="J14">
            <v>1</v>
          </cell>
          <cell r="K14" t="str">
            <v>Conc_Precast</v>
          </cell>
        </row>
        <row r="15">
          <cell r="B15" t="str">
            <v>L014.21</v>
          </cell>
          <cell r="C15" t="str">
            <v>Grease Trap, precast, 1,000 gal, delivered &amp; set &lt; 100 miles</v>
          </cell>
          <cell r="D15" t="str">
            <v>EA.</v>
          </cell>
          <cell r="E15" t="str">
            <v>1,5,11,31</v>
          </cell>
          <cell r="F15" t="str">
            <v>24.6.0</v>
          </cell>
          <cell r="G15">
            <v>2300</v>
          </cell>
          <cell r="H15" t="str">
            <v>Statewide</v>
          </cell>
          <cell r="I15">
            <v>2300</v>
          </cell>
          <cell r="J15">
            <v>1</v>
          </cell>
          <cell r="K15" t="str">
            <v>Conc_Precast</v>
          </cell>
        </row>
        <row r="16">
          <cell r="B16" t="str">
            <v>L014.22</v>
          </cell>
          <cell r="C16" t="str">
            <v>Grease Trap, precast, 2,000 gal, delivered &amp; set &lt; 100 miles</v>
          </cell>
          <cell r="D16" t="str">
            <v>EA.</v>
          </cell>
          <cell r="E16" t="str">
            <v>1,5,11,31</v>
          </cell>
          <cell r="F16" t="str">
            <v>24.6.1</v>
          </cell>
          <cell r="G16">
            <v>3000</v>
          </cell>
          <cell r="H16" t="str">
            <v>Statewide</v>
          </cell>
          <cell r="I16">
            <v>3000</v>
          </cell>
          <cell r="J16">
            <v>1</v>
          </cell>
          <cell r="K16" t="str">
            <v>Conc_Precast</v>
          </cell>
        </row>
        <row r="17">
          <cell r="B17" t="str">
            <v>L014.23</v>
          </cell>
          <cell r="C17" t="str">
            <v>Septic Tank, precast, Heavy Duty, 1,000 gal, delivered &amp; set &lt; 100 miles</v>
          </cell>
          <cell r="D17" t="str">
            <v>EA.</v>
          </cell>
          <cell r="E17" t="str">
            <v>1,5,11,31</v>
          </cell>
          <cell r="F17" t="str">
            <v>24.6.2</v>
          </cell>
          <cell r="G17">
            <v>1800</v>
          </cell>
          <cell r="H17" t="str">
            <v>Statewide</v>
          </cell>
          <cell r="I17">
            <v>1800</v>
          </cell>
          <cell r="J17">
            <v>1</v>
          </cell>
          <cell r="K17" t="str">
            <v>Conc_Precast</v>
          </cell>
        </row>
        <row r="18">
          <cell r="B18" t="str">
            <v>L014.24</v>
          </cell>
          <cell r="C18" t="str">
            <v>Septic Tank, precast, heavy duty, 1,500 gal, delivered &amp; set &lt; 100 miles</v>
          </cell>
          <cell r="D18" t="str">
            <v>EA.</v>
          </cell>
          <cell r="E18" t="str">
            <v>1,5,11,31</v>
          </cell>
          <cell r="F18" t="str">
            <v>24.6.3</v>
          </cell>
          <cell r="G18">
            <v>2800</v>
          </cell>
          <cell r="H18" t="str">
            <v>Statewide</v>
          </cell>
          <cell r="I18">
            <v>2800</v>
          </cell>
          <cell r="J18">
            <v>1</v>
          </cell>
          <cell r="K18" t="str">
            <v>Conc_Precast</v>
          </cell>
        </row>
        <row r="19">
          <cell r="B19" t="str">
            <v>L014.25</v>
          </cell>
          <cell r="C19" t="str">
            <v>Septic Tank, precast, heavy duty, 3,000 gal,  delivered &amp; set &lt; 100 miles</v>
          </cell>
          <cell r="D19" t="str">
            <v>EA.</v>
          </cell>
          <cell r="E19" t="str">
            <v>1,5,11,31</v>
          </cell>
          <cell r="F19" t="str">
            <v>24.6.4</v>
          </cell>
          <cell r="G19">
            <v>3900</v>
          </cell>
          <cell r="H19" t="str">
            <v>Statewide</v>
          </cell>
          <cell r="I19">
            <v>3900</v>
          </cell>
          <cell r="J19">
            <v>1</v>
          </cell>
          <cell r="K19" t="str">
            <v>Conc_Precast</v>
          </cell>
        </row>
        <row r="20">
          <cell r="B20" t="str">
            <v>L014.26</v>
          </cell>
          <cell r="C20" t="str">
            <v>Septic Tank, precast, heavy duty, 7,000 gal,  delivered &amp; set &lt; 100 miles</v>
          </cell>
          <cell r="D20" t="str">
            <v>EA.</v>
          </cell>
          <cell r="E20" t="str">
            <v>1,5,11,31</v>
          </cell>
          <cell r="F20" t="str">
            <v>24.6.5</v>
          </cell>
          <cell r="G20">
            <v>8000</v>
          </cell>
          <cell r="H20" t="str">
            <v>Statewide</v>
          </cell>
          <cell r="I20">
            <v>8200</v>
          </cell>
          <cell r="J20">
            <v>1</v>
          </cell>
          <cell r="K20" t="str">
            <v>Conc_Precast</v>
          </cell>
        </row>
        <row r="21">
          <cell r="B21" t="str">
            <v>L014.27</v>
          </cell>
          <cell r="C21" t="str">
            <v>Well tile, Precast, 3' dia (ID), Base</v>
          </cell>
          <cell r="D21" t="str">
            <v>EA.</v>
          </cell>
          <cell r="E21">
            <v>31</v>
          </cell>
          <cell r="F21" t="str">
            <v>22.5.0</v>
          </cell>
          <cell r="G21">
            <v>50</v>
          </cell>
          <cell r="H21" t="str">
            <v>Statewide</v>
          </cell>
          <cell r="I21">
            <v>50</v>
          </cell>
          <cell r="J21">
            <v>1</v>
          </cell>
          <cell r="K21" t="str">
            <v>Conc_Precast</v>
          </cell>
        </row>
        <row r="22">
          <cell r="B22" t="str">
            <v>L014.28</v>
          </cell>
          <cell r="C22" t="str">
            <v>Well tile, Precast, 3' dia (ID), Cover</v>
          </cell>
          <cell r="D22" t="str">
            <v>EA.</v>
          </cell>
          <cell r="E22">
            <v>31</v>
          </cell>
          <cell r="F22" t="str">
            <v>22.5.1</v>
          </cell>
          <cell r="G22">
            <v>50</v>
          </cell>
          <cell r="H22" t="str">
            <v>Statewide</v>
          </cell>
          <cell r="I22">
            <v>50</v>
          </cell>
          <cell r="J22">
            <v>1</v>
          </cell>
          <cell r="K22" t="str">
            <v>Conc_Precast</v>
          </cell>
        </row>
        <row r="23">
          <cell r="B23" t="str">
            <v>L014.29</v>
          </cell>
          <cell r="C23" t="str">
            <v>Well tile, Precast, 3' dia (ID), Section</v>
          </cell>
          <cell r="D23" t="str">
            <v>L.F.</v>
          </cell>
          <cell r="E23">
            <v>31</v>
          </cell>
          <cell r="F23" t="str">
            <v>22.5.2</v>
          </cell>
          <cell r="G23">
            <v>90</v>
          </cell>
          <cell r="H23" t="str">
            <v>Statewide</v>
          </cell>
          <cell r="I23">
            <v>90</v>
          </cell>
          <cell r="J23">
            <v>1</v>
          </cell>
          <cell r="K23" t="str">
            <v>Conc_Precast</v>
          </cell>
        </row>
        <row r="24">
          <cell r="B24" t="str">
            <v>L014.395</v>
          </cell>
          <cell r="C24" t="str">
            <v>Block, Concrete, 3'x3'x2'</v>
          </cell>
          <cell r="D24" t="str">
            <v>EA.</v>
          </cell>
          <cell r="E24">
            <v>31</v>
          </cell>
          <cell r="F24" t="str">
            <v>2.14.0</v>
          </cell>
          <cell r="G24">
            <v>50</v>
          </cell>
          <cell r="H24" t="str">
            <v>Statewide</v>
          </cell>
          <cell r="I24">
            <v>50</v>
          </cell>
          <cell r="J24">
            <v>1</v>
          </cell>
          <cell r="K24" t="str">
            <v>Conc_Precast</v>
          </cell>
        </row>
        <row r="25">
          <cell r="B25" t="str">
            <v>L014.396</v>
          </cell>
          <cell r="C25" t="str">
            <v>Block, Concrete, 3'x3'x4'</v>
          </cell>
          <cell r="D25" t="str">
            <v>EA.</v>
          </cell>
          <cell r="E25">
            <v>31</v>
          </cell>
          <cell r="F25" t="str">
            <v>2.14.1</v>
          </cell>
          <cell r="G25">
            <v>60</v>
          </cell>
          <cell r="H25" t="str">
            <v>Statewide</v>
          </cell>
          <cell r="I25">
            <v>60</v>
          </cell>
          <cell r="J25">
            <v>1</v>
          </cell>
          <cell r="K25" t="str">
            <v>Conc_Precast</v>
          </cell>
        </row>
        <row r="26">
          <cell r="B26" t="str">
            <v>L014.397</v>
          </cell>
          <cell r="C26" t="str">
            <v>Septic Tank, Precast, Heavy Duty, 5,000 gal,  delivered &amp; set &lt; 100 miles</v>
          </cell>
          <cell r="D26" t="str">
            <v>EA.</v>
          </cell>
          <cell r="E26" t="str">
            <v>1,5,11,31</v>
          </cell>
          <cell r="F26" t="str">
            <v>24.6.5</v>
          </cell>
          <cell r="G26">
            <v>7000</v>
          </cell>
          <cell r="H26" t="str">
            <v>Statewide</v>
          </cell>
          <cell r="I26">
            <v>8600</v>
          </cell>
          <cell r="J26">
            <v>1</v>
          </cell>
          <cell r="K26" t="str">
            <v>Conc_Precast</v>
          </cell>
        </row>
        <row r="27">
          <cell r="B27" t="str">
            <v>L014.398</v>
          </cell>
          <cell r="C27" t="str">
            <v>Septic Tank, Precast, Heavy Duty, 10,000 gal,  delivered only &lt; 100 miles</v>
          </cell>
          <cell r="D27" t="str">
            <v>EA.</v>
          </cell>
          <cell r="E27" t="str">
            <v>1,5,11,31</v>
          </cell>
          <cell r="F27" t="str">
            <v>24.6.5</v>
          </cell>
          <cell r="G27">
            <v>10000</v>
          </cell>
          <cell r="H27" t="str">
            <v>Statewide</v>
          </cell>
          <cell r="I27">
            <v>8600</v>
          </cell>
          <cell r="J27">
            <v>1</v>
          </cell>
          <cell r="K27" t="str">
            <v>Conc_Precast</v>
          </cell>
        </row>
        <row r="28">
          <cell r="B28" t="str">
            <v>L014.30</v>
          </cell>
          <cell r="C28" t="str">
            <v>Irrigation Mainline, Cranberry, meets minimum criteria for washoff time</v>
          </cell>
          <cell r="D28" t="str">
            <v>AC</v>
          </cell>
          <cell r="G28">
            <v>1300</v>
          </cell>
          <cell r="H28" t="str">
            <v>Statewide</v>
          </cell>
          <cell r="I28">
            <v>1300</v>
          </cell>
          <cell r="J28">
            <v>1</v>
          </cell>
          <cell r="K28" t="str">
            <v>Cranberry_Irrig</v>
          </cell>
        </row>
        <row r="29">
          <cell r="B29" t="str">
            <v>L014.31</v>
          </cell>
          <cell r="C29" t="str">
            <v>Irrigation Mainline, Cranberry, meets higher criteria for washoff time</v>
          </cell>
          <cell r="D29" t="str">
            <v>AC</v>
          </cell>
          <cell r="G29">
            <v>1300</v>
          </cell>
          <cell r="H29" t="str">
            <v>Statewide</v>
          </cell>
          <cell r="I29">
            <v>1300</v>
          </cell>
          <cell r="J29">
            <v>1</v>
          </cell>
          <cell r="K29" t="str">
            <v>Cranberry_Irrig</v>
          </cell>
        </row>
        <row r="30">
          <cell r="B30" t="str">
            <v>L014.32</v>
          </cell>
          <cell r="C30" t="str">
            <v>Irrigation System, Cranberry, Swap heads, meets min. criteria</v>
          </cell>
          <cell r="D30" t="str">
            <v>EA.</v>
          </cell>
          <cell r="G30">
            <v>40</v>
          </cell>
          <cell r="H30" t="str">
            <v>Statewide</v>
          </cell>
          <cell r="I30">
            <v>40</v>
          </cell>
          <cell r="J30">
            <v>1</v>
          </cell>
          <cell r="K30" t="str">
            <v>Cranberry_Irrig</v>
          </cell>
        </row>
        <row r="31">
          <cell r="B31" t="str">
            <v>L014.33</v>
          </cell>
          <cell r="C31" t="str">
            <v>Irrigation System, Cranberry, Retrofit, meets min. criteria</v>
          </cell>
          <cell r="D31" t="str">
            <v>AC</v>
          </cell>
          <cell r="G31">
            <v>1300</v>
          </cell>
          <cell r="H31" t="str">
            <v>Statewide</v>
          </cell>
          <cell r="I31">
            <v>1300</v>
          </cell>
          <cell r="J31">
            <v>1</v>
          </cell>
          <cell r="K31" t="str">
            <v>Cranberry_Irrig</v>
          </cell>
        </row>
        <row r="32">
          <cell r="B32" t="str">
            <v>L014.34</v>
          </cell>
          <cell r="C32" t="str">
            <v>Irrigation System, Cranberry, Retrofit, meets higher criteria</v>
          </cell>
          <cell r="D32" t="str">
            <v>AC</v>
          </cell>
          <cell r="G32">
            <v>1300</v>
          </cell>
          <cell r="H32" t="str">
            <v>Statewide</v>
          </cell>
          <cell r="I32">
            <v>1300</v>
          </cell>
          <cell r="J32">
            <v>1</v>
          </cell>
          <cell r="K32" t="str">
            <v>Cranberry_Irrig</v>
          </cell>
        </row>
        <row r="33">
          <cell r="B33" t="str">
            <v>L014.35</v>
          </cell>
          <cell r="C33" t="str">
            <v>Irrigation System, Cranberry, Replacement (without heads), meets min. criteria</v>
          </cell>
          <cell r="D33" t="str">
            <v>AC</v>
          </cell>
          <cell r="G33">
            <v>1800</v>
          </cell>
          <cell r="H33" t="str">
            <v>Statewide</v>
          </cell>
          <cell r="I33">
            <v>1800</v>
          </cell>
          <cell r="J33">
            <v>1</v>
          </cell>
          <cell r="K33" t="str">
            <v>Cranberry_Irrig</v>
          </cell>
        </row>
        <row r="34">
          <cell r="B34" t="str">
            <v>L014.36</v>
          </cell>
          <cell r="C34" t="str">
            <v>Irrigation System, Cranberry, Heads for Replacement System, meets min. criteria</v>
          </cell>
          <cell r="D34" t="str">
            <v>EA.</v>
          </cell>
          <cell r="G34">
            <v>40</v>
          </cell>
          <cell r="H34" t="str">
            <v>Statewide</v>
          </cell>
          <cell r="I34">
            <v>40</v>
          </cell>
          <cell r="J34">
            <v>1</v>
          </cell>
          <cell r="K34" t="str">
            <v>Cranberry_Irrig</v>
          </cell>
        </row>
        <row r="35">
          <cell r="B35" t="str">
            <v>L014.37</v>
          </cell>
          <cell r="C35" t="str">
            <v>Irrigation System, Cranberry, Replacement (without heads), meets higher criteria</v>
          </cell>
          <cell r="D35" t="str">
            <v>AC</v>
          </cell>
          <cell r="G35">
            <v>1800</v>
          </cell>
          <cell r="H35" t="str">
            <v>Statewide</v>
          </cell>
          <cell r="I35">
            <v>1800</v>
          </cell>
          <cell r="J35">
            <v>1</v>
          </cell>
          <cell r="K35" t="str">
            <v>Cranberry_Irrig</v>
          </cell>
        </row>
        <row r="36">
          <cell r="B36" t="str">
            <v>L014.38</v>
          </cell>
          <cell r="C36" t="str">
            <v>Irrigation System, Cranberry, Heads for Replacement System, meets higher criteria</v>
          </cell>
          <cell r="D36" t="str">
            <v>EA.</v>
          </cell>
          <cell r="G36">
            <v>40</v>
          </cell>
          <cell r="H36" t="str">
            <v>Statewide</v>
          </cell>
          <cell r="I36">
            <v>40</v>
          </cell>
          <cell r="J36">
            <v>1</v>
          </cell>
          <cell r="K36" t="str">
            <v>Cranberry_Irrig</v>
          </cell>
        </row>
        <row r="37">
          <cell r="B37" t="str">
            <v>L014.39</v>
          </cell>
          <cell r="C37" t="str">
            <v>Irrigation Pumping Plant, complete</v>
          </cell>
          <cell r="D37" t="str">
            <v>HP</v>
          </cell>
          <cell r="G37">
            <v>140</v>
          </cell>
          <cell r="H37" t="str">
            <v>Statewide</v>
          </cell>
          <cell r="I37">
            <v>140</v>
          </cell>
          <cell r="J37">
            <v>1</v>
          </cell>
          <cell r="K37" t="str">
            <v>Cranberry_Irrig</v>
          </cell>
        </row>
        <row r="38">
          <cell r="B38" t="str">
            <v>L014.40</v>
          </cell>
          <cell r="C38" t="str">
            <v>Tailwater Recovery Lift Pump, permanent</v>
          </cell>
          <cell r="D38" t="str">
            <v>EA.</v>
          </cell>
          <cell r="G38">
            <v>13000</v>
          </cell>
          <cell r="H38" t="str">
            <v>Statewide</v>
          </cell>
          <cell r="I38">
            <v>13000</v>
          </cell>
          <cell r="J38">
            <v>1</v>
          </cell>
          <cell r="K38" t="str">
            <v>Cranberry_Irrig</v>
          </cell>
        </row>
        <row r="39">
          <cell r="B39" t="str">
            <v>L014.425</v>
          </cell>
          <cell r="C39" t="str">
            <v>Irrigation Main, retrofit for washoff (meets min. criteria), 4" main</v>
          </cell>
          <cell r="D39" t="str">
            <v>L.F.</v>
          </cell>
          <cell r="G39">
            <v>9.1999999999999993</v>
          </cell>
          <cell r="H39" t="str">
            <v>Statewide</v>
          </cell>
          <cell r="I39">
            <v>9.1999999999999993</v>
          </cell>
          <cell r="J39">
            <v>1</v>
          </cell>
          <cell r="K39" t="str">
            <v>Cranberry_Irrig</v>
          </cell>
        </row>
        <row r="40">
          <cell r="B40" t="str">
            <v>L014.426</v>
          </cell>
          <cell r="C40" t="str">
            <v>Irrigation Main, retrofit for washoff (meets min. criteria), 6" main</v>
          </cell>
          <cell r="D40" t="str">
            <v>L.F.</v>
          </cell>
          <cell r="G40">
            <v>11.6</v>
          </cell>
          <cell r="H40" t="str">
            <v>Statewide</v>
          </cell>
          <cell r="I40">
            <v>11.6</v>
          </cell>
          <cell r="J40">
            <v>1</v>
          </cell>
          <cell r="K40" t="str">
            <v>Cranberry_Irrig</v>
          </cell>
        </row>
        <row r="41">
          <cell r="B41" t="str">
            <v>L014.427</v>
          </cell>
          <cell r="C41" t="str">
            <v>Irrigation Main, retrofit for washoff (meets min. criteria), 8" main</v>
          </cell>
          <cell r="D41" t="str">
            <v>L.F.</v>
          </cell>
          <cell r="G41">
            <v>15</v>
          </cell>
          <cell r="H41" t="str">
            <v>Statewide</v>
          </cell>
          <cell r="I41">
            <v>15</v>
          </cell>
          <cell r="J41">
            <v>1</v>
          </cell>
          <cell r="K41" t="str">
            <v>Cranberry_Irrig</v>
          </cell>
        </row>
        <row r="42">
          <cell r="B42" t="str">
            <v>L014.428</v>
          </cell>
          <cell r="C42" t="str">
            <v>Irrigation Main, retrofit for washoff (meets higher criteria), 4" main</v>
          </cell>
          <cell r="D42" t="str">
            <v>L.F.</v>
          </cell>
          <cell r="G42">
            <v>9.1999999999999993</v>
          </cell>
          <cell r="H42" t="str">
            <v>Statewide</v>
          </cell>
          <cell r="I42">
            <v>9.1999999999999993</v>
          </cell>
          <cell r="J42">
            <v>1</v>
          </cell>
          <cell r="K42" t="str">
            <v>Cranberry_Irrig</v>
          </cell>
        </row>
        <row r="43">
          <cell r="B43" t="str">
            <v>L014.429</v>
          </cell>
          <cell r="C43" t="str">
            <v>Irrigation Main, retrofit for washoff (meets higher criteria), 6" main</v>
          </cell>
          <cell r="D43" t="str">
            <v>L.F.</v>
          </cell>
          <cell r="G43">
            <v>11</v>
          </cell>
          <cell r="H43" t="str">
            <v>Statewide</v>
          </cell>
          <cell r="I43">
            <v>11</v>
          </cell>
          <cell r="J43">
            <v>1</v>
          </cell>
          <cell r="K43" t="str">
            <v>Cranberry_Irrig</v>
          </cell>
        </row>
        <row r="44">
          <cell r="B44" t="str">
            <v>L014.430</v>
          </cell>
          <cell r="C44" t="str">
            <v>Irrigation Main, retrofit for washoff (meets higher criteria), 8" main</v>
          </cell>
          <cell r="D44" t="str">
            <v>L.F.</v>
          </cell>
          <cell r="G44">
            <v>15</v>
          </cell>
          <cell r="H44" t="str">
            <v>Statewide</v>
          </cell>
          <cell r="I44">
            <v>15</v>
          </cell>
          <cell r="J44">
            <v>1</v>
          </cell>
          <cell r="K44" t="str">
            <v>Cranberry_Irrig</v>
          </cell>
        </row>
        <row r="45">
          <cell r="B45" t="str">
            <v>L014.41</v>
          </cell>
          <cell r="C45" t="str">
            <v>Pipe, Alum CMP, 12" annular, 16ga., installed</v>
          </cell>
          <cell r="D45" t="str">
            <v>L.F.</v>
          </cell>
          <cell r="E45">
            <v>41</v>
          </cell>
          <cell r="F45" t="str">
            <v>14.1.8</v>
          </cell>
          <cell r="G45">
            <v>25</v>
          </cell>
          <cell r="H45" t="str">
            <v>Statewide</v>
          </cell>
          <cell r="I45">
            <v>25</v>
          </cell>
          <cell r="J45">
            <v>1</v>
          </cell>
          <cell r="K45" t="str">
            <v>Cranberry_WCS</v>
          </cell>
        </row>
        <row r="46">
          <cell r="B46" t="str">
            <v>L014.42</v>
          </cell>
          <cell r="C46" t="str">
            <v>Pipe, Alum CMP, 15" annular, 16ga., installed</v>
          </cell>
          <cell r="D46" t="str">
            <v>L.F.</v>
          </cell>
          <cell r="E46">
            <v>41</v>
          </cell>
          <cell r="F46" t="str">
            <v>14.1.10</v>
          </cell>
          <cell r="G46">
            <v>30</v>
          </cell>
          <cell r="H46" t="str">
            <v>Statewide</v>
          </cell>
          <cell r="I46">
            <v>30</v>
          </cell>
          <cell r="J46">
            <v>1</v>
          </cell>
          <cell r="K46" t="str">
            <v>Cranberry_WCS</v>
          </cell>
        </row>
        <row r="47">
          <cell r="B47" t="str">
            <v>L014.43</v>
          </cell>
          <cell r="C47" t="str">
            <v>Pipe, Alum CMP, 18" annular, 16ga., installed</v>
          </cell>
          <cell r="D47" t="str">
            <v>L.F.</v>
          </cell>
          <cell r="E47">
            <v>41</v>
          </cell>
          <cell r="F47" t="str">
            <v>14.1.12</v>
          </cell>
          <cell r="G47">
            <v>38</v>
          </cell>
          <cell r="H47" t="str">
            <v>Statewide</v>
          </cell>
          <cell r="I47">
            <v>38</v>
          </cell>
          <cell r="J47">
            <v>1</v>
          </cell>
          <cell r="K47" t="str">
            <v>Cranberry_WCS</v>
          </cell>
        </row>
        <row r="48">
          <cell r="B48" t="str">
            <v>L014.44</v>
          </cell>
          <cell r="C48" t="str">
            <v>Pipe, Alum CMP, 24" annular, 16ga., installed</v>
          </cell>
          <cell r="D48" t="str">
            <v>L.F.</v>
          </cell>
          <cell r="E48">
            <v>41</v>
          </cell>
          <cell r="F48" t="str">
            <v>14.1.16</v>
          </cell>
          <cell r="G48">
            <v>47.5</v>
          </cell>
          <cell r="H48" t="str">
            <v>Statewide</v>
          </cell>
          <cell r="I48">
            <v>47.5</v>
          </cell>
          <cell r="J48">
            <v>1</v>
          </cell>
          <cell r="K48" t="str">
            <v>Cranberry_WCS</v>
          </cell>
        </row>
        <row r="49">
          <cell r="B49" t="str">
            <v>L014.45</v>
          </cell>
          <cell r="C49" t="str">
            <v>Pipe, Alum CMP, 30" annular, 14ga., installed</v>
          </cell>
          <cell r="D49" t="str">
            <v>L.F.</v>
          </cell>
          <cell r="E49">
            <v>41</v>
          </cell>
          <cell r="F49" t="str">
            <v>14.1.18</v>
          </cell>
          <cell r="G49">
            <v>60</v>
          </cell>
          <cell r="H49" t="str">
            <v>Statewide</v>
          </cell>
          <cell r="I49">
            <v>60</v>
          </cell>
          <cell r="J49">
            <v>1</v>
          </cell>
          <cell r="K49" t="str">
            <v>Cranberry_WCS</v>
          </cell>
        </row>
        <row r="50">
          <cell r="B50" t="str">
            <v>L014.46</v>
          </cell>
          <cell r="C50" t="str">
            <v>Pipe, Alum CMP, 36" annular, 14ga., installed</v>
          </cell>
          <cell r="D50" t="str">
            <v>L.F.</v>
          </cell>
          <cell r="E50">
            <v>41</v>
          </cell>
          <cell r="F50" t="str">
            <v>14.1.20</v>
          </cell>
          <cell r="G50">
            <v>80</v>
          </cell>
          <cell r="H50" t="str">
            <v>Statewide</v>
          </cell>
          <cell r="I50">
            <v>80</v>
          </cell>
          <cell r="J50">
            <v>1</v>
          </cell>
          <cell r="K50" t="str">
            <v>Cranberry_WCS</v>
          </cell>
        </row>
        <row r="51">
          <cell r="B51" t="str">
            <v>L014.47</v>
          </cell>
          <cell r="C51" t="str">
            <v>Pipe, Alum CMP, 42" annular, 12ga., installed</v>
          </cell>
          <cell r="D51" t="str">
            <v>L.F.</v>
          </cell>
          <cell r="E51">
            <v>41</v>
          </cell>
          <cell r="F51" t="str">
            <v>14.1.22</v>
          </cell>
          <cell r="G51">
            <v>117</v>
          </cell>
          <cell r="H51" t="str">
            <v>Statewide</v>
          </cell>
          <cell r="I51">
            <v>117</v>
          </cell>
          <cell r="J51">
            <v>1</v>
          </cell>
          <cell r="K51" t="str">
            <v>Cranberry_WCS</v>
          </cell>
        </row>
        <row r="52">
          <cell r="B52" t="str">
            <v>L014.48</v>
          </cell>
          <cell r="C52" t="str">
            <v>Pipe, Alum CMP, 48" annular, 12ga., installed</v>
          </cell>
          <cell r="D52" t="str">
            <v>L.F.</v>
          </cell>
          <cell r="E52">
            <v>41</v>
          </cell>
          <cell r="F52" t="str">
            <v>14.1.24</v>
          </cell>
          <cell r="G52">
            <v>162</v>
          </cell>
          <cell r="H52" t="str">
            <v>Statewide</v>
          </cell>
          <cell r="I52">
            <v>162</v>
          </cell>
          <cell r="J52">
            <v>1</v>
          </cell>
          <cell r="K52" t="str">
            <v>Cranberry_WCS</v>
          </cell>
        </row>
        <row r="53">
          <cell r="B53" t="str">
            <v>L014.49</v>
          </cell>
          <cell r="C53" t="str">
            <v>Pipe, Alum CMP, 60" annular, 12ga., installed</v>
          </cell>
          <cell r="D53" t="str">
            <v>L.F.</v>
          </cell>
          <cell r="E53">
            <v>41</v>
          </cell>
          <cell r="F53" t="str">
            <v>14.1.24</v>
          </cell>
          <cell r="G53">
            <v>230</v>
          </cell>
          <cell r="H53" t="str">
            <v>Statewide</v>
          </cell>
          <cell r="I53">
            <v>230</v>
          </cell>
          <cell r="J53">
            <v>1</v>
          </cell>
          <cell r="K53" t="str">
            <v>Cranberry_WCS</v>
          </cell>
        </row>
        <row r="54">
          <cell r="B54" t="str">
            <v>L014.50</v>
          </cell>
          <cell r="C54" t="str">
            <v>Pipe, HDPE 12" WATER TIGHT - installed</v>
          </cell>
          <cell r="D54" t="str">
            <v>L.F.</v>
          </cell>
          <cell r="E54" t="str">
            <v>1,5,11,41</v>
          </cell>
          <cell r="F54" t="str">
            <v>24.1.23</v>
          </cell>
          <cell r="G54">
            <v>19</v>
          </cell>
          <cell r="H54" t="str">
            <v>Statewide</v>
          </cell>
          <cell r="I54">
            <v>19</v>
          </cell>
          <cell r="J54">
            <v>1</v>
          </cell>
          <cell r="K54" t="str">
            <v>Cranberry_WCS</v>
          </cell>
        </row>
        <row r="55">
          <cell r="B55" t="str">
            <v>L014.51</v>
          </cell>
          <cell r="C55" t="str">
            <v>Pipe, HDPE 15" WATER TIGHT - installed</v>
          </cell>
          <cell r="D55" t="str">
            <v>L.F.</v>
          </cell>
          <cell r="E55" t="str">
            <v>1,5,11,41</v>
          </cell>
          <cell r="F55" t="str">
            <v>24.1.23</v>
          </cell>
          <cell r="G55">
            <v>22</v>
          </cell>
          <cell r="H55" t="str">
            <v>Statewide</v>
          </cell>
          <cell r="I55">
            <v>22</v>
          </cell>
          <cell r="J55">
            <v>1</v>
          </cell>
          <cell r="K55" t="str">
            <v>Cranberry_WCS</v>
          </cell>
        </row>
        <row r="56">
          <cell r="B56" t="str">
            <v>L014.52</v>
          </cell>
          <cell r="C56" t="str">
            <v>Pipe, HDPE 18" WATER TIGHT - installed</v>
          </cell>
          <cell r="D56" t="str">
            <v>L.F.</v>
          </cell>
          <cell r="E56" t="str">
            <v>1,5,11,41</v>
          </cell>
          <cell r="F56" t="str">
            <v>24.1.23</v>
          </cell>
          <cell r="G56">
            <v>30</v>
          </cell>
          <cell r="H56" t="str">
            <v>Statewide</v>
          </cell>
          <cell r="I56">
            <v>30</v>
          </cell>
          <cell r="J56">
            <v>1</v>
          </cell>
          <cell r="K56" t="str">
            <v>Cranberry_WCS</v>
          </cell>
        </row>
        <row r="57">
          <cell r="B57" t="str">
            <v>L014.53</v>
          </cell>
          <cell r="C57" t="str">
            <v>Pipe, HDPE 21" WATER TIGHT - installed</v>
          </cell>
          <cell r="D57" t="str">
            <v>L.F.</v>
          </cell>
          <cell r="E57" t="str">
            <v>1,5,11,41</v>
          </cell>
          <cell r="F57" t="str">
            <v>24.1.23</v>
          </cell>
          <cell r="G57">
            <v>35</v>
          </cell>
          <cell r="H57" t="str">
            <v>Statewide</v>
          </cell>
          <cell r="I57">
            <v>35</v>
          </cell>
          <cell r="J57">
            <v>1</v>
          </cell>
          <cell r="K57" t="str">
            <v>Cranberry_WCS</v>
          </cell>
        </row>
        <row r="58">
          <cell r="B58" t="str">
            <v>L014.54</v>
          </cell>
          <cell r="C58" t="str">
            <v>Pipe, HDPE 24" WATER TIGHT - installed</v>
          </cell>
          <cell r="D58" t="str">
            <v>L.F.</v>
          </cell>
          <cell r="E58" t="str">
            <v>1,5,11,41</v>
          </cell>
          <cell r="F58" t="str">
            <v>24.1.24</v>
          </cell>
          <cell r="G58">
            <v>41</v>
          </cell>
          <cell r="H58" t="str">
            <v>Statewide</v>
          </cell>
          <cell r="I58">
            <v>41</v>
          </cell>
          <cell r="J58">
            <v>1</v>
          </cell>
          <cell r="K58" t="str">
            <v>Cranberry_WCS</v>
          </cell>
        </row>
        <row r="59">
          <cell r="B59" t="str">
            <v>L014.55</v>
          </cell>
          <cell r="C59" t="str">
            <v>Pipe, HDPE 30" WATER TIGHT - installed</v>
          </cell>
          <cell r="D59" t="str">
            <v>L.F.</v>
          </cell>
          <cell r="E59" t="str">
            <v>1,5,11,41</v>
          </cell>
          <cell r="F59" t="str">
            <v>24.1.25</v>
          </cell>
          <cell r="G59">
            <v>59</v>
          </cell>
          <cell r="H59" t="str">
            <v>Statewide</v>
          </cell>
          <cell r="I59">
            <v>59</v>
          </cell>
          <cell r="J59">
            <v>1</v>
          </cell>
          <cell r="K59" t="str">
            <v>Cranberry_WCS</v>
          </cell>
        </row>
        <row r="60">
          <cell r="B60" t="str">
            <v>L014.56</v>
          </cell>
          <cell r="C60" t="str">
            <v>Pipe, HDPE 36", WATER TIGHT, installed</v>
          </cell>
          <cell r="D60" t="str">
            <v>L.F.</v>
          </cell>
          <cell r="E60">
            <v>41</v>
          </cell>
          <cell r="F60" t="str">
            <v>24.1.26</v>
          </cell>
          <cell r="G60">
            <v>73</v>
          </cell>
          <cell r="H60" t="str">
            <v>Statewide</v>
          </cell>
          <cell r="I60">
            <v>73</v>
          </cell>
          <cell r="J60">
            <v>1</v>
          </cell>
          <cell r="K60" t="str">
            <v>Cranberry_WCS</v>
          </cell>
        </row>
        <row r="61">
          <cell r="B61" t="str">
            <v>L014.57</v>
          </cell>
          <cell r="C61" t="str">
            <v>Pipe, HDPE 42", WATER TIGHT, installed</v>
          </cell>
          <cell r="D61" t="str">
            <v>L.F.</v>
          </cell>
          <cell r="E61">
            <v>41</v>
          </cell>
          <cell r="F61" t="str">
            <v>24.1.27</v>
          </cell>
          <cell r="G61">
            <v>95</v>
          </cell>
          <cell r="H61" t="str">
            <v>Statewide</v>
          </cell>
          <cell r="I61">
            <v>95</v>
          </cell>
          <cell r="J61">
            <v>1</v>
          </cell>
          <cell r="K61" t="str">
            <v>Cranberry_WCS</v>
          </cell>
        </row>
        <row r="62">
          <cell r="B62" t="str">
            <v>L014.58</v>
          </cell>
          <cell r="C62" t="str">
            <v>Pipe, HDPE 48", WATER TIGHT, installed</v>
          </cell>
          <cell r="D62" t="str">
            <v>L.F.</v>
          </cell>
          <cell r="E62">
            <v>41</v>
          </cell>
          <cell r="F62" t="str">
            <v>24.1.28</v>
          </cell>
          <cell r="G62">
            <v>116</v>
          </cell>
          <cell r="H62" t="str">
            <v>Statewide</v>
          </cell>
          <cell r="I62">
            <v>116</v>
          </cell>
          <cell r="J62">
            <v>1</v>
          </cell>
          <cell r="K62" t="str">
            <v>Cranberry_WCS</v>
          </cell>
        </row>
        <row r="63">
          <cell r="B63" t="str">
            <v>L014.59</v>
          </cell>
          <cell r="C63" t="str">
            <v>WCS, Cranberry, 24" riser, &lt; 5', 20' of 12" barrel w/ base plate &amp; wings, installed</v>
          </cell>
          <cell r="D63" t="str">
            <v>EA.</v>
          </cell>
          <cell r="G63">
            <v>1950</v>
          </cell>
          <cell r="H63" t="str">
            <v>Statewide</v>
          </cell>
          <cell r="I63">
            <v>1950</v>
          </cell>
          <cell r="J63">
            <v>1</v>
          </cell>
          <cell r="K63" t="str">
            <v>Cranberry_WCS</v>
          </cell>
        </row>
        <row r="64">
          <cell r="B64" t="str">
            <v>L014.60</v>
          </cell>
          <cell r="C64" t="str">
            <v>WCS, Cranberry, 24" riser, &gt; 5', 12" barrel, per extra ft of riser</v>
          </cell>
          <cell r="D64" t="str">
            <v>L.F.</v>
          </cell>
          <cell r="G64">
            <v>110</v>
          </cell>
          <cell r="H64" t="str">
            <v>Statewide</v>
          </cell>
          <cell r="I64">
            <v>110</v>
          </cell>
          <cell r="J64">
            <v>1</v>
          </cell>
          <cell r="K64" t="str">
            <v>Cranberry_WCS</v>
          </cell>
        </row>
        <row r="65">
          <cell r="B65" t="str">
            <v>L014.61</v>
          </cell>
          <cell r="C65" t="str">
            <v>WCS, Cranberry, 24" riser, &lt; 5', 20' of 15" barrel w/ base plate &amp; wings, installed</v>
          </cell>
          <cell r="D65" t="str">
            <v>EA.</v>
          </cell>
          <cell r="G65">
            <v>2100</v>
          </cell>
          <cell r="H65" t="str">
            <v>Statewide</v>
          </cell>
          <cell r="I65">
            <v>2100</v>
          </cell>
          <cell r="J65">
            <v>1</v>
          </cell>
          <cell r="K65" t="str">
            <v>Cranberry_WCS</v>
          </cell>
        </row>
        <row r="66">
          <cell r="B66" t="str">
            <v>L014.62</v>
          </cell>
          <cell r="C66" t="str">
            <v>WCS, Cranberry, 24" riser, &gt; 5', 15" barrel, per extra ft of riser</v>
          </cell>
          <cell r="D66" t="str">
            <v>L.F.</v>
          </cell>
          <cell r="G66">
            <v>110</v>
          </cell>
          <cell r="H66" t="str">
            <v>Statewide</v>
          </cell>
          <cell r="I66">
            <v>110</v>
          </cell>
          <cell r="J66">
            <v>1</v>
          </cell>
          <cell r="K66" t="str">
            <v>Cranberry_WCS</v>
          </cell>
        </row>
        <row r="67">
          <cell r="B67" t="str">
            <v>L014.63</v>
          </cell>
          <cell r="C67" t="str">
            <v>WCS, Cranberry, 30" riser, &lt; 5', 20' of 18" barrel w/ base plate &amp; wings, installed</v>
          </cell>
          <cell r="D67" t="str">
            <v>EA.</v>
          </cell>
          <cell r="G67">
            <v>2300</v>
          </cell>
          <cell r="H67" t="str">
            <v>Statewide</v>
          </cell>
          <cell r="I67">
            <v>2300</v>
          </cell>
          <cell r="J67">
            <v>1</v>
          </cell>
          <cell r="K67" t="str">
            <v>Cranberry_WCS</v>
          </cell>
        </row>
        <row r="68">
          <cell r="B68" t="str">
            <v>L014.64</v>
          </cell>
          <cell r="C68" t="str">
            <v>WCS, Cranberry, 30" riser, &gt; 5', 18" barrel, per extra ft of riser</v>
          </cell>
          <cell r="D68" t="str">
            <v>L.F.</v>
          </cell>
          <cell r="G68">
            <v>120</v>
          </cell>
          <cell r="H68" t="str">
            <v>Statewide</v>
          </cell>
          <cell r="I68">
            <v>120</v>
          </cell>
          <cell r="J68">
            <v>1</v>
          </cell>
          <cell r="K68" t="str">
            <v>Cranberry_WCS</v>
          </cell>
        </row>
        <row r="69">
          <cell r="B69" t="str">
            <v>L014.65</v>
          </cell>
          <cell r="C69" t="str">
            <v>WCS, Cranberry, 36" riser, &lt; 5', 20' of 24" barrel w/ base plate &amp; wings, installed</v>
          </cell>
          <cell r="D69" t="str">
            <v>EA.</v>
          </cell>
          <cell r="G69">
            <v>2650</v>
          </cell>
          <cell r="H69" t="str">
            <v>Statewide</v>
          </cell>
          <cell r="I69">
            <v>2650</v>
          </cell>
          <cell r="J69">
            <v>1</v>
          </cell>
          <cell r="K69" t="str">
            <v>Cranberry_WCS</v>
          </cell>
        </row>
        <row r="70">
          <cell r="B70" t="str">
            <v>L014.66</v>
          </cell>
          <cell r="C70" t="str">
            <v>WCS, Cranberry, 36" riser, &gt; 5', 24" barrel, per extra ft of riser</v>
          </cell>
          <cell r="D70" t="str">
            <v>L.F.</v>
          </cell>
          <cell r="G70">
            <v>130</v>
          </cell>
          <cell r="H70" t="str">
            <v>Statewide</v>
          </cell>
          <cell r="I70">
            <v>130</v>
          </cell>
          <cell r="J70">
            <v>1</v>
          </cell>
          <cell r="K70" t="str">
            <v>Cranberry_WCS</v>
          </cell>
        </row>
        <row r="71">
          <cell r="B71" t="str">
            <v>L014.67</v>
          </cell>
          <cell r="C71" t="str">
            <v>WCS, Cranberry, 42" riser, 5', 20' of 30" barrel w/ base plate &amp; wings, installed</v>
          </cell>
          <cell r="D71" t="str">
            <v>EA.</v>
          </cell>
          <cell r="G71">
            <v>3000</v>
          </cell>
          <cell r="H71" t="str">
            <v>Statewide</v>
          </cell>
          <cell r="I71">
            <v>3000</v>
          </cell>
          <cell r="J71">
            <v>1</v>
          </cell>
          <cell r="K71" t="str">
            <v>Cranberry_WCS</v>
          </cell>
        </row>
        <row r="72">
          <cell r="B72" t="str">
            <v>L014.68</v>
          </cell>
          <cell r="C72" t="str">
            <v>WCS, Cranberry, 42" riser, &gt; 5', 30" barrel, per extra ft of riser</v>
          </cell>
          <cell r="D72" t="str">
            <v>L.F.</v>
          </cell>
          <cell r="G72">
            <v>130</v>
          </cell>
          <cell r="H72" t="str">
            <v>Statewide</v>
          </cell>
          <cell r="I72">
            <v>130</v>
          </cell>
          <cell r="J72">
            <v>1</v>
          </cell>
          <cell r="K72" t="str">
            <v>Cranberry_WCS</v>
          </cell>
        </row>
        <row r="73">
          <cell r="B73" t="str">
            <v>L014.69</v>
          </cell>
          <cell r="C73" t="str">
            <v>WCS, Cranberry, 48" riser, 5', 20' of 36" barrel w/ base plate &amp; wings, installed</v>
          </cell>
          <cell r="D73" t="str">
            <v>EA.</v>
          </cell>
          <cell r="G73">
            <v>3500</v>
          </cell>
          <cell r="H73" t="str">
            <v>Statewide</v>
          </cell>
          <cell r="I73">
            <v>3500</v>
          </cell>
          <cell r="J73">
            <v>1</v>
          </cell>
          <cell r="K73" t="str">
            <v>Cranberry_WCS</v>
          </cell>
        </row>
        <row r="74">
          <cell r="B74" t="str">
            <v>L014.70</v>
          </cell>
          <cell r="C74" t="str">
            <v>WCS, Cranberry, 48" riser, &gt; 5', 36" barrel, per extra ft of riser</v>
          </cell>
          <cell r="D74" t="str">
            <v>L.F.</v>
          </cell>
          <cell r="G74">
            <v>140</v>
          </cell>
          <cell r="H74" t="str">
            <v>Statewide</v>
          </cell>
          <cell r="I74">
            <v>140</v>
          </cell>
          <cell r="J74">
            <v>1</v>
          </cell>
          <cell r="K74" t="str">
            <v>Cranberry_WCS</v>
          </cell>
        </row>
        <row r="75">
          <cell r="B75" t="str">
            <v>L014.71</v>
          </cell>
          <cell r="C75" t="str">
            <v>WCS, Cranberry, 54" riser, 5', 20' of 42" barrel w/ base plate &amp; wings, installed</v>
          </cell>
          <cell r="D75" t="str">
            <v>EA.</v>
          </cell>
          <cell r="G75">
            <v>4200</v>
          </cell>
          <cell r="H75" t="str">
            <v>Statewide</v>
          </cell>
          <cell r="I75">
            <v>4200</v>
          </cell>
          <cell r="J75">
            <v>1</v>
          </cell>
          <cell r="K75" t="str">
            <v>Cranberry_WCS</v>
          </cell>
        </row>
        <row r="76">
          <cell r="B76" t="str">
            <v>L014.72</v>
          </cell>
          <cell r="C76" t="str">
            <v>WCS, Cranberry, 54" riser, &gt; 5', 42" barrel, per extra ft of riser</v>
          </cell>
          <cell r="D76" t="str">
            <v>L.F.</v>
          </cell>
          <cell r="G76">
            <v>160</v>
          </cell>
          <cell r="H76" t="str">
            <v>Statewide</v>
          </cell>
          <cell r="I76">
            <v>160</v>
          </cell>
          <cell r="J76">
            <v>1</v>
          </cell>
          <cell r="K76" t="str">
            <v>Cranberry_WCS</v>
          </cell>
        </row>
        <row r="77">
          <cell r="B77" t="str">
            <v>L014.73</v>
          </cell>
          <cell r="C77" t="str">
            <v>WCS, Cranberry, 60" riser, 5', 20' of 42" barrel w/ base plate &amp; wings, installed</v>
          </cell>
          <cell r="D77" t="str">
            <v>EA.</v>
          </cell>
          <cell r="G77">
            <v>4550</v>
          </cell>
          <cell r="H77" t="str">
            <v>Statewide</v>
          </cell>
          <cell r="I77">
            <v>4550</v>
          </cell>
          <cell r="J77">
            <v>1</v>
          </cell>
          <cell r="K77" t="str">
            <v>Cranberry_WCS</v>
          </cell>
        </row>
        <row r="78">
          <cell r="B78" t="str">
            <v>L014.74</v>
          </cell>
          <cell r="C78" t="str">
            <v>WCS, Cranberry, 60" riser, &gt; 5', 42" barrel, per extra ft of riser</v>
          </cell>
          <cell r="D78" t="str">
            <v>L.F.</v>
          </cell>
          <cell r="G78">
            <v>160</v>
          </cell>
          <cell r="H78" t="str">
            <v>Statewide</v>
          </cell>
          <cell r="I78">
            <v>160</v>
          </cell>
          <cell r="J78">
            <v>1</v>
          </cell>
          <cell r="K78" t="str">
            <v>Cranberry_WCS</v>
          </cell>
        </row>
        <row r="79">
          <cell r="B79" t="str">
            <v>L014.75</v>
          </cell>
          <cell r="C79" t="str">
            <v>WCS, Cranberry, 72" riser, 6', 20' of 48" barrel w/ base plate &amp; wings, installed</v>
          </cell>
          <cell r="D79" t="str">
            <v>EA.</v>
          </cell>
          <cell r="G79">
            <v>6200</v>
          </cell>
          <cell r="H79" t="str">
            <v>Statewide</v>
          </cell>
          <cell r="I79">
            <v>6200</v>
          </cell>
          <cell r="J79">
            <v>1</v>
          </cell>
          <cell r="K79" t="str">
            <v>Cranberry_WCS</v>
          </cell>
        </row>
        <row r="80">
          <cell r="B80" t="str">
            <v>L014.76</v>
          </cell>
          <cell r="C80" t="str">
            <v>WCS, Cranberry, 72" riser, &gt; 6', 48" barrel, per extra ft of riser</v>
          </cell>
          <cell r="D80" t="str">
            <v>L.F.</v>
          </cell>
          <cell r="G80">
            <v>210</v>
          </cell>
          <cell r="H80" t="str">
            <v>Statewide</v>
          </cell>
          <cell r="I80">
            <v>210</v>
          </cell>
          <cell r="J80">
            <v>1</v>
          </cell>
          <cell r="K80" t="str">
            <v>Cranberry_WCS</v>
          </cell>
        </row>
        <row r="81">
          <cell r="B81" t="str">
            <v>L014.77</v>
          </cell>
          <cell r="C81" t="str">
            <v>WCS, Cranberry, 72" riser, 6', 20' of 60" barrel w/ base plate &amp; wings, installed</v>
          </cell>
          <cell r="D81" t="str">
            <v>EA.</v>
          </cell>
          <cell r="G81">
            <v>7000</v>
          </cell>
          <cell r="H81" t="str">
            <v>Statewide</v>
          </cell>
          <cell r="I81">
            <v>7000</v>
          </cell>
          <cell r="J81">
            <v>1</v>
          </cell>
          <cell r="K81" t="str">
            <v>Cranberry_WCS</v>
          </cell>
        </row>
        <row r="82">
          <cell r="B82" t="str">
            <v>L014.78</v>
          </cell>
          <cell r="C82" t="str">
            <v>WCS, Cranberry, 72" riser, &gt; 6', 60" barrel, per extra ft of riser</v>
          </cell>
          <cell r="D82" t="str">
            <v>EA.</v>
          </cell>
          <cell r="G82">
            <v>210</v>
          </cell>
          <cell r="H82" t="str">
            <v>Statewide</v>
          </cell>
          <cell r="I82">
            <v>210</v>
          </cell>
          <cell r="J82">
            <v>1</v>
          </cell>
          <cell r="K82" t="str">
            <v>Cranberry_WCS</v>
          </cell>
        </row>
        <row r="83">
          <cell r="B83" t="str">
            <v>L014.81</v>
          </cell>
          <cell r="C83" t="str">
            <v>Anti-seep Collar, 4' x 4', rubber w/ frame, installed</v>
          </cell>
          <cell r="D83" t="str">
            <v>EA.</v>
          </cell>
          <cell r="G83">
            <v>125</v>
          </cell>
          <cell r="H83" t="str">
            <v>Statewide</v>
          </cell>
          <cell r="I83">
            <v>125</v>
          </cell>
          <cell r="J83">
            <v>1</v>
          </cell>
          <cell r="K83" t="str">
            <v>Cranberry_WCS</v>
          </cell>
        </row>
        <row r="84">
          <cell r="B84" t="str">
            <v>L014.82</v>
          </cell>
          <cell r="C84" t="str">
            <v>Anti-seep Collar, 5' x 5', rubber w/ frame, installed</v>
          </cell>
          <cell r="D84" t="str">
            <v>EA.</v>
          </cell>
          <cell r="G84">
            <v>185</v>
          </cell>
          <cell r="H84" t="str">
            <v>Statewide</v>
          </cell>
          <cell r="I84">
            <v>185</v>
          </cell>
          <cell r="J84">
            <v>1</v>
          </cell>
          <cell r="K84" t="str">
            <v>Cranberry_WCS</v>
          </cell>
        </row>
        <row r="85">
          <cell r="B85" t="str">
            <v>L014.83</v>
          </cell>
          <cell r="C85" t="str">
            <v>Anti-seep Collar, 6' x 6', rubber w/ frame, installed</v>
          </cell>
          <cell r="D85" t="str">
            <v>EA.</v>
          </cell>
          <cell r="G85">
            <v>210</v>
          </cell>
          <cell r="H85" t="str">
            <v>Statewide</v>
          </cell>
          <cell r="I85">
            <v>210</v>
          </cell>
          <cell r="J85">
            <v>1</v>
          </cell>
          <cell r="K85" t="str">
            <v>Cranberry_WCS</v>
          </cell>
        </row>
        <row r="86">
          <cell r="B86" t="str">
            <v>L014.414</v>
          </cell>
          <cell r="C86" t="str">
            <v>WCS, Cranberry, 72" riser, 6', 20' of 72" barrel w/ base plate &amp; wings, installed</v>
          </cell>
          <cell r="D86" t="str">
            <v>EA.</v>
          </cell>
          <cell r="G86">
            <v>7800</v>
          </cell>
          <cell r="H86" t="str">
            <v>Statewide</v>
          </cell>
          <cell r="I86">
            <v>7800</v>
          </cell>
          <cell r="J86">
            <v>1</v>
          </cell>
          <cell r="K86" t="str">
            <v>Cranberry_WCS</v>
          </cell>
        </row>
        <row r="87">
          <cell r="B87" t="str">
            <v>L014.415</v>
          </cell>
          <cell r="C87" t="str">
            <v>WCS, Cranberry, 72" riser, &gt; 6', 72" barrel, per extra ft of riser</v>
          </cell>
          <cell r="D87" t="str">
            <v>EA.</v>
          </cell>
          <cell r="G87">
            <v>210</v>
          </cell>
          <cell r="H87" t="str">
            <v>Statewide</v>
          </cell>
          <cell r="I87">
            <v>210</v>
          </cell>
          <cell r="J87">
            <v>1</v>
          </cell>
          <cell r="K87" t="str">
            <v>Cranberry_WCS</v>
          </cell>
        </row>
        <row r="88">
          <cell r="B88" t="str">
            <v>L014.416</v>
          </cell>
          <cell r="C88" t="str">
            <v>Anti-seep Collar, 4' x 4', aluminum, installed</v>
          </cell>
          <cell r="D88" t="str">
            <v>EA.</v>
          </cell>
          <cell r="G88">
            <v>280</v>
          </cell>
          <cell r="H88" t="str">
            <v>Statewide</v>
          </cell>
          <cell r="I88">
            <v>280</v>
          </cell>
          <cell r="J88">
            <v>1</v>
          </cell>
          <cell r="K88" t="str">
            <v>Cranberry_WCS</v>
          </cell>
        </row>
        <row r="89">
          <cell r="B89" t="str">
            <v>L014.417</v>
          </cell>
          <cell r="C89" t="str">
            <v>Anti-seep Collar, 5' x 5', aluminum, installed</v>
          </cell>
          <cell r="D89" t="str">
            <v>EA.</v>
          </cell>
          <cell r="G89">
            <v>360</v>
          </cell>
          <cell r="H89" t="str">
            <v>Statewide</v>
          </cell>
          <cell r="I89">
            <v>360</v>
          </cell>
          <cell r="J89">
            <v>1</v>
          </cell>
          <cell r="K89" t="str">
            <v>Cranberry_WCS</v>
          </cell>
        </row>
        <row r="90">
          <cell r="B90" t="str">
            <v>L014.418</v>
          </cell>
          <cell r="C90" t="str">
            <v>Anti-seep Collar, 6' x 6', aluminum, installed</v>
          </cell>
          <cell r="D90" t="str">
            <v>EA.</v>
          </cell>
          <cell r="G90">
            <v>450</v>
          </cell>
          <cell r="H90" t="str">
            <v>Statewide</v>
          </cell>
          <cell r="I90">
            <v>450</v>
          </cell>
          <cell r="J90">
            <v>1</v>
          </cell>
          <cell r="K90" t="str">
            <v>Cranberry_WCS</v>
          </cell>
        </row>
        <row r="91">
          <cell r="B91" t="str">
            <v>L014.84</v>
          </cell>
          <cell r="C91" t="str">
            <v>Corrugated PE Tubing, 4", includes joining &amp; laying in trench</v>
          </cell>
          <cell r="D91" t="str">
            <v>L.F.</v>
          </cell>
          <cell r="E91">
            <v>41</v>
          </cell>
          <cell r="F91" t="str">
            <v>16.1.0</v>
          </cell>
          <cell r="G91">
            <v>1</v>
          </cell>
          <cell r="H91" t="str">
            <v>Statewide</v>
          </cell>
          <cell r="I91">
            <v>1</v>
          </cell>
          <cell r="J91">
            <v>1</v>
          </cell>
          <cell r="K91" t="str">
            <v>Drainage_Sub.</v>
          </cell>
        </row>
        <row r="92">
          <cell r="B92" t="str">
            <v>L014.85</v>
          </cell>
          <cell r="C92" t="str">
            <v>Corrugated PE Tubing, 4" w/ sock, includes joining &amp; laying in trench</v>
          </cell>
          <cell r="D92" t="str">
            <v>L.F.</v>
          </cell>
          <cell r="E92">
            <v>41</v>
          </cell>
          <cell r="F92" t="str">
            <v>16.1.1</v>
          </cell>
          <cell r="G92">
            <v>1.2</v>
          </cell>
          <cell r="H92" t="str">
            <v>Statewide</v>
          </cell>
          <cell r="I92">
            <v>1.2</v>
          </cell>
          <cell r="J92">
            <v>1</v>
          </cell>
          <cell r="K92" t="str">
            <v>Drainage_Sub.</v>
          </cell>
        </row>
        <row r="93">
          <cell r="B93" t="str">
            <v>L014.86</v>
          </cell>
          <cell r="C93" t="str">
            <v>Corrugated PE Tubing, 6", includes joining &amp; laying in trench</v>
          </cell>
          <cell r="D93" t="str">
            <v>L.F.</v>
          </cell>
          <cell r="E93">
            <v>41</v>
          </cell>
          <cell r="F93" t="str">
            <v>16.1.1</v>
          </cell>
          <cell r="G93">
            <v>2.0499999999999998</v>
          </cell>
          <cell r="H93" t="str">
            <v>Statewide</v>
          </cell>
          <cell r="I93">
            <v>2.0499999999999998</v>
          </cell>
          <cell r="J93">
            <v>1</v>
          </cell>
          <cell r="K93" t="str">
            <v>Drainage_Sub.</v>
          </cell>
        </row>
        <row r="94">
          <cell r="B94" t="str">
            <v>L014.87</v>
          </cell>
          <cell r="C94" t="str">
            <v>Corrugated PE Tubing, 6" w/ sock, includes joining &amp; laying in trench</v>
          </cell>
          <cell r="D94" t="str">
            <v>L.F.</v>
          </cell>
          <cell r="E94">
            <v>41</v>
          </cell>
          <cell r="F94" t="str">
            <v>16.1.1</v>
          </cell>
          <cell r="G94">
            <v>2.65</v>
          </cell>
          <cell r="H94" t="str">
            <v>Statewide</v>
          </cell>
          <cell r="I94">
            <v>2.65</v>
          </cell>
          <cell r="J94">
            <v>1</v>
          </cell>
          <cell r="K94" t="str">
            <v>Drainage_Sub.</v>
          </cell>
        </row>
        <row r="95">
          <cell r="B95" t="str">
            <v>L014.88</v>
          </cell>
          <cell r="C95" t="str">
            <v>Corrugated PE Tubing, 8", includes joining &amp; laying in trench</v>
          </cell>
          <cell r="D95" t="str">
            <v>L.F.</v>
          </cell>
          <cell r="E95">
            <v>41</v>
          </cell>
          <cell r="F95" t="str">
            <v>16.1.1</v>
          </cell>
          <cell r="G95">
            <v>3.45</v>
          </cell>
          <cell r="H95" t="str">
            <v>Statewide</v>
          </cell>
          <cell r="I95">
            <v>3.45</v>
          </cell>
          <cell r="J95">
            <v>1</v>
          </cell>
          <cell r="K95" t="str">
            <v>Drainage_Sub.</v>
          </cell>
        </row>
        <row r="96">
          <cell r="B96" t="str">
            <v>L014.89</v>
          </cell>
          <cell r="C96" t="str">
            <v>Corrugated PE Tubing, 8" w/ sock, includes joining &amp; laying in trench</v>
          </cell>
          <cell r="D96" t="str">
            <v>L.F.</v>
          </cell>
          <cell r="E96">
            <v>41</v>
          </cell>
          <cell r="F96" t="str">
            <v>16.1.1</v>
          </cell>
          <cell r="G96">
            <v>5.85</v>
          </cell>
          <cell r="H96" t="str">
            <v>Statewide</v>
          </cell>
          <cell r="I96">
            <v>5.85</v>
          </cell>
          <cell r="J96">
            <v>1</v>
          </cell>
          <cell r="K96" t="str">
            <v>Drainage_Sub.</v>
          </cell>
        </row>
        <row r="97">
          <cell r="B97" t="str">
            <v>L014.90</v>
          </cell>
          <cell r="C97" t="str">
            <v>Corrugated PE Tubing, 10", includes joining &amp; laying in trench</v>
          </cell>
          <cell r="D97" t="str">
            <v>L.F.</v>
          </cell>
          <cell r="E97">
            <v>41</v>
          </cell>
          <cell r="F97" t="str">
            <v>16.1.1</v>
          </cell>
          <cell r="G97">
            <v>5.65</v>
          </cell>
          <cell r="H97" t="str">
            <v>Statewide</v>
          </cell>
          <cell r="I97">
            <v>5.65</v>
          </cell>
          <cell r="J97">
            <v>1</v>
          </cell>
          <cell r="K97" t="str">
            <v>Drainage_Sub.</v>
          </cell>
        </row>
        <row r="98">
          <cell r="B98" t="str">
            <v>L014.91</v>
          </cell>
          <cell r="C98" t="str">
            <v>Corrugated PE Tubing, 10" w/ sock, includes joining &amp; laying in trench</v>
          </cell>
          <cell r="D98" t="str">
            <v>L.F.</v>
          </cell>
          <cell r="E98">
            <v>41</v>
          </cell>
          <cell r="F98" t="str">
            <v>16.1.1</v>
          </cell>
          <cell r="G98">
            <v>7.85</v>
          </cell>
          <cell r="H98" t="str">
            <v>Statewide</v>
          </cell>
          <cell r="I98">
            <v>7.85</v>
          </cell>
          <cell r="J98">
            <v>1</v>
          </cell>
          <cell r="K98" t="str">
            <v>Drainage_Sub.</v>
          </cell>
        </row>
        <row r="99">
          <cell r="B99" t="str">
            <v>L014.92</v>
          </cell>
          <cell r="C99" t="str">
            <v>Corrugated PE Tubing, 12", includes joining &amp; laying in trench</v>
          </cell>
          <cell r="D99" t="str">
            <v>L.F.</v>
          </cell>
          <cell r="E99">
            <v>41</v>
          </cell>
          <cell r="F99" t="str">
            <v>16.1.1</v>
          </cell>
          <cell r="G99">
            <v>7.75</v>
          </cell>
          <cell r="H99" t="str">
            <v>Statewide</v>
          </cell>
          <cell r="I99">
            <v>7.75</v>
          </cell>
          <cell r="J99">
            <v>1</v>
          </cell>
          <cell r="K99" t="str">
            <v>Drainage_Sub.</v>
          </cell>
        </row>
        <row r="100">
          <cell r="B100" t="str">
            <v>L014.93</v>
          </cell>
          <cell r="C100" t="str">
            <v>Animal Guard, bolts, 4"-8" pipe</v>
          </cell>
          <cell r="D100" t="str">
            <v>EA.</v>
          </cell>
          <cell r="E100" t="str">
            <v>-</v>
          </cell>
          <cell r="F100" t="str">
            <v>17.4.0</v>
          </cell>
          <cell r="G100">
            <v>40</v>
          </cell>
          <cell r="H100" t="str">
            <v>Statewide</v>
          </cell>
          <cell r="I100">
            <v>40</v>
          </cell>
          <cell r="J100">
            <v>1</v>
          </cell>
          <cell r="K100" t="str">
            <v>Drainage_Sub.</v>
          </cell>
        </row>
        <row r="101">
          <cell r="B101" t="str">
            <v>L014.94</v>
          </cell>
          <cell r="C101" t="str">
            <v>Animal Guard, bolts, 10"-12" pipe</v>
          </cell>
          <cell r="D101" t="str">
            <v>EA.</v>
          </cell>
          <cell r="E101" t="str">
            <v>-</v>
          </cell>
          <cell r="F101" t="str">
            <v>17.4.0</v>
          </cell>
          <cell r="G101">
            <v>70</v>
          </cell>
          <cell r="H101" t="str">
            <v>Statewide</v>
          </cell>
          <cell r="I101">
            <v>70</v>
          </cell>
          <cell r="J101">
            <v>1</v>
          </cell>
          <cell r="K101" t="str">
            <v>Drainage_Sub.</v>
          </cell>
        </row>
        <row r="102">
          <cell r="B102" t="str">
            <v>L014.95</v>
          </cell>
          <cell r="C102" t="str">
            <v>Check Valve w/ cleanout, 4" pipe size, installed</v>
          </cell>
          <cell r="D102" t="str">
            <v>EA.</v>
          </cell>
          <cell r="G102">
            <v>90</v>
          </cell>
          <cell r="H102" t="str">
            <v>Statewide</v>
          </cell>
          <cell r="I102">
            <v>90</v>
          </cell>
          <cell r="J102">
            <v>1</v>
          </cell>
          <cell r="K102" t="str">
            <v>Drainage_Sub.</v>
          </cell>
        </row>
        <row r="103">
          <cell r="B103" t="str">
            <v>L014.96</v>
          </cell>
          <cell r="C103" t="str">
            <v>Check Valve w/ cleanout, 6" pipe size, installed</v>
          </cell>
          <cell r="D103" t="str">
            <v>EA.</v>
          </cell>
          <cell r="G103">
            <v>200</v>
          </cell>
          <cell r="H103" t="str">
            <v>Statewide</v>
          </cell>
          <cell r="I103">
            <v>200</v>
          </cell>
          <cell r="J103">
            <v>1</v>
          </cell>
          <cell r="K103" t="str">
            <v>Drainage_Sub.</v>
          </cell>
        </row>
        <row r="104">
          <cell r="B104" t="str">
            <v>L014.97</v>
          </cell>
          <cell r="C104" t="str">
            <v>Check Valve w/ cleanout, 8" pipe size, installed</v>
          </cell>
          <cell r="D104" t="str">
            <v>EA.</v>
          </cell>
          <cell r="G104">
            <v>260</v>
          </cell>
          <cell r="H104" t="str">
            <v>Statewide</v>
          </cell>
          <cell r="I104">
            <v>260</v>
          </cell>
          <cell r="J104">
            <v>1</v>
          </cell>
          <cell r="K104" t="str">
            <v>Drainage_Sub.</v>
          </cell>
        </row>
        <row r="105">
          <cell r="B105" t="str">
            <v>L014.98</v>
          </cell>
          <cell r="C105" t="str">
            <v>Check Valve w/ cleanout, 10" pipe size, installed</v>
          </cell>
          <cell r="D105" t="str">
            <v>EA.</v>
          </cell>
          <cell r="G105">
            <v>310</v>
          </cell>
          <cell r="H105" t="str">
            <v>Statewide</v>
          </cell>
          <cell r="I105">
            <v>310</v>
          </cell>
          <cell r="J105">
            <v>1</v>
          </cell>
          <cell r="K105" t="str">
            <v>Drainage_Sub.</v>
          </cell>
        </row>
        <row r="106">
          <cell r="B106" t="str">
            <v>L014.99</v>
          </cell>
          <cell r="C106" t="str">
            <v>Check Valve w/ cleanout, 12" pipe size, installed</v>
          </cell>
          <cell r="D106" t="str">
            <v>EA.</v>
          </cell>
          <cell r="G106">
            <v>400</v>
          </cell>
          <cell r="H106" t="str">
            <v>Statewide</v>
          </cell>
          <cell r="I106">
            <v>400</v>
          </cell>
          <cell r="J106">
            <v>1</v>
          </cell>
          <cell r="K106" t="str">
            <v>Drainage_Sub.</v>
          </cell>
        </row>
        <row r="107">
          <cell r="B107" t="str">
            <v>L014.100</v>
          </cell>
          <cell r="C107" t="str">
            <v>Check Valve w/ cleanout, 15" pipe size, installed</v>
          </cell>
          <cell r="D107" t="str">
            <v>EA.</v>
          </cell>
          <cell r="G107">
            <v>600</v>
          </cell>
          <cell r="H107" t="str">
            <v>Statewide</v>
          </cell>
          <cell r="I107">
            <v>600</v>
          </cell>
          <cell r="J107">
            <v>1</v>
          </cell>
          <cell r="K107" t="str">
            <v>Drainage_Sub.</v>
          </cell>
        </row>
        <row r="108">
          <cell r="B108" t="str">
            <v>L014.101</v>
          </cell>
          <cell r="C108" t="str">
            <v>Check Valve w/ cleanout, 18" pipe size, installed</v>
          </cell>
          <cell r="D108" t="str">
            <v>EA.</v>
          </cell>
          <cell r="G108">
            <v>780</v>
          </cell>
          <cell r="H108" t="str">
            <v>Statewide</v>
          </cell>
          <cell r="I108">
            <v>780</v>
          </cell>
          <cell r="J108">
            <v>1</v>
          </cell>
          <cell r="K108" t="str">
            <v>Drainage_Sub.</v>
          </cell>
        </row>
        <row r="109">
          <cell r="B109" t="str">
            <v>L014.400</v>
          </cell>
          <cell r="C109" t="str">
            <v>Animal Guard, stainless flap-type 4"-8" pipe</v>
          </cell>
          <cell r="D109" t="str">
            <v>EA.</v>
          </cell>
          <cell r="E109" t="str">
            <v>-</v>
          </cell>
          <cell r="F109" t="str">
            <v>17.4.0</v>
          </cell>
          <cell r="G109">
            <v>35</v>
          </cell>
          <cell r="H109" t="str">
            <v>Statewide</v>
          </cell>
          <cell r="I109">
            <v>35</v>
          </cell>
          <cell r="J109">
            <v>1</v>
          </cell>
          <cell r="K109" t="str">
            <v>Drainage_Sub.</v>
          </cell>
        </row>
        <row r="110">
          <cell r="B110" t="str">
            <v>L014.401</v>
          </cell>
          <cell r="C110" t="str">
            <v>Animal Guard, stainless flap-type 10"-12" pipe</v>
          </cell>
          <cell r="D110" t="str">
            <v>EA.</v>
          </cell>
          <cell r="E110" t="str">
            <v>-</v>
          </cell>
          <cell r="F110" t="str">
            <v>17.4.0</v>
          </cell>
          <cell r="G110">
            <v>55</v>
          </cell>
          <cell r="H110" t="str">
            <v>Statewide</v>
          </cell>
          <cell r="I110">
            <v>55</v>
          </cell>
          <cell r="J110">
            <v>1</v>
          </cell>
          <cell r="K110" t="str">
            <v>Drainage_Sub.</v>
          </cell>
        </row>
        <row r="111">
          <cell r="B111" t="str">
            <v>L014.102</v>
          </cell>
          <cell r="C111" t="str">
            <v>Bar Guard, 12" Heavy Duty, Trash Rack</v>
          </cell>
          <cell r="D111" t="str">
            <v>EA.</v>
          </cell>
          <cell r="E111">
            <v>41</v>
          </cell>
          <cell r="F111" t="str">
            <v>4.4.1</v>
          </cell>
          <cell r="G111">
            <v>80</v>
          </cell>
          <cell r="H111" t="str">
            <v>Statewide</v>
          </cell>
          <cell r="I111">
            <v>80</v>
          </cell>
          <cell r="J111">
            <v>1</v>
          </cell>
          <cell r="K111" t="str">
            <v>Drainage_Surf.</v>
          </cell>
        </row>
        <row r="112">
          <cell r="B112" t="str">
            <v>L014.103</v>
          </cell>
          <cell r="C112" t="str">
            <v>Bar Guard, 18" Heavy Duty, Trash Rack</v>
          </cell>
          <cell r="D112" t="str">
            <v>EA.</v>
          </cell>
          <cell r="E112">
            <v>41</v>
          </cell>
          <cell r="F112" t="str">
            <v>4.4.2</v>
          </cell>
          <cell r="G112">
            <v>115</v>
          </cell>
          <cell r="H112" t="str">
            <v>Statewide</v>
          </cell>
          <cell r="I112">
            <v>115</v>
          </cell>
          <cell r="J112">
            <v>1</v>
          </cell>
          <cell r="K112" t="str">
            <v>Drainage_Surf.</v>
          </cell>
        </row>
        <row r="113">
          <cell r="B113" t="str">
            <v>L014.104</v>
          </cell>
          <cell r="C113" t="str">
            <v>Bar Guard, 24" Heavy Duty, Trash Rack</v>
          </cell>
          <cell r="D113" t="str">
            <v>EA.</v>
          </cell>
          <cell r="E113">
            <v>41</v>
          </cell>
          <cell r="F113" t="str">
            <v>4.4.3</v>
          </cell>
          <cell r="G113">
            <v>160</v>
          </cell>
          <cell r="H113" t="str">
            <v>Statewide</v>
          </cell>
          <cell r="I113">
            <v>160</v>
          </cell>
          <cell r="J113">
            <v>1</v>
          </cell>
          <cell r="K113" t="str">
            <v>Drainage_Surf.</v>
          </cell>
        </row>
        <row r="114">
          <cell r="B114" t="str">
            <v>L014.105</v>
          </cell>
          <cell r="C114" t="str">
            <v>Bar Guard, 30" Heavy Duty, Trash Rack</v>
          </cell>
          <cell r="D114" t="str">
            <v>EA.</v>
          </cell>
          <cell r="E114">
            <v>41</v>
          </cell>
          <cell r="F114" t="str">
            <v>4.4.3</v>
          </cell>
          <cell r="G114">
            <v>215</v>
          </cell>
          <cell r="H114" t="str">
            <v>Statewide</v>
          </cell>
          <cell r="I114">
            <v>215</v>
          </cell>
          <cell r="J114">
            <v>1</v>
          </cell>
          <cell r="K114" t="str">
            <v>Drainage_Surf.</v>
          </cell>
        </row>
        <row r="115">
          <cell r="B115" t="str">
            <v>L014.106</v>
          </cell>
          <cell r="C115" t="str">
            <v>Riser, perforated or slotted, 6" HDPE</v>
          </cell>
          <cell r="D115" t="str">
            <v>EA.</v>
          </cell>
          <cell r="E115">
            <v>41</v>
          </cell>
          <cell r="F115" t="str">
            <v>4.2.4</v>
          </cell>
          <cell r="G115">
            <v>280</v>
          </cell>
          <cell r="H115" t="str">
            <v>Statewide</v>
          </cell>
          <cell r="I115">
            <v>280</v>
          </cell>
          <cell r="J115">
            <v>1</v>
          </cell>
          <cell r="K115" t="str">
            <v>Drainage_Surf.</v>
          </cell>
        </row>
        <row r="116">
          <cell r="B116" t="str">
            <v>L014.107</v>
          </cell>
          <cell r="C116" t="str">
            <v>Riser, perforated or slotted, 8" HDPE</v>
          </cell>
          <cell r="D116" t="str">
            <v>EA.</v>
          </cell>
          <cell r="E116">
            <v>41</v>
          </cell>
          <cell r="F116" t="str">
            <v>4.2.5</v>
          </cell>
          <cell r="G116">
            <v>310</v>
          </cell>
          <cell r="H116" t="str">
            <v>Statewide</v>
          </cell>
          <cell r="I116">
            <v>310</v>
          </cell>
          <cell r="J116">
            <v>1</v>
          </cell>
          <cell r="K116" t="str">
            <v>Drainage_Surf.</v>
          </cell>
        </row>
        <row r="117">
          <cell r="B117" t="str">
            <v>L014.108</v>
          </cell>
          <cell r="C117" t="str">
            <v>Riser, perforated or slotted, 10" HDPE</v>
          </cell>
          <cell r="D117" t="str">
            <v>EA.</v>
          </cell>
          <cell r="E117">
            <v>41</v>
          </cell>
          <cell r="F117" t="str">
            <v>4.2.6</v>
          </cell>
          <cell r="G117">
            <v>350</v>
          </cell>
          <cell r="H117" t="str">
            <v>Statewide</v>
          </cell>
          <cell r="I117">
            <v>350</v>
          </cell>
          <cell r="J117">
            <v>1</v>
          </cell>
          <cell r="K117" t="str">
            <v>Drainage_Surf.</v>
          </cell>
        </row>
        <row r="118">
          <cell r="B118" t="str">
            <v>L014.109</v>
          </cell>
          <cell r="C118" t="str">
            <v>Riser, perforated or slotted, 12" HDPE</v>
          </cell>
          <cell r="D118" t="str">
            <v>EA.</v>
          </cell>
          <cell r="E118">
            <v>41</v>
          </cell>
          <cell r="F118" t="str">
            <v>4.2.6</v>
          </cell>
          <cell r="G118">
            <v>560</v>
          </cell>
          <cell r="H118" t="str">
            <v>Statewide</v>
          </cell>
          <cell r="I118">
            <v>560</v>
          </cell>
          <cell r="J118">
            <v>1</v>
          </cell>
          <cell r="K118" t="str">
            <v>Drainage_Surf.</v>
          </cell>
        </row>
        <row r="119">
          <cell r="B119" t="str">
            <v>L014.110</v>
          </cell>
          <cell r="C119" t="str">
            <v>Animal Guard, stainless flap-type 4"-8" pipe</v>
          </cell>
          <cell r="D119" t="str">
            <v>EA.</v>
          </cell>
          <cell r="E119" t="str">
            <v>-</v>
          </cell>
          <cell r="F119" t="str">
            <v>17.4.0</v>
          </cell>
          <cell r="G119">
            <v>35</v>
          </cell>
          <cell r="H119" t="str">
            <v>Statewide</v>
          </cell>
          <cell r="I119">
            <v>35</v>
          </cell>
          <cell r="J119">
            <v>1</v>
          </cell>
          <cell r="K119" t="str">
            <v>Drainage_Surf.</v>
          </cell>
        </row>
        <row r="120">
          <cell r="B120" t="str">
            <v>L014.111</v>
          </cell>
          <cell r="C120" t="str">
            <v>Animal Guard, stainless flap-type 10"-12" pipe</v>
          </cell>
          <cell r="D120" t="str">
            <v>EA.</v>
          </cell>
          <cell r="E120" t="str">
            <v>-</v>
          </cell>
          <cell r="F120" t="str">
            <v>17.4.0</v>
          </cell>
          <cell r="G120">
            <v>55</v>
          </cell>
          <cell r="H120" t="str">
            <v>Statewide</v>
          </cell>
          <cell r="I120">
            <v>55</v>
          </cell>
          <cell r="J120">
            <v>1</v>
          </cell>
          <cell r="K120" t="str">
            <v>Drainage_Surf.</v>
          </cell>
        </row>
        <row r="121">
          <cell r="B121" t="str">
            <v>L014.112</v>
          </cell>
          <cell r="C121" t="str">
            <v>Animal Guard, stainless flap-type 15" pipe</v>
          </cell>
          <cell r="D121" t="str">
            <v>EA.</v>
          </cell>
          <cell r="E121" t="str">
            <v>-</v>
          </cell>
          <cell r="F121" t="str">
            <v>17.4.0</v>
          </cell>
          <cell r="G121">
            <v>80</v>
          </cell>
          <cell r="H121" t="str">
            <v>Statewide</v>
          </cell>
          <cell r="I121">
            <v>80</v>
          </cell>
          <cell r="J121">
            <v>1</v>
          </cell>
          <cell r="K121" t="str">
            <v>Drainage_Surf.</v>
          </cell>
        </row>
        <row r="122">
          <cell r="B122" t="str">
            <v>L014.113</v>
          </cell>
          <cell r="C122" t="str">
            <v>Animal Guard, stainless flap-type 18" pipe</v>
          </cell>
          <cell r="D122" t="str">
            <v>EA.</v>
          </cell>
          <cell r="E122" t="str">
            <v>-</v>
          </cell>
          <cell r="F122" t="str">
            <v>17.4.0</v>
          </cell>
          <cell r="G122">
            <v>140</v>
          </cell>
          <cell r="H122" t="str">
            <v>Statewide</v>
          </cell>
          <cell r="I122">
            <v>140</v>
          </cell>
          <cell r="J122">
            <v>1</v>
          </cell>
          <cell r="K122" t="str">
            <v>Drainage_Surf.</v>
          </cell>
        </row>
        <row r="123">
          <cell r="B123" t="str">
            <v>L014.114</v>
          </cell>
          <cell r="C123" t="str">
            <v>Animal Guard, stainless flap-type 24" pipe</v>
          </cell>
          <cell r="D123" t="str">
            <v>EA.</v>
          </cell>
          <cell r="E123" t="str">
            <v>-</v>
          </cell>
          <cell r="F123" t="str">
            <v>17.4.0</v>
          </cell>
          <cell r="G123">
            <v>225</v>
          </cell>
          <cell r="H123" t="str">
            <v>Statewide</v>
          </cell>
          <cell r="I123">
            <v>225</v>
          </cell>
          <cell r="J123">
            <v>1</v>
          </cell>
          <cell r="K123" t="str">
            <v>Drainage_Surf.</v>
          </cell>
        </row>
        <row r="124">
          <cell r="B124" t="str">
            <v>L014.115</v>
          </cell>
          <cell r="C124" t="str">
            <v>Grate, 18" dia., Steel w/ Ears</v>
          </cell>
          <cell r="D124" t="str">
            <v>EA.</v>
          </cell>
          <cell r="E124" t="str">
            <v>-</v>
          </cell>
          <cell r="F124" t="str">
            <v>17.4.1</v>
          </cell>
          <cell r="G124">
            <v>220</v>
          </cell>
          <cell r="H124" t="str">
            <v>Statewide</v>
          </cell>
          <cell r="I124">
            <v>220</v>
          </cell>
          <cell r="J124">
            <v>1</v>
          </cell>
          <cell r="K124" t="str">
            <v>Drainage_Surf.</v>
          </cell>
        </row>
        <row r="125">
          <cell r="B125" t="str">
            <v>L014.116</v>
          </cell>
          <cell r="C125" t="str">
            <v>Grate, 24" dia., Steel w/ Ears</v>
          </cell>
          <cell r="D125" t="str">
            <v>EA.</v>
          </cell>
          <cell r="E125" t="str">
            <v>-</v>
          </cell>
          <cell r="F125" t="str">
            <v>17.4.2</v>
          </cell>
          <cell r="G125">
            <v>265</v>
          </cell>
          <cell r="H125" t="str">
            <v>Statewide</v>
          </cell>
          <cell r="I125">
            <v>265</v>
          </cell>
          <cell r="J125">
            <v>1</v>
          </cell>
          <cell r="K125" t="str">
            <v>Drainage_Surf.</v>
          </cell>
        </row>
        <row r="126">
          <cell r="B126" t="str">
            <v>L014.117</v>
          </cell>
          <cell r="C126" t="str">
            <v>Grate, 30" dia., Steel w/ Ears</v>
          </cell>
          <cell r="D126" t="str">
            <v>EA.</v>
          </cell>
          <cell r="E126" t="str">
            <v>-</v>
          </cell>
          <cell r="F126" t="str">
            <v>17.4.3</v>
          </cell>
          <cell r="G126">
            <v>395</v>
          </cell>
          <cell r="H126" t="str">
            <v>Statewide</v>
          </cell>
          <cell r="I126">
            <v>395</v>
          </cell>
          <cell r="J126">
            <v>1</v>
          </cell>
          <cell r="K126" t="str">
            <v>Drainage_Surf.</v>
          </cell>
        </row>
        <row r="127">
          <cell r="B127" t="str">
            <v>L014.118</v>
          </cell>
          <cell r="C127" t="str">
            <v>Grate, 36" dia., Steel w/ Ears</v>
          </cell>
          <cell r="D127" t="str">
            <v>EA.</v>
          </cell>
          <cell r="E127" t="str">
            <v>-</v>
          </cell>
          <cell r="F127" t="str">
            <v>17.4.4</v>
          </cell>
          <cell r="G127">
            <v>405</v>
          </cell>
          <cell r="H127" t="str">
            <v>Statewide</v>
          </cell>
          <cell r="I127">
            <v>405</v>
          </cell>
          <cell r="J127">
            <v>1</v>
          </cell>
          <cell r="K127" t="str">
            <v>Drainage_Surf.</v>
          </cell>
        </row>
        <row r="128">
          <cell r="B128" t="str">
            <v>L014.119</v>
          </cell>
          <cell r="C128" t="str">
            <v>Grate, 42" dia., Steel w/ Ears</v>
          </cell>
          <cell r="D128" t="str">
            <v>EA.</v>
          </cell>
          <cell r="E128" t="str">
            <v>-</v>
          </cell>
          <cell r="F128" t="str">
            <v>17.4.5</v>
          </cell>
          <cell r="G128">
            <v>450</v>
          </cell>
          <cell r="H128" t="str">
            <v>Statewide</v>
          </cell>
          <cell r="I128">
            <v>450</v>
          </cell>
          <cell r="J128">
            <v>1</v>
          </cell>
          <cell r="K128" t="str">
            <v>Drainage_Surf.</v>
          </cell>
        </row>
        <row r="129">
          <cell r="B129" t="str">
            <v>L014.120</v>
          </cell>
          <cell r="C129" t="str">
            <v>Grate, 48" dia., Steel w/ Ears</v>
          </cell>
          <cell r="D129" t="str">
            <v>EA.</v>
          </cell>
          <cell r="E129" t="str">
            <v>-</v>
          </cell>
          <cell r="F129" t="str">
            <v>17.4.6</v>
          </cell>
          <cell r="G129">
            <v>675</v>
          </cell>
          <cell r="H129" t="str">
            <v>Statewide</v>
          </cell>
          <cell r="I129">
            <v>675</v>
          </cell>
          <cell r="J129">
            <v>1</v>
          </cell>
          <cell r="K129" t="str">
            <v>Drainage_Surf.</v>
          </cell>
        </row>
        <row r="130">
          <cell r="B130" t="str">
            <v>L014.121</v>
          </cell>
          <cell r="C130" t="str">
            <v>Grate, 18" dia., Steel, Heavy Duty for Traffic</v>
          </cell>
          <cell r="D130" t="str">
            <v>EA.</v>
          </cell>
          <cell r="E130" t="str">
            <v>-</v>
          </cell>
          <cell r="F130" t="str">
            <v>17.4.7</v>
          </cell>
          <cell r="G130">
            <v>340</v>
          </cell>
          <cell r="H130" t="str">
            <v>Statewide</v>
          </cell>
          <cell r="I130">
            <v>340</v>
          </cell>
          <cell r="J130">
            <v>1</v>
          </cell>
          <cell r="K130" t="str">
            <v>Drainage_Surf.</v>
          </cell>
        </row>
        <row r="131">
          <cell r="B131" t="str">
            <v>L014.122</v>
          </cell>
          <cell r="C131" t="str">
            <v>Grate, 24" dia., Steel, Heavy Duty for Traffic</v>
          </cell>
          <cell r="D131" t="str">
            <v>EA.</v>
          </cell>
          <cell r="E131" t="str">
            <v>-</v>
          </cell>
          <cell r="F131" t="str">
            <v>17.4.8</v>
          </cell>
          <cell r="G131">
            <v>390</v>
          </cell>
          <cell r="H131" t="str">
            <v>Statewide</v>
          </cell>
          <cell r="I131">
            <v>390</v>
          </cell>
          <cell r="J131">
            <v>1</v>
          </cell>
          <cell r="K131" t="str">
            <v>Drainage_Surf.</v>
          </cell>
        </row>
        <row r="132">
          <cell r="B132" t="str">
            <v>L014.123</v>
          </cell>
          <cell r="C132" t="str">
            <v>Grate, 30" dia., Steel, Heavy Duty for Traffic</v>
          </cell>
          <cell r="D132" t="str">
            <v>EA.</v>
          </cell>
          <cell r="E132" t="str">
            <v>-</v>
          </cell>
          <cell r="F132" t="str">
            <v>17.4.9</v>
          </cell>
          <cell r="G132">
            <v>650</v>
          </cell>
          <cell r="H132" t="str">
            <v>Statewide</v>
          </cell>
          <cell r="I132">
            <v>650</v>
          </cell>
          <cell r="J132">
            <v>1</v>
          </cell>
          <cell r="K132" t="str">
            <v>Drainage_Surf.</v>
          </cell>
        </row>
        <row r="133">
          <cell r="B133" t="str">
            <v>L014.124</v>
          </cell>
          <cell r="C133" t="str">
            <v>Grate, 36" dia., Steel, Heavy Duty for Traffic</v>
          </cell>
          <cell r="D133" t="str">
            <v>EA.</v>
          </cell>
          <cell r="E133" t="str">
            <v>-</v>
          </cell>
          <cell r="F133" t="str">
            <v>17.4.10</v>
          </cell>
          <cell r="G133">
            <v>850</v>
          </cell>
          <cell r="H133" t="str">
            <v>Statewide</v>
          </cell>
          <cell r="I133">
            <v>850</v>
          </cell>
          <cell r="J133">
            <v>1</v>
          </cell>
          <cell r="K133" t="str">
            <v>Drainage_Surf.</v>
          </cell>
        </row>
        <row r="134">
          <cell r="B134" t="str">
            <v>L014.125</v>
          </cell>
          <cell r="C134" t="str">
            <v>Flap Gate, 4", installed</v>
          </cell>
          <cell r="D134" t="str">
            <v>EA.</v>
          </cell>
          <cell r="G134">
            <v>60</v>
          </cell>
          <cell r="H134" t="str">
            <v>Statewide</v>
          </cell>
          <cell r="I134">
            <v>60</v>
          </cell>
          <cell r="J134">
            <v>1</v>
          </cell>
          <cell r="K134" t="str">
            <v>Drainage_Surf.</v>
          </cell>
        </row>
        <row r="135">
          <cell r="B135" t="str">
            <v>L014.126</v>
          </cell>
          <cell r="C135" t="str">
            <v>Flap Gate, 6", installed</v>
          </cell>
          <cell r="D135" t="str">
            <v>EA.</v>
          </cell>
          <cell r="G135">
            <v>65</v>
          </cell>
          <cell r="H135" t="str">
            <v>Statewide</v>
          </cell>
          <cell r="I135">
            <v>65</v>
          </cell>
          <cell r="J135">
            <v>1</v>
          </cell>
          <cell r="K135" t="str">
            <v>Drainage_Surf.</v>
          </cell>
        </row>
        <row r="136">
          <cell r="B136" t="str">
            <v>L014.127</v>
          </cell>
          <cell r="C136" t="str">
            <v>Flap Gate, 8", installed</v>
          </cell>
          <cell r="D136" t="str">
            <v>EA.</v>
          </cell>
          <cell r="G136">
            <v>80</v>
          </cell>
          <cell r="H136" t="str">
            <v>Statewide</v>
          </cell>
          <cell r="I136">
            <v>80</v>
          </cell>
          <cell r="J136">
            <v>1</v>
          </cell>
          <cell r="K136" t="str">
            <v>Drainage_Surf.</v>
          </cell>
        </row>
        <row r="137">
          <cell r="B137" t="str">
            <v>L014.128</v>
          </cell>
          <cell r="C137" t="str">
            <v>Flap Gate, 10", installed</v>
          </cell>
          <cell r="D137" t="str">
            <v>EA.</v>
          </cell>
          <cell r="G137">
            <v>95</v>
          </cell>
          <cell r="H137" t="str">
            <v>Statewide</v>
          </cell>
          <cell r="I137">
            <v>95</v>
          </cell>
          <cell r="J137">
            <v>1</v>
          </cell>
          <cell r="K137" t="str">
            <v>Drainage_Surf.</v>
          </cell>
        </row>
        <row r="138">
          <cell r="B138" t="str">
            <v>L014.129</v>
          </cell>
          <cell r="C138" t="str">
            <v>Flap Gate, 12", installed</v>
          </cell>
          <cell r="D138" t="str">
            <v>EA.</v>
          </cell>
          <cell r="G138">
            <v>115</v>
          </cell>
          <cell r="H138" t="str">
            <v>Statewide</v>
          </cell>
          <cell r="I138">
            <v>115</v>
          </cell>
          <cell r="J138">
            <v>1</v>
          </cell>
          <cell r="K138" t="str">
            <v>Drainage_Surf.</v>
          </cell>
        </row>
        <row r="139">
          <cell r="B139" t="str">
            <v>L014.130</v>
          </cell>
          <cell r="C139" t="str">
            <v>Flap Gate, 15", installed</v>
          </cell>
          <cell r="D139" t="str">
            <v>EA.</v>
          </cell>
          <cell r="G139">
            <v>140</v>
          </cell>
          <cell r="H139" t="str">
            <v>Statewide</v>
          </cell>
          <cell r="I139">
            <v>140</v>
          </cell>
          <cell r="J139">
            <v>1</v>
          </cell>
          <cell r="K139" t="str">
            <v>Drainage_Surf.</v>
          </cell>
        </row>
        <row r="140">
          <cell r="B140" t="str">
            <v>L014.131</v>
          </cell>
          <cell r="C140" t="str">
            <v>Flap Gate, 18", installed</v>
          </cell>
          <cell r="D140" t="str">
            <v>EA.</v>
          </cell>
          <cell r="G140">
            <v>190</v>
          </cell>
          <cell r="H140" t="str">
            <v>Statewide</v>
          </cell>
          <cell r="I140">
            <v>190</v>
          </cell>
          <cell r="J140">
            <v>1</v>
          </cell>
          <cell r="K140" t="str">
            <v>Drainage_Surf.</v>
          </cell>
        </row>
        <row r="141">
          <cell r="B141" t="str">
            <v>L014.132</v>
          </cell>
          <cell r="C141" t="str">
            <v>Flap Gate, 24", installed</v>
          </cell>
          <cell r="D141" t="str">
            <v>EA.</v>
          </cell>
          <cell r="G141">
            <v>310</v>
          </cell>
          <cell r="H141" t="str">
            <v>Statewide</v>
          </cell>
          <cell r="I141">
            <v>310</v>
          </cell>
          <cell r="J141">
            <v>1</v>
          </cell>
          <cell r="K141" t="str">
            <v>Drainage_Surf.</v>
          </cell>
        </row>
        <row r="142">
          <cell r="B142" t="str">
            <v>L014.133</v>
          </cell>
          <cell r="C142" t="str">
            <v>Flap Gate, 30", installed</v>
          </cell>
          <cell r="D142" t="str">
            <v>EA.</v>
          </cell>
          <cell r="G142">
            <v>360</v>
          </cell>
          <cell r="H142" t="str">
            <v>Statewide</v>
          </cell>
          <cell r="I142">
            <v>360</v>
          </cell>
          <cell r="J142">
            <v>1</v>
          </cell>
          <cell r="K142" t="str">
            <v>Drainage_Surf.</v>
          </cell>
        </row>
        <row r="143">
          <cell r="B143" t="str">
            <v>L014.134</v>
          </cell>
          <cell r="C143" t="str">
            <v>Borrow, Crushed Stone, washed, 10 mile round trip, no compaction</v>
          </cell>
          <cell r="D143" t="str">
            <v>C.Y.</v>
          </cell>
          <cell r="E143" t="str">
            <v>1,5,11</v>
          </cell>
          <cell r="F143" t="str">
            <v>5.1.2</v>
          </cell>
          <cell r="G143">
            <v>34.5</v>
          </cell>
          <cell r="H143" t="str">
            <v>Statewide</v>
          </cell>
          <cell r="I143">
            <v>34.5</v>
          </cell>
          <cell r="J143">
            <v>1</v>
          </cell>
          <cell r="K143" t="str">
            <v>Erthwk_Borrow</v>
          </cell>
        </row>
        <row r="144">
          <cell r="B144" t="str">
            <v>L014.135</v>
          </cell>
          <cell r="C144" t="str">
            <v>Borrow, Crushed Stone, washed, 20 mile round trip, no compaction</v>
          </cell>
          <cell r="D144" t="str">
            <v>C.Y.</v>
          </cell>
          <cell r="E144" t="str">
            <v>1,5,11</v>
          </cell>
          <cell r="F144" t="str">
            <v>5.1.3</v>
          </cell>
          <cell r="G144">
            <v>42.5</v>
          </cell>
          <cell r="H144" t="str">
            <v>Statewide</v>
          </cell>
          <cell r="I144">
            <v>42.5</v>
          </cell>
          <cell r="J144">
            <v>1</v>
          </cell>
          <cell r="K144" t="str">
            <v>Erthwk_Borrow</v>
          </cell>
        </row>
        <row r="145">
          <cell r="B145" t="str">
            <v>L014.136</v>
          </cell>
          <cell r="C145" t="str">
            <v>Borrow, Crushed Stone, washed, 5 mile round trip, no compaction</v>
          </cell>
          <cell r="D145" t="str">
            <v>C.Y.</v>
          </cell>
          <cell r="E145" t="str">
            <v>1,5,11</v>
          </cell>
          <cell r="F145" t="str">
            <v>5.1.1</v>
          </cell>
          <cell r="G145">
            <v>30.5</v>
          </cell>
          <cell r="H145" t="str">
            <v>Statewide</v>
          </cell>
          <cell r="I145">
            <v>30.5</v>
          </cell>
          <cell r="J145">
            <v>1</v>
          </cell>
          <cell r="K145" t="str">
            <v>Erthwk_Borrow</v>
          </cell>
        </row>
        <row r="146">
          <cell r="B146" t="str">
            <v>L014.137</v>
          </cell>
          <cell r="C146" t="str">
            <v>Borrow, Crushed Stone, 10 mile round trip, no compaction</v>
          </cell>
          <cell r="D146" t="str">
            <v>C.Y.</v>
          </cell>
          <cell r="E146" t="str">
            <v>1,5,11</v>
          </cell>
          <cell r="F146" t="str">
            <v>5.1.5</v>
          </cell>
          <cell r="G146">
            <v>28.5</v>
          </cell>
          <cell r="H146" t="str">
            <v>Statewide</v>
          </cell>
          <cell r="I146">
            <v>28.5</v>
          </cell>
          <cell r="J146">
            <v>1</v>
          </cell>
          <cell r="K146" t="str">
            <v>Erthwk_Borrow</v>
          </cell>
        </row>
        <row r="147">
          <cell r="B147" t="str">
            <v>L014.138</v>
          </cell>
          <cell r="C147" t="str">
            <v>Borrow, Crushed Stone, 20 mile round trip, no compaction</v>
          </cell>
          <cell r="D147" t="str">
            <v>C.Y.</v>
          </cell>
          <cell r="E147" t="str">
            <v>1,5,11</v>
          </cell>
          <cell r="F147" t="str">
            <v>5.1.6</v>
          </cell>
          <cell r="G147">
            <v>36.5</v>
          </cell>
          <cell r="H147" t="str">
            <v>Statewide</v>
          </cell>
          <cell r="I147">
            <v>36.5</v>
          </cell>
          <cell r="J147">
            <v>1</v>
          </cell>
          <cell r="K147" t="str">
            <v>Erthwk_Borrow</v>
          </cell>
        </row>
        <row r="148">
          <cell r="B148" t="str">
            <v>L014.139</v>
          </cell>
          <cell r="C148" t="str">
            <v>Borrow, Crushed Stone, 5 mile round trip, no compaction</v>
          </cell>
          <cell r="D148" t="str">
            <v>C.Y.</v>
          </cell>
          <cell r="E148" t="str">
            <v>1,5,11</v>
          </cell>
          <cell r="F148" t="str">
            <v>5.1.4</v>
          </cell>
          <cell r="G148">
            <v>24.5</v>
          </cell>
          <cell r="H148" t="str">
            <v>Statewide</v>
          </cell>
          <cell r="I148">
            <v>24.5</v>
          </cell>
          <cell r="J148">
            <v>1</v>
          </cell>
          <cell r="K148" t="str">
            <v>Erthwk_Borrow</v>
          </cell>
        </row>
        <row r="149">
          <cell r="B149" t="str">
            <v>L014.140</v>
          </cell>
          <cell r="C149" t="str">
            <v>Borrow, Screened Loam 10 mile round trip, no compaction</v>
          </cell>
          <cell r="D149" t="str">
            <v>C.Y.</v>
          </cell>
          <cell r="E149" t="str">
            <v>1,5,11</v>
          </cell>
          <cell r="F149" t="str">
            <v>5.1.20</v>
          </cell>
          <cell r="G149">
            <v>35</v>
          </cell>
          <cell r="H149" t="str">
            <v>Statewide</v>
          </cell>
          <cell r="I149">
            <v>35</v>
          </cell>
          <cell r="J149">
            <v>1</v>
          </cell>
          <cell r="K149" t="str">
            <v>Erthwk_Borrow</v>
          </cell>
        </row>
        <row r="150">
          <cell r="B150" t="str">
            <v>L014.141</v>
          </cell>
          <cell r="C150" t="str">
            <v>Borrow, Screened Loam, 20 mile round trip, no compaction</v>
          </cell>
          <cell r="D150" t="str">
            <v>C.Y.</v>
          </cell>
          <cell r="E150" t="str">
            <v>1,5,11</v>
          </cell>
          <cell r="F150" t="str">
            <v>5.1.21</v>
          </cell>
          <cell r="G150">
            <v>43</v>
          </cell>
          <cell r="H150" t="str">
            <v>Statewide</v>
          </cell>
          <cell r="I150">
            <v>43</v>
          </cell>
          <cell r="J150">
            <v>1</v>
          </cell>
          <cell r="K150" t="str">
            <v>Erthwk_Borrow</v>
          </cell>
        </row>
        <row r="151">
          <cell r="B151" t="str">
            <v>L014.142</v>
          </cell>
          <cell r="C151" t="str">
            <v>Borrow, Screened Loam, 5 mile round trip, no compaction</v>
          </cell>
          <cell r="D151" t="str">
            <v>C.Y.</v>
          </cell>
          <cell r="E151" t="str">
            <v>1,5,11</v>
          </cell>
          <cell r="F151" t="str">
            <v>5.1.19</v>
          </cell>
          <cell r="G151">
            <v>31</v>
          </cell>
          <cell r="H151" t="str">
            <v>Statewide</v>
          </cell>
          <cell r="I151">
            <v>31</v>
          </cell>
          <cell r="J151">
            <v>1</v>
          </cell>
          <cell r="K151" t="str">
            <v>Erthwk_Borrow</v>
          </cell>
        </row>
        <row r="152">
          <cell r="B152" t="str">
            <v>L014.143</v>
          </cell>
          <cell r="C152" t="str">
            <v>Borrow, Bank Run Gravel, 10 mile round trip, no compaction</v>
          </cell>
          <cell r="D152" t="str">
            <v>C.Y.</v>
          </cell>
          <cell r="E152" t="str">
            <v>1,5,11</v>
          </cell>
          <cell r="F152" t="str">
            <v>5.1.8</v>
          </cell>
          <cell r="G152">
            <v>23.5</v>
          </cell>
          <cell r="H152" t="str">
            <v>Statewide</v>
          </cell>
          <cell r="I152">
            <v>23.5</v>
          </cell>
          <cell r="J152">
            <v>1</v>
          </cell>
          <cell r="K152" t="str">
            <v>Erthwk_Borrow</v>
          </cell>
        </row>
        <row r="153">
          <cell r="B153" t="str">
            <v>L014.144</v>
          </cell>
          <cell r="C153" t="str">
            <v>Borrow, Bank Run Gravel, 20 mile round trip, no compaction</v>
          </cell>
          <cell r="D153" t="str">
            <v>C.Y.</v>
          </cell>
          <cell r="E153" t="str">
            <v>1,5,11</v>
          </cell>
          <cell r="F153" t="str">
            <v>5.1.9</v>
          </cell>
          <cell r="G153">
            <v>31.5</v>
          </cell>
          <cell r="H153" t="str">
            <v>Statewide</v>
          </cell>
          <cell r="I153">
            <v>31.5</v>
          </cell>
          <cell r="J153">
            <v>1</v>
          </cell>
          <cell r="K153" t="str">
            <v>Erthwk_Borrow</v>
          </cell>
        </row>
        <row r="154">
          <cell r="B154" t="str">
            <v>L014.145</v>
          </cell>
          <cell r="C154" t="str">
            <v>Borrow, Bank Run Gravel, 5 mile round trip, no compaction</v>
          </cell>
          <cell r="D154" t="str">
            <v>C.Y.</v>
          </cell>
          <cell r="E154" t="str">
            <v>1,5,11</v>
          </cell>
          <cell r="F154" t="str">
            <v>5.1.7</v>
          </cell>
          <cell r="G154">
            <v>19.5</v>
          </cell>
          <cell r="H154" t="str">
            <v>Statewide</v>
          </cell>
          <cell r="I154">
            <v>19.5</v>
          </cell>
          <cell r="J154">
            <v>1</v>
          </cell>
          <cell r="K154" t="str">
            <v>Erthwk_Borrow</v>
          </cell>
        </row>
        <row r="155">
          <cell r="B155" t="str">
            <v>L014.146</v>
          </cell>
          <cell r="C155" t="str">
            <v>Borrow, Bank Sand, 10 mile round trip, no compaction</v>
          </cell>
          <cell r="D155" t="str">
            <v>C.Y.</v>
          </cell>
          <cell r="E155" t="str">
            <v>1,5,11</v>
          </cell>
          <cell r="F155" t="str">
            <v>5.1.17</v>
          </cell>
          <cell r="G155">
            <v>23.5</v>
          </cell>
          <cell r="H155" t="str">
            <v>Statewide</v>
          </cell>
          <cell r="I155">
            <v>23.5</v>
          </cell>
          <cell r="J155">
            <v>1</v>
          </cell>
          <cell r="K155" t="str">
            <v>Erthwk_Borrow</v>
          </cell>
        </row>
        <row r="156">
          <cell r="B156" t="str">
            <v>L014.147</v>
          </cell>
          <cell r="C156" t="str">
            <v>Borrow, Bank Sand, 20 mile round trip, no compaction</v>
          </cell>
          <cell r="D156" t="str">
            <v>C.Y.</v>
          </cell>
          <cell r="E156" t="str">
            <v>1,5,11</v>
          </cell>
          <cell r="F156" t="str">
            <v>5.1.18</v>
          </cell>
          <cell r="G156">
            <v>31.5</v>
          </cell>
          <cell r="H156" t="str">
            <v>Statewide</v>
          </cell>
          <cell r="I156">
            <v>31.5</v>
          </cell>
          <cell r="J156">
            <v>1</v>
          </cell>
          <cell r="K156" t="str">
            <v>Erthwk_Borrow</v>
          </cell>
        </row>
        <row r="157">
          <cell r="B157" t="str">
            <v>L014.148</v>
          </cell>
          <cell r="C157" t="str">
            <v>Borrow, Bank Sand, 5 mile round trip, no compaction</v>
          </cell>
          <cell r="D157" t="str">
            <v>C.Y.</v>
          </cell>
          <cell r="E157" t="str">
            <v>1,5,11</v>
          </cell>
          <cell r="F157" t="str">
            <v>5.1.16</v>
          </cell>
          <cell r="G157">
            <v>19.5</v>
          </cell>
          <cell r="H157" t="str">
            <v>Statewide</v>
          </cell>
          <cell r="I157">
            <v>19.5</v>
          </cell>
          <cell r="J157">
            <v>1</v>
          </cell>
          <cell r="K157" t="str">
            <v>Erthwk_Borrow</v>
          </cell>
        </row>
        <row r="158">
          <cell r="B158" t="str">
            <v>L014.149</v>
          </cell>
          <cell r="C158" t="str">
            <v>Borrow, Rock RipRap, 10 mile round trip, no compaction</v>
          </cell>
          <cell r="D158" t="str">
            <v>C.Y.</v>
          </cell>
          <cell r="E158" t="str">
            <v>1,5,11</v>
          </cell>
          <cell r="F158" t="str">
            <v>5.1.26</v>
          </cell>
          <cell r="G158">
            <v>32</v>
          </cell>
          <cell r="H158" t="str">
            <v>Statewide</v>
          </cell>
          <cell r="I158">
            <v>32</v>
          </cell>
          <cell r="J158">
            <v>1</v>
          </cell>
          <cell r="K158" t="str">
            <v>Erthwk_Borrow</v>
          </cell>
        </row>
        <row r="159">
          <cell r="B159" t="str">
            <v>L014.150</v>
          </cell>
          <cell r="C159" t="str">
            <v>Borrow, Rock RipRap, 20 mile round trip, no compaction</v>
          </cell>
          <cell r="D159" t="str">
            <v>C.Y.</v>
          </cell>
          <cell r="E159" t="str">
            <v>1,5,11</v>
          </cell>
          <cell r="F159" t="str">
            <v>5.1.27</v>
          </cell>
          <cell r="G159">
            <v>40</v>
          </cell>
          <cell r="H159" t="str">
            <v>Statewide</v>
          </cell>
          <cell r="I159">
            <v>40</v>
          </cell>
          <cell r="J159">
            <v>1</v>
          </cell>
          <cell r="K159" t="str">
            <v>Erthwk_Borrow</v>
          </cell>
        </row>
        <row r="160">
          <cell r="B160" t="str">
            <v>L014.151</v>
          </cell>
          <cell r="C160" t="str">
            <v>Borrow, Rock RipRap, 5 mile round trip, no compaction</v>
          </cell>
          <cell r="D160" t="str">
            <v>C.Y.</v>
          </cell>
          <cell r="E160" t="str">
            <v>1,5,11</v>
          </cell>
          <cell r="F160" t="str">
            <v>5.1.25</v>
          </cell>
          <cell r="G160">
            <v>28</v>
          </cell>
          <cell r="H160" t="str">
            <v>Statewide</v>
          </cell>
          <cell r="I160">
            <v>28</v>
          </cell>
          <cell r="J160">
            <v>1</v>
          </cell>
          <cell r="K160" t="str">
            <v>Erthwk_Borrow</v>
          </cell>
        </row>
        <row r="161">
          <cell r="B161" t="str">
            <v>L014.152</v>
          </cell>
          <cell r="C161" t="str">
            <v>Borrow, Washed Mfg. Sand, 10 mile round trip, no compaction</v>
          </cell>
          <cell r="D161" t="str">
            <v>C.Y.</v>
          </cell>
          <cell r="E161" t="str">
            <v>1,5,11</v>
          </cell>
          <cell r="F161" t="str">
            <v>5.1.14</v>
          </cell>
          <cell r="G161">
            <v>29</v>
          </cell>
          <cell r="H161" t="str">
            <v>Statewide</v>
          </cell>
          <cell r="I161">
            <v>29</v>
          </cell>
          <cell r="J161">
            <v>1</v>
          </cell>
          <cell r="K161" t="str">
            <v>Erthwk_Borrow</v>
          </cell>
        </row>
        <row r="162">
          <cell r="B162" t="str">
            <v>L014.153</v>
          </cell>
          <cell r="C162" t="str">
            <v>Borrow, Washed Mfg. Sand, 20 mile round trip, no compaction</v>
          </cell>
          <cell r="D162" t="str">
            <v>C.Y.</v>
          </cell>
          <cell r="E162" t="str">
            <v>1,5,11</v>
          </cell>
          <cell r="F162" t="str">
            <v>5.1.15</v>
          </cell>
          <cell r="G162">
            <v>37</v>
          </cell>
          <cell r="H162" t="str">
            <v>Statewide</v>
          </cell>
          <cell r="I162">
            <v>37</v>
          </cell>
          <cell r="J162">
            <v>1</v>
          </cell>
          <cell r="K162" t="str">
            <v>Erthwk_Borrow</v>
          </cell>
        </row>
        <row r="163">
          <cell r="B163" t="str">
            <v>L014.154</v>
          </cell>
          <cell r="C163" t="str">
            <v>Borrow, Washed Mfg. Sand, 5 mile round trip, no compaction</v>
          </cell>
          <cell r="D163" t="str">
            <v>C.Y.</v>
          </cell>
          <cell r="E163" t="str">
            <v>1,5,11</v>
          </cell>
          <cell r="F163" t="str">
            <v>5.1.13</v>
          </cell>
          <cell r="G163">
            <v>25</v>
          </cell>
          <cell r="H163" t="str">
            <v>Statewide</v>
          </cell>
          <cell r="I163">
            <v>25</v>
          </cell>
          <cell r="J163">
            <v>1</v>
          </cell>
          <cell r="K163" t="str">
            <v>Erthwk_Borrow</v>
          </cell>
        </row>
        <row r="164">
          <cell r="B164" t="str">
            <v>L014.389</v>
          </cell>
          <cell r="C164" t="str">
            <v>Borrow, Round Stone, washed, 5 mile round trip, no compaction</v>
          </cell>
          <cell r="D164" t="str">
            <v>C.Y.</v>
          </cell>
          <cell r="E164" t="str">
            <v>1,5,11</v>
          </cell>
          <cell r="F164" t="str">
            <v>5.1.1</v>
          </cell>
          <cell r="G164">
            <v>32</v>
          </cell>
          <cell r="H164" t="str">
            <v>Statewide</v>
          </cell>
          <cell r="I164">
            <v>32</v>
          </cell>
          <cell r="J164">
            <v>1</v>
          </cell>
          <cell r="K164" t="str">
            <v>Erthwk_Borrow</v>
          </cell>
        </row>
        <row r="165">
          <cell r="B165" t="str">
            <v>L014.390</v>
          </cell>
          <cell r="C165" t="str">
            <v>Borrow, Round Stone, washed, 10 mile round trip, no compaction</v>
          </cell>
          <cell r="D165" t="str">
            <v>C.Y.</v>
          </cell>
          <cell r="E165" t="str">
            <v>1,5,11</v>
          </cell>
          <cell r="F165" t="str">
            <v>5.1.2</v>
          </cell>
          <cell r="G165">
            <v>36</v>
          </cell>
          <cell r="H165" t="str">
            <v>Statewide</v>
          </cell>
          <cell r="I165">
            <v>36</v>
          </cell>
          <cell r="J165">
            <v>1</v>
          </cell>
          <cell r="K165" t="str">
            <v>Erthwk_Borrow</v>
          </cell>
        </row>
        <row r="166">
          <cell r="B166" t="str">
            <v>L014.391</v>
          </cell>
          <cell r="C166" t="str">
            <v>Borrow, Round Stone, washed, 20 mile round trip, no compaction</v>
          </cell>
          <cell r="D166" t="str">
            <v>C.Y.</v>
          </cell>
          <cell r="E166" t="str">
            <v>1,5,11</v>
          </cell>
          <cell r="F166" t="str">
            <v>5.1.3</v>
          </cell>
          <cell r="G166">
            <v>44</v>
          </cell>
          <cell r="H166" t="str">
            <v>Statewide</v>
          </cell>
          <cell r="I166">
            <v>44</v>
          </cell>
          <cell r="J166">
            <v>1</v>
          </cell>
          <cell r="K166" t="str">
            <v>Erthwk_Borrow</v>
          </cell>
        </row>
        <row r="167">
          <cell r="B167" t="str">
            <v>L014.392</v>
          </cell>
          <cell r="C167" t="str">
            <v>Borrow, Stone Dust, 5 mile round trip, no compaction</v>
          </cell>
          <cell r="D167" t="str">
            <v>C.Y.</v>
          </cell>
          <cell r="E167" t="str">
            <v>1,5,11</v>
          </cell>
          <cell r="F167" t="str">
            <v>5.1.25</v>
          </cell>
          <cell r="G167">
            <v>28</v>
          </cell>
          <cell r="H167" t="str">
            <v>Statewide</v>
          </cell>
          <cell r="I167">
            <v>28</v>
          </cell>
          <cell r="J167">
            <v>1</v>
          </cell>
          <cell r="K167" t="str">
            <v>Erthwk_Borrow</v>
          </cell>
        </row>
        <row r="168">
          <cell r="B168" t="str">
            <v>L014.393</v>
          </cell>
          <cell r="C168" t="str">
            <v>Borrow, Stone Dust, 10 mile round trip, no compaction</v>
          </cell>
          <cell r="D168" t="str">
            <v>C.Y.</v>
          </cell>
          <cell r="E168" t="str">
            <v>1,5,11</v>
          </cell>
          <cell r="F168" t="str">
            <v>5.1.26</v>
          </cell>
          <cell r="G168">
            <v>32</v>
          </cell>
          <cell r="H168" t="str">
            <v>Statewide</v>
          </cell>
          <cell r="I168">
            <v>32</v>
          </cell>
          <cell r="J168">
            <v>1</v>
          </cell>
          <cell r="K168" t="str">
            <v>Erthwk_Borrow</v>
          </cell>
        </row>
        <row r="169">
          <cell r="B169" t="str">
            <v>L014.394</v>
          </cell>
          <cell r="C169" t="str">
            <v>Borrow, Stone Dust, 20 mile round trip, no compaction</v>
          </cell>
          <cell r="D169" t="str">
            <v>C.Y.</v>
          </cell>
          <cell r="E169" t="str">
            <v>1,5,11</v>
          </cell>
          <cell r="F169" t="str">
            <v>5.1.27</v>
          </cell>
          <cell r="G169">
            <v>40</v>
          </cell>
          <cell r="H169" t="str">
            <v>Statewide</v>
          </cell>
          <cell r="I169">
            <v>40</v>
          </cell>
          <cell r="J169">
            <v>1</v>
          </cell>
          <cell r="K169" t="str">
            <v>Erthwk_Borrow</v>
          </cell>
        </row>
        <row r="170">
          <cell r="B170" t="str">
            <v>L014.406</v>
          </cell>
          <cell r="C170" t="str">
            <v>Compaction, tracked dozer only, 2 passes, 6" lifts</v>
          </cell>
          <cell r="D170" t="str">
            <v>C.Y.</v>
          </cell>
          <cell r="G170">
            <v>0.5</v>
          </cell>
          <cell r="H170" t="str">
            <v>Statewide</v>
          </cell>
          <cell r="I170">
            <v>0.5</v>
          </cell>
          <cell r="J170">
            <v>1</v>
          </cell>
          <cell r="K170" t="str">
            <v>Erthwk_Fill</v>
          </cell>
        </row>
        <row r="171">
          <cell r="B171" t="str">
            <v>L014.407</v>
          </cell>
          <cell r="C171" t="str">
            <v>Compaction, tracked dozer only, 3 passes, 6" lifts</v>
          </cell>
          <cell r="D171" t="str">
            <v>C.Y.</v>
          </cell>
          <cell r="G171">
            <v>0.75</v>
          </cell>
          <cell r="H171" t="str">
            <v>Statewide</v>
          </cell>
          <cell r="I171">
            <v>0.75</v>
          </cell>
          <cell r="J171">
            <v>1</v>
          </cell>
          <cell r="K171" t="str">
            <v>Erthwk_Fill</v>
          </cell>
        </row>
        <row r="172">
          <cell r="B172" t="str">
            <v>L014.408</v>
          </cell>
          <cell r="C172" t="str">
            <v>Compaction, tracked dozer only, 2 passes, 12" lifts</v>
          </cell>
          <cell r="D172" t="str">
            <v>C.Y.</v>
          </cell>
          <cell r="G172">
            <v>0.3</v>
          </cell>
          <cell r="H172" t="str">
            <v>Statewide</v>
          </cell>
          <cell r="I172">
            <v>0.3</v>
          </cell>
          <cell r="J172">
            <v>1</v>
          </cell>
          <cell r="K172" t="str">
            <v>Erthwk_Fill</v>
          </cell>
        </row>
        <row r="173">
          <cell r="B173" t="str">
            <v>L014.409</v>
          </cell>
          <cell r="C173" t="str">
            <v>Compaction, tracked dozer only, 3 passes, 12" lifts</v>
          </cell>
          <cell r="D173" t="str">
            <v>C.Y.</v>
          </cell>
          <cell r="G173">
            <v>0.4</v>
          </cell>
          <cell r="H173" t="str">
            <v>Statewide</v>
          </cell>
          <cell r="I173">
            <v>0.4</v>
          </cell>
          <cell r="J173">
            <v>1</v>
          </cell>
          <cell r="K173" t="str">
            <v>Erthwk_Fill</v>
          </cell>
        </row>
        <row r="174">
          <cell r="B174" t="str">
            <v>L014.410</v>
          </cell>
          <cell r="C174" t="str">
            <v>Hauling, excavated material, off-highway dump truck, up to 500 ft RT</v>
          </cell>
          <cell r="D174" t="str">
            <v>C.Y.</v>
          </cell>
          <cell r="G174">
            <v>1.63</v>
          </cell>
          <cell r="H174" t="str">
            <v>Statewide</v>
          </cell>
          <cell r="I174">
            <v>1.63</v>
          </cell>
          <cell r="J174">
            <v>1</v>
          </cell>
          <cell r="K174" t="str">
            <v>Erthwk_Hauling</v>
          </cell>
        </row>
        <row r="175">
          <cell r="B175" t="str">
            <v>L014.411</v>
          </cell>
          <cell r="C175" t="str">
            <v>Hauling, excavated material, off-highway dump truck, 1000 ft RT</v>
          </cell>
          <cell r="D175" t="str">
            <v>C.Y.</v>
          </cell>
          <cell r="G175">
            <v>2</v>
          </cell>
          <cell r="H175" t="str">
            <v>Statewide</v>
          </cell>
          <cell r="I175">
            <v>2</v>
          </cell>
          <cell r="J175">
            <v>1</v>
          </cell>
          <cell r="K175" t="str">
            <v>Erthwk_Hauling</v>
          </cell>
        </row>
        <row r="176">
          <cell r="B176" t="str">
            <v>L014.412</v>
          </cell>
          <cell r="C176" t="str">
            <v>Hauling, excavated material, off-highway dump truck, 1/2 mile RT</v>
          </cell>
          <cell r="D176" t="str">
            <v>C.Y.</v>
          </cell>
          <cell r="G176">
            <v>2.38</v>
          </cell>
          <cell r="H176" t="str">
            <v>Statewide</v>
          </cell>
          <cell r="I176">
            <v>2.38</v>
          </cell>
          <cell r="J176">
            <v>1</v>
          </cell>
          <cell r="K176" t="str">
            <v>Erthwk_Hauling</v>
          </cell>
        </row>
        <row r="177">
          <cell r="B177" t="str">
            <v>L014.413</v>
          </cell>
          <cell r="C177" t="str">
            <v>Hauling, excavated material, off-highway dump truck, 1 mile RT</v>
          </cell>
          <cell r="D177" t="str">
            <v>C.Y.</v>
          </cell>
          <cell r="G177">
            <v>2.58</v>
          </cell>
          <cell r="H177" t="str">
            <v>Statewide</v>
          </cell>
          <cell r="I177">
            <v>2.58</v>
          </cell>
          <cell r="J177">
            <v>1</v>
          </cell>
          <cell r="K177" t="str">
            <v>Erthwk_Hauling</v>
          </cell>
        </row>
        <row r="178">
          <cell r="B178" t="str">
            <v>L014.159</v>
          </cell>
          <cell r="C178" t="str">
            <v>Brace, Corner Type, Fence</v>
          </cell>
          <cell r="D178" t="str">
            <v>L.F.</v>
          </cell>
          <cell r="E178">
            <v>50</v>
          </cell>
          <cell r="F178" t="str">
            <v>7.1.22</v>
          </cell>
          <cell r="G178">
            <v>132</v>
          </cell>
          <cell r="H178" t="str">
            <v>Statewide</v>
          </cell>
          <cell r="I178">
            <v>132</v>
          </cell>
          <cell r="J178">
            <v>1</v>
          </cell>
          <cell r="K178" t="str">
            <v>Fence</v>
          </cell>
        </row>
        <row r="179">
          <cell r="B179" t="str">
            <v>L014.160</v>
          </cell>
          <cell r="C179" t="str">
            <v>Brace, End Type, Fence</v>
          </cell>
          <cell r="D179" t="str">
            <v>L.F.</v>
          </cell>
          <cell r="E179">
            <v>50</v>
          </cell>
          <cell r="F179" t="str">
            <v>7.1.23</v>
          </cell>
          <cell r="G179">
            <v>79</v>
          </cell>
          <cell r="H179" t="str">
            <v>Statewide</v>
          </cell>
          <cell r="I179">
            <v>79</v>
          </cell>
          <cell r="J179">
            <v>1</v>
          </cell>
          <cell r="K179" t="str">
            <v>Fence</v>
          </cell>
        </row>
        <row r="180">
          <cell r="B180" t="str">
            <v>L014.161</v>
          </cell>
          <cell r="C180" t="str">
            <v>Charger, Fence, &gt; 2000ft</v>
          </cell>
          <cell r="D180" t="str">
            <v>L.F.</v>
          </cell>
          <cell r="E180">
            <v>50</v>
          </cell>
          <cell r="F180" t="str">
            <v>7.1.24</v>
          </cell>
          <cell r="G180">
            <v>550</v>
          </cell>
          <cell r="H180" t="str">
            <v>Statewide</v>
          </cell>
          <cell r="I180">
            <v>550</v>
          </cell>
          <cell r="J180">
            <v>1</v>
          </cell>
          <cell r="K180" t="str">
            <v>Fence</v>
          </cell>
        </row>
        <row r="181">
          <cell r="B181" t="str">
            <v>L014.162</v>
          </cell>
          <cell r="C181" t="str">
            <v>Charger, Fence, 12V Solar Powered, &lt; 15 acres</v>
          </cell>
          <cell r="D181" t="str">
            <v>L.F.</v>
          </cell>
          <cell r="E181">
            <v>50</v>
          </cell>
          <cell r="F181" t="str">
            <v>7.1.25</v>
          </cell>
          <cell r="G181">
            <v>300</v>
          </cell>
          <cell r="H181" t="str">
            <v>Statewide</v>
          </cell>
          <cell r="I181">
            <v>300</v>
          </cell>
          <cell r="J181">
            <v>1</v>
          </cell>
          <cell r="K181" t="str">
            <v>Fence</v>
          </cell>
        </row>
        <row r="182">
          <cell r="B182" t="str">
            <v>L014.163</v>
          </cell>
          <cell r="C182" t="str">
            <v>Charger, Fence, 12V Solar Powered &gt; 15 acres</v>
          </cell>
          <cell r="D182" t="str">
            <v>L.F.</v>
          </cell>
          <cell r="E182">
            <v>50</v>
          </cell>
          <cell r="F182" t="str">
            <v>7.1.28</v>
          </cell>
          <cell r="G182">
            <v>1100</v>
          </cell>
          <cell r="H182" t="str">
            <v>Statewide</v>
          </cell>
          <cell r="I182">
            <v>1100</v>
          </cell>
          <cell r="J182">
            <v>1</v>
          </cell>
          <cell r="K182" t="str">
            <v>Fence</v>
          </cell>
        </row>
        <row r="183">
          <cell r="B183" t="str">
            <v>L014.164</v>
          </cell>
          <cell r="C183" t="str">
            <v xml:space="preserve">Fence, Barbed Wire, 3 strand </v>
          </cell>
          <cell r="D183" t="str">
            <v>L.F.</v>
          </cell>
          <cell r="E183">
            <v>50</v>
          </cell>
          <cell r="F183" t="str">
            <v>7.1.6</v>
          </cell>
          <cell r="G183">
            <v>2</v>
          </cell>
          <cell r="H183" t="str">
            <v>Statewide</v>
          </cell>
          <cell r="I183">
            <v>2</v>
          </cell>
          <cell r="J183">
            <v>1</v>
          </cell>
          <cell r="K183" t="str">
            <v>Fence</v>
          </cell>
        </row>
        <row r="184">
          <cell r="B184" t="str">
            <v>L014.165</v>
          </cell>
          <cell r="C184" t="str">
            <v xml:space="preserve">Fence, Barbed Wire, 4 strand </v>
          </cell>
          <cell r="D184" t="str">
            <v>L.F.</v>
          </cell>
          <cell r="E184">
            <v>50</v>
          </cell>
          <cell r="F184" t="str">
            <v>7.1.7</v>
          </cell>
          <cell r="G184">
            <v>2.3199999999999998</v>
          </cell>
          <cell r="H184" t="str">
            <v>Statewide</v>
          </cell>
          <cell r="I184">
            <v>2.3199999999999998</v>
          </cell>
          <cell r="J184">
            <v>1</v>
          </cell>
          <cell r="K184" t="str">
            <v>Fence</v>
          </cell>
        </row>
        <row r="185">
          <cell r="B185" t="str">
            <v>L014.166</v>
          </cell>
          <cell r="C185" t="str">
            <v xml:space="preserve">Fence, Barbed Wire, 5 strand </v>
          </cell>
          <cell r="D185" t="str">
            <v>L.F.</v>
          </cell>
          <cell r="E185">
            <v>50</v>
          </cell>
          <cell r="F185" t="str">
            <v>7.1.8</v>
          </cell>
          <cell r="G185">
            <v>2.59</v>
          </cell>
          <cell r="H185" t="str">
            <v>Statewide</v>
          </cell>
          <cell r="I185">
            <v>2.59</v>
          </cell>
          <cell r="J185">
            <v>1</v>
          </cell>
          <cell r="K185" t="str">
            <v>Fence</v>
          </cell>
        </row>
        <row r="186">
          <cell r="B186" t="str">
            <v>L014.167</v>
          </cell>
          <cell r="C186" t="str">
            <v xml:space="preserve">Fence, Electric, 2 strand </v>
          </cell>
          <cell r="D186" t="str">
            <v>L.F.</v>
          </cell>
          <cell r="E186">
            <v>50</v>
          </cell>
          <cell r="F186" t="str">
            <v>7.1.2</v>
          </cell>
          <cell r="G186">
            <v>1.29</v>
          </cell>
          <cell r="H186" t="str">
            <v>Statewide</v>
          </cell>
          <cell r="I186">
            <v>1.29</v>
          </cell>
          <cell r="J186">
            <v>1</v>
          </cell>
          <cell r="K186" t="str">
            <v>Fence</v>
          </cell>
        </row>
        <row r="187">
          <cell r="B187" t="str">
            <v>L014.168</v>
          </cell>
          <cell r="C187" t="str">
            <v>Fence, Electric, portable polywire or tape w/ posts</v>
          </cell>
          <cell r="D187" t="str">
            <v>L.F.</v>
          </cell>
          <cell r="E187">
            <v>50</v>
          </cell>
          <cell r="F187" t="str">
            <v>7.1.21</v>
          </cell>
          <cell r="G187">
            <v>0.18</v>
          </cell>
          <cell r="H187" t="str">
            <v>Statewide</v>
          </cell>
          <cell r="I187">
            <v>0.18</v>
          </cell>
          <cell r="J187">
            <v>1</v>
          </cell>
          <cell r="K187" t="str">
            <v>Fence</v>
          </cell>
        </row>
        <row r="188">
          <cell r="B188" t="str">
            <v>L014.169</v>
          </cell>
          <cell r="C188" t="str">
            <v xml:space="preserve">Fence, High Tensile, 2 strand </v>
          </cell>
          <cell r="D188" t="str">
            <v>L.F.</v>
          </cell>
          <cell r="E188">
            <v>50</v>
          </cell>
          <cell r="F188" t="str">
            <v>7.1.9</v>
          </cell>
          <cell r="G188">
            <v>1.1200000000000001</v>
          </cell>
          <cell r="H188" t="str">
            <v>Statewide</v>
          </cell>
          <cell r="I188">
            <v>1.1200000000000001</v>
          </cell>
          <cell r="J188">
            <v>1</v>
          </cell>
          <cell r="K188" t="str">
            <v>Fence</v>
          </cell>
        </row>
        <row r="189">
          <cell r="B189" t="str">
            <v>L014.170</v>
          </cell>
          <cell r="C189" t="str">
            <v xml:space="preserve">Fence, High Tensile, 3 strand </v>
          </cell>
          <cell r="D189" t="str">
            <v>L.F.</v>
          </cell>
          <cell r="E189">
            <v>50</v>
          </cell>
          <cell r="F189" t="str">
            <v>7.1.10</v>
          </cell>
          <cell r="G189">
            <v>1.3</v>
          </cell>
          <cell r="H189" t="str">
            <v>Statewide</v>
          </cell>
          <cell r="I189">
            <v>1.3</v>
          </cell>
          <cell r="J189">
            <v>1</v>
          </cell>
          <cell r="K189" t="str">
            <v>Fence</v>
          </cell>
        </row>
        <row r="190">
          <cell r="B190" t="str">
            <v>L014.171</v>
          </cell>
          <cell r="C190" t="str">
            <v xml:space="preserve">Fence, High Tensile, 4 strand </v>
          </cell>
          <cell r="D190" t="str">
            <v>L.F.</v>
          </cell>
          <cell r="E190">
            <v>50</v>
          </cell>
          <cell r="F190" t="str">
            <v>7.1.11</v>
          </cell>
          <cell r="G190">
            <v>1.64</v>
          </cell>
          <cell r="H190" t="str">
            <v>Statewide</v>
          </cell>
          <cell r="I190">
            <v>1.64</v>
          </cell>
          <cell r="J190">
            <v>1</v>
          </cell>
          <cell r="K190" t="str">
            <v>Fence</v>
          </cell>
        </row>
        <row r="191">
          <cell r="B191" t="str">
            <v>L014.172</v>
          </cell>
          <cell r="C191" t="str">
            <v xml:space="preserve">Fence, High Tensile, 5 strand </v>
          </cell>
          <cell r="D191" t="str">
            <v>L.F.</v>
          </cell>
          <cell r="E191">
            <v>50</v>
          </cell>
          <cell r="F191" t="str">
            <v>7.1.12</v>
          </cell>
          <cell r="G191">
            <v>1.89</v>
          </cell>
          <cell r="H191" t="str">
            <v>Statewide</v>
          </cell>
          <cell r="I191">
            <v>1.89</v>
          </cell>
          <cell r="J191">
            <v>1</v>
          </cell>
          <cell r="K191" t="str">
            <v>Fence</v>
          </cell>
        </row>
        <row r="192">
          <cell r="B192" t="str">
            <v>L014.173</v>
          </cell>
          <cell r="C192" t="str">
            <v xml:space="preserve">Fence, High Tensile, 6 strand </v>
          </cell>
          <cell r="D192" t="str">
            <v>L.F.</v>
          </cell>
          <cell r="E192">
            <v>50</v>
          </cell>
          <cell r="F192" t="str">
            <v>7.1.13</v>
          </cell>
          <cell r="G192">
            <v>2.17</v>
          </cell>
          <cell r="H192" t="str">
            <v>Statewide</v>
          </cell>
          <cell r="I192">
            <v>2.17</v>
          </cell>
          <cell r="J192">
            <v>1</v>
          </cell>
          <cell r="K192" t="str">
            <v>Fence</v>
          </cell>
        </row>
        <row r="193">
          <cell r="B193" t="str">
            <v>L014.174</v>
          </cell>
          <cell r="C193" t="str">
            <v>Fence, High Tensile, 6 strand, straight &amp; long lengths (field fencing)</v>
          </cell>
          <cell r="D193" t="str">
            <v>L.F.</v>
          </cell>
          <cell r="E193">
            <v>50</v>
          </cell>
          <cell r="F193" t="str">
            <v>7.1.14</v>
          </cell>
          <cell r="G193">
            <v>1.6</v>
          </cell>
          <cell r="H193" t="str">
            <v>Statewide</v>
          </cell>
          <cell r="I193">
            <v>1.6</v>
          </cell>
          <cell r="J193">
            <v>1</v>
          </cell>
          <cell r="K193" t="str">
            <v>Fence</v>
          </cell>
        </row>
        <row r="194">
          <cell r="B194" t="str">
            <v>L014.175</v>
          </cell>
          <cell r="C194" t="str">
            <v>Fence, Steel post w/ 2 steel rails</v>
          </cell>
          <cell r="D194" t="str">
            <v>L.F.</v>
          </cell>
          <cell r="E194">
            <v>50</v>
          </cell>
          <cell r="F194" t="str">
            <v>7.1.5</v>
          </cell>
          <cell r="G194">
            <v>6.36</v>
          </cell>
          <cell r="H194" t="str">
            <v>Statewide</v>
          </cell>
          <cell r="I194">
            <v>6.36</v>
          </cell>
          <cell r="J194">
            <v>1</v>
          </cell>
          <cell r="K194" t="str">
            <v>Fence</v>
          </cell>
        </row>
        <row r="195">
          <cell r="B195" t="str">
            <v>L014.176</v>
          </cell>
          <cell r="C195" t="str">
            <v xml:space="preserve">Fence, Wood, 3 board </v>
          </cell>
          <cell r="D195" t="str">
            <v>L.F.</v>
          </cell>
          <cell r="E195">
            <v>50</v>
          </cell>
          <cell r="F195" t="str">
            <v>7.1.4</v>
          </cell>
          <cell r="G195">
            <v>4.7</v>
          </cell>
          <cell r="H195" t="str">
            <v>Statewide</v>
          </cell>
          <cell r="I195">
            <v>4.7</v>
          </cell>
          <cell r="J195">
            <v>1</v>
          </cell>
          <cell r="K195" t="str">
            <v>Fence</v>
          </cell>
        </row>
        <row r="196">
          <cell r="B196" t="str">
            <v>L014.177</v>
          </cell>
          <cell r="C196" t="str">
            <v>Fence, Woven Wire</v>
          </cell>
          <cell r="D196" t="str">
            <v>L.F.</v>
          </cell>
          <cell r="E196">
            <v>50</v>
          </cell>
          <cell r="F196" t="str">
            <v>7.1.15</v>
          </cell>
          <cell r="G196">
            <v>2.94</v>
          </cell>
          <cell r="H196" t="str">
            <v>Statewide</v>
          </cell>
          <cell r="I196">
            <v>2.94</v>
          </cell>
          <cell r="J196">
            <v>1</v>
          </cell>
          <cell r="K196" t="str">
            <v>Fence</v>
          </cell>
        </row>
        <row r="197">
          <cell r="B197" t="str">
            <v>L014.178</v>
          </cell>
          <cell r="C197" t="str">
            <v>Fencing, 19 ga.Stainless Steel Wire, Portable Fencing</v>
          </cell>
          <cell r="D197" t="str">
            <v>L.F.</v>
          </cell>
          <cell r="E197">
            <v>50</v>
          </cell>
          <cell r="F197" t="str">
            <v>7.1.16</v>
          </cell>
          <cell r="G197">
            <v>0.05</v>
          </cell>
          <cell r="H197" t="str">
            <v>Statewide</v>
          </cell>
          <cell r="I197">
            <v>0.05</v>
          </cell>
          <cell r="J197">
            <v>1</v>
          </cell>
          <cell r="K197" t="str">
            <v>Fence</v>
          </cell>
        </row>
        <row r="198">
          <cell r="B198" t="str">
            <v>L014.179</v>
          </cell>
          <cell r="C198" t="str">
            <v>Fencing, Deer Net, 8ft - material cost only</v>
          </cell>
          <cell r="D198" t="str">
            <v>L.F.</v>
          </cell>
          <cell r="E198">
            <v>50</v>
          </cell>
          <cell r="F198" t="str">
            <v>7.1.17</v>
          </cell>
          <cell r="G198">
            <v>0.65</v>
          </cell>
          <cell r="H198" t="str">
            <v>Statewide</v>
          </cell>
          <cell r="I198">
            <v>0.65</v>
          </cell>
          <cell r="J198">
            <v>1</v>
          </cell>
          <cell r="K198" t="str">
            <v>Fence</v>
          </cell>
        </row>
        <row r="199">
          <cell r="B199" t="str">
            <v>L014.180</v>
          </cell>
          <cell r="C199" t="str">
            <v>Fencing, Poly Net (sheep &amp; chickens) - material cost only</v>
          </cell>
          <cell r="D199" t="str">
            <v>L.F.</v>
          </cell>
          <cell r="E199">
            <v>50</v>
          </cell>
          <cell r="F199" t="str">
            <v>7.1.18</v>
          </cell>
          <cell r="G199">
            <v>0.79</v>
          </cell>
          <cell r="H199" t="str">
            <v>Statewide</v>
          </cell>
          <cell r="I199">
            <v>0.79</v>
          </cell>
          <cell r="J199">
            <v>1</v>
          </cell>
          <cell r="K199" t="str">
            <v>Fence</v>
          </cell>
        </row>
        <row r="200">
          <cell r="B200" t="str">
            <v>L014.181</v>
          </cell>
          <cell r="C200" t="str">
            <v>Fencing, Poly Wire - material cost only</v>
          </cell>
          <cell r="D200" t="str">
            <v>L.F.</v>
          </cell>
          <cell r="E200">
            <v>50</v>
          </cell>
          <cell r="F200" t="str">
            <v>7.1.19</v>
          </cell>
          <cell r="G200">
            <v>0.04</v>
          </cell>
          <cell r="H200" t="str">
            <v>Statewide</v>
          </cell>
          <cell r="I200">
            <v>0.04</v>
          </cell>
          <cell r="J200">
            <v>1</v>
          </cell>
          <cell r="K200" t="str">
            <v>Fence</v>
          </cell>
        </row>
        <row r="201">
          <cell r="B201" t="str">
            <v>L014.182</v>
          </cell>
          <cell r="C201" t="str">
            <v>Fencing, Ribbon Type (horses) - material cost only</v>
          </cell>
          <cell r="D201" t="str">
            <v>L.F.</v>
          </cell>
          <cell r="E201">
            <v>50</v>
          </cell>
          <cell r="F201" t="str">
            <v>7.1.20</v>
          </cell>
          <cell r="G201">
            <v>0.14000000000000001</v>
          </cell>
          <cell r="H201" t="str">
            <v>Statewide</v>
          </cell>
          <cell r="I201">
            <v>0.14000000000000001</v>
          </cell>
          <cell r="J201">
            <v>1</v>
          </cell>
          <cell r="K201" t="str">
            <v>Fence</v>
          </cell>
        </row>
        <row r="202">
          <cell r="B202" t="str">
            <v>L014.183</v>
          </cell>
          <cell r="C202" t="str">
            <v>Gate, Fence, heavy duty</v>
          </cell>
          <cell r="D202" t="str">
            <v>L.F.</v>
          </cell>
          <cell r="E202">
            <v>50</v>
          </cell>
          <cell r="F202" t="str">
            <v>7.2.2</v>
          </cell>
          <cell r="G202">
            <v>17.649999999999999</v>
          </cell>
          <cell r="H202" t="str">
            <v>Statewide</v>
          </cell>
          <cell r="I202">
            <v>17.649999999999999</v>
          </cell>
          <cell r="J202">
            <v>1</v>
          </cell>
          <cell r="K202" t="str">
            <v>Fence</v>
          </cell>
        </row>
        <row r="203">
          <cell r="B203" t="str">
            <v>L014.184</v>
          </cell>
          <cell r="C203" t="str">
            <v>Gate, Fence, light duty</v>
          </cell>
          <cell r="D203" t="str">
            <v>L.F.</v>
          </cell>
          <cell r="E203">
            <v>50</v>
          </cell>
          <cell r="F203" t="str">
            <v>7.2.1</v>
          </cell>
          <cell r="G203">
            <v>14.75</v>
          </cell>
          <cell r="H203" t="str">
            <v>Statewide</v>
          </cell>
          <cell r="I203">
            <v>14.75</v>
          </cell>
          <cell r="J203">
            <v>1</v>
          </cell>
          <cell r="K203" t="str">
            <v>Fence</v>
          </cell>
        </row>
        <row r="204">
          <cell r="B204" t="str">
            <v>L014.185</v>
          </cell>
          <cell r="C204" t="str">
            <v>Gate, Fence, Panel Type</v>
          </cell>
          <cell r="D204" t="str">
            <v>EA.</v>
          </cell>
          <cell r="E204">
            <v>50</v>
          </cell>
          <cell r="F204" t="str">
            <v>7.2.3</v>
          </cell>
          <cell r="G204">
            <v>175</v>
          </cell>
          <cell r="H204" t="str">
            <v>Statewide</v>
          </cell>
          <cell r="I204">
            <v>175</v>
          </cell>
          <cell r="J204">
            <v>1</v>
          </cell>
          <cell r="K204" t="str">
            <v>Fence</v>
          </cell>
        </row>
        <row r="205">
          <cell r="B205" t="str">
            <v>L014.186</v>
          </cell>
          <cell r="C205" t="str">
            <v>Gate, Fence, Spring Type, 2 Wire</v>
          </cell>
          <cell r="D205" t="str">
            <v>EA.</v>
          </cell>
          <cell r="E205">
            <v>50</v>
          </cell>
          <cell r="F205" t="str">
            <v>7.2.4</v>
          </cell>
          <cell r="G205">
            <v>35</v>
          </cell>
          <cell r="H205" t="str">
            <v>Statewide</v>
          </cell>
          <cell r="I205">
            <v>35</v>
          </cell>
          <cell r="J205">
            <v>1</v>
          </cell>
          <cell r="K205" t="str">
            <v>Fence</v>
          </cell>
        </row>
        <row r="206">
          <cell r="B206" t="str">
            <v>L014.187</v>
          </cell>
          <cell r="C206" t="str">
            <v>Post, Fence, Cedar 6 ft, material cost only</v>
          </cell>
          <cell r="D206" t="str">
            <v>EA.</v>
          </cell>
          <cell r="E206">
            <v>50</v>
          </cell>
          <cell r="F206" t="str">
            <v>7.1.26</v>
          </cell>
          <cell r="G206">
            <v>2.5</v>
          </cell>
          <cell r="H206" t="str">
            <v>Statewide</v>
          </cell>
          <cell r="I206">
            <v>2.5</v>
          </cell>
          <cell r="J206">
            <v>1</v>
          </cell>
          <cell r="K206" t="str">
            <v>Fence</v>
          </cell>
        </row>
        <row r="207">
          <cell r="B207" t="str">
            <v>L014.188</v>
          </cell>
          <cell r="C207" t="str">
            <v>Post, Portable Fence, material cost only</v>
          </cell>
          <cell r="D207" t="str">
            <v>EA.</v>
          </cell>
          <cell r="E207">
            <v>50</v>
          </cell>
          <cell r="F207" t="str">
            <v>7.1.27</v>
          </cell>
          <cell r="G207">
            <v>2</v>
          </cell>
          <cell r="H207" t="str">
            <v>Statewide</v>
          </cell>
          <cell r="I207">
            <v>2</v>
          </cell>
          <cell r="J207">
            <v>1</v>
          </cell>
          <cell r="K207" t="str">
            <v>Fence</v>
          </cell>
        </row>
        <row r="208">
          <cell r="B208" t="str">
            <v>L014.189</v>
          </cell>
          <cell r="C208" t="str">
            <v>Safety Signs, Structure, attached to fence</v>
          </cell>
          <cell r="D208" t="str">
            <v>EA.</v>
          </cell>
          <cell r="E208">
            <v>50</v>
          </cell>
          <cell r="F208" t="str">
            <v>24.12.2</v>
          </cell>
          <cell r="G208">
            <v>15</v>
          </cell>
          <cell r="H208" t="str">
            <v>Statewide</v>
          </cell>
          <cell r="I208">
            <v>15</v>
          </cell>
          <cell r="J208">
            <v>1</v>
          </cell>
          <cell r="K208" t="str">
            <v>Fence</v>
          </cell>
        </row>
        <row r="209">
          <cell r="B209" t="str">
            <v>L014.403</v>
          </cell>
          <cell r="C209" t="str">
            <v>Fence, Safety fence around waste storage, wire</v>
          </cell>
          <cell r="D209" t="str">
            <v>L.F.</v>
          </cell>
          <cell r="G209">
            <v>6.5</v>
          </cell>
          <cell r="H209" t="str">
            <v>Statewide</v>
          </cell>
          <cell r="I209">
            <v>6.5</v>
          </cell>
          <cell r="J209">
            <v>1</v>
          </cell>
          <cell r="K209" t="str">
            <v>Fence</v>
          </cell>
        </row>
        <row r="210">
          <cell r="B210" t="str">
            <v>L014.404</v>
          </cell>
          <cell r="C210" t="str">
            <v>Fence, Gate</v>
          </cell>
          <cell r="D210" t="str">
            <v>L.F.</v>
          </cell>
          <cell r="G210">
            <v>24</v>
          </cell>
          <cell r="H210" t="str">
            <v>Statewide</v>
          </cell>
          <cell r="I210">
            <v>24</v>
          </cell>
          <cell r="J210">
            <v>1</v>
          </cell>
          <cell r="K210" t="str">
            <v>Fence</v>
          </cell>
        </row>
        <row r="211">
          <cell r="B211" t="str">
            <v>L014.432</v>
          </cell>
          <cell r="C211" t="str">
            <v>Fence, Barnyard</v>
          </cell>
          <cell r="D211" t="str">
            <v>L.F.</v>
          </cell>
          <cell r="G211">
            <v>6.5</v>
          </cell>
          <cell r="H211" t="str">
            <v>Statewide</v>
          </cell>
          <cell r="I211">
            <v>6.5</v>
          </cell>
          <cell r="J211">
            <v>1</v>
          </cell>
          <cell r="K211" t="str">
            <v>Fence</v>
          </cell>
        </row>
        <row r="212">
          <cell r="B212" t="str">
            <v>L014.190</v>
          </cell>
          <cell r="C212" t="str">
            <v>Compost cover</v>
          </cell>
          <cell r="D212" t="e">
            <v>#REF!</v>
          </cell>
          <cell r="E212">
            <v>54</v>
          </cell>
          <cell r="F212" t="str">
            <v>10.5.0</v>
          </cell>
          <cell r="G212">
            <v>1.33</v>
          </cell>
          <cell r="H212" t="str">
            <v>Statewide</v>
          </cell>
          <cell r="I212">
            <v>1.33</v>
          </cell>
          <cell r="J212">
            <v>1</v>
          </cell>
          <cell r="K212" t="str">
            <v>Geotextile</v>
          </cell>
        </row>
        <row r="213">
          <cell r="B213" t="str">
            <v>L014.191</v>
          </cell>
          <cell r="C213" t="str">
            <v>Liner, pond, LLDPE, 40 mil., includes geotextile, up to two boots &amp; field welding</v>
          </cell>
          <cell r="D213" t="str">
            <v>S.F.</v>
          </cell>
          <cell r="E213">
            <v>54</v>
          </cell>
          <cell r="F213" t="str">
            <v>10.3.3</v>
          </cell>
          <cell r="G213">
            <v>2.2999999999999998</v>
          </cell>
          <cell r="H213" t="str">
            <v>Statewide</v>
          </cell>
          <cell r="I213">
            <v>2.2999999999999998</v>
          </cell>
          <cell r="J213">
            <v>1</v>
          </cell>
          <cell r="K213" t="str">
            <v>Geotextile</v>
          </cell>
        </row>
        <row r="214">
          <cell r="B214" t="str">
            <v>L014.192</v>
          </cell>
          <cell r="C214" t="str">
            <v>Liner, pond, LLDPE, 60 mil., includes geotextile, up to two boots &amp; field welding</v>
          </cell>
          <cell r="D214" t="str">
            <v>S.F.</v>
          </cell>
          <cell r="E214">
            <v>54</v>
          </cell>
          <cell r="F214" t="str">
            <v>10.3.4</v>
          </cell>
          <cell r="G214">
            <v>2.5</v>
          </cell>
          <cell r="H214" t="str">
            <v>Statewide</v>
          </cell>
          <cell r="I214">
            <v>2.5</v>
          </cell>
          <cell r="J214">
            <v>1</v>
          </cell>
          <cell r="K214" t="str">
            <v>Geotextile</v>
          </cell>
        </row>
        <row r="215">
          <cell r="B215" t="str">
            <v>L014.193</v>
          </cell>
          <cell r="C215" t="str">
            <v>Erosion control, straw blanket and netting, 8.5 oz/yd2, installed</v>
          </cell>
          <cell r="D215" t="str">
            <v>S.Y.</v>
          </cell>
          <cell r="G215">
            <v>1.8</v>
          </cell>
          <cell r="H215" t="str">
            <v>Statewide</v>
          </cell>
          <cell r="I215">
            <v>1.8</v>
          </cell>
          <cell r="J215">
            <v>1</v>
          </cell>
          <cell r="K215" t="str">
            <v>Geotextile</v>
          </cell>
        </row>
        <row r="216">
          <cell r="B216" t="str">
            <v>L014.194</v>
          </cell>
          <cell r="C216" t="str">
            <v>"T" Post, 8' galvanized</v>
          </cell>
          <cell r="D216" t="str">
            <v>EA.</v>
          </cell>
          <cell r="E216" t="str">
            <v>-</v>
          </cell>
          <cell r="F216" t="str">
            <v>25.1.3</v>
          </cell>
          <cell r="G216">
            <v>8.5</v>
          </cell>
          <cell r="H216" t="str">
            <v>Statewide</v>
          </cell>
          <cell r="I216">
            <v>8.5</v>
          </cell>
          <cell r="J216">
            <v>1</v>
          </cell>
          <cell r="K216" t="str">
            <v>Grazing</v>
          </cell>
        </row>
        <row r="217">
          <cell r="B217" t="str">
            <v>L014.195</v>
          </cell>
          <cell r="C217" t="str">
            <v>Clearing old Fenceline</v>
          </cell>
          <cell r="D217" t="str">
            <v>L.F.</v>
          </cell>
          <cell r="E217" t="str">
            <v>-</v>
          </cell>
          <cell r="F217" t="str">
            <v>25.1.4</v>
          </cell>
          <cell r="G217">
            <v>0.5</v>
          </cell>
          <cell r="H217" t="str">
            <v>Statewide</v>
          </cell>
          <cell r="I217">
            <v>0.5</v>
          </cell>
          <cell r="J217">
            <v>1</v>
          </cell>
          <cell r="K217" t="str">
            <v>Grazing</v>
          </cell>
        </row>
        <row r="218">
          <cell r="B218" t="str">
            <v>L014.196</v>
          </cell>
          <cell r="C218" t="str">
            <v>Coupling/Hydrant</v>
          </cell>
          <cell r="D218" t="str">
            <v>EA.</v>
          </cell>
          <cell r="E218">
            <v>41</v>
          </cell>
          <cell r="F218" t="str">
            <v>25.5.3</v>
          </cell>
          <cell r="G218">
            <v>33</v>
          </cell>
          <cell r="H218" t="str">
            <v>Statewide</v>
          </cell>
          <cell r="I218">
            <v>33</v>
          </cell>
          <cell r="J218">
            <v>1</v>
          </cell>
          <cell r="K218" t="str">
            <v>Grazing</v>
          </cell>
        </row>
        <row r="219">
          <cell r="B219" t="str">
            <v>L014.197</v>
          </cell>
          <cell r="C219" t="str">
            <v>Float Valve Assembly</v>
          </cell>
          <cell r="D219" t="str">
            <v>EA.</v>
          </cell>
          <cell r="E219">
            <v>41</v>
          </cell>
          <cell r="F219" t="str">
            <v>25.1.2</v>
          </cell>
          <cell r="G219">
            <v>40</v>
          </cell>
          <cell r="H219" t="str">
            <v>Statewide</v>
          </cell>
          <cell r="I219">
            <v>40</v>
          </cell>
          <cell r="J219">
            <v>1</v>
          </cell>
          <cell r="K219" t="str">
            <v>Grazing</v>
          </cell>
        </row>
        <row r="220">
          <cell r="B220" t="str">
            <v>L014.198</v>
          </cell>
          <cell r="C220" t="str">
            <v>Heat Tube</v>
          </cell>
          <cell r="D220" t="str">
            <v>EA.</v>
          </cell>
          <cell r="E220">
            <v>41</v>
          </cell>
          <cell r="F220" t="str">
            <v>25.5.0</v>
          </cell>
          <cell r="G220">
            <v>80</v>
          </cell>
          <cell r="H220" t="str">
            <v>Statewide</v>
          </cell>
          <cell r="I220">
            <v>80</v>
          </cell>
          <cell r="J220">
            <v>1</v>
          </cell>
          <cell r="K220" t="str">
            <v>Grazing</v>
          </cell>
        </row>
        <row r="221">
          <cell r="B221" t="str">
            <v>L014.199</v>
          </cell>
          <cell r="C221" t="str">
            <v>Hydrant, Frost Free - installed</v>
          </cell>
          <cell r="D221" t="str">
            <v>EA.</v>
          </cell>
          <cell r="E221">
            <v>41</v>
          </cell>
          <cell r="F221" t="str">
            <v>25.1.0</v>
          </cell>
          <cell r="G221">
            <v>200</v>
          </cell>
          <cell r="H221" t="str">
            <v>Statewide</v>
          </cell>
          <cell r="I221">
            <v>200</v>
          </cell>
          <cell r="J221">
            <v>1</v>
          </cell>
          <cell r="K221" t="str">
            <v>Grazing</v>
          </cell>
        </row>
        <row r="222">
          <cell r="B222" t="str">
            <v>L014.200</v>
          </cell>
          <cell r="C222" t="str">
            <v>Drain Valve w/ Enclosure</v>
          </cell>
          <cell r="D222" t="str">
            <v>EA.</v>
          </cell>
          <cell r="G222">
            <v>200</v>
          </cell>
          <cell r="H222" t="str">
            <v>Statewide</v>
          </cell>
          <cell r="I222">
            <v>200</v>
          </cell>
          <cell r="J222">
            <v>1</v>
          </cell>
          <cell r="K222" t="str">
            <v>Grazing</v>
          </cell>
        </row>
        <row r="223">
          <cell r="B223" t="str">
            <v>L014.201</v>
          </cell>
          <cell r="C223" t="str">
            <v>Pump, Electric, 5hp</v>
          </cell>
          <cell r="D223" t="str">
            <v>EA.</v>
          </cell>
          <cell r="E223">
            <v>51</v>
          </cell>
          <cell r="F223" t="str">
            <v>25.6.1</v>
          </cell>
          <cell r="G223">
            <v>275</v>
          </cell>
          <cell r="H223" t="str">
            <v>Statewide</v>
          </cell>
          <cell r="I223">
            <v>275</v>
          </cell>
          <cell r="J223">
            <v>1</v>
          </cell>
          <cell r="K223" t="str">
            <v>Grazing</v>
          </cell>
        </row>
        <row r="224">
          <cell r="B224" t="str">
            <v>L014.202</v>
          </cell>
          <cell r="C224" t="str">
            <v>Pump, HydroRam, 1"</v>
          </cell>
          <cell r="D224" t="str">
            <v>EA.</v>
          </cell>
          <cell r="E224">
            <v>51</v>
          </cell>
          <cell r="F224" t="str">
            <v>25.6.2</v>
          </cell>
          <cell r="G224">
            <v>450</v>
          </cell>
          <cell r="H224" t="str">
            <v>Statewide</v>
          </cell>
          <cell r="I224">
            <v>450</v>
          </cell>
          <cell r="J224">
            <v>1</v>
          </cell>
          <cell r="K224" t="str">
            <v>Grazing</v>
          </cell>
        </row>
        <row r="225">
          <cell r="B225" t="str">
            <v>L014.203</v>
          </cell>
          <cell r="C225" t="str">
            <v>Pump, HydroRam, 1-1/2"</v>
          </cell>
          <cell r="D225" t="str">
            <v>EA.</v>
          </cell>
          <cell r="E225">
            <v>51</v>
          </cell>
          <cell r="F225" t="str">
            <v>25.6.3</v>
          </cell>
          <cell r="G225">
            <v>300</v>
          </cell>
          <cell r="H225" t="str">
            <v>Statewide</v>
          </cell>
          <cell r="I225">
            <v>300</v>
          </cell>
          <cell r="J225">
            <v>1</v>
          </cell>
          <cell r="K225" t="str">
            <v>Grazing</v>
          </cell>
        </row>
        <row r="226">
          <cell r="B226" t="str">
            <v>L014.204</v>
          </cell>
          <cell r="C226" t="str">
            <v>Pump, HydroRam, 2"</v>
          </cell>
          <cell r="D226" t="str">
            <v>EA.</v>
          </cell>
          <cell r="E226">
            <v>51</v>
          </cell>
          <cell r="F226" t="str">
            <v>25.6.4</v>
          </cell>
          <cell r="G226">
            <v>550</v>
          </cell>
          <cell r="H226" t="str">
            <v>Statewide</v>
          </cell>
          <cell r="I226">
            <v>550</v>
          </cell>
          <cell r="J226">
            <v>1</v>
          </cell>
          <cell r="K226" t="str">
            <v>Grazing</v>
          </cell>
        </row>
        <row r="227">
          <cell r="B227" t="str">
            <v>L014.205</v>
          </cell>
          <cell r="C227" t="str">
            <v>Pump, Nose Operated</v>
          </cell>
          <cell r="D227" t="str">
            <v>EA.</v>
          </cell>
          <cell r="E227">
            <v>51</v>
          </cell>
          <cell r="F227" t="str">
            <v>25.6.5</v>
          </cell>
          <cell r="G227">
            <v>475</v>
          </cell>
          <cell r="H227" t="str">
            <v>Statewide</v>
          </cell>
          <cell r="I227">
            <v>475</v>
          </cell>
          <cell r="J227">
            <v>1</v>
          </cell>
          <cell r="K227" t="str">
            <v>Grazing</v>
          </cell>
        </row>
        <row r="228">
          <cell r="B228" t="str">
            <v>L014.206</v>
          </cell>
          <cell r="C228" t="str">
            <v>Pump, Permanently Mounted</v>
          </cell>
          <cell r="D228" t="str">
            <v>EA.</v>
          </cell>
          <cell r="E228">
            <v>51</v>
          </cell>
          <cell r="F228" t="str">
            <v>25.6.6</v>
          </cell>
          <cell r="G228">
            <v>600</v>
          </cell>
          <cell r="H228" t="str">
            <v>Statewide</v>
          </cell>
          <cell r="I228">
            <v>600</v>
          </cell>
          <cell r="J228">
            <v>1</v>
          </cell>
          <cell r="K228" t="str">
            <v>Grazing</v>
          </cell>
        </row>
        <row r="229">
          <cell r="B229" t="str">
            <v>L014.207</v>
          </cell>
          <cell r="C229" t="str">
            <v>Pump, Solar, 2 panels</v>
          </cell>
          <cell r="D229" t="str">
            <v>EA.</v>
          </cell>
          <cell r="E229">
            <v>51</v>
          </cell>
          <cell r="F229" t="str">
            <v>25.6.7</v>
          </cell>
          <cell r="G229">
            <v>1830</v>
          </cell>
          <cell r="H229" t="str">
            <v>Statewide</v>
          </cell>
          <cell r="I229">
            <v>1830</v>
          </cell>
          <cell r="J229">
            <v>1</v>
          </cell>
          <cell r="K229" t="str">
            <v>Grazing</v>
          </cell>
        </row>
        <row r="230">
          <cell r="B230" t="str">
            <v>L014.208</v>
          </cell>
          <cell r="C230" t="str">
            <v>Valve, Quick Coupler (male + female)</v>
          </cell>
          <cell r="D230" t="str">
            <v>EA.</v>
          </cell>
          <cell r="E230">
            <v>41</v>
          </cell>
          <cell r="F230" t="str">
            <v>25.5.2</v>
          </cell>
          <cell r="G230">
            <v>17.7</v>
          </cell>
          <cell r="H230" t="str">
            <v>Statewide</v>
          </cell>
          <cell r="I230">
            <v>17.7</v>
          </cell>
          <cell r="J230">
            <v>1</v>
          </cell>
          <cell r="K230" t="str">
            <v>Grazing</v>
          </cell>
        </row>
        <row r="231">
          <cell r="B231" t="str">
            <v>L014.209</v>
          </cell>
          <cell r="C231" t="str">
            <v>Valve, Vacuum or Pressure Relief</v>
          </cell>
          <cell r="D231" t="str">
            <v>EA.</v>
          </cell>
          <cell r="E231">
            <v>41</v>
          </cell>
          <cell r="F231" t="str">
            <v>25.5.1</v>
          </cell>
          <cell r="G231">
            <v>17.45</v>
          </cell>
          <cell r="H231" t="str">
            <v>Statewide</v>
          </cell>
          <cell r="I231">
            <v>17.45</v>
          </cell>
          <cell r="J231">
            <v>1</v>
          </cell>
          <cell r="K231" t="str">
            <v>Grazing</v>
          </cell>
        </row>
        <row r="232">
          <cell r="B232" t="str">
            <v>L014.210</v>
          </cell>
          <cell r="C232" t="str">
            <v>Water Facility, 100 gal., non-insulated</v>
          </cell>
          <cell r="D232" t="str">
            <v>EA.</v>
          </cell>
          <cell r="E232" t="str">
            <v>-</v>
          </cell>
          <cell r="F232" t="str">
            <v>25.3.0</v>
          </cell>
          <cell r="G232">
            <v>100</v>
          </cell>
          <cell r="H232" t="str">
            <v>Statewide</v>
          </cell>
          <cell r="I232">
            <v>100</v>
          </cell>
          <cell r="J232">
            <v>1</v>
          </cell>
          <cell r="K232" t="str">
            <v>Grazing</v>
          </cell>
        </row>
        <row r="233">
          <cell r="B233" t="str">
            <v>L014.211</v>
          </cell>
          <cell r="C233" t="str">
            <v>Water Facility, 1000 gal., non-insulated, material cost only</v>
          </cell>
          <cell r="D233" t="str">
            <v>EA.</v>
          </cell>
          <cell r="E233" t="str">
            <v>-</v>
          </cell>
          <cell r="F233" t="str">
            <v>25.3.1</v>
          </cell>
          <cell r="G233">
            <v>450</v>
          </cell>
          <cell r="H233" t="str">
            <v>Statewide</v>
          </cell>
          <cell r="I233">
            <v>450</v>
          </cell>
          <cell r="J233">
            <v>1</v>
          </cell>
          <cell r="K233" t="str">
            <v>Grazing</v>
          </cell>
        </row>
        <row r="234">
          <cell r="B234" t="str">
            <v>L014.212</v>
          </cell>
          <cell r="C234" t="str">
            <v>Water Facility, 15 gal., insulated</v>
          </cell>
          <cell r="D234" t="str">
            <v>EA.</v>
          </cell>
          <cell r="E234" t="str">
            <v>-</v>
          </cell>
          <cell r="F234" t="str">
            <v>25.3.2</v>
          </cell>
          <cell r="G234">
            <v>540</v>
          </cell>
          <cell r="H234" t="str">
            <v>Statewide</v>
          </cell>
          <cell r="I234">
            <v>540</v>
          </cell>
          <cell r="J234">
            <v>1</v>
          </cell>
          <cell r="K234" t="str">
            <v>Grazing</v>
          </cell>
        </row>
        <row r="235">
          <cell r="B235" t="str">
            <v>L014.213</v>
          </cell>
          <cell r="C235" t="str">
            <v>Water Facility, 20 gal., insulated</v>
          </cell>
          <cell r="D235" t="str">
            <v>EA.</v>
          </cell>
          <cell r="E235" t="str">
            <v>-</v>
          </cell>
          <cell r="F235" t="str">
            <v>25.3.3</v>
          </cell>
          <cell r="G235">
            <v>700</v>
          </cell>
          <cell r="H235" t="str">
            <v>Statewide</v>
          </cell>
          <cell r="I235">
            <v>700</v>
          </cell>
          <cell r="J235">
            <v>1</v>
          </cell>
          <cell r="K235" t="str">
            <v>Grazing</v>
          </cell>
        </row>
        <row r="236">
          <cell r="B236" t="str">
            <v>L014.214</v>
          </cell>
          <cell r="C236" t="str">
            <v>Water Facility, 300 gal., non-insulated</v>
          </cell>
          <cell r="D236" t="str">
            <v>EA.</v>
          </cell>
          <cell r="E236" t="str">
            <v>-</v>
          </cell>
          <cell r="F236" t="str">
            <v>25.3.4</v>
          </cell>
          <cell r="G236">
            <v>200</v>
          </cell>
          <cell r="H236" t="str">
            <v>Statewide</v>
          </cell>
          <cell r="I236">
            <v>200</v>
          </cell>
          <cell r="J236">
            <v>1</v>
          </cell>
          <cell r="K236" t="str">
            <v>Grazing</v>
          </cell>
        </row>
        <row r="237">
          <cell r="B237" t="str">
            <v>L014.215</v>
          </cell>
          <cell r="C237" t="str">
            <v>Water Facility, 50 gal., non-insulated</v>
          </cell>
          <cell r="D237" t="str">
            <v>EA.</v>
          </cell>
          <cell r="E237" t="str">
            <v>-</v>
          </cell>
          <cell r="F237" t="str">
            <v>25.3.5</v>
          </cell>
          <cell r="G237">
            <v>70</v>
          </cell>
          <cell r="H237" t="str">
            <v>Statewide</v>
          </cell>
          <cell r="I237">
            <v>70</v>
          </cell>
          <cell r="J237">
            <v>1</v>
          </cell>
          <cell r="K237" t="str">
            <v>Grazing</v>
          </cell>
        </row>
        <row r="238">
          <cell r="B238" t="str">
            <v>L014.216</v>
          </cell>
          <cell r="C238" t="str">
            <v>Water Facility, 70 gal., non-insulated</v>
          </cell>
          <cell r="D238" t="str">
            <v>EA.</v>
          </cell>
          <cell r="E238" t="str">
            <v>-</v>
          </cell>
          <cell r="F238" t="str">
            <v>23.5.6</v>
          </cell>
          <cell r="G238">
            <v>90</v>
          </cell>
          <cell r="H238" t="str">
            <v>Statewide</v>
          </cell>
          <cell r="I238">
            <v>90</v>
          </cell>
          <cell r="J238">
            <v>1</v>
          </cell>
          <cell r="K238" t="str">
            <v>Grazing</v>
          </cell>
        </row>
        <row r="239">
          <cell r="B239" t="str">
            <v>L014.217</v>
          </cell>
          <cell r="C239" t="str">
            <v>Water Tank Valve, w/ mounting brackets</v>
          </cell>
          <cell r="D239" t="str">
            <v>EA.</v>
          </cell>
          <cell r="E239" t="str">
            <v>-</v>
          </cell>
          <cell r="F239" t="str">
            <v>23.5.7</v>
          </cell>
          <cell r="G239">
            <v>44.25</v>
          </cell>
          <cell r="H239" t="str">
            <v>Statewide</v>
          </cell>
          <cell r="I239">
            <v>44.25</v>
          </cell>
          <cell r="J239">
            <v>1</v>
          </cell>
          <cell r="K239" t="str">
            <v>Grazing</v>
          </cell>
        </row>
        <row r="240">
          <cell r="B240" t="str">
            <v>L014.423</v>
          </cell>
          <cell r="C240" t="str">
            <v>Solar or Wind powered pumping plants, complete</v>
          </cell>
          <cell r="D240" t="str">
            <v>EA.</v>
          </cell>
          <cell r="E240">
            <v>40</v>
          </cell>
          <cell r="F240" t="str">
            <v>25.1.1</v>
          </cell>
          <cell r="G240">
            <v>1500</v>
          </cell>
          <cell r="H240" t="str">
            <v>Statewide</v>
          </cell>
          <cell r="I240">
            <v>1500</v>
          </cell>
          <cell r="J240">
            <v>1</v>
          </cell>
          <cell r="K240" t="str">
            <v>Grazing</v>
          </cell>
        </row>
        <row r="241">
          <cell r="B241" t="str">
            <v>L014.218</v>
          </cell>
          <cell r="C241" t="str">
            <v>Geotextile - Non Woven (drainage), small areas</v>
          </cell>
          <cell r="D241" t="str">
            <v>S.Y.</v>
          </cell>
          <cell r="E241">
            <v>54</v>
          </cell>
          <cell r="F241" t="str">
            <v>10.1.4</v>
          </cell>
          <cell r="G241">
            <v>1.2</v>
          </cell>
          <cell r="H241" t="str">
            <v>White River Jct</v>
          </cell>
          <cell r="I241">
            <v>1.2</v>
          </cell>
          <cell r="J241">
            <v>1</v>
          </cell>
          <cell r="K241" t="str">
            <v>Infiltration_Area</v>
          </cell>
        </row>
        <row r="242">
          <cell r="B242" t="str">
            <v>L014.219</v>
          </cell>
          <cell r="C242" t="str">
            <v>Leaching Camber - incl. perf. Pipe, no exc. Or backfill</v>
          </cell>
          <cell r="D242" t="str">
            <v>L.F.</v>
          </cell>
          <cell r="E242">
            <v>41</v>
          </cell>
          <cell r="F242" t="str">
            <v>6.7.1</v>
          </cell>
          <cell r="G242">
            <v>13.23</v>
          </cell>
          <cell r="H242" t="str">
            <v>Middlebury</v>
          </cell>
          <cell r="I242">
            <v>13.23</v>
          </cell>
          <cell r="J242">
            <v>1</v>
          </cell>
          <cell r="K242" t="str">
            <v>Infiltration_Area</v>
          </cell>
        </row>
        <row r="243">
          <cell r="B243" t="str">
            <v>L014.233</v>
          </cell>
          <cell r="C243" t="str">
            <v>Laborer, common</v>
          </cell>
          <cell r="D243" t="str">
            <v>HR.</v>
          </cell>
          <cell r="E243" t="str">
            <v>-</v>
          </cell>
          <cell r="F243" t="str">
            <v>6.13.1</v>
          </cell>
          <cell r="G243">
            <v>37.5</v>
          </cell>
          <cell r="H243" t="str">
            <v>Statewide</v>
          </cell>
          <cell r="I243">
            <v>37.5</v>
          </cell>
          <cell r="J243">
            <v>1</v>
          </cell>
          <cell r="K243" t="str">
            <v>Labor</v>
          </cell>
        </row>
        <row r="244">
          <cell r="B244" t="str">
            <v>L014.234</v>
          </cell>
          <cell r="C244" t="str">
            <v>Labor, unskilled w/ chainsaw</v>
          </cell>
          <cell r="D244" t="str">
            <v>HR.</v>
          </cell>
          <cell r="E244" t="str">
            <v>-</v>
          </cell>
          <cell r="F244" t="str">
            <v>6.13.2</v>
          </cell>
          <cell r="G244">
            <v>26</v>
          </cell>
          <cell r="H244" t="str">
            <v>Statewide</v>
          </cell>
          <cell r="I244">
            <v>26</v>
          </cell>
          <cell r="J244">
            <v>1</v>
          </cell>
          <cell r="K244" t="str">
            <v>Labor</v>
          </cell>
        </row>
        <row r="245">
          <cell r="B245" t="str">
            <v>L014.399</v>
          </cell>
          <cell r="C245" t="str">
            <v>Laborer, Skilled</v>
          </cell>
          <cell r="D245" t="str">
            <v>HR.</v>
          </cell>
          <cell r="G245">
            <v>49.5</v>
          </cell>
          <cell r="H245" t="str">
            <v>RSMeans</v>
          </cell>
          <cell r="I245">
            <v>49.5</v>
          </cell>
          <cell r="J245">
            <v>1</v>
          </cell>
          <cell r="K245" t="str">
            <v>Labor</v>
          </cell>
        </row>
        <row r="246">
          <cell r="B246" t="str">
            <v>L014.235</v>
          </cell>
          <cell r="C246" t="str">
            <v>Lumber, pressure treated,  6" x 6"</v>
          </cell>
          <cell r="D246" t="str">
            <v>B.F.</v>
          </cell>
          <cell r="E246">
            <v>48</v>
          </cell>
          <cell r="F246" t="str">
            <v>23.2.0</v>
          </cell>
          <cell r="G246">
            <v>0.96</v>
          </cell>
          <cell r="H246" t="str">
            <v>Statewide</v>
          </cell>
          <cell r="I246">
            <v>0.96</v>
          </cell>
          <cell r="J246">
            <v>1</v>
          </cell>
          <cell r="K246" t="str">
            <v>Lumber</v>
          </cell>
        </row>
        <row r="247">
          <cell r="B247" t="str">
            <v>L014.236</v>
          </cell>
          <cell r="C247" t="str">
            <v>Lumber, pressure treated,  8 "x 8"</v>
          </cell>
          <cell r="D247" t="str">
            <v>B.F.</v>
          </cell>
          <cell r="E247">
            <v>48</v>
          </cell>
          <cell r="F247" t="str">
            <v>23.2.1</v>
          </cell>
          <cell r="G247">
            <v>1.28</v>
          </cell>
          <cell r="H247" t="str">
            <v>Statewide</v>
          </cell>
          <cell r="I247">
            <v>1.28</v>
          </cell>
          <cell r="J247">
            <v>1</v>
          </cell>
          <cell r="K247" t="str">
            <v>Lumber</v>
          </cell>
        </row>
        <row r="248">
          <cell r="B248" t="str">
            <v>L014.237</v>
          </cell>
          <cell r="C248" t="str">
            <v>Pipe, Galv CMP, 6", 18ga., material only</v>
          </cell>
          <cell r="D248" t="str">
            <v>L.F.</v>
          </cell>
          <cell r="E248">
            <v>41</v>
          </cell>
          <cell r="F248" t="str">
            <v>14.1.2</v>
          </cell>
          <cell r="G248">
            <v>5.6</v>
          </cell>
          <cell r="H248" t="str">
            <v>Statewide</v>
          </cell>
          <cell r="I248">
            <v>5.6</v>
          </cell>
          <cell r="J248">
            <v>1</v>
          </cell>
          <cell r="K248" t="str">
            <v>Pipe_CMP</v>
          </cell>
        </row>
        <row r="249">
          <cell r="B249" t="str">
            <v>L014.238</v>
          </cell>
          <cell r="C249" t="str">
            <v>Pipe, Galv CMP, 8", 18ga., material only</v>
          </cell>
          <cell r="D249" t="str">
            <v>L.F.</v>
          </cell>
          <cell r="E249">
            <v>41</v>
          </cell>
          <cell r="F249" t="str">
            <v>14.1.4</v>
          </cell>
          <cell r="G249">
            <v>7.4</v>
          </cell>
          <cell r="H249" t="str">
            <v>Statewide</v>
          </cell>
          <cell r="I249">
            <v>7.4</v>
          </cell>
          <cell r="J249">
            <v>1</v>
          </cell>
          <cell r="K249" t="str">
            <v>Pipe_CMP</v>
          </cell>
        </row>
        <row r="250">
          <cell r="B250" t="str">
            <v>L014.239</v>
          </cell>
          <cell r="C250" t="str">
            <v>Pipe, Galv CMP, 10", 16ga., material only</v>
          </cell>
          <cell r="D250" t="str">
            <v>L.F.</v>
          </cell>
          <cell r="E250">
            <v>41</v>
          </cell>
          <cell r="F250" t="str">
            <v>14.1.6</v>
          </cell>
          <cell r="G250">
            <v>10.8</v>
          </cell>
          <cell r="H250" t="str">
            <v>Statewide</v>
          </cell>
          <cell r="I250">
            <v>10.8</v>
          </cell>
          <cell r="J250">
            <v>1</v>
          </cell>
          <cell r="K250" t="str">
            <v>Pipe_CMP</v>
          </cell>
        </row>
        <row r="251">
          <cell r="B251" t="str">
            <v>L014.240</v>
          </cell>
          <cell r="C251" t="str">
            <v>Pipe, Galv CMP, 12", 16ga., material only</v>
          </cell>
          <cell r="D251" t="str">
            <v>L.F.</v>
          </cell>
          <cell r="E251">
            <v>41</v>
          </cell>
          <cell r="F251" t="str">
            <v>14.1.8</v>
          </cell>
          <cell r="G251">
            <v>11</v>
          </cell>
          <cell r="H251" t="str">
            <v>Statewide</v>
          </cell>
          <cell r="I251">
            <v>11</v>
          </cell>
          <cell r="J251">
            <v>1</v>
          </cell>
          <cell r="K251" t="str">
            <v>Pipe_CMP</v>
          </cell>
        </row>
        <row r="252">
          <cell r="B252" t="str">
            <v>L014.241</v>
          </cell>
          <cell r="C252" t="str">
            <v>Pipe, Galv CMP, 15", 16ga., material only</v>
          </cell>
          <cell r="D252" t="str">
            <v>L.F.</v>
          </cell>
          <cell r="E252">
            <v>41</v>
          </cell>
          <cell r="F252" t="str">
            <v>14.1.10</v>
          </cell>
          <cell r="G252">
            <v>13.6</v>
          </cell>
          <cell r="H252" t="str">
            <v>Statewide</v>
          </cell>
          <cell r="I252">
            <v>13.6</v>
          </cell>
          <cell r="J252">
            <v>1</v>
          </cell>
          <cell r="K252" t="str">
            <v>Pipe_CMP</v>
          </cell>
        </row>
        <row r="253">
          <cell r="B253" t="str">
            <v>L014.242</v>
          </cell>
          <cell r="C253" t="str">
            <v>Pipe, Galv CMP, 18", 16ga., material only</v>
          </cell>
          <cell r="D253" t="str">
            <v>L.F.</v>
          </cell>
          <cell r="E253">
            <v>41</v>
          </cell>
          <cell r="F253" t="str">
            <v>14.1.12</v>
          </cell>
          <cell r="G253">
            <v>16.3</v>
          </cell>
          <cell r="H253" t="str">
            <v>Statewide</v>
          </cell>
          <cell r="I253">
            <v>16.3</v>
          </cell>
          <cell r="J253">
            <v>1</v>
          </cell>
          <cell r="K253" t="str">
            <v>Pipe_CMP</v>
          </cell>
        </row>
        <row r="254">
          <cell r="B254" t="str">
            <v>L014.243</v>
          </cell>
          <cell r="C254" t="str">
            <v>Pipe, Galv CMP, 24", 16ga., material only</v>
          </cell>
          <cell r="D254" t="str">
            <v>L.F.</v>
          </cell>
          <cell r="E254">
            <v>41</v>
          </cell>
          <cell r="F254" t="str">
            <v>14.1.16</v>
          </cell>
          <cell r="G254">
            <v>21.7</v>
          </cell>
          <cell r="H254" t="str">
            <v>Statewide</v>
          </cell>
          <cell r="I254">
            <v>21.7</v>
          </cell>
          <cell r="J254">
            <v>1</v>
          </cell>
          <cell r="K254" t="str">
            <v>Pipe_CMP</v>
          </cell>
        </row>
        <row r="255">
          <cell r="B255" t="str">
            <v>L014.244</v>
          </cell>
          <cell r="C255" t="str">
            <v>Pipe, Galv CMP, 30", 14ga., material only</v>
          </cell>
          <cell r="D255" t="str">
            <v>L.F.</v>
          </cell>
          <cell r="E255">
            <v>41</v>
          </cell>
          <cell r="F255" t="str">
            <v>14.1.18</v>
          </cell>
          <cell r="G255">
            <v>32.200000000000003</v>
          </cell>
          <cell r="H255" t="str">
            <v>Statewide</v>
          </cell>
          <cell r="I255">
            <v>32.200000000000003</v>
          </cell>
          <cell r="J255">
            <v>1</v>
          </cell>
          <cell r="K255" t="str">
            <v>Pipe_CMP</v>
          </cell>
        </row>
        <row r="256">
          <cell r="B256" t="str">
            <v>L014.245</v>
          </cell>
          <cell r="C256" t="str">
            <v>Pipe, Galv CMP, 36", 14ga., material only</v>
          </cell>
          <cell r="D256" t="str">
            <v>L.F.</v>
          </cell>
          <cell r="E256">
            <v>41</v>
          </cell>
          <cell r="F256" t="str">
            <v>14.1.20</v>
          </cell>
          <cell r="G256">
            <v>38.6</v>
          </cell>
          <cell r="H256" t="str">
            <v>Statewide</v>
          </cell>
          <cell r="I256">
            <v>38.6</v>
          </cell>
          <cell r="J256">
            <v>1</v>
          </cell>
          <cell r="K256" t="str">
            <v>Pipe_CMP</v>
          </cell>
        </row>
        <row r="257">
          <cell r="B257" t="str">
            <v>L014.246</v>
          </cell>
          <cell r="C257" t="str">
            <v>Pipe, Galv CMP, 42", 12ga., material only</v>
          </cell>
          <cell r="D257" t="str">
            <v>L.F.</v>
          </cell>
          <cell r="E257">
            <v>41</v>
          </cell>
          <cell r="F257" t="str">
            <v>14.1.22</v>
          </cell>
          <cell r="G257">
            <v>48</v>
          </cell>
          <cell r="H257" t="str">
            <v>Statewide</v>
          </cell>
          <cell r="I257">
            <v>48</v>
          </cell>
          <cell r="J257">
            <v>1</v>
          </cell>
          <cell r="K257" t="str">
            <v>Pipe_CMP</v>
          </cell>
        </row>
        <row r="258">
          <cell r="B258" t="str">
            <v>L014.247</v>
          </cell>
          <cell r="C258" t="str">
            <v>Pipe, Galv CMP, 48", 12ga., material only</v>
          </cell>
          <cell r="D258" t="str">
            <v>L.F.</v>
          </cell>
          <cell r="E258">
            <v>41</v>
          </cell>
          <cell r="F258" t="str">
            <v>14.1.24</v>
          </cell>
          <cell r="G258">
            <v>68.599999999999994</v>
          </cell>
          <cell r="H258" t="str">
            <v>Statewide</v>
          </cell>
          <cell r="I258">
            <v>68.599999999999994</v>
          </cell>
          <cell r="J258">
            <v>1</v>
          </cell>
          <cell r="K258" t="str">
            <v>Pipe_CMP</v>
          </cell>
        </row>
        <row r="259">
          <cell r="B259" t="str">
            <v>L014.248</v>
          </cell>
          <cell r="C259" t="str">
            <v>Pipe, Alum CMP, 6" helical, 18ga., material only</v>
          </cell>
          <cell r="D259" t="str">
            <v>L.F.</v>
          </cell>
          <cell r="E259">
            <v>41</v>
          </cell>
          <cell r="F259" t="str">
            <v>14.1.2</v>
          </cell>
          <cell r="G259">
            <v>6.6</v>
          </cell>
          <cell r="H259" t="str">
            <v>Statewide</v>
          </cell>
          <cell r="I259">
            <v>6.6</v>
          </cell>
          <cell r="J259">
            <v>1</v>
          </cell>
          <cell r="K259" t="str">
            <v>Pipe_CMP</v>
          </cell>
        </row>
        <row r="260">
          <cell r="B260" t="str">
            <v>L014.249</v>
          </cell>
          <cell r="C260" t="str">
            <v>Pipe, Alum CMP, 8" helical, 18ga., material only</v>
          </cell>
          <cell r="D260" t="str">
            <v>L.F.</v>
          </cell>
          <cell r="E260">
            <v>41</v>
          </cell>
          <cell r="F260" t="str">
            <v>14.1.4</v>
          </cell>
          <cell r="G260">
            <v>8.6999999999999993</v>
          </cell>
          <cell r="H260" t="str">
            <v>Statewide</v>
          </cell>
          <cell r="I260">
            <v>8.6999999999999993</v>
          </cell>
          <cell r="J260">
            <v>1</v>
          </cell>
          <cell r="K260" t="str">
            <v>Pipe_CMP</v>
          </cell>
        </row>
        <row r="261">
          <cell r="B261" t="str">
            <v>L014.250</v>
          </cell>
          <cell r="C261" t="str">
            <v>Pipe, Alum CMP, 10" helical, 16ga., material only</v>
          </cell>
          <cell r="D261" t="str">
            <v>L.F.</v>
          </cell>
          <cell r="E261">
            <v>41</v>
          </cell>
          <cell r="F261" t="str">
            <v>14.1.6</v>
          </cell>
          <cell r="G261">
            <v>13.1</v>
          </cell>
          <cell r="H261" t="str">
            <v>Statewide</v>
          </cell>
          <cell r="I261">
            <v>13.1</v>
          </cell>
          <cell r="J261">
            <v>1</v>
          </cell>
          <cell r="K261" t="str">
            <v>Pipe_CMP</v>
          </cell>
        </row>
        <row r="262">
          <cell r="B262" t="str">
            <v>L014.251</v>
          </cell>
          <cell r="C262" t="str">
            <v>Pipe, Alum CMP, 12" helical, 16ga., material only</v>
          </cell>
          <cell r="D262" t="str">
            <v>L.F.</v>
          </cell>
          <cell r="E262">
            <v>41</v>
          </cell>
          <cell r="F262" t="str">
            <v>14.1.8</v>
          </cell>
          <cell r="G262">
            <v>14.7</v>
          </cell>
          <cell r="H262" t="str">
            <v>Statewide</v>
          </cell>
          <cell r="I262">
            <v>14.7</v>
          </cell>
          <cell r="J262">
            <v>1</v>
          </cell>
          <cell r="K262" t="str">
            <v>Pipe_CMP</v>
          </cell>
        </row>
        <row r="263">
          <cell r="B263" t="str">
            <v>L014.252</v>
          </cell>
          <cell r="C263" t="str">
            <v>Pipe, Alum CMP, 15" helical, 16ga., material only</v>
          </cell>
          <cell r="D263" t="str">
            <v>L.F.</v>
          </cell>
          <cell r="E263">
            <v>41</v>
          </cell>
          <cell r="F263" t="str">
            <v>14.1.10</v>
          </cell>
          <cell r="G263">
            <v>18.3</v>
          </cell>
          <cell r="H263" t="str">
            <v>Statewide</v>
          </cell>
          <cell r="I263">
            <v>18.3</v>
          </cell>
          <cell r="J263">
            <v>1</v>
          </cell>
          <cell r="K263" t="str">
            <v>Pipe_CMP</v>
          </cell>
        </row>
        <row r="264">
          <cell r="B264" t="str">
            <v>L014.253</v>
          </cell>
          <cell r="C264" t="str">
            <v>Pipe, Alum CMP, 18" helical, 16ga., material only</v>
          </cell>
          <cell r="D264" t="str">
            <v>L.F.</v>
          </cell>
          <cell r="E264">
            <v>41</v>
          </cell>
          <cell r="F264" t="str">
            <v>14.1.12</v>
          </cell>
          <cell r="G264">
            <v>22</v>
          </cell>
          <cell r="H264" t="str">
            <v>Statewide</v>
          </cell>
          <cell r="I264">
            <v>22</v>
          </cell>
          <cell r="J264">
            <v>1</v>
          </cell>
          <cell r="K264" t="str">
            <v>Pipe_CMP</v>
          </cell>
        </row>
        <row r="265">
          <cell r="B265" t="str">
            <v>L014.254</v>
          </cell>
          <cell r="C265" t="str">
            <v>Pipe, Alum CMP, 24" helical, 16ga., material only</v>
          </cell>
          <cell r="D265" t="str">
            <v>L.F.</v>
          </cell>
          <cell r="E265">
            <v>41</v>
          </cell>
          <cell r="F265" t="str">
            <v>14.1.16</v>
          </cell>
          <cell r="G265">
            <v>29.4</v>
          </cell>
          <cell r="H265" t="str">
            <v>Statewide</v>
          </cell>
          <cell r="I265">
            <v>29.4</v>
          </cell>
          <cell r="J265">
            <v>1</v>
          </cell>
          <cell r="K265" t="str">
            <v>Pipe_CMP</v>
          </cell>
        </row>
        <row r="266">
          <cell r="B266" t="str">
            <v>L014.255</v>
          </cell>
          <cell r="C266" t="str">
            <v>Pipe, Alum CMP, 30" helical, 14ga., material only</v>
          </cell>
          <cell r="D266" t="str">
            <v>L.F.</v>
          </cell>
          <cell r="E266">
            <v>41</v>
          </cell>
          <cell r="F266" t="str">
            <v>14.1.18</v>
          </cell>
          <cell r="G266">
            <v>45.3</v>
          </cell>
          <cell r="H266" t="str">
            <v>Statewide</v>
          </cell>
          <cell r="I266">
            <v>45.3</v>
          </cell>
          <cell r="J266">
            <v>1</v>
          </cell>
          <cell r="K266" t="str">
            <v>Pipe_CMP</v>
          </cell>
        </row>
        <row r="267">
          <cell r="B267" t="str">
            <v>L014.256</v>
          </cell>
          <cell r="C267" t="str">
            <v>Pipe, Alum CMP, 36" helical, 14ga., material only</v>
          </cell>
          <cell r="D267" t="str">
            <v>L.F.</v>
          </cell>
          <cell r="E267">
            <v>41</v>
          </cell>
          <cell r="F267" t="str">
            <v>14.1.20</v>
          </cell>
          <cell r="G267">
            <v>54.5</v>
          </cell>
          <cell r="H267" t="str">
            <v>Statewide</v>
          </cell>
          <cell r="I267">
            <v>54.5</v>
          </cell>
          <cell r="J267">
            <v>1</v>
          </cell>
          <cell r="K267" t="str">
            <v>Pipe_CMP</v>
          </cell>
        </row>
        <row r="268">
          <cell r="B268" t="str">
            <v>L014.257</v>
          </cell>
          <cell r="C268" t="str">
            <v>Pipe, Alum CMP, 42" helical, 12ga., material only</v>
          </cell>
          <cell r="D268" t="str">
            <v>L.F.</v>
          </cell>
          <cell r="E268">
            <v>41</v>
          </cell>
          <cell r="F268" t="str">
            <v>14.1.22</v>
          </cell>
          <cell r="G268">
            <v>86.8</v>
          </cell>
          <cell r="H268" t="str">
            <v>Statewide</v>
          </cell>
          <cell r="I268">
            <v>86.8</v>
          </cell>
          <cell r="J268">
            <v>1</v>
          </cell>
          <cell r="K268" t="str">
            <v>Pipe_CMP</v>
          </cell>
        </row>
        <row r="269">
          <cell r="B269" t="str">
            <v>L014.258</v>
          </cell>
          <cell r="C269" t="str">
            <v>Pipe, Alum CMP, 48" helical, 12ga., material only</v>
          </cell>
          <cell r="D269" t="str">
            <v>L.F.</v>
          </cell>
          <cell r="E269">
            <v>41</v>
          </cell>
          <cell r="F269" t="str">
            <v>14.1.24</v>
          </cell>
          <cell r="G269">
            <v>99</v>
          </cell>
          <cell r="H269" t="str">
            <v>Statewide</v>
          </cell>
          <cell r="I269">
            <v>99</v>
          </cell>
          <cell r="J269">
            <v>1</v>
          </cell>
          <cell r="K269" t="str">
            <v>Pipe_CMP</v>
          </cell>
        </row>
        <row r="270">
          <cell r="B270" t="str">
            <v>L014.259</v>
          </cell>
          <cell r="C270" t="str">
            <v>Pipe, HDPE 4", material only</v>
          </cell>
          <cell r="D270" t="str">
            <v>L.F.</v>
          </cell>
          <cell r="E270">
            <v>41</v>
          </cell>
          <cell r="F270" t="str">
            <v>16.1.2</v>
          </cell>
          <cell r="G270">
            <v>1.25</v>
          </cell>
          <cell r="H270" t="str">
            <v>Statewide</v>
          </cell>
          <cell r="I270">
            <v>1.25</v>
          </cell>
          <cell r="J270">
            <v>1</v>
          </cell>
          <cell r="K270" t="str">
            <v>Pipe_HDPE</v>
          </cell>
        </row>
        <row r="271">
          <cell r="B271" t="str">
            <v>L014.260</v>
          </cell>
          <cell r="C271" t="str">
            <v>Pipe, HDPE 6", material only</v>
          </cell>
          <cell r="D271" t="str">
            <v>L.F.</v>
          </cell>
          <cell r="E271">
            <v>41</v>
          </cell>
          <cell r="F271" t="str">
            <v>16.1.2</v>
          </cell>
          <cell r="G271">
            <v>3.3</v>
          </cell>
          <cell r="H271" t="str">
            <v>Statewide</v>
          </cell>
          <cell r="I271">
            <v>3.3</v>
          </cell>
          <cell r="J271">
            <v>1</v>
          </cell>
          <cell r="K271" t="str">
            <v>Pipe_HDPE</v>
          </cell>
        </row>
        <row r="272">
          <cell r="B272" t="str">
            <v>L014.261</v>
          </cell>
          <cell r="C272" t="str">
            <v>Pipe, HDPE 8", material only</v>
          </cell>
          <cell r="D272" t="str">
            <v>L.F.</v>
          </cell>
          <cell r="E272">
            <v>41</v>
          </cell>
          <cell r="F272" t="str">
            <v>16.1.3</v>
          </cell>
          <cell r="G272">
            <v>5</v>
          </cell>
          <cell r="H272" t="str">
            <v>Statewide</v>
          </cell>
          <cell r="I272">
            <v>5</v>
          </cell>
          <cell r="J272">
            <v>1</v>
          </cell>
          <cell r="K272" t="str">
            <v>Pipe_HDPE</v>
          </cell>
        </row>
        <row r="273">
          <cell r="B273" t="str">
            <v>L014.262</v>
          </cell>
          <cell r="C273" t="str">
            <v>Pipe, HDPE 10", material only</v>
          </cell>
          <cell r="D273" t="str">
            <v>L.F.</v>
          </cell>
          <cell r="E273">
            <v>41</v>
          </cell>
          <cell r="F273" t="str">
            <v>16.1.4</v>
          </cell>
          <cell r="G273">
            <v>7</v>
          </cell>
          <cell r="H273" t="str">
            <v>Statewide</v>
          </cell>
          <cell r="I273">
            <v>7</v>
          </cell>
          <cell r="J273">
            <v>1</v>
          </cell>
          <cell r="K273" t="str">
            <v>Pipe_HDPE</v>
          </cell>
        </row>
        <row r="274">
          <cell r="B274" t="str">
            <v>L014.263</v>
          </cell>
          <cell r="C274" t="str">
            <v>Pipe, HDPE 12", material only</v>
          </cell>
          <cell r="D274" t="str">
            <v>L.F.</v>
          </cell>
          <cell r="E274">
            <v>41</v>
          </cell>
          <cell r="F274" t="str">
            <v>16.1.5</v>
          </cell>
          <cell r="G274">
            <v>8.5</v>
          </cell>
          <cell r="H274" t="str">
            <v>Statewide</v>
          </cell>
          <cell r="I274">
            <v>8.5</v>
          </cell>
          <cell r="J274">
            <v>1</v>
          </cell>
          <cell r="K274" t="str">
            <v>Pipe_HDPE</v>
          </cell>
        </row>
        <row r="275">
          <cell r="B275" t="str">
            <v>L014.264</v>
          </cell>
          <cell r="C275" t="str">
            <v>Pipe, HDPE 15",, material only</v>
          </cell>
          <cell r="D275" t="str">
            <v>L.F.</v>
          </cell>
          <cell r="E275">
            <v>41</v>
          </cell>
          <cell r="F275" t="str">
            <v>16.1.6</v>
          </cell>
          <cell r="G275">
            <v>10.9</v>
          </cell>
          <cell r="H275" t="str">
            <v>Statewide</v>
          </cell>
          <cell r="I275">
            <v>10.9</v>
          </cell>
          <cell r="J275">
            <v>1</v>
          </cell>
          <cell r="K275" t="str">
            <v>Pipe_HDPE</v>
          </cell>
        </row>
        <row r="276">
          <cell r="B276" t="str">
            <v>L014.265</v>
          </cell>
          <cell r="C276" t="str">
            <v>Pipe, HDPE 18", material only</v>
          </cell>
          <cell r="D276" t="str">
            <v>L.F.</v>
          </cell>
          <cell r="E276">
            <v>41</v>
          </cell>
          <cell r="F276" t="str">
            <v>16.1.7</v>
          </cell>
          <cell r="G276">
            <v>16.8</v>
          </cell>
          <cell r="H276" t="str">
            <v>Statewide</v>
          </cell>
          <cell r="I276">
            <v>16.8</v>
          </cell>
          <cell r="J276">
            <v>1</v>
          </cell>
          <cell r="K276" t="str">
            <v>Pipe_HDPE</v>
          </cell>
        </row>
        <row r="277">
          <cell r="B277" t="str">
            <v>L014.266</v>
          </cell>
          <cell r="C277" t="str">
            <v>Pipe, HDPE 21", material only</v>
          </cell>
          <cell r="D277" t="str">
            <v>L.F.</v>
          </cell>
          <cell r="E277">
            <v>42</v>
          </cell>
          <cell r="F277" t="str">
            <v>16.1.8</v>
          </cell>
          <cell r="G277">
            <v>21.3</v>
          </cell>
          <cell r="H277" t="str">
            <v>Statewide</v>
          </cell>
          <cell r="I277">
            <v>21.3</v>
          </cell>
          <cell r="J277">
            <v>1</v>
          </cell>
          <cell r="K277" t="str">
            <v>Pipe_HDPE</v>
          </cell>
        </row>
        <row r="278">
          <cell r="B278" t="str">
            <v>L014.267</v>
          </cell>
          <cell r="C278" t="str">
            <v>Pipe, HDPE 24", material only</v>
          </cell>
          <cell r="D278" t="str">
            <v>L.F.</v>
          </cell>
          <cell r="E278">
            <v>41</v>
          </cell>
          <cell r="F278" t="str">
            <v>16.1.8</v>
          </cell>
          <cell r="G278">
            <v>25.4</v>
          </cell>
          <cell r="H278" t="str">
            <v>Statewide</v>
          </cell>
          <cell r="I278">
            <v>25.4</v>
          </cell>
          <cell r="J278">
            <v>1</v>
          </cell>
          <cell r="K278" t="str">
            <v>Pipe_HDPE</v>
          </cell>
        </row>
        <row r="279">
          <cell r="B279" t="str">
            <v>L014.268</v>
          </cell>
          <cell r="C279" t="str">
            <v>Pipe, HDPE 30", material only</v>
          </cell>
          <cell r="D279" t="str">
            <v>L.F.</v>
          </cell>
          <cell r="E279">
            <v>41</v>
          </cell>
          <cell r="F279" t="str">
            <v>16.1.10</v>
          </cell>
          <cell r="G279">
            <v>39.5</v>
          </cell>
          <cell r="H279" t="str">
            <v>Statewide</v>
          </cell>
          <cell r="I279">
            <v>39.5</v>
          </cell>
          <cell r="J279">
            <v>1</v>
          </cell>
          <cell r="K279" t="str">
            <v>Pipe_HDPE</v>
          </cell>
        </row>
        <row r="280">
          <cell r="B280" t="str">
            <v>L014.269</v>
          </cell>
          <cell r="C280" t="str">
            <v>Pipe, HDPE 36", material only</v>
          </cell>
          <cell r="D280" t="str">
            <v>L.F.</v>
          </cell>
          <cell r="E280">
            <v>41</v>
          </cell>
          <cell r="F280" t="str">
            <v>16.1.12</v>
          </cell>
          <cell r="G280">
            <v>49.1</v>
          </cell>
          <cell r="H280" t="str">
            <v>Statewide</v>
          </cell>
          <cell r="I280">
            <v>49.1</v>
          </cell>
          <cell r="J280">
            <v>1</v>
          </cell>
          <cell r="K280" t="str">
            <v>Pipe_HDPE</v>
          </cell>
        </row>
        <row r="281">
          <cell r="B281" t="str">
            <v>L014.270</v>
          </cell>
          <cell r="C281" t="str">
            <v>Pipe, HDPE 42", material only</v>
          </cell>
          <cell r="D281" t="str">
            <v>L.F.</v>
          </cell>
          <cell r="E281">
            <v>41</v>
          </cell>
          <cell r="F281" t="str">
            <v>16.1.13</v>
          </cell>
          <cell r="G281">
            <v>67</v>
          </cell>
          <cell r="H281" t="str">
            <v>Statewide</v>
          </cell>
          <cell r="I281">
            <v>67</v>
          </cell>
          <cell r="J281">
            <v>1</v>
          </cell>
          <cell r="K281" t="str">
            <v>Pipe_HDPE</v>
          </cell>
        </row>
        <row r="282">
          <cell r="B282" t="str">
            <v>L014.271</v>
          </cell>
          <cell r="C282" t="str">
            <v>Pipe, HDPE 48", material only</v>
          </cell>
          <cell r="D282" t="str">
            <v>L.F.</v>
          </cell>
          <cell r="E282">
            <v>41</v>
          </cell>
          <cell r="F282" t="str">
            <v>24.1.28</v>
          </cell>
          <cell r="G282">
            <v>83</v>
          </cell>
          <cell r="H282" t="str">
            <v>Statewide</v>
          </cell>
          <cell r="I282">
            <v>83</v>
          </cell>
          <cell r="J282">
            <v>1</v>
          </cell>
          <cell r="K282" t="str">
            <v>Pipe_HDPE</v>
          </cell>
        </row>
        <row r="283">
          <cell r="B283" t="str">
            <v>L014.279</v>
          </cell>
          <cell r="C283" t="str">
            <v>Anti-seep Collar, 2' x 2', rubber w/ frame, installed</v>
          </cell>
          <cell r="D283" t="str">
            <v>EA.</v>
          </cell>
          <cell r="G283">
            <v>80</v>
          </cell>
          <cell r="H283" t="str">
            <v>Statewide</v>
          </cell>
          <cell r="I283">
            <v>80</v>
          </cell>
          <cell r="J283">
            <v>1</v>
          </cell>
          <cell r="K283" t="str">
            <v>Pipe_Misc</v>
          </cell>
        </row>
        <row r="284">
          <cell r="B284" t="str">
            <v>L014.280</v>
          </cell>
          <cell r="C284" t="str">
            <v>Anti-seep Collar, 3' x 3', rubber w/ frame, installed</v>
          </cell>
          <cell r="D284" t="str">
            <v>EA.</v>
          </cell>
          <cell r="G284">
            <v>100</v>
          </cell>
          <cell r="H284" t="str">
            <v>Statewide</v>
          </cell>
          <cell r="I284">
            <v>100</v>
          </cell>
          <cell r="J284">
            <v>1</v>
          </cell>
          <cell r="K284" t="str">
            <v>Pipe_Misc</v>
          </cell>
        </row>
        <row r="285">
          <cell r="B285" t="str">
            <v>L014.281</v>
          </cell>
          <cell r="C285" t="str">
            <v>Anti-seep Collar, 4' x 4', rubber w/ frame, installed</v>
          </cell>
          <cell r="D285" t="str">
            <v>EA.</v>
          </cell>
          <cell r="G285">
            <v>125</v>
          </cell>
          <cell r="H285" t="str">
            <v>Statewide</v>
          </cell>
          <cell r="I285">
            <v>125</v>
          </cell>
          <cell r="J285">
            <v>1</v>
          </cell>
          <cell r="K285" t="str">
            <v>Pipe_Misc</v>
          </cell>
        </row>
        <row r="286">
          <cell r="B286" t="str">
            <v>L014.282</v>
          </cell>
          <cell r="C286" t="str">
            <v>Anti-seep Collar, 5' x 5', rubber w/ frame, installed</v>
          </cell>
          <cell r="D286" t="str">
            <v>EA.</v>
          </cell>
          <cell r="G286">
            <v>185</v>
          </cell>
          <cell r="H286" t="str">
            <v>Statewide</v>
          </cell>
          <cell r="I286">
            <v>185</v>
          </cell>
          <cell r="J286">
            <v>1</v>
          </cell>
          <cell r="K286" t="str">
            <v>Pipe_Misc</v>
          </cell>
        </row>
        <row r="287">
          <cell r="B287" t="str">
            <v>L014.283</v>
          </cell>
          <cell r="C287" t="str">
            <v>Anti-seep Collar, 6' x 6', rubber w/ frame, installed</v>
          </cell>
          <cell r="D287" t="str">
            <v>EA.</v>
          </cell>
          <cell r="G287">
            <v>210</v>
          </cell>
          <cell r="H287" t="str">
            <v>Statewide</v>
          </cell>
          <cell r="I287">
            <v>210</v>
          </cell>
          <cell r="J287">
            <v>1</v>
          </cell>
          <cell r="K287" t="str">
            <v>Pipe_Misc</v>
          </cell>
        </row>
        <row r="288">
          <cell r="B288" t="str">
            <v>L014.284</v>
          </cell>
          <cell r="C288" t="str">
            <v>Pipe, PVC Sewer, SDR-35, 4", material only</v>
          </cell>
          <cell r="D288" t="str">
            <v>L.F.</v>
          </cell>
          <cell r="E288" t="str">
            <v>1,5,11,41</v>
          </cell>
          <cell r="F288" t="str">
            <v>17.2.2</v>
          </cell>
          <cell r="G288">
            <v>2.2000000000000002</v>
          </cell>
          <cell r="H288" t="str">
            <v>Statewide</v>
          </cell>
          <cell r="I288">
            <v>2.2000000000000002</v>
          </cell>
          <cell r="J288">
            <v>1</v>
          </cell>
          <cell r="K288" t="str">
            <v>Pipe_PVC</v>
          </cell>
        </row>
        <row r="289">
          <cell r="B289" t="str">
            <v>L014.285</v>
          </cell>
          <cell r="C289" t="str">
            <v>Pipe, PVC Sewer, SDR-35, 6", material only</v>
          </cell>
          <cell r="D289" t="str">
            <v>L.F.</v>
          </cell>
          <cell r="E289" t="str">
            <v>1,5,11,41</v>
          </cell>
          <cell r="F289" t="str">
            <v>17.2.3</v>
          </cell>
          <cell r="G289">
            <v>3</v>
          </cell>
          <cell r="H289" t="str">
            <v>Statewide</v>
          </cell>
          <cell r="I289">
            <v>3</v>
          </cell>
          <cell r="J289">
            <v>1</v>
          </cell>
          <cell r="K289" t="str">
            <v>Pipe_PVC</v>
          </cell>
        </row>
        <row r="290">
          <cell r="B290" t="str">
            <v>L014.286</v>
          </cell>
          <cell r="C290" t="str">
            <v>Pipe, PVC Sewer, SDR-35, 8", material only</v>
          </cell>
          <cell r="D290" t="str">
            <v>L.F.</v>
          </cell>
          <cell r="E290" t="str">
            <v>1,5,11,41</v>
          </cell>
          <cell r="F290" t="str">
            <v>17.2.4</v>
          </cell>
          <cell r="G290">
            <v>6.3</v>
          </cell>
          <cell r="H290" t="str">
            <v>Statewide</v>
          </cell>
          <cell r="I290">
            <v>6.3</v>
          </cell>
          <cell r="J290">
            <v>1</v>
          </cell>
          <cell r="K290" t="str">
            <v>Pipe_PVC</v>
          </cell>
        </row>
        <row r="291">
          <cell r="B291" t="str">
            <v>L014.287</v>
          </cell>
          <cell r="C291" t="str">
            <v>Pipe, PVC Sewer, SDR-35, 10", material only</v>
          </cell>
          <cell r="D291" t="str">
            <v>L.F.</v>
          </cell>
          <cell r="E291" t="str">
            <v>1,5,11,41</v>
          </cell>
          <cell r="F291" t="str">
            <v>17.2.5</v>
          </cell>
          <cell r="G291">
            <v>9.6999999999999993</v>
          </cell>
          <cell r="H291" t="str">
            <v>Statewide</v>
          </cell>
          <cell r="I291">
            <v>9.6999999999999993</v>
          </cell>
          <cell r="J291">
            <v>1</v>
          </cell>
          <cell r="K291" t="str">
            <v>Pipe_PVC</v>
          </cell>
        </row>
        <row r="292">
          <cell r="B292" t="str">
            <v>L014.288</v>
          </cell>
          <cell r="C292" t="str">
            <v>Pipe, PVC Sewer, SDR-35, 12", material only</v>
          </cell>
          <cell r="D292" t="str">
            <v>L.F.</v>
          </cell>
          <cell r="E292" t="str">
            <v>1,5,11,41</v>
          </cell>
          <cell r="F292" t="str">
            <v>17.2.6</v>
          </cell>
          <cell r="G292">
            <v>11</v>
          </cell>
          <cell r="H292" t="str">
            <v>Statewide</v>
          </cell>
          <cell r="I292">
            <v>11</v>
          </cell>
          <cell r="J292">
            <v>1</v>
          </cell>
          <cell r="K292" t="str">
            <v>Pipe_PVC</v>
          </cell>
        </row>
        <row r="293">
          <cell r="B293" t="str">
            <v>L014.289</v>
          </cell>
          <cell r="C293" t="str">
            <v>Pipeline, HDPE, 2", 100 psi, includes fusing &amp; laying in trench</v>
          </cell>
          <cell r="D293" t="str">
            <v>L.F.</v>
          </cell>
          <cell r="E293">
            <v>41</v>
          </cell>
          <cell r="F293" t="str">
            <v>16.2.1</v>
          </cell>
          <cell r="G293">
            <v>2</v>
          </cell>
          <cell r="H293" t="str">
            <v>Statewide</v>
          </cell>
          <cell r="I293">
            <v>2</v>
          </cell>
          <cell r="J293">
            <v>1</v>
          </cell>
          <cell r="K293" t="str">
            <v>Pipeline_HDPE</v>
          </cell>
        </row>
        <row r="294">
          <cell r="B294" t="str">
            <v>L014.290</v>
          </cell>
          <cell r="C294" t="str">
            <v>Pipeline, HDPE, 3", 80 psi, includes fusing &amp; laying in trench</v>
          </cell>
          <cell r="D294" t="str">
            <v>L.F.</v>
          </cell>
          <cell r="E294">
            <v>41</v>
          </cell>
          <cell r="F294" t="str">
            <v>16.2.1</v>
          </cell>
          <cell r="G294">
            <v>2.6</v>
          </cell>
          <cell r="H294" t="str">
            <v>Statewide</v>
          </cell>
          <cell r="I294">
            <v>2.6</v>
          </cell>
          <cell r="J294">
            <v>1</v>
          </cell>
          <cell r="K294" t="str">
            <v>Pipeline_HDPE</v>
          </cell>
        </row>
        <row r="295">
          <cell r="B295" t="str">
            <v>L014.291</v>
          </cell>
          <cell r="C295" t="str">
            <v>Pipeline, HDPE, 3", 160 psi, includes fusing &amp; laying in trench</v>
          </cell>
          <cell r="D295" t="str">
            <v>L.F.</v>
          </cell>
          <cell r="E295">
            <v>41</v>
          </cell>
          <cell r="F295" t="str">
            <v>16.2.1</v>
          </cell>
          <cell r="G295">
            <v>3.9</v>
          </cell>
          <cell r="H295" t="str">
            <v>Statewide</v>
          </cell>
          <cell r="I295">
            <v>3.9</v>
          </cell>
          <cell r="J295">
            <v>1</v>
          </cell>
          <cell r="K295" t="str">
            <v>Pipeline_HDPE</v>
          </cell>
        </row>
        <row r="296">
          <cell r="B296" t="str">
            <v>L014.292</v>
          </cell>
          <cell r="C296" t="str">
            <v>Pipeline, HDPE, 4", 80 psi, includes fusing &amp; laying in trench</v>
          </cell>
          <cell r="D296" t="str">
            <v>L.F.</v>
          </cell>
          <cell r="E296">
            <v>41</v>
          </cell>
          <cell r="F296" t="str">
            <v>16.2.1</v>
          </cell>
          <cell r="G296">
            <v>5.95</v>
          </cell>
          <cell r="H296" t="str">
            <v>Statewide</v>
          </cell>
          <cell r="I296">
            <v>5.95</v>
          </cell>
          <cell r="J296">
            <v>1</v>
          </cell>
          <cell r="K296" t="str">
            <v>Pipeline_HDPE</v>
          </cell>
        </row>
        <row r="297">
          <cell r="B297" t="str">
            <v>L014.293</v>
          </cell>
          <cell r="C297" t="str">
            <v>Pipeline, HDPE, 4", 100 psi, includes fusing &amp; laying in trench</v>
          </cell>
          <cell r="D297" t="str">
            <v>L.F.</v>
          </cell>
          <cell r="E297">
            <v>41</v>
          </cell>
          <cell r="F297" t="str">
            <v>16.2.1</v>
          </cell>
          <cell r="G297">
            <v>6.3</v>
          </cell>
          <cell r="H297" t="str">
            <v>Statewide</v>
          </cell>
          <cell r="I297">
            <v>6.3</v>
          </cell>
          <cell r="J297">
            <v>1</v>
          </cell>
          <cell r="K297" t="str">
            <v>Pipeline_HDPE</v>
          </cell>
        </row>
        <row r="298">
          <cell r="B298" t="str">
            <v>L014.294</v>
          </cell>
          <cell r="C298" t="str">
            <v>Pipeline, HDPE, 4", 160 psi, includes fusing &amp; laying in trench</v>
          </cell>
          <cell r="D298" t="str">
            <v>L.F.</v>
          </cell>
          <cell r="E298">
            <v>41</v>
          </cell>
          <cell r="F298" t="str">
            <v>16.2.1</v>
          </cell>
          <cell r="G298">
            <v>7.4</v>
          </cell>
          <cell r="H298" t="str">
            <v>Statewide</v>
          </cell>
          <cell r="I298">
            <v>7.4</v>
          </cell>
          <cell r="J298">
            <v>1</v>
          </cell>
          <cell r="K298" t="str">
            <v>Pipeline_HDPE</v>
          </cell>
        </row>
        <row r="299">
          <cell r="B299" t="str">
            <v>L014.295</v>
          </cell>
          <cell r="C299" t="str">
            <v>Pipeline, HDPE, 6", 80 psi, includes fusing &amp; laying in trench</v>
          </cell>
          <cell r="D299" t="str">
            <v>L.F.</v>
          </cell>
          <cell r="E299">
            <v>41</v>
          </cell>
          <cell r="F299" t="str">
            <v>16.2.1</v>
          </cell>
          <cell r="G299">
            <v>8.4499999999999993</v>
          </cell>
          <cell r="H299" t="str">
            <v>Statewide</v>
          </cell>
          <cell r="I299">
            <v>8.4499999999999993</v>
          </cell>
          <cell r="J299">
            <v>1</v>
          </cell>
          <cell r="K299" t="str">
            <v>Pipeline_HDPE</v>
          </cell>
        </row>
        <row r="300">
          <cell r="B300" t="str">
            <v>L014.296</v>
          </cell>
          <cell r="C300" t="str">
            <v>Pipeline, HDPE, 6", 100 psi, includes fusing &amp; laying in trench</v>
          </cell>
          <cell r="D300" t="str">
            <v>L.F.</v>
          </cell>
          <cell r="E300">
            <v>41</v>
          </cell>
          <cell r="F300" t="str">
            <v>16.2.1</v>
          </cell>
          <cell r="G300">
            <v>9.25</v>
          </cell>
          <cell r="H300" t="str">
            <v>Statewide</v>
          </cell>
          <cell r="I300">
            <v>9.25</v>
          </cell>
          <cell r="J300">
            <v>1</v>
          </cell>
          <cell r="K300" t="str">
            <v>Pipeline_HDPE</v>
          </cell>
        </row>
        <row r="301">
          <cell r="B301" t="str">
            <v>L014.297</v>
          </cell>
          <cell r="C301" t="str">
            <v>Pipeline, HDPE, 6", 160 psi, includes fusing &amp; laying in trench</v>
          </cell>
          <cell r="D301" t="str">
            <v>L.F.</v>
          </cell>
          <cell r="E301">
            <v>41</v>
          </cell>
          <cell r="F301" t="str">
            <v>16.2.1</v>
          </cell>
          <cell r="G301">
            <v>12.2</v>
          </cell>
          <cell r="H301" t="str">
            <v>Statewide</v>
          </cell>
          <cell r="I301">
            <v>12.2</v>
          </cell>
          <cell r="J301">
            <v>1</v>
          </cell>
          <cell r="K301" t="str">
            <v>Pipeline_HDPE</v>
          </cell>
        </row>
        <row r="302">
          <cell r="B302" t="str">
            <v>L014.298</v>
          </cell>
          <cell r="C302" t="str">
            <v>Pipeline, HDPE, 8", 80 psi, includes fusing &amp; laying in trench</v>
          </cell>
          <cell r="D302" t="str">
            <v>L.F.</v>
          </cell>
          <cell r="E302">
            <v>41</v>
          </cell>
          <cell r="F302" t="str">
            <v>16.2.1</v>
          </cell>
          <cell r="G302">
            <v>13</v>
          </cell>
          <cell r="H302" t="str">
            <v>Statewide</v>
          </cell>
          <cell r="I302">
            <v>13</v>
          </cell>
          <cell r="J302">
            <v>1</v>
          </cell>
          <cell r="K302" t="str">
            <v>Pipeline_HDPE</v>
          </cell>
        </row>
        <row r="303">
          <cell r="B303" t="str">
            <v>L014.299</v>
          </cell>
          <cell r="C303" t="str">
            <v>Pipeline, HDPE, 8", 100 psi, includes fusing &amp; laying in trench</v>
          </cell>
          <cell r="D303" t="str">
            <v>L.F.</v>
          </cell>
          <cell r="E303">
            <v>41</v>
          </cell>
          <cell r="F303" t="str">
            <v>16.2.1</v>
          </cell>
          <cell r="G303">
            <v>15</v>
          </cell>
          <cell r="H303" t="str">
            <v>Statewide</v>
          </cell>
          <cell r="I303">
            <v>15</v>
          </cell>
          <cell r="J303">
            <v>1</v>
          </cell>
          <cell r="K303" t="str">
            <v>Pipeline_HDPE</v>
          </cell>
        </row>
        <row r="304">
          <cell r="B304" t="str">
            <v>L014.300</v>
          </cell>
          <cell r="C304" t="str">
            <v>Pipeline, HDPE, 8", 160 psi, includes fusing &amp; laying in trench</v>
          </cell>
          <cell r="D304" t="str">
            <v>L.F.</v>
          </cell>
          <cell r="E304">
            <v>41</v>
          </cell>
          <cell r="F304" t="str">
            <v>16.2.1</v>
          </cell>
          <cell r="G304">
            <v>20</v>
          </cell>
          <cell r="H304" t="str">
            <v>Statewide</v>
          </cell>
          <cell r="I304">
            <v>20</v>
          </cell>
          <cell r="J304">
            <v>1</v>
          </cell>
          <cell r="K304" t="str">
            <v>Pipeline_HDPE</v>
          </cell>
        </row>
        <row r="305">
          <cell r="B305" t="str">
            <v>L014.301</v>
          </cell>
          <cell r="C305" t="str">
            <v>Pipeline, HDPE, 10", 80 psi, includes fusing &amp; laying in trench</v>
          </cell>
          <cell r="D305" t="str">
            <v>L.F.</v>
          </cell>
          <cell r="E305">
            <v>41</v>
          </cell>
          <cell r="F305" t="str">
            <v>16.2.1</v>
          </cell>
          <cell r="G305">
            <v>16.100000000000001</v>
          </cell>
          <cell r="H305" t="str">
            <v>Statewide</v>
          </cell>
          <cell r="I305">
            <v>16.100000000000001</v>
          </cell>
          <cell r="J305">
            <v>1</v>
          </cell>
          <cell r="K305" t="str">
            <v>Pipeline_HDPE</v>
          </cell>
        </row>
        <row r="306">
          <cell r="B306" t="str">
            <v>L014.302</v>
          </cell>
          <cell r="C306" t="str">
            <v>Pipeline, HDPE, 10", 100 psi, includes fusing &amp; laying in trench</v>
          </cell>
          <cell r="D306" t="str">
            <v>L.F.</v>
          </cell>
          <cell r="E306">
            <v>41</v>
          </cell>
          <cell r="F306" t="str">
            <v>16.2.1</v>
          </cell>
          <cell r="G306">
            <v>18.3</v>
          </cell>
          <cell r="H306" t="str">
            <v>Statewide</v>
          </cell>
          <cell r="I306">
            <v>18.3</v>
          </cell>
          <cell r="J306">
            <v>1</v>
          </cell>
          <cell r="K306" t="str">
            <v>Pipeline_HDPE</v>
          </cell>
        </row>
        <row r="307">
          <cell r="B307" t="str">
            <v>L014.303</v>
          </cell>
          <cell r="C307" t="str">
            <v>Pipeline, HDPE, 10", 160 psi, includes fusing &amp; laying in trench</v>
          </cell>
          <cell r="D307" t="str">
            <v>L.F.</v>
          </cell>
          <cell r="E307">
            <v>41</v>
          </cell>
          <cell r="F307" t="str">
            <v>16.2.1</v>
          </cell>
          <cell r="G307">
            <v>25</v>
          </cell>
          <cell r="H307" t="str">
            <v>Statewide</v>
          </cell>
          <cell r="I307">
            <v>25</v>
          </cell>
          <cell r="J307">
            <v>1</v>
          </cell>
          <cell r="K307" t="str">
            <v>Pipeline_HDPE</v>
          </cell>
        </row>
        <row r="308">
          <cell r="B308" t="str">
            <v>L014.304</v>
          </cell>
          <cell r="C308" t="str">
            <v>Pipeline, HDPE, 12", 80 psi, includes fusing &amp; laying in trench</v>
          </cell>
          <cell r="D308" t="str">
            <v>L.F.</v>
          </cell>
          <cell r="E308">
            <v>41</v>
          </cell>
          <cell r="F308" t="str">
            <v>16.2.1</v>
          </cell>
          <cell r="G308">
            <v>20.399999999999999</v>
          </cell>
          <cell r="H308" t="str">
            <v>Statewide</v>
          </cell>
          <cell r="I308">
            <v>20.399999999999999</v>
          </cell>
          <cell r="J308">
            <v>1</v>
          </cell>
          <cell r="K308" t="str">
            <v>Pipeline_HDPE</v>
          </cell>
        </row>
        <row r="309">
          <cell r="B309" t="str">
            <v>L014.305</v>
          </cell>
          <cell r="C309" t="str">
            <v>Pipeline, HDPE, 12", 100 psi, includes fusing &amp; laying in trench</v>
          </cell>
          <cell r="D309" t="str">
            <v>L.F.</v>
          </cell>
          <cell r="E309">
            <v>41</v>
          </cell>
          <cell r="F309" t="str">
            <v>16.2.1</v>
          </cell>
          <cell r="G309">
            <v>23.9</v>
          </cell>
          <cell r="H309" t="str">
            <v>Statewide</v>
          </cell>
          <cell r="I309">
            <v>23.9</v>
          </cell>
          <cell r="J309">
            <v>1</v>
          </cell>
          <cell r="K309" t="str">
            <v>Pipeline_HDPE</v>
          </cell>
        </row>
        <row r="310">
          <cell r="B310" t="str">
            <v>L014.306</v>
          </cell>
          <cell r="C310" t="str">
            <v>Pipeline, HDPE, 12", 160 psi, includes fusing &amp; laying in trench</v>
          </cell>
          <cell r="D310" t="str">
            <v>L.F.</v>
          </cell>
          <cell r="E310">
            <v>41</v>
          </cell>
          <cell r="F310" t="str">
            <v>16.2.1</v>
          </cell>
          <cell r="G310">
            <v>33.299999999999997</v>
          </cell>
          <cell r="H310" t="str">
            <v>Statewide</v>
          </cell>
          <cell r="I310">
            <v>33.299999999999997</v>
          </cell>
          <cell r="J310">
            <v>1</v>
          </cell>
          <cell r="K310" t="str">
            <v>Pipeline_HDPE</v>
          </cell>
        </row>
        <row r="311">
          <cell r="B311" t="str">
            <v>L014.220</v>
          </cell>
          <cell r="C311" t="str">
            <v>Air &amp; Vacuum Valve</v>
          </cell>
          <cell r="D311" t="str">
            <v>EA.</v>
          </cell>
          <cell r="G311">
            <v>40</v>
          </cell>
          <cell r="H311" t="str">
            <v>Statewide</v>
          </cell>
          <cell r="I311">
            <v>40</v>
          </cell>
          <cell r="J311">
            <v>1</v>
          </cell>
          <cell r="K311" t="str">
            <v>Pipeline_Misc</v>
          </cell>
        </row>
        <row r="312">
          <cell r="B312" t="str">
            <v>L014.221</v>
          </cell>
          <cell r="C312" t="str">
            <v>Drain Valve Assembly</v>
          </cell>
          <cell r="D312" t="str">
            <v>EA.</v>
          </cell>
          <cell r="G312">
            <v>250</v>
          </cell>
          <cell r="H312" t="str">
            <v>Statewide</v>
          </cell>
          <cell r="I312">
            <v>250</v>
          </cell>
          <cell r="J312">
            <v>1</v>
          </cell>
          <cell r="K312" t="str">
            <v>Pipeline_Misc</v>
          </cell>
        </row>
        <row r="313">
          <cell r="B313" t="str">
            <v>L014.222</v>
          </cell>
          <cell r="C313" t="str">
            <v>Pressure Regulator</v>
          </cell>
          <cell r="D313" t="str">
            <v>EA.</v>
          </cell>
          <cell r="G313">
            <v>60</v>
          </cell>
          <cell r="H313" t="str">
            <v>Statewide</v>
          </cell>
          <cell r="I313">
            <v>60</v>
          </cell>
          <cell r="J313">
            <v>1</v>
          </cell>
          <cell r="K313" t="str">
            <v>Pipeline_Misc</v>
          </cell>
        </row>
        <row r="314">
          <cell r="B314" t="str">
            <v>L014.223</v>
          </cell>
          <cell r="C314" t="str">
            <v>Hydrants, 4"x4"x4"</v>
          </cell>
          <cell r="D314" t="str">
            <v>EA.</v>
          </cell>
          <cell r="G314">
            <v>240</v>
          </cell>
          <cell r="H314" t="str">
            <v>Statewide</v>
          </cell>
          <cell r="I314">
            <v>240</v>
          </cell>
          <cell r="J314">
            <v>1</v>
          </cell>
          <cell r="K314" t="str">
            <v>Pipeline_Misc</v>
          </cell>
        </row>
        <row r="315">
          <cell r="B315" t="str">
            <v>L014.224</v>
          </cell>
          <cell r="C315" t="str">
            <v>Hydrants, 6"x6"x4"</v>
          </cell>
          <cell r="D315" t="str">
            <v>EA.</v>
          </cell>
          <cell r="G315">
            <v>255</v>
          </cell>
          <cell r="H315" t="str">
            <v>Statewide</v>
          </cell>
          <cell r="I315">
            <v>255</v>
          </cell>
          <cell r="J315">
            <v>1</v>
          </cell>
          <cell r="K315" t="str">
            <v>Pipeline_Misc</v>
          </cell>
        </row>
        <row r="316">
          <cell r="B316" t="str">
            <v>L014.225</v>
          </cell>
          <cell r="C316" t="str">
            <v>Hydrants, 6"x6"x6"</v>
          </cell>
          <cell r="D316" t="str">
            <v>EA.</v>
          </cell>
          <cell r="G316">
            <v>300</v>
          </cell>
          <cell r="H316" t="str">
            <v>Statewide</v>
          </cell>
          <cell r="I316">
            <v>300</v>
          </cell>
          <cell r="J316">
            <v>1</v>
          </cell>
          <cell r="K316" t="str">
            <v>Pipeline_Misc</v>
          </cell>
        </row>
        <row r="317">
          <cell r="B317" t="str">
            <v>L014.226</v>
          </cell>
          <cell r="C317" t="str">
            <v>Hydrants, 8"x8"x4"</v>
          </cell>
          <cell r="D317" t="str">
            <v>EA.</v>
          </cell>
          <cell r="G317">
            <v>275</v>
          </cell>
          <cell r="H317" t="str">
            <v>Statewide</v>
          </cell>
          <cell r="I317">
            <v>275</v>
          </cell>
          <cell r="J317">
            <v>1</v>
          </cell>
          <cell r="K317" t="str">
            <v>Pipeline_Misc</v>
          </cell>
        </row>
        <row r="318">
          <cell r="B318" t="str">
            <v>L014.227</v>
          </cell>
          <cell r="C318" t="str">
            <v>Hydrants, 8"x8"x6"</v>
          </cell>
          <cell r="D318" t="str">
            <v>EA.</v>
          </cell>
          <cell r="G318">
            <v>330</v>
          </cell>
          <cell r="H318" t="str">
            <v>Statewide</v>
          </cell>
          <cell r="I318">
            <v>330</v>
          </cell>
          <cell r="J318">
            <v>1</v>
          </cell>
          <cell r="K318" t="str">
            <v>Pipeline_Misc</v>
          </cell>
        </row>
        <row r="319">
          <cell r="B319" t="str">
            <v>L014.228</v>
          </cell>
          <cell r="C319" t="str">
            <v>Zee Pipe, 4"</v>
          </cell>
          <cell r="D319" t="str">
            <v>EA.</v>
          </cell>
          <cell r="G319">
            <v>430</v>
          </cell>
          <cell r="H319" t="str">
            <v>Statewide</v>
          </cell>
          <cell r="I319">
            <v>430</v>
          </cell>
          <cell r="J319">
            <v>1</v>
          </cell>
          <cell r="K319" t="str">
            <v>Pipeline_Misc</v>
          </cell>
        </row>
        <row r="320">
          <cell r="B320" t="str">
            <v>L014.229</v>
          </cell>
          <cell r="C320" t="str">
            <v>Zee Pipe, 6"</v>
          </cell>
          <cell r="D320" t="str">
            <v>EA.</v>
          </cell>
          <cell r="G320">
            <v>510</v>
          </cell>
          <cell r="H320" t="str">
            <v>Statewide</v>
          </cell>
          <cell r="I320">
            <v>510</v>
          </cell>
          <cell r="J320">
            <v>1</v>
          </cell>
          <cell r="K320" t="str">
            <v>Pipeline_Misc</v>
          </cell>
        </row>
        <row r="321">
          <cell r="B321" t="str">
            <v>L014.230</v>
          </cell>
          <cell r="C321" t="str">
            <v>Zee Pipe, 8"</v>
          </cell>
          <cell r="D321" t="str">
            <v>EA.</v>
          </cell>
          <cell r="G321">
            <v>625</v>
          </cell>
          <cell r="H321" t="str">
            <v>Statewide</v>
          </cell>
          <cell r="I321">
            <v>625</v>
          </cell>
          <cell r="J321">
            <v>1</v>
          </cell>
          <cell r="K321" t="str">
            <v>Pipeline_Misc</v>
          </cell>
        </row>
        <row r="322">
          <cell r="B322" t="str">
            <v>L014.231</v>
          </cell>
          <cell r="C322" t="str">
            <v>Zee Pipe, 10"</v>
          </cell>
          <cell r="D322" t="str">
            <v>EA.</v>
          </cell>
          <cell r="G322">
            <v>815</v>
          </cell>
          <cell r="H322" t="str">
            <v>Statewide</v>
          </cell>
          <cell r="I322">
            <v>815</v>
          </cell>
          <cell r="J322">
            <v>1</v>
          </cell>
          <cell r="K322" t="str">
            <v>Pipeline_Misc</v>
          </cell>
        </row>
        <row r="323">
          <cell r="B323" t="str">
            <v>L014.232</v>
          </cell>
          <cell r="C323" t="str">
            <v>Irrigation Pumping Plant, complete</v>
          </cell>
          <cell r="D323" t="str">
            <v>HP</v>
          </cell>
          <cell r="G323">
            <v>140</v>
          </cell>
          <cell r="H323" t="str">
            <v>Statewide</v>
          </cell>
          <cell r="I323">
            <v>140</v>
          </cell>
          <cell r="J323">
            <v>1</v>
          </cell>
          <cell r="K323" t="str">
            <v>Pipeline_Misc</v>
          </cell>
        </row>
        <row r="324">
          <cell r="B324" t="str">
            <v>L014.377</v>
          </cell>
          <cell r="C324" t="str">
            <v>Elbow, Epoxy Coated for PVC pressure pipeline, 4"</v>
          </cell>
          <cell r="D324" t="str">
            <v>EA.</v>
          </cell>
          <cell r="G324">
            <v>130</v>
          </cell>
          <cell r="H324" t="str">
            <v>Statewide</v>
          </cell>
          <cell r="I324">
            <v>130</v>
          </cell>
          <cell r="J324">
            <v>1</v>
          </cell>
          <cell r="K324" t="str">
            <v>Pipeline_Misc</v>
          </cell>
        </row>
        <row r="325">
          <cell r="B325" t="str">
            <v>L014.378</v>
          </cell>
          <cell r="C325" t="str">
            <v>Elbow, Epoxy Coated for PVC pressure pipeline, 6"</v>
          </cell>
          <cell r="D325" t="str">
            <v>EA.</v>
          </cell>
          <cell r="G325">
            <v>165</v>
          </cell>
          <cell r="H325" t="str">
            <v>Statewide</v>
          </cell>
          <cell r="I325">
            <v>165</v>
          </cell>
          <cell r="J325">
            <v>1</v>
          </cell>
          <cell r="K325" t="str">
            <v>Pipeline_Misc</v>
          </cell>
        </row>
        <row r="326">
          <cell r="B326" t="str">
            <v>L014.379</v>
          </cell>
          <cell r="C326" t="str">
            <v>Elbow, Epoxy Coated for PVC pressure pipeline, 8"</v>
          </cell>
          <cell r="D326" t="str">
            <v>EA.</v>
          </cell>
          <cell r="G326">
            <v>205</v>
          </cell>
          <cell r="H326" t="str">
            <v>Statewide</v>
          </cell>
          <cell r="I326">
            <v>205</v>
          </cell>
          <cell r="J326">
            <v>1</v>
          </cell>
          <cell r="K326" t="str">
            <v>Pipeline_Misc</v>
          </cell>
        </row>
        <row r="327">
          <cell r="B327" t="str">
            <v>L014.380</v>
          </cell>
          <cell r="C327" t="str">
            <v>Elbow, Epoxy Coated for PVC pressure pipeline, 10"</v>
          </cell>
          <cell r="D327" t="str">
            <v>EA.</v>
          </cell>
          <cell r="G327">
            <v>275</v>
          </cell>
          <cell r="H327" t="str">
            <v>Statewide</v>
          </cell>
          <cell r="I327">
            <v>275</v>
          </cell>
          <cell r="J327">
            <v>1</v>
          </cell>
          <cell r="K327" t="str">
            <v>Pipeline_Misc</v>
          </cell>
        </row>
        <row r="328">
          <cell r="B328" t="str">
            <v>L014.381</v>
          </cell>
          <cell r="C328" t="str">
            <v>Tee, Epoxy Coated for PVC pressure pipeline, 4"</v>
          </cell>
          <cell r="D328" t="str">
            <v>EA.</v>
          </cell>
          <cell r="G328">
            <v>135</v>
          </cell>
          <cell r="H328" t="str">
            <v>Statewide</v>
          </cell>
          <cell r="I328">
            <v>135</v>
          </cell>
          <cell r="J328">
            <v>1</v>
          </cell>
          <cell r="K328" t="str">
            <v>Pipeline_Misc</v>
          </cell>
        </row>
        <row r="329">
          <cell r="B329" t="str">
            <v>L014.382</v>
          </cell>
          <cell r="C329" t="str">
            <v>Tee, Epoxy Coated for PVC pressure pipeline, 6"</v>
          </cell>
          <cell r="D329" t="str">
            <v>EA.</v>
          </cell>
          <cell r="G329">
            <v>160</v>
          </cell>
          <cell r="H329" t="str">
            <v>Statewide</v>
          </cell>
          <cell r="I329">
            <v>160</v>
          </cell>
          <cell r="J329">
            <v>1</v>
          </cell>
          <cell r="K329" t="str">
            <v>Pipeline_Misc</v>
          </cell>
        </row>
        <row r="330">
          <cell r="B330" t="str">
            <v>L014.383</v>
          </cell>
          <cell r="C330" t="str">
            <v>Tee, Epoxy Coated for PVC pressure pipeline, 8"</v>
          </cell>
          <cell r="D330" t="str">
            <v>EA.</v>
          </cell>
          <cell r="G330">
            <v>215</v>
          </cell>
          <cell r="H330" t="str">
            <v>Statewide</v>
          </cell>
          <cell r="I330">
            <v>215</v>
          </cell>
          <cell r="J330">
            <v>1</v>
          </cell>
          <cell r="K330" t="str">
            <v>Pipeline_Misc</v>
          </cell>
        </row>
        <row r="331">
          <cell r="B331" t="str">
            <v>L014.384</v>
          </cell>
          <cell r="C331" t="str">
            <v>Tee, Epoxy Coated for PVC pressure pipeline, 10"</v>
          </cell>
          <cell r="D331" t="str">
            <v>EA.</v>
          </cell>
          <cell r="G331">
            <v>290</v>
          </cell>
          <cell r="H331" t="str">
            <v>Statewide</v>
          </cell>
          <cell r="I331">
            <v>290</v>
          </cell>
          <cell r="J331">
            <v>1</v>
          </cell>
          <cell r="K331" t="str">
            <v>Pipeline_Misc</v>
          </cell>
        </row>
        <row r="332">
          <cell r="B332" t="str">
            <v>L014.385</v>
          </cell>
          <cell r="C332" t="str">
            <v>Reducer, Epoxy Coated for PVC pressure pipeline, 6x4"</v>
          </cell>
          <cell r="D332" t="str">
            <v>EA.</v>
          </cell>
          <cell r="G332">
            <v>100</v>
          </cell>
          <cell r="H332" t="str">
            <v>Statewide</v>
          </cell>
          <cell r="I332">
            <v>100</v>
          </cell>
          <cell r="J332">
            <v>1</v>
          </cell>
          <cell r="K332" t="str">
            <v>Pipeline_Misc</v>
          </cell>
        </row>
        <row r="333">
          <cell r="B333" t="str">
            <v>L014.386</v>
          </cell>
          <cell r="C333" t="str">
            <v>Reducer, Epoxy Coated for PVC pressure pipeline, 8x6"</v>
          </cell>
          <cell r="D333" t="str">
            <v>EA.</v>
          </cell>
          <cell r="G333">
            <v>135</v>
          </cell>
          <cell r="H333" t="str">
            <v>Statewide</v>
          </cell>
          <cell r="I333">
            <v>135</v>
          </cell>
          <cell r="J333">
            <v>1</v>
          </cell>
          <cell r="K333" t="str">
            <v>Pipeline_Misc</v>
          </cell>
        </row>
        <row r="334">
          <cell r="B334" t="str">
            <v>L014.387</v>
          </cell>
          <cell r="C334" t="str">
            <v>Reducer, Epoxy Coated for PVC pressure pipeline, 10x8"</v>
          </cell>
          <cell r="D334" t="str">
            <v>EA.</v>
          </cell>
          <cell r="G334">
            <v>160</v>
          </cell>
          <cell r="H334" t="str">
            <v>Statewide</v>
          </cell>
          <cell r="I334">
            <v>160</v>
          </cell>
          <cell r="J334">
            <v>1</v>
          </cell>
          <cell r="K334" t="str">
            <v>Pipeline_Misc</v>
          </cell>
        </row>
        <row r="335">
          <cell r="B335" t="str">
            <v>L014.419</v>
          </cell>
          <cell r="C335" t="str">
            <v>Air Release Valve</v>
          </cell>
          <cell r="D335" t="str">
            <v>EA.</v>
          </cell>
          <cell r="G335">
            <v>100</v>
          </cell>
          <cell r="H335" t="str">
            <v>Statewide</v>
          </cell>
          <cell r="I335">
            <v>100</v>
          </cell>
          <cell r="J335">
            <v>1</v>
          </cell>
          <cell r="K335" t="str">
            <v>Pipeline_Misc</v>
          </cell>
        </row>
        <row r="336">
          <cell r="B336" t="str">
            <v>L014.420</v>
          </cell>
          <cell r="C336" t="str">
            <v>Air Vacuum, Ari Release Combo Valve</v>
          </cell>
          <cell r="D336" t="str">
            <v>EA.</v>
          </cell>
          <cell r="G336">
            <v>150</v>
          </cell>
          <cell r="H336" t="str">
            <v>Statewide</v>
          </cell>
          <cell r="I336">
            <v>150</v>
          </cell>
          <cell r="J336">
            <v>1</v>
          </cell>
          <cell r="K336" t="str">
            <v>Pipeline_Misc</v>
          </cell>
        </row>
        <row r="337">
          <cell r="B337" t="str">
            <v>L014.421</v>
          </cell>
          <cell r="C337" t="str">
            <v>Pressure Relief Valve</v>
          </cell>
          <cell r="D337" t="str">
            <v>EA.</v>
          </cell>
          <cell r="G337">
            <v>150</v>
          </cell>
          <cell r="H337" t="str">
            <v>Statewide</v>
          </cell>
          <cell r="I337">
            <v>150</v>
          </cell>
          <cell r="J337">
            <v>1</v>
          </cell>
          <cell r="K337" t="str">
            <v>Pipeline_Misc</v>
          </cell>
        </row>
        <row r="338">
          <cell r="B338" t="str">
            <v>L014.422</v>
          </cell>
          <cell r="C338" t="str">
            <v>Submersible Pump</v>
          </cell>
          <cell r="D338" t="str">
            <v>HP</v>
          </cell>
          <cell r="G338">
            <v>400</v>
          </cell>
          <cell r="H338" t="str">
            <v>Statewide</v>
          </cell>
          <cell r="I338">
            <v>400</v>
          </cell>
          <cell r="J338">
            <v>1</v>
          </cell>
          <cell r="K338" t="str">
            <v>Pipeline_Misc</v>
          </cell>
        </row>
        <row r="339">
          <cell r="B339" t="str">
            <v>L014.307</v>
          </cell>
          <cell r="C339" t="str">
            <v>Pipeline, PE Poly, 3/4", 100 psi, includes joining &amp; laying in trench</v>
          </cell>
          <cell r="D339" t="str">
            <v>L.F.</v>
          </cell>
          <cell r="E339">
            <v>41</v>
          </cell>
          <cell r="F339" t="str">
            <v>16.2.4</v>
          </cell>
          <cell r="G339">
            <v>1.2</v>
          </cell>
          <cell r="H339" t="str">
            <v>Statewide</v>
          </cell>
          <cell r="I339">
            <v>1.2</v>
          </cell>
          <cell r="J339">
            <v>1</v>
          </cell>
          <cell r="K339" t="str">
            <v>Pipeline_Poly</v>
          </cell>
        </row>
        <row r="340">
          <cell r="B340" t="str">
            <v>L014.308</v>
          </cell>
          <cell r="C340" t="str">
            <v>Pipeline, PE Poly, 3/4", 200 psi, includes joining &amp; laying in trench</v>
          </cell>
          <cell r="D340" t="str">
            <v>L.F.</v>
          </cell>
          <cell r="E340">
            <v>41</v>
          </cell>
          <cell r="F340" t="str">
            <v>16.2.3</v>
          </cell>
          <cell r="G340">
            <v>1.35</v>
          </cell>
          <cell r="H340" t="str">
            <v>Statewide</v>
          </cell>
          <cell r="I340">
            <v>1.35</v>
          </cell>
          <cell r="J340">
            <v>1</v>
          </cell>
          <cell r="K340" t="str">
            <v>Pipeline_Poly</v>
          </cell>
        </row>
        <row r="341">
          <cell r="B341" t="str">
            <v>L014.309</v>
          </cell>
          <cell r="C341" t="str">
            <v>Pipeline, PE Poly, 1", 100 psi, includes joining &amp; laying in trench</v>
          </cell>
          <cell r="D341" t="str">
            <v>L.F.</v>
          </cell>
          <cell r="E341">
            <v>41</v>
          </cell>
          <cell r="F341" t="str">
            <v>16.2.2</v>
          </cell>
          <cell r="G341">
            <v>1.25</v>
          </cell>
          <cell r="H341" t="str">
            <v>Statewide</v>
          </cell>
          <cell r="I341">
            <v>1.25</v>
          </cell>
          <cell r="J341">
            <v>1</v>
          </cell>
          <cell r="K341" t="str">
            <v>Pipeline_Poly</v>
          </cell>
        </row>
        <row r="342">
          <cell r="B342" t="str">
            <v>L014.310</v>
          </cell>
          <cell r="C342" t="str">
            <v>Pipeline, PE Poly, 1", 200 psi, includes joining &amp; laying in trench</v>
          </cell>
          <cell r="D342" t="str">
            <v>L.F.</v>
          </cell>
          <cell r="E342">
            <v>41</v>
          </cell>
          <cell r="F342" t="str">
            <v>16.2.0</v>
          </cell>
          <cell r="G342">
            <v>1.65</v>
          </cell>
          <cell r="H342" t="str">
            <v>Statewide</v>
          </cell>
          <cell r="I342">
            <v>1.65</v>
          </cell>
          <cell r="J342">
            <v>1</v>
          </cell>
          <cell r="K342" t="str">
            <v>Pipeline_Poly</v>
          </cell>
        </row>
        <row r="343">
          <cell r="B343" t="str">
            <v>L014.311</v>
          </cell>
          <cell r="C343" t="str">
            <v>Pipeline, PE Poly, 1-1/4", 100 psi, includes joining &amp; laying in trench</v>
          </cell>
          <cell r="D343" t="str">
            <v>L.F.</v>
          </cell>
          <cell r="E343">
            <v>41</v>
          </cell>
          <cell r="F343" t="str">
            <v>16.2.5</v>
          </cell>
          <cell r="G343">
            <v>1.45</v>
          </cell>
          <cell r="H343" t="str">
            <v>Statewide</v>
          </cell>
          <cell r="I343">
            <v>1.45</v>
          </cell>
          <cell r="J343">
            <v>1</v>
          </cell>
          <cell r="K343" t="str">
            <v>Pipeline_Poly</v>
          </cell>
        </row>
        <row r="344">
          <cell r="B344" t="str">
            <v>L014.312</v>
          </cell>
          <cell r="C344" t="str">
            <v>Pipeline, PE Poly, 1-1/4", 200 psi, includes joining &amp; laying in trench</v>
          </cell>
          <cell r="D344" t="str">
            <v>L.F.</v>
          </cell>
          <cell r="E344">
            <v>41</v>
          </cell>
          <cell r="F344" t="str">
            <v>16.2.1</v>
          </cell>
          <cell r="G344">
            <v>1.85</v>
          </cell>
          <cell r="H344" t="str">
            <v>Statewide</v>
          </cell>
          <cell r="I344">
            <v>1.85</v>
          </cell>
          <cell r="J344">
            <v>1</v>
          </cell>
          <cell r="K344" t="str">
            <v>Pipeline_Poly</v>
          </cell>
        </row>
        <row r="345">
          <cell r="B345" t="str">
            <v>L014.313</v>
          </cell>
          <cell r="C345" t="str">
            <v>Pipeline, PE Poly, 1-1/2", 100 psi, includes joining &amp; laying in trench</v>
          </cell>
          <cell r="D345" t="str">
            <v>L.F.</v>
          </cell>
          <cell r="E345">
            <v>41</v>
          </cell>
          <cell r="F345" t="str">
            <v>16.2.5</v>
          </cell>
          <cell r="G345">
            <v>1.8</v>
          </cell>
          <cell r="H345" t="str">
            <v>Statewide</v>
          </cell>
          <cell r="I345">
            <v>1.8</v>
          </cell>
          <cell r="J345">
            <v>1</v>
          </cell>
          <cell r="K345" t="str">
            <v>Pipeline_Poly</v>
          </cell>
        </row>
        <row r="346">
          <cell r="B346" t="str">
            <v>L014.314</v>
          </cell>
          <cell r="C346" t="str">
            <v>Pipeline, PE Poly, 1-1/2", 200 psi, includes joining &amp; laying in trench</v>
          </cell>
          <cell r="D346" t="str">
            <v>L.F.</v>
          </cell>
          <cell r="E346">
            <v>41</v>
          </cell>
          <cell r="F346" t="str">
            <v>16.2.1</v>
          </cell>
          <cell r="G346">
            <v>2.2000000000000002</v>
          </cell>
          <cell r="H346" t="str">
            <v>Statewide</v>
          </cell>
          <cell r="I346">
            <v>2.2000000000000002</v>
          </cell>
          <cell r="J346">
            <v>1</v>
          </cell>
          <cell r="K346" t="str">
            <v>Pipeline_Poly</v>
          </cell>
        </row>
        <row r="347">
          <cell r="B347" t="str">
            <v>L014.315</v>
          </cell>
          <cell r="C347" t="str">
            <v>Pipeline, PE Poly, 2", 100 psi, includes joining &amp; laying in trench</v>
          </cell>
          <cell r="D347" t="str">
            <v>L.F.</v>
          </cell>
          <cell r="E347">
            <v>41</v>
          </cell>
          <cell r="F347" t="str">
            <v>16.2.5</v>
          </cell>
          <cell r="G347">
            <v>2.4</v>
          </cell>
          <cell r="H347" t="str">
            <v>Statewide</v>
          </cell>
          <cell r="I347">
            <v>2.4</v>
          </cell>
          <cell r="J347">
            <v>1</v>
          </cell>
          <cell r="K347" t="str">
            <v>Pipeline_Poly</v>
          </cell>
        </row>
        <row r="348">
          <cell r="B348" t="str">
            <v>L014.316</v>
          </cell>
          <cell r="C348" t="str">
            <v>Pipeline, PE Poly, 2", 200 psi, includes joining &amp; laying in trench</v>
          </cell>
          <cell r="D348" t="str">
            <v>L.F.</v>
          </cell>
          <cell r="E348">
            <v>41</v>
          </cell>
          <cell r="F348" t="str">
            <v>16.2.1</v>
          </cell>
          <cell r="G348">
            <v>3.2</v>
          </cell>
          <cell r="H348" t="str">
            <v>Statewide</v>
          </cell>
          <cell r="I348">
            <v>3.2</v>
          </cell>
          <cell r="J348">
            <v>1</v>
          </cell>
          <cell r="K348" t="str">
            <v>Pipeline_Poly</v>
          </cell>
        </row>
        <row r="349">
          <cell r="B349" t="str">
            <v>L014.317</v>
          </cell>
          <cell r="C349" t="str">
            <v>Pipeline, PVC, 200 psi, 1-1/2" Dia.,includes joining &amp; laying in trench</v>
          </cell>
          <cell r="D349" t="str">
            <v>L.F.</v>
          </cell>
          <cell r="E349" t="str">
            <v>1,5,11,41</v>
          </cell>
          <cell r="F349" t="str">
            <v>17.2.10</v>
          </cell>
          <cell r="G349">
            <v>2.2000000000000002</v>
          </cell>
          <cell r="H349" t="str">
            <v>Statewide</v>
          </cell>
          <cell r="I349">
            <v>2.2000000000000002</v>
          </cell>
          <cell r="J349">
            <v>1</v>
          </cell>
          <cell r="K349" t="str">
            <v>Pipeline_PVC</v>
          </cell>
        </row>
        <row r="350">
          <cell r="B350" t="str">
            <v>L014.318</v>
          </cell>
          <cell r="C350" t="str">
            <v>Pipeline, PVC, 200 psi, 2" Dia., includes joining &amp; laying in trench</v>
          </cell>
          <cell r="D350" t="str">
            <v>L.F.</v>
          </cell>
          <cell r="E350" t="str">
            <v>1,5,11,41</v>
          </cell>
          <cell r="F350" t="str">
            <v>17.2.11</v>
          </cell>
          <cell r="G350">
            <v>2.5</v>
          </cell>
          <cell r="H350" t="str">
            <v>Statewide</v>
          </cell>
          <cell r="I350">
            <v>2.5</v>
          </cell>
          <cell r="J350">
            <v>1</v>
          </cell>
          <cell r="K350" t="str">
            <v>Pipeline_PVC</v>
          </cell>
        </row>
        <row r="351">
          <cell r="B351" t="str">
            <v>L014.319</v>
          </cell>
          <cell r="C351" t="str">
            <v>Pipeline, PVC, 200 psi, 3" Dia., includes joining &amp; laying in trench</v>
          </cell>
          <cell r="D351" t="str">
            <v>L.F.</v>
          </cell>
          <cell r="E351" t="str">
            <v>1,5,11,41</v>
          </cell>
          <cell r="F351" t="str">
            <v>17.2.12</v>
          </cell>
          <cell r="G351">
            <v>3.2</v>
          </cell>
          <cell r="H351" t="str">
            <v>Statewide</v>
          </cell>
          <cell r="I351">
            <v>3.2</v>
          </cell>
          <cell r="J351">
            <v>1</v>
          </cell>
          <cell r="K351" t="str">
            <v>Pipeline_PVC</v>
          </cell>
        </row>
        <row r="352">
          <cell r="B352" t="str">
            <v>L014.320</v>
          </cell>
          <cell r="C352" t="str">
            <v>Pipeline, PVC, 160 psi, 4" Dia., includes joining &amp; laying in trench</v>
          </cell>
          <cell r="D352" t="str">
            <v>L.F.</v>
          </cell>
          <cell r="E352" t="str">
            <v>1,5,11,41</v>
          </cell>
          <cell r="F352" t="str">
            <v>17.2.13</v>
          </cell>
          <cell r="G352">
            <v>4.5</v>
          </cell>
          <cell r="H352" t="str">
            <v>Statewide</v>
          </cell>
          <cell r="I352">
            <v>4.5</v>
          </cell>
          <cell r="J352">
            <v>1</v>
          </cell>
          <cell r="K352" t="str">
            <v>Pipeline_PVC</v>
          </cell>
        </row>
        <row r="353">
          <cell r="B353" t="str">
            <v>L014.321</v>
          </cell>
          <cell r="C353" t="str">
            <v>Pipeline, PVC, 160 psi, 6" Dia., includes joining &amp; laying in trench</v>
          </cell>
          <cell r="D353" t="str">
            <v>L.F.</v>
          </cell>
          <cell r="E353" t="str">
            <v>1,5,11,41</v>
          </cell>
          <cell r="F353" t="str">
            <v>17.2.15</v>
          </cell>
          <cell r="G353">
            <v>6.4</v>
          </cell>
          <cell r="H353" t="str">
            <v>Statewide</v>
          </cell>
          <cell r="I353">
            <v>6.4</v>
          </cell>
          <cell r="J353">
            <v>1</v>
          </cell>
          <cell r="K353" t="str">
            <v>Pipeline_PVC</v>
          </cell>
        </row>
        <row r="354">
          <cell r="B354" t="str">
            <v>L014.323</v>
          </cell>
          <cell r="C354" t="str">
            <v>Pipeline, PVC, 160 psi, 8" Dia., includes joining &amp; laying in trench</v>
          </cell>
          <cell r="D354" t="str">
            <v>L.F.</v>
          </cell>
          <cell r="E354" t="str">
            <v>1,5,11,41</v>
          </cell>
          <cell r="F354" t="str">
            <v>17.2.17</v>
          </cell>
          <cell r="G354">
            <v>9.9</v>
          </cell>
          <cell r="H354" t="str">
            <v>Statewide</v>
          </cell>
          <cell r="I354">
            <v>9.9</v>
          </cell>
          <cell r="J354">
            <v>1</v>
          </cell>
          <cell r="K354" t="str">
            <v>Pipeline_PVC</v>
          </cell>
        </row>
        <row r="355">
          <cell r="B355" t="str">
            <v>L014.325</v>
          </cell>
          <cell r="C355" t="str">
            <v>Pipeline, PVC, 160 psi, 10" Dia., includes joining &amp; laying in trench</v>
          </cell>
          <cell r="D355" t="str">
            <v>L.F.</v>
          </cell>
          <cell r="E355" t="str">
            <v>1,5,11,41</v>
          </cell>
          <cell r="F355" t="str">
            <v>17.1.6</v>
          </cell>
          <cell r="G355">
            <v>10.65</v>
          </cell>
          <cell r="H355" t="str">
            <v>Statewide</v>
          </cell>
          <cell r="I355">
            <v>10.65</v>
          </cell>
          <cell r="J355">
            <v>1</v>
          </cell>
          <cell r="K355" t="str">
            <v>Pipeline_PVC</v>
          </cell>
        </row>
        <row r="356">
          <cell r="B356" t="str">
            <v>L014.326</v>
          </cell>
          <cell r="C356" t="str">
            <v>Pipeline, PVC, 160 psi, 12" Dia., includes joining &amp; laying in trench</v>
          </cell>
          <cell r="D356" t="str">
            <v>L.F.</v>
          </cell>
          <cell r="E356" t="str">
            <v>1,5,11,41</v>
          </cell>
          <cell r="F356" t="str">
            <v>17.1.7</v>
          </cell>
          <cell r="G356">
            <v>12.6</v>
          </cell>
          <cell r="H356" t="str">
            <v>Statewide</v>
          </cell>
          <cell r="I356">
            <v>12.6</v>
          </cell>
          <cell r="J356">
            <v>1</v>
          </cell>
          <cell r="K356" t="str">
            <v>Pipeline_PVC</v>
          </cell>
        </row>
        <row r="357">
          <cell r="B357" t="str">
            <v>L014.327</v>
          </cell>
          <cell r="C357" t="str">
            <v>French drain, Roof runoff</v>
          </cell>
          <cell r="D357" t="str">
            <v>L.F.</v>
          </cell>
          <cell r="E357" t="str">
            <v>1,5,11,41</v>
          </cell>
          <cell r="F357" t="str">
            <v>5.2.9</v>
          </cell>
          <cell r="G357">
            <v>13</v>
          </cell>
          <cell r="H357" t="str">
            <v>Statewide</v>
          </cell>
          <cell r="I357">
            <v>13</v>
          </cell>
          <cell r="J357">
            <v>1</v>
          </cell>
          <cell r="K357" t="str">
            <v>Roof</v>
          </cell>
        </row>
        <row r="358">
          <cell r="B358" t="str">
            <v>L014.328</v>
          </cell>
          <cell r="C358" t="str">
            <v>Gutters &amp; Downspouts</v>
          </cell>
          <cell r="D358" t="str">
            <v>L.F.</v>
          </cell>
          <cell r="G358">
            <v>11</v>
          </cell>
          <cell r="H358" t="str">
            <v>Statewide</v>
          </cell>
          <cell r="I358">
            <v>11</v>
          </cell>
          <cell r="J358">
            <v>1</v>
          </cell>
          <cell r="K358" t="str">
            <v>Roof</v>
          </cell>
        </row>
        <row r="359">
          <cell r="B359" t="str">
            <v>L014.388</v>
          </cell>
          <cell r="C359" t="str">
            <v>Roof over  AMF</v>
          </cell>
          <cell r="D359" t="str">
            <v>SF</v>
          </cell>
          <cell r="G359">
            <v>16</v>
          </cell>
          <cell r="H359" t="str">
            <v>Statewide</v>
          </cell>
          <cell r="I359">
            <v>16</v>
          </cell>
          <cell r="J359">
            <v>1</v>
          </cell>
          <cell r="K359" t="str">
            <v>Roof</v>
          </cell>
        </row>
        <row r="360">
          <cell r="B360" t="str">
            <v>L014.431</v>
          </cell>
          <cell r="C360" t="str">
            <v>Roof over Manure Storage or Barnyard</v>
          </cell>
          <cell r="D360" t="str">
            <v>SF</v>
          </cell>
          <cell r="G360">
            <v>12</v>
          </cell>
          <cell r="H360" t="str">
            <v>Statewide</v>
          </cell>
          <cell r="I360">
            <v>12</v>
          </cell>
          <cell r="J360">
            <v>1</v>
          </cell>
          <cell r="K360" t="str">
            <v>Roof</v>
          </cell>
        </row>
        <row r="361">
          <cell r="B361" t="str">
            <v>L014.376</v>
          </cell>
          <cell r="C361" t="str">
            <v>Seeding &amp; Mulching (Critical Area Planting)</v>
          </cell>
          <cell r="D361" t="str">
            <v>AC</v>
          </cell>
          <cell r="G361">
            <v>850</v>
          </cell>
          <cell r="H361" t="str">
            <v>Statewide</v>
          </cell>
          <cell r="I361">
            <v>850</v>
          </cell>
          <cell r="J361">
            <v>1</v>
          </cell>
          <cell r="K361" t="str">
            <v>Seed_Mulch</v>
          </cell>
        </row>
        <row r="362">
          <cell r="B362" t="str">
            <v>L014.329</v>
          </cell>
          <cell r="C362" t="str">
            <v>Check Valve w/ cleanout, 4" pipe size, installed</v>
          </cell>
          <cell r="D362" t="str">
            <v>EA.</v>
          </cell>
          <cell r="G362">
            <v>90</v>
          </cell>
          <cell r="H362" t="str">
            <v>Statewide</v>
          </cell>
          <cell r="I362">
            <v>90</v>
          </cell>
          <cell r="J362">
            <v>1</v>
          </cell>
          <cell r="K362" t="str">
            <v>Waste_Xfer</v>
          </cell>
        </row>
        <row r="363">
          <cell r="B363" t="str">
            <v>L014.330</v>
          </cell>
          <cell r="C363" t="str">
            <v>Check Valve w/ cleanout, 6" pipe size, installed</v>
          </cell>
          <cell r="D363" t="str">
            <v>EA.</v>
          </cell>
          <cell r="G363">
            <v>200</v>
          </cell>
          <cell r="H363" t="str">
            <v>Statewide</v>
          </cell>
          <cell r="I363">
            <v>200</v>
          </cell>
          <cell r="J363">
            <v>1</v>
          </cell>
          <cell r="K363" t="str">
            <v>Waste_Xfer</v>
          </cell>
        </row>
        <row r="364">
          <cell r="B364" t="str">
            <v>L014.331</v>
          </cell>
          <cell r="C364" t="str">
            <v>Check Valve w/ cleanout, 8" pipe size, installed</v>
          </cell>
          <cell r="D364" t="str">
            <v>EA.</v>
          </cell>
          <cell r="G364">
            <v>260</v>
          </cell>
          <cell r="H364" t="str">
            <v>Statewide</v>
          </cell>
          <cell r="I364">
            <v>260</v>
          </cell>
          <cell r="J364">
            <v>1</v>
          </cell>
          <cell r="K364" t="str">
            <v>Waste_Xfer</v>
          </cell>
        </row>
        <row r="365">
          <cell r="B365" t="str">
            <v>L014.332</v>
          </cell>
          <cell r="C365" t="str">
            <v>Check Valve w/ cleanout, 10" pipe size, installed</v>
          </cell>
          <cell r="D365" t="str">
            <v>EA.</v>
          </cell>
          <cell r="G365">
            <v>310</v>
          </cell>
          <cell r="H365" t="str">
            <v>Statewide</v>
          </cell>
          <cell r="I365">
            <v>310</v>
          </cell>
          <cell r="J365">
            <v>1</v>
          </cell>
          <cell r="K365" t="str">
            <v>Waste_Xfer</v>
          </cell>
        </row>
        <row r="366">
          <cell r="B366" t="str">
            <v>L014.333</v>
          </cell>
          <cell r="C366" t="str">
            <v>Check Valve w/ cleanout, 12" pipe size, installed</v>
          </cell>
          <cell r="D366" t="str">
            <v>EA.</v>
          </cell>
          <cell r="G366">
            <v>400</v>
          </cell>
          <cell r="H366" t="str">
            <v>Statewide</v>
          </cell>
          <cell r="I366">
            <v>400</v>
          </cell>
          <cell r="J366">
            <v>1</v>
          </cell>
          <cell r="K366" t="str">
            <v>Waste_Xfer</v>
          </cell>
        </row>
        <row r="367">
          <cell r="B367" t="str">
            <v>L014.334</v>
          </cell>
          <cell r="C367" t="str">
            <v>Check Valve w/ cleanout, 15" pipe size, installed</v>
          </cell>
          <cell r="D367" t="str">
            <v>EA.</v>
          </cell>
          <cell r="G367">
            <v>600</v>
          </cell>
          <cell r="H367" t="str">
            <v>Statewide</v>
          </cell>
          <cell r="I367">
            <v>600</v>
          </cell>
          <cell r="J367">
            <v>1</v>
          </cell>
          <cell r="K367" t="str">
            <v>Waste_Xfer</v>
          </cell>
        </row>
        <row r="368">
          <cell r="B368" t="str">
            <v>L014.335</v>
          </cell>
          <cell r="C368" t="str">
            <v>Check Valve w/ cleanout, 18" pipe size, installed</v>
          </cell>
          <cell r="D368" t="str">
            <v>EA.</v>
          </cell>
          <cell r="G368">
            <v>780</v>
          </cell>
          <cell r="H368" t="str">
            <v>Statewide</v>
          </cell>
          <cell r="I368">
            <v>780</v>
          </cell>
          <cell r="J368">
            <v>1</v>
          </cell>
          <cell r="K368" t="str">
            <v>Waste_Xfer</v>
          </cell>
        </row>
        <row r="369">
          <cell r="B369" t="str">
            <v>L014.336</v>
          </cell>
          <cell r="C369" t="str">
            <v>Gate Valve, 2" PVC pipe, installed</v>
          </cell>
          <cell r="D369" t="str">
            <v>EA.</v>
          </cell>
          <cell r="G369">
            <v>60</v>
          </cell>
          <cell r="H369" t="str">
            <v>Statewide</v>
          </cell>
          <cell r="I369">
            <v>60</v>
          </cell>
          <cell r="J369">
            <v>1</v>
          </cell>
          <cell r="K369" t="str">
            <v>Waste_Xfer</v>
          </cell>
        </row>
        <row r="370">
          <cell r="B370" t="str">
            <v>L014.337</v>
          </cell>
          <cell r="C370" t="str">
            <v>Gate Valve, 3" PVC pipe, installed</v>
          </cell>
          <cell r="D370" t="str">
            <v>EA.</v>
          </cell>
          <cell r="G370">
            <v>70</v>
          </cell>
          <cell r="H370" t="str">
            <v>Statewide</v>
          </cell>
          <cell r="I370">
            <v>70</v>
          </cell>
          <cell r="J370">
            <v>1</v>
          </cell>
          <cell r="K370" t="str">
            <v>Waste_Xfer</v>
          </cell>
        </row>
        <row r="371">
          <cell r="B371" t="str">
            <v>L014.338</v>
          </cell>
          <cell r="C371" t="str">
            <v>Gate Valve, 4" PVC pipe, installed</v>
          </cell>
          <cell r="D371" t="str">
            <v>EA.</v>
          </cell>
          <cell r="G371">
            <v>125</v>
          </cell>
          <cell r="H371" t="str">
            <v>Statewide</v>
          </cell>
          <cell r="I371">
            <v>125</v>
          </cell>
          <cell r="J371">
            <v>1</v>
          </cell>
          <cell r="K371" t="str">
            <v>Waste_Xfer</v>
          </cell>
        </row>
        <row r="372">
          <cell r="B372" t="str">
            <v>L014.339</v>
          </cell>
          <cell r="C372" t="str">
            <v>Gate Valve, 6" PVC pipe, installed</v>
          </cell>
          <cell r="D372" t="str">
            <v>EA.</v>
          </cell>
          <cell r="G372">
            <v>400</v>
          </cell>
          <cell r="H372" t="str">
            <v>Statewide</v>
          </cell>
          <cell r="I372">
            <v>400</v>
          </cell>
          <cell r="J372">
            <v>1</v>
          </cell>
          <cell r="K372" t="str">
            <v>Waste_Xfer</v>
          </cell>
        </row>
        <row r="373">
          <cell r="B373" t="str">
            <v>L014.340</v>
          </cell>
          <cell r="C373" t="str">
            <v>Gate Valve, 8" PVC pipe, installed</v>
          </cell>
          <cell r="D373" t="str">
            <v>EA.</v>
          </cell>
          <cell r="G373">
            <v>550</v>
          </cell>
          <cell r="H373" t="str">
            <v>Statewide</v>
          </cell>
          <cell r="I373">
            <v>550</v>
          </cell>
          <cell r="J373">
            <v>1</v>
          </cell>
          <cell r="K373" t="str">
            <v>Waste_Xfer</v>
          </cell>
        </row>
        <row r="374">
          <cell r="B374" t="str">
            <v>L014.341</v>
          </cell>
          <cell r="C374" t="str">
            <v>Floculation Tank, milkhouse</v>
          </cell>
          <cell r="D374" t="str">
            <v>EA.</v>
          </cell>
          <cell r="E374" t="str">
            <v>41,51</v>
          </cell>
          <cell r="F374" t="str">
            <v>24.6.16</v>
          </cell>
          <cell r="G374">
            <v>4495</v>
          </cell>
          <cell r="H374" t="str">
            <v>Statewide</v>
          </cell>
          <cell r="I374">
            <v>4495</v>
          </cell>
          <cell r="J374">
            <v>1</v>
          </cell>
          <cell r="K374" t="str">
            <v>Waste_Xfer</v>
          </cell>
        </row>
        <row r="375">
          <cell r="B375" t="str">
            <v>L014.342</v>
          </cell>
          <cell r="C375" t="str">
            <v>Grate, Safety, over hopper</v>
          </cell>
          <cell r="D375" t="str">
            <v>EA.</v>
          </cell>
          <cell r="E375">
            <v>46</v>
          </cell>
          <cell r="F375" t="str">
            <v>24.9.0</v>
          </cell>
          <cell r="G375">
            <v>500</v>
          </cell>
          <cell r="H375" t="str">
            <v>Statewide</v>
          </cell>
          <cell r="I375">
            <v>500</v>
          </cell>
          <cell r="J375">
            <v>1</v>
          </cell>
          <cell r="K375" t="str">
            <v>Waste_Xfer</v>
          </cell>
        </row>
        <row r="376">
          <cell r="B376" t="str">
            <v>L014.343</v>
          </cell>
          <cell r="C376" t="str">
            <v>Hydraulic Transfer Pump</v>
          </cell>
          <cell r="D376" t="str">
            <v>EA.</v>
          </cell>
          <cell r="E376">
            <v>51</v>
          </cell>
          <cell r="F376" t="str">
            <v>24.7.11</v>
          </cell>
          <cell r="G376">
            <v>2000</v>
          </cell>
          <cell r="H376" t="str">
            <v>Statewide</v>
          </cell>
          <cell r="I376">
            <v>2000</v>
          </cell>
          <cell r="J376">
            <v>1</v>
          </cell>
          <cell r="K376" t="str">
            <v>Waste_Xfer</v>
          </cell>
        </row>
        <row r="377">
          <cell r="B377" t="str">
            <v>L014.349</v>
          </cell>
          <cell r="C377" t="str">
            <v>Manure Pump, 4" Electric, w/ ~10hp motor</v>
          </cell>
          <cell r="D377" t="str">
            <v>EA.</v>
          </cell>
          <cell r="E377">
            <v>51</v>
          </cell>
          <cell r="F377" t="str">
            <v>24.3.6</v>
          </cell>
          <cell r="G377">
            <v>3650</v>
          </cell>
          <cell r="H377" t="str">
            <v>Statewide</v>
          </cell>
          <cell r="I377">
            <v>3650</v>
          </cell>
          <cell r="J377">
            <v>1</v>
          </cell>
          <cell r="K377" t="str">
            <v>Waste_Xfer</v>
          </cell>
        </row>
        <row r="378">
          <cell r="B378" t="str">
            <v>L014.350</v>
          </cell>
          <cell r="C378" t="str">
            <v xml:space="preserve">Manure Pump, Hollow Piston Type, no conc. work , inc. minimal wiring </v>
          </cell>
          <cell r="D378" t="str">
            <v>EA.</v>
          </cell>
          <cell r="E378">
            <v>51</v>
          </cell>
          <cell r="F378" t="str">
            <v>24.5.3</v>
          </cell>
          <cell r="G378">
            <v>15500</v>
          </cell>
          <cell r="H378" t="str">
            <v>Statewide</v>
          </cell>
          <cell r="I378">
            <v>15500</v>
          </cell>
          <cell r="J378">
            <v>1</v>
          </cell>
          <cell r="K378" t="str">
            <v>Waste_Xfer</v>
          </cell>
        </row>
        <row r="379">
          <cell r="B379" t="str">
            <v>L014.351</v>
          </cell>
          <cell r="C379" t="str">
            <v xml:space="preserve">Manure Pump, Solid Piston Type, no conc. work , inc. minimal wiring </v>
          </cell>
          <cell r="D379" t="str">
            <v>EA.</v>
          </cell>
          <cell r="E379">
            <v>51</v>
          </cell>
          <cell r="F379" t="str">
            <v>24.5.7</v>
          </cell>
          <cell r="G379">
            <v>17500</v>
          </cell>
          <cell r="H379" t="str">
            <v>Statewide</v>
          </cell>
          <cell r="I379">
            <v>17500</v>
          </cell>
          <cell r="J379">
            <v>1</v>
          </cell>
          <cell r="K379" t="str">
            <v>Waste_Xfer</v>
          </cell>
        </row>
        <row r="380">
          <cell r="B380" t="str">
            <v>L014.354</v>
          </cell>
          <cell r="C380" t="str">
            <v>Pushoff Safety Stop</v>
          </cell>
          <cell r="D380" t="str">
            <v>EA.</v>
          </cell>
          <cell r="E380" t="str">
            <v>31,46</v>
          </cell>
          <cell r="F380" t="str">
            <v>24.12.0</v>
          </cell>
          <cell r="G380">
            <v>600</v>
          </cell>
          <cell r="H380" t="str">
            <v>Statewide</v>
          </cell>
          <cell r="I380">
            <v>600</v>
          </cell>
          <cell r="J380">
            <v>1</v>
          </cell>
          <cell r="K380" t="str">
            <v>Waste_Xfer</v>
          </cell>
        </row>
        <row r="381">
          <cell r="B381" t="str">
            <v>L014.355</v>
          </cell>
          <cell r="C381" t="str">
            <v>Safety Signs, Structure or Hopper</v>
          </cell>
          <cell r="D381" t="str">
            <v>EA.</v>
          </cell>
          <cell r="E381">
            <v>50</v>
          </cell>
          <cell r="F381" t="str">
            <v>24.12.1</v>
          </cell>
          <cell r="G381">
            <v>15</v>
          </cell>
          <cell r="H381" t="str">
            <v>Statewide</v>
          </cell>
          <cell r="I381">
            <v>15</v>
          </cell>
          <cell r="J381">
            <v>1</v>
          </cell>
          <cell r="K381" t="str">
            <v>Waste_Xfer</v>
          </cell>
        </row>
        <row r="382">
          <cell r="B382" t="str">
            <v>L014.356</v>
          </cell>
          <cell r="C382" t="str">
            <v>Sewage Pump, 2" solids handling, to 5hp</v>
          </cell>
          <cell r="D382" t="str">
            <v>HP</v>
          </cell>
          <cell r="E382">
            <v>51</v>
          </cell>
          <cell r="F382" t="str">
            <v>24.7.4</v>
          </cell>
          <cell r="G382">
            <v>1000</v>
          </cell>
          <cell r="H382" t="str">
            <v>Statewide</v>
          </cell>
          <cell r="I382">
            <v>1000</v>
          </cell>
          <cell r="J382">
            <v>1</v>
          </cell>
          <cell r="K382" t="str">
            <v>Waste_Xfer</v>
          </cell>
        </row>
        <row r="383">
          <cell r="B383" t="str">
            <v>L014.361</v>
          </cell>
          <cell r="C383" t="str">
            <v>Silage Leachate Orifice</v>
          </cell>
          <cell r="D383" t="str">
            <v>EA.</v>
          </cell>
          <cell r="E383">
            <v>51</v>
          </cell>
          <cell r="F383" t="str">
            <v>24.7.9</v>
          </cell>
          <cell r="G383">
            <v>75</v>
          </cell>
          <cell r="H383" t="str">
            <v>Statewide</v>
          </cell>
          <cell r="I383">
            <v>75</v>
          </cell>
          <cell r="J383">
            <v>1</v>
          </cell>
          <cell r="K383" t="str">
            <v>Waste_Xfer</v>
          </cell>
        </row>
        <row r="384">
          <cell r="B384" t="str">
            <v>L014.362</v>
          </cell>
          <cell r="C384" t="str">
            <v>Silage Leachate Screen</v>
          </cell>
          <cell r="D384" t="str">
            <v>EA.</v>
          </cell>
          <cell r="E384">
            <v>51</v>
          </cell>
          <cell r="F384" t="str">
            <v>24.7.8</v>
          </cell>
          <cell r="G384">
            <v>75</v>
          </cell>
          <cell r="H384" t="str">
            <v>Statewide</v>
          </cell>
          <cell r="I384">
            <v>75</v>
          </cell>
          <cell r="J384">
            <v>1</v>
          </cell>
          <cell r="K384" t="str">
            <v>Waste_Xfer</v>
          </cell>
        </row>
        <row r="385">
          <cell r="B385" t="str">
            <v>L014.405</v>
          </cell>
          <cell r="C385" t="str">
            <v>Flout or siphon for dosing, installed</v>
          </cell>
          <cell r="D385" t="str">
            <v>EA.</v>
          </cell>
          <cell r="G385">
            <v>500</v>
          </cell>
          <cell r="H385" t="str">
            <v>Statewide</v>
          </cell>
          <cell r="I385">
            <v>500</v>
          </cell>
          <cell r="J385">
            <v>1</v>
          </cell>
          <cell r="K385" t="str">
            <v>Waste_Xfer</v>
          </cell>
        </row>
        <row r="386">
          <cell r="B386" t="str">
            <v>L014.363</v>
          </cell>
          <cell r="C386" t="str">
            <v>Well, submersible pump</v>
          </cell>
          <cell r="D386" t="str">
            <v>EA.</v>
          </cell>
          <cell r="E386" t="str">
            <v>-</v>
          </cell>
          <cell r="F386" t="str">
            <v>25.4.2</v>
          </cell>
          <cell r="G386">
            <v>1000</v>
          </cell>
          <cell r="H386" t="str">
            <v>Statewide</v>
          </cell>
          <cell r="I386">
            <v>1000</v>
          </cell>
          <cell r="J386">
            <v>1</v>
          </cell>
          <cell r="K386" t="str">
            <v>Water_Xfer</v>
          </cell>
        </row>
        <row r="387">
          <cell r="B387" t="str">
            <v>L014.369</v>
          </cell>
          <cell r="C387" t="str">
            <v>Well, all components and installation</v>
          </cell>
          <cell r="D387" t="str">
            <v>JOB</v>
          </cell>
          <cell r="G387">
            <v>4000</v>
          </cell>
          <cell r="H387" t="str">
            <v>Statewide</v>
          </cell>
          <cell r="I387">
            <v>4000</v>
          </cell>
          <cell r="J387">
            <v>1</v>
          </cell>
          <cell r="K387" t="str">
            <v>Well</v>
          </cell>
        </row>
        <row r="388">
          <cell r="B388" t="str">
            <v>L014.370</v>
          </cell>
          <cell r="C388" t="str">
            <v>Well Yield Test</v>
          </cell>
          <cell r="D388" t="str">
            <v>JOB</v>
          </cell>
          <cell r="G388">
            <v>5000</v>
          </cell>
          <cell r="H388" t="str">
            <v>Statewide</v>
          </cell>
          <cell r="I388">
            <v>5000</v>
          </cell>
          <cell r="J388">
            <v>1</v>
          </cell>
          <cell r="K388" t="str">
            <v>Well</v>
          </cell>
        </row>
      </sheetData>
      <sheetData sheetId="5">
        <row r="6">
          <cell r="B6" t="str">
            <v>C.I.P. concrete forms, slab on grade, edge, wood, to 6" high, 4 use, includes erecting, bracing, stripping and cleaning</v>
          </cell>
        </row>
      </sheetData>
      <sheetData sheetId="6"/>
      <sheetData sheetId="7"/>
      <sheetData sheetId="8"/>
      <sheetData sheetId="9"/>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638-250 cy"/>
      <sheetName val="638-500 cy"/>
      <sheetName val="638-750 cy"/>
    </sheetNames>
    <sheetDataSet>
      <sheetData sheetId="0">
        <row r="78">
          <cell r="A78" t="str">
            <v>Corrugated Plastic Pipe: 5" (Installed)</v>
          </cell>
          <cell r="B78" t="str">
            <v>Lin Ft</v>
          </cell>
          <cell r="C78">
            <v>1.5407999999999999</v>
          </cell>
        </row>
        <row r="79">
          <cell r="A79" t="str">
            <v>Corrugated Plastic Pipe: 6" (Installed)</v>
          </cell>
          <cell r="B79" t="str">
            <v>Lin Ft</v>
          </cell>
          <cell r="C79">
            <v>1.8618000000000001</v>
          </cell>
        </row>
        <row r="80">
          <cell r="A80" t="str">
            <v>Corrugated Plastic Pipe: 8" (Installed)</v>
          </cell>
          <cell r="B80" t="str">
            <v>Lin Ft</v>
          </cell>
          <cell r="C80">
            <v>2.6964000000000001</v>
          </cell>
        </row>
        <row r="105">
          <cell r="A105" t="str">
            <v>Earthmoving: Compacted Embankment</v>
          </cell>
          <cell r="B105" t="str">
            <v>Cu Yd</v>
          </cell>
          <cell r="C105">
            <v>2.5499999999999998</v>
          </cell>
        </row>
        <row r="231">
          <cell r="A231" t="str">
            <v>Offset Riser: 6" Plastic Inlet Riser Kit (Inst)</v>
          </cell>
          <cell r="B231" t="str">
            <v>Ea</v>
          </cell>
          <cell r="C231">
            <v>115.5</v>
          </cell>
        </row>
        <row r="232">
          <cell r="A232" t="str">
            <v>Offset Riser: 8" Plastic Inlet Riser Kit (Inst)</v>
          </cell>
          <cell r="B232" t="str">
            <v>Ea</v>
          </cell>
          <cell r="C232">
            <v>131.25</v>
          </cell>
        </row>
        <row r="233">
          <cell r="A233" t="str">
            <v>Offset Riser: 10" Plastic Inlet Riser Kit (Inst)</v>
          </cell>
          <cell r="B233" t="str">
            <v>Ea</v>
          </cell>
          <cell r="C233">
            <v>147</v>
          </cell>
        </row>
        <row r="268">
          <cell r="A268" t="str">
            <v>Rodent Guard - 6" (Installed)</v>
          </cell>
          <cell r="B268" t="str">
            <v>Ea</v>
          </cell>
          <cell r="C268">
            <v>15.672825000000001</v>
          </cell>
        </row>
        <row r="269">
          <cell r="A269" t="str">
            <v>Rodent Guard - 8" (Installed)</v>
          </cell>
          <cell r="B269" t="str">
            <v>Ea</v>
          </cell>
          <cell r="C269">
            <v>16.818795000000001</v>
          </cell>
        </row>
        <row r="279">
          <cell r="A279" t="str">
            <v>Schd 40 PVC Pipe: 6" (Installed)</v>
          </cell>
          <cell r="B279" t="str">
            <v>Lin Ft</v>
          </cell>
          <cell r="C279">
            <v>5.1681000000000008</v>
          </cell>
        </row>
        <row r="280">
          <cell r="A280" t="str">
            <v>Schd 40 PVC Pipe: 8" (Installed)</v>
          </cell>
          <cell r="B280" t="str">
            <v>Lin Ft</v>
          </cell>
          <cell r="C280">
            <v>7.4150999999999998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2009 WHIP Schedule"/>
      <sheetName val="2009 KY STATE PROG. Comparison"/>
      <sheetName val="2009 KY STATE PROG. EXPORT LIST"/>
      <sheetName val="102-Small"/>
      <sheetName val="102-Moderate"/>
      <sheetName val="102-Large"/>
      <sheetName val="106-10 to 50Ac"/>
      <sheetName val="106-51 to 100Ac"/>
      <sheetName val="106-101 to 200Ac"/>
      <sheetName val="106-201 to 299Ac"/>
      <sheetName val="106-300 to 500Ac"/>
      <sheetName val="313-Wet Sys 25AU"/>
      <sheetName val="313-Wet Sys 50AU"/>
      <sheetName val="313-Wet Sys 75AU"/>
      <sheetName val="313-Wet Sys 100AU"/>
      <sheetName val="313-Wet Sys 150AU"/>
      <sheetName val="313-Wet Sys 200AU"/>
      <sheetName val="313-Wet Sys 300AU"/>
      <sheetName val="313-Wet Sys 500AU"/>
      <sheetName val="313-Wet Sys Small"/>
      <sheetName val="313-Wet Sys Medium"/>
      <sheetName val="313-Wet Sys Large"/>
      <sheetName val="313-WDS 2 Hs 56-80 AU"/>
      <sheetName val="313-WDS 4 Hs 81-170 AU"/>
      <sheetName val="313-WDS to55 AU"/>
      <sheetName val="313-CDS to55 AU"/>
      <sheetName val="313-CDS 2 Hs 56-80 AU"/>
      <sheetName val="313-CDS 4 Hs 81-170 AU"/>
      <sheetName val="313-WODS to55 AU"/>
      <sheetName val="313-CODS to55 AU"/>
      <sheetName val="313-WODS 56-80 AU"/>
      <sheetName val="313-CODS 56-80 AU"/>
      <sheetName val="313-WODS 80+ AU"/>
      <sheetName val="313-CODS 80+ AU "/>
      <sheetName val="313-WLSDF 2 Hs "/>
      <sheetName val="313-CLSDF 2 Hs"/>
      <sheetName val="313-WLSDF 4 Hs"/>
      <sheetName val="313-CLSDF 4 Hs"/>
      <sheetName val="313-WLSDF 8 Hs"/>
      <sheetName val="313-CLSDF 8 Hs"/>
      <sheetName val="317-W2 Hs-250 Sow"/>
      <sheetName val="317-W4 Hs-530 Sow"/>
      <sheetName val="317-W6 Hs-790 Sow"/>
      <sheetName val="317-W8 Hs-1060 Sow "/>
      <sheetName val="317-C2 Hs-250 Sow"/>
      <sheetName val="317-C4 Hs-530 Sow "/>
      <sheetName val="317-C6 Hs-790 Sow"/>
      <sheetName val="317-C8 Hs-1060 Sow"/>
      <sheetName val="329 STIR&lt;30"/>
      <sheetName val="329 STIR&lt;15"/>
      <sheetName val="329 STIR&lt;8"/>
      <sheetName val="338-Prescribed Burning"/>
      <sheetName val="340 Herbicide-WHEAT"/>
      <sheetName val="340 Herbicide-RYE"/>
      <sheetName val="340 Roller-RYE"/>
      <sheetName val="340 Roller &amp; Herbicide-RYE"/>
      <sheetName val="340 Green Manure"/>
      <sheetName val="342-IG Mix-LG"/>
      <sheetName val="342-IG Mix-MG"/>
      <sheetName val="342-IG Mix-HG"/>
      <sheetName val="342-IG Mix-LG-ECB"/>
      <sheetName val="342-IG Mix-MG-ECB"/>
      <sheetName val="342-IG Mix-HG-ECB"/>
      <sheetName val="342-NG-legume-LG"/>
      <sheetName val="342-NG-legume-MG"/>
      <sheetName val="342-NG-legume-HG"/>
      <sheetName val="342-NG-Forbs Mix-LG"/>
      <sheetName val="342-NG-Forbs Mix-MG"/>
      <sheetName val="342-NG-Forbs Mix-HG"/>
      <sheetName val="342-NG Mix X-MG-ECB"/>
      <sheetName val="342-NG Mix Y-MG-ECB"/>
      <sheetName val="359"/>
      <sheetName val="362"/>
      <sheetName val="378 EH up to 8 ft"/>
      <sheetName val="378 EH over 8 ft"/>
      <sheetName val="378 EXC"/>
      <sheetName val="381-just trees-conifers"/>
      <sheetName val="381-just trees-deciduous"/>
      <sheetName val="382-Deter."/>
      <sheetName val="382-Cont."/>
      <sheetName val="386-Nat. Regen."/>
      <sheetName val="386-IG Mix-Conv."/>
      <sheetName val="386-IG Mix-NT"/>
      <sheetName val="386-NG-Legumes- NT"/>
      <sheetName val="386-NG-1#Forbs Mix A-NT"/>
      <sheetName val="386-NG-1#Forbs Mix B-NT"/>
      <sheetName val="386-NG-2# Forbs Mix A-NT"/>
      <sheetName val="386-NG-2# Forbs Mix B-NT"/>
      <sheetName val="393-IG Mix-Conv."/>
      <sheetName val="393-IG Mix-NT"/>
      <sheetName val="393-NG-Legumes-NT"/>
      <sheetName val="393-NG-Forbs-NT"/>
      <sheetName val="410-Rock Chute 50 cfs 4 ft OF"/>
      <sheetName val="410-Rock Chute 100cfs 6 ft"/>
      <sheetName val="410-Rock Chute 150cfs 12 ft"/>
      <sheetName val="410-Rock Chute 200cfs 12 ft"/>
      <sheetName val="410-Rock Chute 250cfs 12 ft"/>
      <sheetName val="410-WPSD 8ftw-4ftOF"/>
      <sheetName val="410-WPSD 8ftw-4-8ftOF"/>
      <sheetName val="410-WPSD 16ftw-4ftOF"/>
      <sheetName val="410-WPSD 16ftw-4-8ftOF"/>
      <sheetName val="410-WPSD 24ftw-4ftOF"/>
      <sheetName val="410-WPSD 24ftw-4-8ftOF"/>
      <sheetName val="410-PIPE DROP STR"/>
      <sheetName val="412-ECB=80%"/>
      <sheetName val="412-ECB=80%+Tile"/>
      <sheetName val="412-ECB=40%"/>
      <sheetName val="412-ECB=40%+Tile"/>
      <sheetName val="412"/>
      <sheetName val="412-Tiled"/>
      <sheetName val="412-Rock Barriers+Tile"/>
      <sheetName val="412-Rock Barriers"/>
      <sheetName val="468-Type III Blanket"/>
      <sheetName val="468-Riprap"/>
      <sheetName val="472-WW w Setback"/>
      <sheetName val="472-Upland"/>
      <sheetName val="472-Upland w Setback"/>
      <sheetName val="512-IG Mix-Conv"/>
      <sheetName val="512-IG Mix-NT"/>
      <sheetName val="512-NG Mix-NT"/>
      <sheetName val="512-NG-Gamagrass-NT"/>
      <sheetName val="516"/>
      <sheetName val="528 1st yr"/>
      <sheetName val="528 2nd yr"/>
      <sheetName val="528 3rd yr"/>
      <sheetName val="561"/>
      <sheetName val="574"/>
      <sheetName val="575"/>
      <sheetName val="578-6"/>
      <sheetName val="578-10"/>
      <sheetName val="578-15"/>
      <sheetName val="580-2-4"/>
      <sheetName val="580-4-6"/>
      <sheetName val="580-6-8"/>
      <sheetName val="580-8-10"/>
      <sheetName val="580-10-12"/>
      <sheetName val="580-12-16"/>
      <sheetName val="580-16"/>
      <sheetName val="590-Small"/>
      <sheetName val="590-Moderate"/>
      <sheetName val="590-Large"/>
      <sheetName val="600"/>
      <sheetName val="612 (&lt;14.5 Acres) no cover"/>
      <sheetName val="612 (&lt;14.5 Acres) with  cover"/>
      <sheetName val="612 (&gt;14.5 Acres) no cover"/>
      <sheetName val="612 (&gt;14.5 Acres) with cover"/>
      <sheetName val="612 potted plants"/>
      <sheetName val="614-Rock"/>
      <sheetName val="614-Concrete"/>
      <sheetName val="638-250 cy"/>
      <sheetName val="638-500 cy"/>
      <sheetName val="638-750 cy"/>
      <sheetName val="642"/>
      <sheetName val="643-Clearing"/>
      <sheetName val="643-Mow"/>
      <sheetName val="643-Mow+Spray"/>
      <sheetName val="643-Mow+2Sprays"/>
      <sheetName val="643-Prairie Est.-NG-Forbs Mix A"/>
      <sheetName val="643-Prairie Est.-NG-Forbs Mix B"/>
      <sheetName val="645-OFR M"/>
      <sheetName val="645-OFR M+S"/>
      <sheetName val="645-OFR M+2S"/>
      <sheetName val="645-Strip Disk"/>
      <sheetName val="645-EF "/>
      <sheetName val="646-Ephemera Pool"/>
      <sheetName val="646-&lt;3Acres"/>
      <sheetName val="646- 3-7 Acres"/>
      <sheetName val="646- &gt;7 Acres"/>
      <sheetName val="646- Excavated"/>
      <sheetName val="655 - Med. Grading"/>
      <sheetName val="655 - Heavy Grading"/>
      <sheetName val="655 - Very Heavy Grading"/>
      <sheetName val="666-Clearing"/>
      <sheetName val="666-Foliar Spray of Inv."/>
      <sheetName val="666-Cut St. of Inv. ≤200"/>
      <sheetName val="666-Cut St. of Inv. 200&lt;X≤400"/>
      <sheetName val="666-Cut St. of Inv. 400&lt;X≤1000"/>
      <sheetName val="666-Cut St. of Inv. 1000&lt;X≤1600"/>
      <sheetName val="666-Cut Stump of Inv. &gt;1600"/>
      <sheetName val="313-Summary"/>
      <sheetName val="Core Rates"/>
      <sheetName val="Payment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349">
          <cell r="A349" t="str">
            <v>Well Drilling: (Each additional foot over 100 including casing)</v>
          </cell>
          <cell r="B349" t="str">
            <v>Lin Ft</v>
          </cell>
          <cell r="C349">
            <v>13.482000000000001</v>
          </cell>
        </row>
        <row r="350">
          <cell r="A350" t="str">
            <v>Well Drilling: 1-100' including casing</v>
          </cell>
          <cell r="B350" t="str">
            <v>Ea</v>
          </cell>
          <cell r="C350">
            <v>2668.3125</v>
          </cell>
        </row>
      </sheetData>
      <sheetData sheetId="181">
        <row r="49">
          <cell r="D49">
            <v>0.75</v>
          </cell>
          <cell r="E49">
            <v>0.9</v>
          </cell>
        </row>
      </sheetData>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643-Woodland Thinning"/>
      <sheetName val="643-Mow+Spray"/>
      <sheetName val="643-Mow+2Sprays"/>
      <sheetName val="643-Prairie Est.-NG-7 Forb Mix"/>
    </sheetNames>
    <sheetDataSet>
      <sheetData sheetId="0">
        <row r="32">
          <cell r="AN32">
            <v>6.3125</v>
          </cell>
        </row>
        <row r="33">
          <cell r="AN33">
            <v>5.416666666666667</v>
          </cell>
        </row>
        <row r="34">
          <cell r="AN34">
            <v>5.5</v>
          </cell>
        </row>
        <row r="36">
          <cell r="A36" t="str">
            <v>Basal Area Removed</v>
          </cell>
          <cell r="B36" t="str">
            <v>Sq Ft</v>
          </cell>
          <cell r="C36">
            <v>5.58</v>
          </cell>
        </row>
        <row r="104">
          <cell r="C104">
            <v>20</v>
          </cell>
        </row>
        <row r="146">
          <cell r="A146" t="str">
            <v>Herbicide Application (Including Selective Post-emergent Herbicide)</v>
          </cell>
        </row>
        <row r="203">
          <cell r="C203">
            <v>8.75</v>
          </cell>
        </row>
        <row r="216">
          <cell r="A216" t="str">
            <v>Mowing</v>
          </cell>
          <cell r="C216">
            <v>15.5</v>
          </cell>
        </row>
        <row r="228">
          <cell r="C228">
            <v>0.82427536231884069</v>
          </cell>
        </row>
        <row r="235">
          <cell r="C235">
            <v>1.1702898550724636</v>
          </cell>
        </row>
        <row r="246">
          <cell r="C246">
            <v>0.58825136612021856</v>
          </cell>
        </row>
        <row r="309">
          <cell r="A309" t="str">
            <v>Seed (Native grass except Prairie Dropseed and Splitbeard Bluestem)</v>
          </cell>
        </row>
      </sheetData>
      <sheetData sheetId="1" refreshError="1"/>
      <sheetData sheetId="2">
        <row r="145">
          <cell r="BE145">
            <v>36.5</v>
          </cell>
        </row>
        <row r="146">
          <cell r="BE146">
            <v>36.5</v>
          </cell>
        </row>
        <row r="290">
          <cell r="A290" t="str">
            <v>Seed (7 native forb species mix)</v>
          </cell>
        </row>
        <row r="306">
          <cell r="BE306">
            <v>8.57</v>
          </cell>
        </row>
      </sheetData>
      <sheetData sheetId="3" refreshError="1"/>
      <sheetData sheetId="4" refreshError="1"/>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643-Clearing"/>
      <sheetName val="643-Mow"/>
      <sheetName val="643-Mow+Spray"/>
      <sheetName val="643-Mow+2Sprays"/>
      <sheetName val="643-Prairie Est.-NG-7 Forb Mix"/>
      <sheetName val="Core Rates"/>
      <sheetName val="Core Rates 2010"/>
      <sheetName val="Core Rates 2011"/>
    </sheetNames>
    <sheetDataSet>
      <sheetData sheetId="0"/>
      <sheetData sheetId="1"/>
      <sheetData sheetId="2"/>
      <sheetData sheetId="3"/>
      <sheetData sheetId="4"/>
      <sheetData sheetId="5"/>
      <sheetData sheetId="6"/>
      <sheetData sheetId="7">
        <row r="290">
          <cell r="BE290">
            <v>39.72</v>
          </cell>
        </row>
      </sheetData>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Core Rates"/>
      <sheetName val="Core Rates 2010"/>
      <sheetName val="Core Rates 2011"/>
      <sheetName val="Index of all Scenarios"/>
      <sheetName val="647-Edge Feathering "/>
    </sheetNames>
    <sheetDataSet>
      <sheetData sheetId="0">
        <row r="36">
          <cell r="A36" t="str">
            <v>Basal Area Removed</v>
          </cell>
          <cell r="B36" t="str">
            <v>Sq Ft</v>
          </cell>
        </row>
      </sheetData>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Readme"/>
      <sheetName val="Chemical Spot Treatment"/>
      <sheetName val="Foliar Spray Followup"/>
      <sheetName val="Cut and Treat Stump"/>
      <sheetName val="Mechanical Control Heavy Eqpt"/>
      <sheetName val="Mechanical Control Med. Eqpt"/>
      <sheetName val="Mechanical Control Hand Tool"/>
      <sheetName val="Grapevine Control"/>
      <sheetName val="Biological Control"/>
      <sheetName val="Documentation"/>
      <sheetName val="DropdownBoxData"/>
    </sheetNames>
    <sheetDataSet>
      <sheetData sheetId="0"/>
      <sheetData sheetId="1"/>
      <sheetData sheetId="2"/>
      <sheetData sheetId="3"/>
      <sheetData sheetId="4"/>
      <sheetData sheetId="5"/>
      <sheetData sheetId="6"/>
      <sheetData sheetId="7"/>
      <sheetData sheetId="8"/>
      <sheetData sheetId="9"/>
      <sheetData sheetId="10">
        <row r="2">
          <cell r="A2" t="str">
            <v>Appalachian</v>
          </cell>
          <cell r="D2" t="str">
            <v>314-Brush Management</v>
          </cell>
          <cell r="E2" t="str">
            <v>Ft</v>
          </cell>
        </row>
        <row r="3">
          <cell r="A3" t="str">
            <v>Corn Belt</v>
          </cell>
          <cell r="D3" t="str">
            <v>340-Cover Crop</v>
          </cell>
          <cell r="E3" t="str">
            <v>Ac</v>
          </cell>
        </row>
        <row r="4">
          <cell r="A4" t="str">
            <v>Delta States</v>
          </cell>
          <cell r="D4" t="str">
            <v>382-Fence</v>
          </cell>
          <cell r="E4" t="str">
            <v>CuYd</v>
          </cell>
        </row>
        <row r="5">
          <cell r="A5" t="str">
            <v>Lake States</v>
          </cell>
          <cell r="D5" t="str">
            <v>442-Irrigation System, Sprinkler</v>
          </cell>
          <cell r="E5" t="str">
            <v>CFS</v>
          </cell>
        </row>
        <row r="6">
          <cell r="A6" t="str">
            <v>Mid-Atlantic</v>
          </cell>
          <cell r="D6" t="str">
            <v>512-Forage and Biomass Planting</v>
          </cell>
          <cell r="E6" t="str">
            <v>Yds</v>
          </cell>
        </row>
        <row r="7">
          <cell r="A7" t="str">
            <v>New England</v>
          </cell>
          <cell r="D7" t="str">
            <v>516-Pipeline</v>
          </cell>
          <cell r="E7" t="str">
            <v>Tons</v>
          </cell>
        </row>
        <row r="8">
          <cell r="A8" t="str">
            <v>Northern Mountain</v>
          </cell>
          <cell r="D8" t="str">
            <v>528-Prescribed Grazing</v>
          </cell>
          <cell r="E8" t="str">
            <v>Mile</v>
          </cell>
        </row>
        <row r="9">
          <cell r="A9" t="str">
            <v>Northern Plains</v>
          </cell>
          <cell r="D9" t="str">
            <v>533-Pumping Plant</v>
          </cell>
          <cell r="E9" t="str">
            <v>Each</v>
          </cell>
        </row>
        <row r="10">
          <cell r="A10" t="str">
            <v>Pacific</v>
          </cell>
          <cell r="D10" t="str">
            <v>561-Heavy Use Area Protection</v>
          </cell>
        </row>
        <row r="11">
          <cell r="A11" t="str">
            <v>Southeast</v>
          </cell>
          <cell r="D11" t="str">
            <v>590-Nutrient Management</v>
          </cell>
        </row>
        <row r="12">
          <cell r="A12" t="str">
            <v>Southern Mountain</v>
          </cell>
          <cell r="D12" t="str">
            <v>595-Intergrated Pest Management</v>
          </cell>
        </row>
        <row r="13">
          <cell r="A13" t="str">
            <v>Southern Plains</v>
          </cell>
          <cell r="D13" t="str">
            <v>614-Watering Facility</v>
          </cell>
        </row>
        <row r="14">
          <cell r="D14" t="str">
            <v>645-Upland Wildlife Habitat Management</v>
          </cell>
        </row>
        <row r="15">
          <cell r="D15" t="str">
            <v>646-Shallow Water Development and Management</v>
          </cell>
        </row>
        <row r="16">
          <cell r="D16" t="str">
            <v>666-Forest Stand Improvement</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adme"/>
      <sheetName val="Example"/>
      <sheetName val="Basic"/>
      <sheetName val="Basic wRot Feeding"/>
      <sheetName val="High Intensity"/>
      <sheetName val="High Intensity -Stockpile"/>
      <sheetName val="High Intensity - Rot Feeding"/>
      <sheetName val="Documentation"/>
      <sheetName val="DropdownBoxData"/>
    </sheetNames>
    <sheetDataSet>
      <sheetData sheetId="0"/>
      <sheetData sheetId="1"/>
      <sheetData sheetId="2"/>
      <sheetData sheetId="3"/>
      <sheetData sheetId="4"/>
      <sheetData sheetId="5"/>
      <sheetData sheetId="6"/>
      <sheetData sheetId="7"/>
      <sheetData sheetId="8">
        <row r="2">
          <cell r="A2" t="str">
            <v>Appalachian</v>
          </cell>
          <cell r="D2" t="str">
            <v>314-Brush Management</v>
          </cell>
          <cell r="E2" t="str">
            <v>Ft</v>
          </cell>
        </row>
        <row r="3">
          <cell r="A3" t="str">
            <v>Corn Belt</v>
          </cell>
          <cell r="D3" t="str">
            <v>340-Cover Crop</v>
          </cell>
          <cell r="E3" t="str">
            <v>Ac</v>
          </cell>
        </row>
        <row r="4">
          <cell r="A4" t="str">
            <v>Delta States</v>
          </cell>
          <cell r="D4" t="str">
            <v>382-Fence</v>
          </cell>
          <cell r="E4" t="str">
            <v>CuYd</v>
          </cell>
        </row>
        <row r="5">
          <cell r="A5" t="str">
            <v>Lake States</v>
          </cell>
          <cell r="D5" t="str">
            <v>442-Irrigation System, Sprinkler</v>
          </cell>
          <cell r="E5" t="str">
            <v>CFS</v>
          </cell>
        </row>
        <row r="6">
          <cell r="A6" t="str">
            <v>Mid-Atlantic</v>
          </cell>
          <cell r="D6" t="str">
            <v>512-Forage and Biomass Planting</v>
          </cell>
          <cell r="E6" t="str">
            <v>Yds</v>
          </cell>
        </row>
        <row r="7">
          <cell r="A7" t="str">
            <v>New England</v>
          </cell>
          <cell r="D7" t="str">
            <v>516-Pipeline</v>
          </cell>
          <cell r="E7" t="str">
            <v>Tons</v>
          </cell>
        </row>
        <row r="8">
          <cell r="A8" t="str">
            <v>Northern Mountain</v>
          </cell>
          <cell r="D8" t="str">
            <v>528-Prescribed Grazing</v>
          </cell>
          <cell r="E8" t="str">
            <v>Mile</v>
          </cell>
        </row>
        <row r="9">
          <cell r="A9" t="str">
            <v>Northern Plains</v>
          </cell>
          <cell r="D9" t="str">
            <v>533-Pumping Plant</v>
          </cell>
          <cell r="E9" t="str">
            <v>Each</v>
          </cell>
        </row>
        <row r="10">
          <cell r="A10" t="str">
            <v>Pacific</v>
          </cell>
          <cell r="D10" t="str">
            <v>561-Heavy Use Area Protection</v>
          </cell>
        </row>
        <row r="11">
          <cell r="A11" t="str">
            <v>Southeast</v>
          </cell>
          <cell r="D11" t="str">
            <v>590-Nutrient Management</v>
          </cell>
        </row>
        <row r="12">
          <cell r="A12" t="str">
            <v>Southern Mountain</v>
          </cell>
          <cell r="D12" t="str">
            <v>595-Intergrated Pest Management</v>
          </cell>
        </row>
        <row r="13">
          <cell r="A13" t="str">
            <v>Southern Plains</v>
          </cell>
          <cell r="D13" t="str">
            <v>614-Watering Facility</v>
          </cell>
        </row>
        <row r="14">
          <cell r="D14" t="str">
            <v>645-Upland Wildlife Habitat Management</v>
          </cell>
        </row>
        <row r="15">
          <cell r="D15" t="str">
            <v>646-Shallow Water Development and Management</v>
          </cell>
        </row>
        <row r="16">
          <cell r="D16" t="str">
            <v>666-Forest Stand Improvement</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Readme"/>
      <sheetName val="Example"/>
      <sheetName val="Gravel"/>
      <sheetName val="Gravel Ramp"/>
      <sheetName val="Concrete Slab"/>
      <sheetName val="Concrete Slab, no curb, wgravel"/>
      <sheetName val="Concrete Slab wcurb"/>
      <sheetName val="Concrete curb on existing slab"/>
      <sheetName val="Documentation"/>
      <sheetName val="DropdownBoxData"/>
    </sheetNames>
    <sheetDataSet>
      <sheetData sheetId="0"/>
      <sheetData sheetId="1"/>
      <sheetData sheetId="2"/>
      <sheetData sheetId="3"/>
      <sheetData sheetId="4"/>
      <sheetData sheetId="5"/>
      <sheetData sheetId="6"/>
      <sheetData sheetId="7"/>
      <sheetData sheetId="8"/>
      <sheetData sheetId="9">
        <row r="2">
          <cell r="A2" t="str">
            <v>Appalachian</v>
          </cell>
          <cell r="D2" t="str">
            <v>314-Brush Management</v>
          </cell>
          <cell r="E2" t="str">
            <v>Ft</v>
          </cell>
        </row>
        <row r="3">
          <cell r="A3" t="str">
            <v>Corn Belt</v>
          </cell>
          <cell r="D3" t="str">
            <v>340-Cover Crop</v>
          </cell>
          <cell r="E3" t="str">
            <v>Ac</v>
          </cell>
        </row>
        <row r="4">
          <cell r="A4" t="str">
            <v>Delta States</v>
          </cell>
          <cell r="D4" t="str">
            <v>382-Fence</v>
          </cell>
          <cell r="E4" t="str">
            <v>CuYd</v>
          </cell>
        </row>
        <row r="5">
          <cell r="A5" t="str">
            <v>Lake States</v>
          </cell>
          <cell r="D5" t="str">
            <v>442-Irrigation System, Sprinkler</v>
          </cell>
          <cell r="E5" t="str">
            <v>CFS</v>
          </cell>
        </row>
        <row r="6">
          <cell r="A6" t="str">
            <v>Mid-Atlantic</v>
          </cell>
          <cell r="D6" t="str">
            <v>512-Forage and Biomass Planting</v>
          </cell>
          <cell r="E6" t="str">
            <v>Yds</v>
          </cell>
        </row>
        <row r="7">
          <cell r="A7" t="str">
            <v>New England</v>
          </cell>
          <cell r="D7" t="str">
            <v>516-Pipeline</v>
          </cell>
          <cell r="E7" t="str">
            <v>Tons</v>
          </cell>
        </row>
        <row r="8">
          <cell r="A8" t="str">
            <v>Northern Mountain</v>
          </cell>
          <cell r="D8" t="str">
            <v>528-Prescribed Grazing</v>
          </cell>
          <cell r="E8" t="str">
            <v>Mile</v>
          </cell>
        </row>
        <row r="9">
          <cell r="A9" t="str">
            <v>Northern Plains</v>
          </cell>
          <cell r="D9" t="str">
            <v>533-Pumping Plant</v>
          </cell>
          <cell r="E9" t="str">
            <v>Each</v>
          </cell>
        </row>
        <row r="10">
          <cell r="A10" t="str">
            <v>Pacific</v>
          </cell>
          <cell r="D10" t="str">
            <v>561-Heavy Use Area Protection</v>
          </cell>
        </row>
        <row r="11">
          <cell r="A11" t="str">
            <v>Southeast</v>
          </cell>
          <cell r="D11" t="str">
            <v>590-Nutrient Management</v>
          </cell>
        </row>
        <row r="12">
          <cell r="A12" t="str">
            <v>Southern Mountain</v>
          </cell>
          <cell r="D12" t="str">
            <v>595-Intergrated Pest Management</v>
          </cell>
        </row>
        <row r="13">
          <cell r="A13" t="str">
            <v>Southern Plains</v>
          </cell>
          <cell r="D13" t="str">
            <v>614-Watering Facility</v>
          </cell>
        </row>
        <row r="14">
          <cell r="D14" t="str">
            <v>645-Upland Wildlife Habitat Management</v>
          </cell>
        </row>
        <row r="15">
          <cell r="D15" t="str">
            <v>646-Shallow Water Development and Management</v>
          </cell>
        </row>
        <row r="16">
          <cell r="D16" t="str">
            <v>666-Forest Stand Improvement</v>
          </cell>
        </row>
      </sheetData>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reeze Proof Conc. Tank"/>
      <sheetName val="Fountain"/>
      <sheetName val="Large storage str. &gt;1000"/>
      <sheetName val="Concrete&lt;1000  "/>
      <sheetName val="Poly_Tire&gt;200 "/>
      <sheetName val="Poly_Tire&lt;200"/>
      <sheetName val="Galvanized&gt;399"/>
      <sheetName val="Galvanized&lt;399"/>
      <sheetName val="Component Costs"/>
      <sheetName val="Readme"/>
      <sheetName val="Documentation"/>
      <sheetName val="DropdownBoxData"/>
    </sheetNames>
    <sheetDataSet>
      <sheetData sheetId="0"/>
      <sheetData sheetId="1"/>
      <sheetData sheetId="2"/>
      <sheetData sheetId="3"/>
      <sheetData sheetId="4"/>
      <sheetData sheetId="5"/>
      <sheetData sheetId="6"/>
      <sheetData sheetId="7"/>
      <sheetData sheetId="8"/>
      <sheetData sheetId="9"/>
      <sheetData sheetId="10"/>
      <sheetData sheetId="11">
        <row r="2">
          <cell r="A2" t="str">
            <v>Appalachian</v>
          </cell>
          <cell r="D2" t="str">
            <v>314-Brush Management</v>
          </cell>
          <cell r="E2" t="str">
            <v>Ft</v>
          </cell>
        </row>
        <row r="3">
          <cell r="A3" t="str">
            <v>Corn Belt</v>
          </cell>
          <cell r="D3" t="str">
            <v>340-Cover Crop</v>
          </cell>
          <cell r="E3" t="str">
            <v>Ac</v>
          </cell>
        </row>
        <row r="4">
          <cell r="A4" t="str">
            <v>Delta States</v>
          </cell>
          <cell r="D4" t="str">
            <v>382-Fence</v>
          </cell>
          <cell r="E4" t="str">
            <v>CuYd</v>
          </cell>
        </row>
        <row r="5">
          <cell r="A5" t="str">
            <v>Lake States</v>
          </cell>
          <cell r="D5" t="str">
            <v>442-Irrigation System, Sprinkler</v>
          </cell>
          <cell r="E5" t="str">
            <v>CFS</v>
          </cell>
        </row>
        <row r="6">
          <cell r="A6" t="str">
            <v>Mid-Atlantic</v>
          </cell>
          <cell r="D6" t="str">
            <v>512-Forage and Biomass Planting</v>
          </cell>
          <cell r="E6" t="str">
            <v>Yds</v>
          </cell>
        </row>
        <row r="7">
          <cell r="A7" t="str">
            <v>New England</v>
          </cell>
          <cell r="D7" t="str">
            <v>516-Pipeline</v>
          </cell>
          <cell r="E7" t="str">
            <v>Tons</v>
          </cell>
        </row>
        <row r="8">
          <cell r="A8" t="str">
            <v>Northern Mountain</v>
          </cell>
          <cell r="D8" t="str">
            <v>528-Prescribed Grazing</v>
          </cell>
          <cell r="E8" t="str">
            <v>Mile</v>
          </cell>
        </row>
        <row r="9">
          <cell r="A9" t="str">
            <v>Northern Plains</v>
          </cell>
          <cell r="D9" t="str">
            <v>533-Pumping Plant</v>
          </cell>
          <cell r="E9" t="str">
            <v>Each</v>
          </cell>
        </row>
        <row r="10">
          <cell r="A10" t="str">
            <v>Pacific</v>
          </cell>
          <cell r="D10" t="str">
            <v>561-Heavy Use Area Protection</v>
          </cell>
        </row>
        <row r="11">
          <cell r="A11" t="str">
            <v>Southeast</v>
          </cell>
          <cell r="D11" t="str">
            <v>590-Nutrient Management</v>
          </cell>
        </row>
        <row r="12">
          <cell r="A12" t="str">
            <v>Southern Mountain</v>
          </cell>
          <cell r="D12" t="str">
            <v>595-Intergrated Pest Management</v>
          </cell>
        </row>
        <row r="13">
          <cell r="A13" t="str">
            <v>Southern Plains</v>
          </cell>
          <cell r="D13" t="str">
            <v>614-Watering Facility</v>
          </cell>
        </row>
        <row r="14">
          <cell r="D14" t="str">
            <v>645-Upland Wildlife Habitat Management</v>
          </cell>
        </row>
        <row r="15">
          <cell r="D15" t="str">
            <v>646-Shallow Water Development and Management</v>
          </cell>
        </row>
        <row r="16">
          <cell r="D16" t="str">
            <v>666-Forest Stand Improvement</v>
          </cell>
        </row>
      </sheetData>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Readme"/>
      <sheetName val="Chemical Spot Treatment"/>
      <sheetName val="Mechanical Control Heavy Eqpt"/>
      <sheetName val="Mechanical Control Med. Eqpt"/>
      <sheetName val="Control  w Hand Tool"/>
      <sheetName val="Cut and Treat Stump"/>
      <sheetName val="Foliar Spray Followup"/>
      <sheetName val="Grapevine Control"/>
      <sheetName val="Biological Control"/>
      <sheetName val="Documentation"/>
      <sheetName val="DropdownBoxDa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ow r="2">
          <cell r="A2" t="str">
            <v>Appalachian</v>
          </cell>
          <cell r="D2" t="str">
            <v>314-Brush Management</v>
          </cell>
          <cell r="E2" t="str">
            <v>Ft</v>
          </cell>
        </row>
        <row r="3">
          <cell r="A3" t="str">
            <v>Corn Belt</v>
          </cell>
          <cell r="D3" t="str">
            <v>340-Cover Crop</v>
          </cell>
          <cell r="E3" t="str">
            <v>Ac</v>
          </cell>
        </row>
        <row r="4">
          <cell r="A4" t="str">
            <v>Delta States</v>
          </cell>
          <cell r="D4" t="str">
            <v>382-Fence</v>
          </cell>
          <cell r="E4" t="str">
            <v>CuYd</v>
          </cell>
        </row>
        <row r="5">
          <cell r="A5" t="str">
            <v>Lake States</v>
          </cell>
          <cell r="D5" t="str">
            <v>442-Irrigation System, Sprinkler</v>
          </cell>
          <cell r="E5" t="str">
            <v>CFS</v>
          </cell>
        </row>
        <row r="6">
          <cell r="A6" t="str">
            <v>Mid-Atlantic</v>
          </cell>
          <cell r="D6" t="str">
            <v>512-Forage and Biomass Planting</v>
          </cell>
          <cell r="E6" t="str">
            <v>Yds</v>
          </cell>
        </row>
        <row r="7">
          <cell r="A7" t="str">
            <v>New England</v>
          </cell>
          <cell r="D7" t="str">
            <v>516-Pipeline</v>
          </cell>
          <cell r="E7" t="str">
            <v>Tons</v>
          </cell>
        </row>
        <row r="8">
          <cell r="A8" t="str">
            <v>Northern Mountain</v>
          </cell>
          <cell r="D8" t="str">
            <v>528-Prescribed Grazing</v>
          </cell>
          <cell r="E8" t="str">
            <v>Mile</v>
          </cell>
        </row>
        <row r="9">
          <cell r="A9" t="str">
            <v>Northern Plains</v>
          </cell>
          <cell r="D9" t="str">
            <v>533-Pumping Plant</v>
          </cell>
          <cell r="E9" t="str">
            <v>Each</v>
          </cell>
        </row>
        <row r="10">
          <cell r="A10" t="str">
            <v>Pacific</v>
          </cell>
          <cell r="D10" t="str">
            <v>561-Heavy Use Area Protection</v>
          </cell>
        </row>
        <row r="11">
          <cell r="A11" t="str">
            <v>Southeast</v>
          </cell>
          <cell r="D11" t="str">
            <v>590-Nutrient Management</v>
          </cell>
        </row>
        <row r="12">
          <cell r="A12" t="str">
            <v>Southern Mountain</v>
          </cell>
          <cell r="D12" t="str">
            <v>595-Intergrated Pest Management</v>
          </cell>
        </row>
        <row r="13">
          <cell r="A13" t="str">
            <v>Southern Plains</v>
          </cell>
          <cell r="D13" t="str">
            <v>614-Watering Facility</v>
          </cell>
        </row>
        <row r="14">
          <cell r="D14" t="str">
            <v>645-Upland Wildlife Habitat Management</v>
          </cell>
        </row>
        <row r="15">
          <cell r="D15" t="str">
            <v>646-Shallow Water Development and Management</v>
          </cell>
        </row>
        <row r="16">
          <cell r="D16" t="str">
            <v>666-Forest Stand Improvement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nrcs.sc.egov.usda.gov/st/cost/CAP/Shared%20Documents/104data-FY11/SummaryComparisonCAP104NutrientManagementPlan.xlsx"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7.bin"/></Relationships>
</file>

<file path=xl/worksheets/_rels/sheet15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4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4.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2.bin"/></Relationships>
</file>

<file path=xl/worksheets/_rels/sheet2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03.bin"/></Relationships>
</file>

<file path=xl/worksheets/_rels/sheet2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4.bin"/></Relationships>
</file>

<file path=xl/worksheets/_rels/sheet2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05.bin"/></Relationships>
</file>

<file path=xl/worksheets/_rels/sheet21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06.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sheet1.xml><?xml version="1.0" encoding="utf-8"?>
<worksheet xmlns="http://schemas.openxmlformats.org/spreadsheetml/2006/main" xmlns:r="http://schemas.openxmlformats.org/officeDocument/2006/relationships">
  <dimension ref="A1:BF477"/>
  <sheetViews>
    <sheetView zoomScale="85" zoomScaleNormal="85" workbookViewId="0">
      <pane ySplit="5" topLeftCell="A306" activePane="bottomLeft" state="frozen"/>
      <selection activeCell="B54" sqref="B54:I55"/>
      <selection pane="bottomLeft" activeCell="B54" sqref="B54:I55"/>
    </sheetView>
  </sheetViews>
  <sheetFormatPr defaultRowHeight="12.75"/>
  <cols>
    <col min="1" max="1" width="48.85546875" style="1565" customWidth="1"/>
    <col min="2" max="2" width="6.28515625" style="241" customWidth="1"/>
    <col min="3" max="3" width="9.5703125" style="1490" customWidth="1"/>
    <col min="4" max="4" width="7.85546875" style="241" customWidth="1"/>
    <col min="5" max="5" width="6.28515625" style="241" hidden="1" customWidth="1"/>
    <col min="6" max="6" width="9.7109375" style="1490" hidden="1" customWidth="1"/>
    <col min="7" max="7" width="27" style="241" hidden="1" customWidth="1"/>
    <col min="8" max="8" width="6.28515625" style="241" hidden="1" customWidth="1"/>
    <col min="9" max="9" width="9.7109375" style="1490" hidden="1" customWidth="1"/>
    <col min="10" max="10" width="10.5703125" style="1490" hidden="1" customWidth="1"/>
    <col min="11" max="11" width="24.42578125" style="241" hidden="1" customWidth="1"/>
    <col min="12" max="12" width="6.28515625" style="241" hidden="1" customWidth="1"/>
    <col min="13" max="13" width="8.7109375" style="1490" hidden="1" customWidth="1"/>
    <col min="14" max="14" width="31.42578125" style="241" hidden="1" customWidth="1"/>
    <col min="15" max="15" width="6.28515625" style="241" hidden="1" customWidth="1"/>
    <col min="16" max="16" width="8.28515625" style="1490" hidden="1" customWidth="1"/>
    <col min="17" max="17" width="31.42578125" style="241" hidden="1" customWidth="1"/>
    <col min="18" max="18" width="1.42578125" style="191" hidden="1" customWidth="1"/>
    <col min="19" max="19" width="9.7109375" style="1490" hidden="1" customWidth="1"/>
    <col min="20" max="20" width="11.5703125" style="191" hidden="1" customWidth="1"/>
    <col min="21" max="21" width="12.28515625" style="191" hidden="1" customWidth="1"/>
    <col min="22" max="22" width="4.5703125" style="1436" hidden="1" customWidth="1"/>
    <col min="23" max="23" width="12.28515625" style="241" hidden="1" customWidth="1"/>
    <col min="24" max="25" width="14.140625" style="239" hidden="1" customWidth="1"/>
    <col min="26" max="26" width="14.140625" style="1468" hidden="1" customWidth="1"/>
    <col min="27" max="27" width="11.7109375" style="1440" hidden="1" customWidth="1"/>
    <col min="28" max="28" width="11.28515625" style="191" hidden="1" customWidth="1"/>
    <col min="29" max="29" width="10.28515625" style="191" hidden="1" customWidth="1"/>
    <col min="30" max="30" width="7.85546875" style="191" hidden="1" customWidth="1"/>
    <col min="31" max="31" width="8.5703125" style="191" hidden="1" customWidth="1"/>
    <col min="32" max="32" width="9.5703125" style="191" hidden="1" customWidth="1"/>
    <col min="33" max="33" width="9.140625" style="191" hidden="1" customWidth="1"/>
    <col min="34" max="35" width="9.28515625" style="191" hidden="1" customWidth="1"/>
    <col min="36" max="36" width="9.7109375" style="191" hidden="1" customWidth="1"/>
    <col min="37" max="38" width="9.28515625" style="191" hidden="1" customWidth="1"/>
    <col min="39" max="39" width="9.85546875" style="191" hidden="1" customWidth="1"/>
    <col min="40" max="43" width="9.140625" style="191" hidden="1" customWidth="1"/>
    <col min="44" max="44" width="8.5703125" style="191" hidden="1" customWidth="1"/>
    <col min="45" max="45" width="9.140625" style="191" hidden="1" customWidth="1"/>
    <col min="46" max="46" width="6.140625" style="191" hidden="1" customWidth="1"/>
    <col min="47" max="47" width="9.140625" style="191" hidden="1" customWidth="1"/>
    <col min="48" max="48" width="4.7109375" style="191" hidden="1" customWidth="1"/>
    <col min="49" max="55" width="9.140625" style="191" hidden="1" customWidth="1"/>
    <col min="56" max="56" width="6.28515625" style="241" customWidth="1"/>
    <col min="57" max="57" width="9.5703125" style="1490" customWidth="1"/>
    <col min="58" max="58" width="7.85546875" style="241" customWidth="1"/>
    <col min="59" max="16384" width="9.140625" style="191"/>
  </cols>
  <sheetData>
    <row r="1" spans="1:58" ht="55.5" customHeight="1">
      <c r="A1" s="1426"/>
      <c r="B1" s="1913" t="s">
        <v>1507</v>
      </c>
      <c r="C1" s="1914" t="s">
        <v>28</v>
      </c>
      <c r="D1" s="1915"/>
      <c r="E1" s="1917" t="s">
        <v>1234</v>
      </c>
      <c r="F1" s="1427" t="s">
        <v>1508</v>
      </c>
      <c r="G1" s="1428"/>
      <c r="H1" s="1918" t="s">
        <v>1509</v>
      </c>
      <c r="I1" s="1429" t="s">
        <v>1508</v>
      </c>
      <c r="J1" s="1429"/>
      <c r="K1" s="1430"/>
      <c r="L1" s="1919" t="s">
        <v>1510</v>
      </c>
      <c r="M1" s="1431" t="s">
        <v>1508</v>
      </c>
      <c r="N1" s="1432"/>
      <c r="O1" s="1912" t="s">
        <v>1511</v>
      </c>
      <c r="P1" s="1433" t="s">
        <v>1512</v>
      </c>
      <c r="Q1" s="1434"/>
      <c r="S1" s="1435"/>
      <c r="T1" s="1920" t="s">
        <v>1513</v>
      </c>
      <c r="U1" s="1920" t="s">
        <v>1514</v>
      </c>
      <c r="W1" s="1437"/>
      <c r="X1" s="1921" t="s">
        <v>1515</v>
      </c>
      <c r="Y1" s="1438"/>
      <c r="Z1" s="1439"/>
      <c r="BD1" s="1923" t="s">
        <v>1507</v>
      </c>
      <c r="BE1" s="1924" t="s">
        <v>28</v>
      </c>
      <c r="BF1" s="1925"/>
    </row>
    <row r="2" spans="1:58" ht="12.75" customHeight="1">
      <c r="A2" s="1441"/>
      <c r="B2" s="1913"/>
      <c r="C2" s="1916"/>
      <c r="D2" s="1915"/>
      <c r="E2" s="1917"/>
      <c r="F2" s="1427" t="s">
        <v>1516</v>
      </c>
      <c r="G2" s="1428"/>
      <c r="H2" s="1918"/>
      <c r="I2" s="1429" t="s">
        <v>1516</v>
      </c>
      <c r="J2" s="1429"/>
      <c r="K2" s="1430"/>
      <c r="L2" s="1919"/>
      <c r="M2" s="1431" t="s">
        <v>1516</v>
      </c>
      <c r="N2" s="1432"/>
      <c r="O2" s="1912"/>
      <c r="P2" s="1433"/>
      <c r="Q2" s="1434"/>
      <c r="S2" s="1435"/>
      <c r="T2" s="1920"/>
      <c r="U2" s="1920"/>
      <c r="W2" s="1927" t="s">
        <v>1517</v>
      </c>
      <c r="X2" s="1922"/>
      <c r="Y2" s="1929" t="s">
        <v>1518</v>
      </c>
      <c r="Z2" s="1439"/>
      <c r="BD2" s="1923"/>
      <c r="BE2" s="1926"/>
      <c r="BF2" s="1925"/>
    </row>
    <row r="3" spans="1:58" ht="15.75" customHeight="1">
      <c r="A3" s="1442" t="s">
        <v>1519</v>
      </c>
      <c r="B3" s="1913"/>
      <c r="C3" s="1443" t="s">
        <v>28</v>
      </c>
      <c r="D3" s="1444">
        <v>2010</v>
      </c>
      <c r="E3" s="1917"/>
      <c r="F3" s="1445"/>
      <c r="G3" s="1446">
        <v>2006</v>
      </c>
      <c r="H3" s="1918"/>
      <c r="I3" s="1447"/>
      <c r="J3" s="1447"/>
      <c r="K3" s="1448">
        <v>2006</v>
      </c>
      <c r="L3" s="1919"/>
      <c r="M3" s="1449"/>
      <c r="N3" s="1450">
        <v>2006</v>
      </c>
      <c r="O3" s="1912"/>
      <c r="P3" s="1451"/>
      <c r="Q3" s="1452">
        <v>2006</v>
      </c>
      <c r="S3" s="1435" t="s">
        <v>1520</v>
      </c>
      <c r="T3" s="1920"/>
      <c r="U3" s="1920"/>
      <c r="W3" s="1928"/>
      <c r="X3" s="1922"/>
      <c r="Y3" s="1930"/>
      <c r="Z3" s="1931" t="s">
        <v>1521</v>
      </c>
      <c r="AA3" s="1933" t="s">
        <v>1522</v>
      </c>
      <c r="AB3" s="1935" t="s">
        <v>1523</v>
      </c>
      <c r="BD3" s="1923"/>
      <c r="BE3" s="1453"/>
      <c r="BF3" s="1454">
        <v>2011</v>
      </c>
    </row>
    <row r="4" spans="1:58" ht="22.5" customHeight="1">
      <c r="A4" s="1455" t="s">
        <v>1524</v>
      </c>
      <c r="B4" s="1456" t="s">
        <v>23</v>
      </c>
      <c r="C4" s="1457" t="s">
        <v>448</v>
      </c>
      <c r="D4" s="1456" t="s">
        <v>1525</v>
      </c>
      <c r="E4" s="1458" t="s">
        <v>23</v>
      </c>
      <c r="F4" s="1459" t="s">
        <v>1526</v>
      </c>
      <c r="G4" s="1460" t="s">
        <v>1527</v>
      </c>
      <c r="H4" s="1456" t="s">
        <v>23</v>
      </c>
      <c r="I4" s="1459" t="s">
        <v>1526</v>
      </c>
      <c r="J4" s="1455" t="s">
        <v>1528</v>
      </c>
      <c r="K4" s="1455" t="s">
        <v>1527</v>
      </c>
      <c r="L4" s="1458" t="s">
        <v>23</v>
      </c>
      <c r="M4" s="1459" t="s">
        <v>1526</v>
      </c>
      <c r="N4" s="1460" t="s">
        <v>1527</v>
      </c>
      <c r="O4" s="1458" t="s">
        <v>23</v>
      </c>
      <c r="P4" s="1459" t="s">
        <v>1526</v>
      </c>
      <c r="Q4" s="1460" t="s">
        <v>1527</v>
      </c>
      <c r="S4" s="1459" t="s">
        <v>1526</v>
      </c>
      <c r="T4" s="1920"/>
      <c r="U4" s="1920"/>
      <c r="W4" s="1437"/>
      <c r="X4" s="1922"/>
      <c r="Y4" s="1438"/>
      <c r="Z4" s="1932"/>
      <c r="AA4" s="1934"/>
      <c r="AB4" s="1936"/>
      <c r="AC4" s="1461"/>
      <c r="AD4" s="1461"/>
      <c r="AE4" s="1461"/>
      <c r="AF4" s="1461"/>
      <c r="AG4" s="1461"/>
      <c r="BD4" s="1456" t="s">
        <v>23</v>
      </c>
      <c r="BE4" s="1457" t="s">
        <v>448</v>
      </c>
      <c r="BF4" s="1456" t="s">
        <v>1525</v>
      </c>
    </row>
    <row r="5" spans="1:58">
      <c r="A5" s="1462"/>
      <c r="B5" s="1463"/>
      <c r="C5" s="1464"/>
      <c r="D5" s="1463"/>
      <c r="E5" s="1465"/>
      <c r="F5" s="1464"/>
      <c r="G5" s="1466"/>
      <c r="H5" s="1463"/>
      <c r="I5" s="1464"/>
      <c r="J5" s="1466"/>
      <c r="K5" s="1463"/>
      <c r="L5" s="1465"/>
      <c r="M5" s="1464"/>
      <c r="N5" s="1466"/>
      <c r="O5" s="1465"/>
      <c r="P5" s="1464"/>
      <c r="Q5" s="1466"/>
      <c r="R5" s="1464"/>
      <c r="S5" s="1464"/>
      <c r="T5" s="1464"/>
      <c r="U5" s="1464"/>
      <c r="W5" s="1467"/>
      <c r="AB5" s="1461"/>
      <c r="AC5" s="1461"/>
      <c r="AD5" s="1461"/>
      <c r="AE5" s="1461"/>
      <c r="AF5" s="1461"/>
      <c r="AG5" s="1461"/>
      <c r="BD5" s="1463"/>
      <c r="BE5" s="1464"/>
      <c r="BF5" s="1463"/>
    </row>
    <row r="6" spans="1:58">
      <c r="A6" s="1469" t="s">
        <v>1529</v>
      </c>
      <c r="B6" s="1470" t="s">
        <v>619</v>
      </c>
      <c r="C6" s="1471">
        <f>+C93*3+C320*3+C203*3+C235*50+C246*50+C319+((50/AE28)/2000)*C93+((50/AE26)/2000)*C93</f>
        <v>155.63300739486814</v>
      </c>
      <c r="D6" s="1470" t="s">
        <v>965</v>
      </c>
      <c r="E6" s="1472" t="s">
        <v>619</v>
      </c>
      <c r="F6" s="1473"/>
      <c r="G6" s="1474"/>
      <c r="H6" s="1475" t="s">
        <v>619</v>
      </c>
      <c r="I6" s="1476"/>
      <c r="J6" s="1475" t="s">
        <v>965</v>
      </c>
      <c r="K6" s="1477"/>
      <c r="L6" s="1472" t="s">
        <v>619</v>
      </c>
      <c r="M6" s="1473">
        <v>108.6</v>
      </c>
      <c r="N6" s="1474"/>
      <c r="O6" s="1472" t="s">
        <v>619</v>
      </c>
      <c r="P6" s="1473"/>
      <c r="Q6" s="1474"/>
      <c r="S6" s="1476">
        <v>76.25</v>
      </c>
      <c r="T6" s="1478">
        <f>AVERAGE(F6,I6,M6)</f>
        <v>108.6</v>
      </c>
      <c r="U6" s="1478">
        <f>AVERAGE(W6,F6,I6,M6)</f>
        <v>92.424999999999997</v>
      </c>
      <c r="W6" s="1467">
        <v>76.25</v>
      </c>
      <c r="X6" s="1479">
        <v>75.700156128024986</v>
      </c>
      <c r="Y6" s="1479">
        <v>75.700156128024986</v>
      </c>
      <c r="Z6" s="1480" t="s">
        <v>1530</v>
      </c>
      <c r="AB6" s="1461" t="s">
        <v>1531</v>
      </c>
      <c r="AC6" s="1461"/>
      <c r="AD6" s="1481" t="s">
        <v>1532</v>
      </c>
      <c r="AE6" s="1461"/>
      <c r="AF6" s="1461"/>
      <c r="AG6" s="1461"/>
      <c r="BD6" s="1470" t="s">
        <v>619</v>
      </c>
      <c r="BE6" s="1471">
        <v>155.63</v>
      </c>
      <c r="BF6" s="1470" t="s">
        <v>965</v>
      </c>
    </row>
    <row r="7" spans="1:58">
      <c r="A7" s="1469" t="s">
        <v>1533</v>
      </c>
      <c r="B7" s="1470" t="s">
        <v>619</v>
      </c>
      <c r="C7" s="1471">
        <f>+C94*3+C321*3+C203*3+C235*50+C246*50+C319+((50/AE28)/2000)*C93+((50/AE26)/2000)*C93</f>
        <v>170.44550739486814</v>
      </c>
      <c r="D7" s="1470" t="s">
        <v>965</v>
      </c>
      <c r="E7" s="1472"/>
      <c r="F7" s="1473"/>
      <c r="G7" s="1474"/>
      <c r="H7" s="1475"/>
      <c r="I7" s="1476"/>
      <c r="J7" s="1475"/>
      <c r="K7" s="1477"/>
      <c r="L7" s="1472"/>
      <c r="M7" s="1473"/>
      <c r="N7" s="1474"/>
      <c r="O7" s="1472"/>
      <c r="P7" s="1473"/>
      <c r="Q7" s="1474"/>
      <c r="S7" s="1476"/>
      <c r="T7" s="1478"/>
      <c r="U7" s="1478"/>
      <c r="W7" s="1467"/>
      <c r="X7" s="1479">
        <v>86.200156128024986</v>
      </c>
      <c r="Y7" s="1479">
        <v>86.200156128024986</v>
      </c>
      <c r="Z7" s="1480" t="s">
        <v>1530</v>
      </c>
      <c r="AB7" s="1461" t="s">
        <v>1531</v>
      </c>
      <c r="AC7" s="1461"/>
      <c r="AD7" s="1481" t="s">
        <v>1532</v>
      </c>
      <c r="AE7" s="1461"/>
      <c r="AF7" s="1461"/>
      <c r="AG7" s="1461"/>
      <c r="BD7" s="1470" t="s">
        <v>619</v>
      </c>
      <c r="BE7" s="1471">
        <v>170.45</v>
      </c>
      <c r="BF7" s="1470" t="s">
        <v>965</v>
      </c>
    </row>
    <row r="8" spans="1:58">
      <c r="A8" s="1469" t="s">
        <v>1534</v>
      </c>
      <c r="B8" s="1470" t="s">
        <v>619</v>
      </c>
      <c r="C8" s="1471">
        <f>+C235*50+C246*50+C319+((50/AE28)/2000)*C93+((50/AE26)/2000)*C93</f>
        <v>93.94550739486813</v>
      </c>
      <c r="D8" s="1470" t="s">
        <v>965</v>
      </c>
      <c r="E8" s="1472"/>
      <c r="F8" s="1473"/>
      <c r="G8" s="1474"/>
      <c r="H8" s="1475"/>
      <c r="I8" s="1476"/>
      <c r="J8" s="1475"/>
      <c r="K8" s="1477"/>
      <c r="L8" s="1472"/>
      <c r="M8" s="1473"/>
      <c r="N8" s="1474"/>
      <c r="O8" s="1472"/>
      <c r="P8" s="1473"/>
      <c r="Q8" s="1474"/>
      <c r="S8" s="1476"/>
      <c r="T8" s="1478"/>
      <c r="U8" s="1478"/>
      <c r="W8" s="1467"/>
      <c r="X8" s="1479">
        <v>20.200156128024979</v>
      </c>
      <c r="Y8" s="1479">
        <v>20.200156128024979</v>
      </c>
      <c r="Z8" s="1480" t="s">
        <v>1530</v>
      </c>
      <c r="AB8" s="1461" t="s">
        <v>1531</v>
      </c>
      <c r="AC8" s="1461"/>
      <c r="AD8" s="1481" t="s">
        <v>1532</v>
      </c>
      <c r="AE8" s="1461"/>
      <c r="AF8" s="1461"/>
      <c r="AG8" s="1461"/>
      <c r="BD8" s="1470" t="s">
        <v>619</v>
      </c>
      <c r="BE8" s="1471">
        <v>93.95</v>
      </c>
      <c r="BF8" s="1470" t="s">
        <v>965</v>
      </c>
    </row>
    <row r="9" spans="1:58">
      <c r="A9" s="1469" t="s">
        <v>1535</v>
      </c>
      <c r="B9" s="1470" t="s">
        <v>619</v>
      </c>
      <c r="C9" s="1471">
        <f>+C93*2+C320*2+C203*2+C228*50+C235*50+C246*50+C319+((50/AE25)/2000)*C93+((50/AE26)/2000)*C93+((50/AE28)/2000)*C93</f>
        <v>176.62734616298408</v>
      </c>
      <c r="D9" s="1470" t="s">
        <v>965</v>
      </c>
      <c r="E9" s="1472"/>
      <c r="F9" s="1473"/>
      <c r="G9" s="1474"/>
      <c r="H9" s="1475"/>
      <c r="I9" s="1476"/>
      <c r="J9" s="1475"/>
      <c r="K9" s="1477"/>
      <c r="L9" s="1472"/>
      <c r="M9" s="1473"/>
      <c r="N9" s="1474"/>
      <c r="O9" s="1472"/>
      <c r="P9" s="1473"/>
      <c r="Q9" s="1474"/>
      <c r="S9" s="1476"/>
      <c r="T9" s="1478"/>
      <c r="U9" s="1478"/>
      <c r="W9" s="1467"/>
      <c r="X9" s="1479">
        <v>66.403145258459759</v>
      </c>
      <c r="Y9" s="1479">
        <v>66.403145258459759</v>
      </c>
      <c r="Z9" s="1480" t="s">
        <v>1530</v>
      </c>
      <c r="AB9" s="1461" t="s">
        <v>1531</v>
      </c>
      <c r="AC9" s="1461"/>
      <c r="AD9" s="1481" t="s">
        <v>1532</v>
      </c>
      <c r="AE9" s="1461"/>
      <c r="AF9" s="1461"/>
      <c r="AG9" s="1461"/>
      <c r="BD9" s="1470" t="s">
        <v>619</v>
      </c>
      <c r="BE9" s="1471">
        <v>176.63</v>
      </c>
      <c r="BF9" s="1470" t="s">
        <v>965</v>
      </c>
    </row>
    <row r="10" spans="1:58">
      <c r="A10" s="1469" t="s">
        <v>1536</v>
      </c>
      <c r="B10" s="1470" t="s">
        <v>619</v>
      </c>
      <c r="C10" s="1471">
        <f>+C$94*2+C$321*2+C$203*2+C$228*50+C$235*50+C$246*50+C$319+((50/AE25)/2000)*C$93+((50/AE26)/2000)*C$93+((50/AE28)/2000)*C$93</f>
        <v>186.50234616298408</v>
      </c>
      <c r="D10" s="1470" t="s">
        <v>965</v>
      </c>
      <c r="E10" s="1472"/>
      <c r="F10" s="1473"/>
      <c r="G10" s="1474"/>
      <c r="H10" s="1475"/>
      <c r="I10" s="1476"/>
      <c r="J10" s="1475"/>
      <c r="K10" s="1477"/>
      <c r="L10" s="1472"/>
      <c r="M10" s="1473"/>
      <c r="N10" s="1474"/>
      <c r="O10" s="1472"/>
      <c r="P10" s="1473"/>
      <c r="Q10" s="1474"/>
      <c r="S10" s="1476"/>
      <c r="T10" s="1478"/>
      <c r="U10" s="1478"/>
      <c r="W10" s="1467"/>
      <c r="X10" s="1479">
        <v>73.403145258459759</v>
      </c>
      <c r="Y10" s="1479">
        <v>73.403145258459759</v>
      </c>
      <c r="Z10" s="1480" t="s">
        <v>1530</v>
      </c>
      <c r="AB10" s="1461" t="s">
        <v>1531</v>
      </c>
      <c r="AC10" s="1461"/>
      <c r="AD10" s="1481" t="s">
        <v>1532</v>
      </c>
      <c r="AE10" s="1461"/>
      <c r="AF10" s="1461"/>
      <c r="AG10" s="1461"/>
      <c r="BD10" s="1470" t="s">
        <v>619</v>
      </c>
      <c r="BE10" s="1471">
        <v>186.5</v>
      </c>
      <c r="BF10" s="1470" t="s">
        <v>965</v>
      </c>
    </row>
    <row r="11" spans="1:58">
      <c r="A11" s="1469" t="s">
        <v>1537</v>
      </c>
      <c r="B11" s="1470" t="s">
        <v>619</v>
      </c>
      <c r="C11" s="1471">
        <f>+C$228*50+C$235*50+C$246*50+C$319+((50/AE25)/2000)*C$93+((50/AE26)/2000)*C$93+((50/AE28)/2000)*C$93</f>
        <v>135.50234616298408</v>
      </c>
      <c r="D11" s="1470" t="s">
        <v>965</v>
      </c>
      <c r="E11" s="1472"/>
      <c r="F11" s="1473"/>
      <c r="G11" s="1474"/>
      <c r="H11" s="1475"/>
      <c r="I11" s="1476"/>
      <c r="J11" s="1475"/>
      <c r="K11" s="1477"/>
      <c r="L11" s="1472"/>
      <c r="M11" s="1473"/>
      <c r="N11" s="1474"/>
      <c r="O11" s="1472"/>
      <c r="P11" s="1473"/>
      <c r="Q11" s="1474"/>
      <c r="S11" s="1476"/>
      <c r="T11" s="1478"/>
      <c r="U11" s="1478"/>
      <c r="W11" s="1467"/>
      <c r="X11" s="1479">
        <v>29.403145258459759</v>
      </c>
      <c r="Y11" s="1479">
        <v>29.403145258459759</v>
      </c>
      <c r="Z11" s="1480" t="s">
        <v>1530</v>
      </c>
      <c r="AB11" s="1461" t="s">
        <v>1531</v>
      </c>
      <c r="AC11" s="1461"/>
      <c r="AD11" s="1481" t="s">
        <v>1532</v>
      </c>
      <c r="AE11" s="1461"/>
      <c r="AF11" s="1461"/>
      <c r="AG11" s="1461"/>
      <c r="BD11" s="1470" t="s">
        <v>619</v>
      </c>
      <c r="BE11" s="1471">
        <v>135.5</v>
      </c>
      <c r="BF11" s="1470" t="s">
        <v>965</v>
      </c>
    </row>
    <row r="12" spans="1:58">
      <c r="A12" s="1469" t="s">
        <v>1538</v>
      </c>
      <c r="B12" s="1470" t="s">
        <v>619</v>
      </c>
      <c r="C12" s="1471">
        <f>+C$93*2+C$320*2+C$203*2+C$228*60+C$235*60+C$246*60+C$319+((60/AE25)/2000)*C$93+((60/AE26)/2000)*C$93+((60/AE28)/2000)*C$93</f>
        <v>202.64448206224753</v>
      </c>
      <c r="D12" s="1470" t="s">
        <v>965</v>
      </c>
      <c r="E12" s="1472"/>
      <c r="F12" s="1473"/>
      <c r="G12" s="1474"/>
      <c r="H12" s="1475"/>
      <c r="I12" s="1476"/>
      <c r="J12" s="1475"/>
      <c r="K12" s="1477"/>
      <c r="L12" s="1472"/>
      <c r="M12" s="1473"/>
      <c r="N12" s="1474"/>
      <c r="O12" s="1472"/>
      <c r="P12" s="1473"/>
      <c r="Q12" s="1474"/>
      <c r="S12" s="1476"/>
      <c r="T12" s="1478"/>
      <c r="U12" s="1478"/>
      <c r="W12" s="1467"/>
      <c r="X12" s="1479">
        <v>71.383774310151708</v>
      </c>
      <c r="Y12" s="1479">
        <v>71.383774310151708</v>
      </c>
      <c r="Z12" s="1480" t="s">
        <v>1530</v>
      </c>
      <c r="AB12" s="1461" t="s">
        <v>1531</v>
      </c>
      <c r="AC12" s="1461"/>
      <c r="AD12" s="1481" t="s">
        <v>1532</v>
      </c>
      <c r="AE12" s="1461"/>
      <c r="AF12" s="1461"/>
      <c r="AG12" s="1461"/>
      <c r="BD12" s="1470" t="s">
        <v>619</v>
      </c>
      <c r="BE12" s="1471">
        <v>202.64</v>
      </c>
      <c r="BF12" s="1470" t="s">
        <v>965</v>
      </c>
    </row>
    <row r="13" spans="1:58">
      <c r="A13" s="1469" t="s">
        <v>1539</v>
      </c>
      <c r="B13" s="1470" t="s">
        <v>619</v>
      </c>
      <c r="C13" s="1471">
        <f>+C$94*2+C$321*2+C$203*2+C$228*60+C$235*60+C$246*60+C$319+((60/AE25)/2000)*C$93+((60/AE26)/2000)*C$93+((60/AE28)/2000)*C$93</f>
        <v>212.51948206224753</v>
      </c>
      <c r="D13" s="1470" t="s">
        <v>965</v>
      </c>
      <c r="E13" s="1472"/>
      <c r="F13" s="1473"/>
      <c r="G13" s="1474"/>
      <c r="H13" s="1475"/>
      <c r="I13" s="1476"/>
      <c r="J13" s="1475"/>
      <c r="K13" s="1477"/>
      <c r="L13" s="1472"/>
      <c r="M13" s="1473"/>
      <c r="N13" s="1474"/>
      <c r="O13" s="1472"/>
      <c r="P13" s="1473"/>
      <c r="Q13" s="1474"/>
      <c r="S13" s="1476"/>
      <c r="T13" s="1478"/>
      <c r="U13" s="1478"/>
      <c r="W13" s="1467"/>
      <c r="X13" s="1479">
        <v>78.383774310151708</v>
      </c>
      <c r="Y13" s="1479">
        <v>78.383774310151708</v>
      </c>
      <c r="Z13" s="1480" t="s">
        <v>1530</v>
      </c>
      <c r="AB13" s="1461" t="s">
        <v>1531</v>
      </c>
      <c r="AC13" s="1461"/>
      <c r="AD13" s="1481" t="s">
        <v>1532</v>
      </c>
      <c r="AE13" s="1461"/>
      <c r="AF13" s="1461"/>
      <c r="AG13" s="1461"/>
      <c r="BD13" s="1470" t="s">
        <v>619</v>
      </c>
      <c r="BE13" s="1471">
        <v>212.52</v>
      </c>
      <c r="BF13" s="1470" t="s">
        <v>965</v>
      </c>
    </row>
    <row r="14" spans="1:58">
      <c r="A14" s="1469" t="s">
        <v>1540</v>
      </c>
      <c r="B14" s="1470" t="s">
        <v>619</v>
      </c>
      <c r="C14" s="1471">
        <f>+C$228*60+C$235*60+C$246*60+C$319+((60/AE25)/2000)*C$93+((60/AE26)/2000)*C$93+((60/AE28)/2000)*C$93</f>
        <v>161.51948206224753</v>
      </c>
      <c r="D14" s="1470" t="s">
        <v>965</v>
      </c>
      <c r="E14" s="1472"/>
      <c r="F14" s="1473"/>
      <c r="G14" s="1474"/>
      <c r="H14" s="1475"/>
      <c r="I14" s="1476"/>
      <c r="J14" s="1475"/>
      <c r="K14" s="1477"/>
      <c r="L14" s="1472"/>
      <c r="M14" s="1473"/>
      <c r="N14" s="1474"/>
      <c r="O14" s="1472"/>
      <c r="P14" s="1473"/>
      <c r="Q14" s="1474"/>
      <c r="S14" s="1476"/>
      <c r="T14" s="1478"/>
      <c r="U14" s="1478"/>
      <c r="W14" s="1467"/>
      <c r="X14" s="1479">
        <v>34.383774310151722</v>
      </c>
      <c r="Y14" s="1479">
        <v>34.383774310151722</v>
      </c>
      <c r="Z14" s="1480" t="s">
        <v>1530</v>
      </c>
      <c r="AB14" s="1461" t="s">
        <v>1531</v>
      </c>
      <c r="AC14" s="1461"/>
      <c r="AD14" s="1481" t="s">
        <v>1532</v>
      </c>
      <c r="AE14" s="1461"/>
      <c r="AF14" s="1461"/>
      <c r="AG14" s="1461"/>
      <c r="BD14" s="1470" t="s">
        <v>619</v>
      </c>
      <c r="BE14" s="1471">
        <v>161.52000000000001</v>
      </c>
      <c r="BF14" s="1470" t="s">
        <v>965</v>
      </c>
    </row>
    <row r="15" spans="1:58">
      <c r="A15" s="1469" t="s">
        <v>1541</v>
      </c>
      <c r="B15" s="1470" t="s">
        <v>619</v>
      </c>
      <c r="C15" s="1471">
        <f>+C$93*2+C$320*2+C$203*2+C$228*120+C$235*120+C$246*120+C$319+((120/AE25)/2000)*C$93+((120/AE26)/2000)*C$93+((120/AE28)/2000)*C$93</f>
        <v>358.74729745782844</v>
      </c>
      <c r="D15" s="1482" t="s">
        <v>965</v>
      </c>
      <c r="E15" s="1472" t="s">
        <v>619</v>
      </c>
      <c r="F15" s="1473"/>
      <c r="G15" s="1474"/>
      <c r="H15" s="1475" t="s">
        <v>619</v>
      </c>
      <c r="I15" s="1476"/>
      <c r="J15" s="1475" t="s">
        <v>965</v>
      </c>
      <c r="K15" s="1477"/>
      <c r="L15" s="1472" t="s">
        <v>619</v>
      </c>
      <c r="M15" s="1473"/>
      <c r="N15" s="1474"/>
      <c r="O15" s="1472" t="s">
        <v>619</v>
      </c>
      <c r="P15" s="1473"/>
      <c r="Q15" s="1474"/>
      <c r="S15" s="1476"/>
      <c r="T15" s="1478" t="e">
        <f>AVERAGE(F15,I15,M15)</f>
        <v>#DIV/0!</v>
      </c>
      <c r="U15" s="1478" t="e">
        <f t="shared" ref="U15:U82" si="0">AVERAGE(W15,F15,I15,M15)</f>
        <v>#DIV/0!</v>
      </c>
      <c r="W15" s="1467"/>
      <c r="X15" s="1479">
        <v>101.26754862030344</v>
      </c>
      <c r="Y15" s="1479">
        <v>101.26754862030344</v>
      </c>
      <c r="Z15" s="1480" t="s">
        <v>1530</v>
      </c>
      <c r="AB15" s="1461" t="s">
        <v>1531</v>
      </c>
      <c r="AC15" s="1461"/>
      <c r="AD15" s="1481" t="s">
        <v>1532</v>
      </c>
      <c r="AE15" s="1461"/>
      <c r="AF15" s="1461"/>
      <c r="AG15" s="1461"/>
      <c r="BD15" s="1470" t="s">
        <v>619</v>
      </c>
      <c r="BE15" s="1471">
        <v>358.75</v>
      </c>
      <c r="BF15" s="1482" t="s">
        <v>965</v>
      </c>
    </row>
    <row r="16" spans="1:58" ht="13.5" thickBot="1">
      <c r="A16" s="1469" t="s">
        <v>1542</v>
      </c>
      <c r="B16" s="1470" t="s">
        <v>619</v>
      </c>
      <c r="C16" s="1471">
        <f>+C$94*2+C$321*2+C$203*2+C$228*120+C$235*120+C$246*120+C$319+((120/AE25)/2000)*C$93+((120/AE26)/2000)*C$93+((120/AE28)/2000)*C$93</f>
        <v>368.62229745782844</v>
      </c>
      <c r="D16" s="1482" t="s">
        <v>965</v>
      </c>
      <c r="E16" s="1472"/>
      <c r="F16" s="1473"/>
      <c r="G16" s="1474"/>
      <c r="H16" s="1475"/>
      <c r="I16" s="1476"/>
      <c r="J16" s="1475"/>
      <c r="K16" s="1477"/>
      <c r="L16" s="1472"/>
      <c r="M16" s="1473"/>
      <c r="N16" s="1474"/>
      <c r="O16" s="1472"/>
      <c r="P16" s="1473"/>
      <c r="Q16" s="1474"/>
      <c r="S16" s="1476"/>
      <c r="T16" s="1478"/>
      <c r="U16" s="1478"/>
      <c r="W16" s="1467"/>
      <c r="X16" s="1479">
        <v>108.26754862030344</v>
      </c>
      <c r="Y16" s="1479">
        <v>108.26754862030344</v>
      </c>
      <c r="Z16" s="1480" t="s">
        <v>1530</v>
      </c>
      <c r="AB16" s="1461" t="s">
        <v>1531</v>
      </c>
      <c r="AC16" s="1461"/>
      <c r="AD16" s="1481" t="s">
        <v>1532</v>
      </c>
      <c r="AE16" s="1461"/>
      <c r="AF16" s="1461"/>
      <c r="AG16" s="1461"/>
      <c r="BD16" s="1470" t="s">
        <v>619</v>
      </c>
      <c r="BE16" s="1471">
        <v>368.62</v>
      </c>
      <c r="BF16" s="1482" t="s">
        <v>965</v>
      </c>
    </row>
    <row r="17" spans="1:58" ht="13.5" thickBot="1">
      <c r="A17" s="1469" t="s">
        <v>1543</v>
      </c>
      <c r="B17" s="1470" t="s">
        <v>619</v>
      </c>
      <c r="C17" s="1471">
        <f>+C$228*120+C$235*120+C$246*120+C$319+((120/AE25)/2000)*C$93+((120/AE26)/2000)*C$93+((120/AE28)/2000)*C$93</f>
        <v>317.62229745782844</v>
      </c>
      <c r="D17" s="1482" t="s">
        <v>965</v>
      </c>
      <c r="E17" s="1472" t="s">
        <v>619</v>
      </c>
      <c r="F17" s="1473"/>
      <c r="G17" s="1474"/>
      <c r="H17" s="1475" t="s">
        <v>619</v>
      </c>
      <c r="I17" s="1476"/>
      <c r="J17" s="1475" t="s">
        <v>965</v>
      </c>
      <c r="K17" s="1477"/>
      <c r="L17" s="1472" t="s">
        <v>619</v>
      </c>
      <c r="M17" s="1473"/>
      <c r="N17" s="1474"/>
      <c r="O17" s="1472" t="s">
        <v>619</v>
      </c>
      <c r="P17" s="1473"/>
      <c r="Q17" s="1474"/>
      <c r="S17" s="1476"/>
      <c r="T17" s="1478" t="e">
        <f>AVERAGE(F17,I17,M17)</f>
        <v>#DIV/0!</v>
      </c>
      <c r="U17" s="1478" t="e">
        <f t="shared" si="0"/>
        <v>#DIV/0!</v>
      </c>
      <c r="W17" s="1467"/>
      <c r="X17" s="1479">
        <v>64.267548620303444</v>
      </c>
      <c r="Y17" s="1479">
        <v>64.267548620303444</v>
      </c>
      <c r="Z17" s="1480" t="s">
        <v>1530</v>
      </c>
      <c r="AB17" s="1461" t="s">
        <v>1531</v>
      </c>
      <c r="AC17" s="1461"/>
      <c r="AD17" s="1481" t="s">
        <v>1532</v>
      </c>
      <c r="AE17" s="1483"/>
      <c r="AF17" s="1484"/>
      <c r="AG17" s="1484"/>
      <c r="AH17" s="1484"/>
      <c r="AI17" s="1485" t="s">
        <v>1544</v>
      </c>
      <c r="AJ17" s="1484"/>
      <c r="AK17" s="1484"/>
      <c r="AL17" s="1484"/>
      <c r="AM17" s="1484"/>
      <c r="AN17" s="1484"/>
      <c r="AO17" s="1484"/>
      <c r="AP17" s="1486"/>
      <c r="BD17" s="1470" t="s">
        <v>619</v>
      </c>
      <c r="BE17" s="1471">
        <v>317.62</v>
      </c>
      <c r="BF17" s="1482" t="s">
        <v>965</v>
      </c>
    </row>
    <row r="18" spans="1:58">
      <c r="A18" s="1487" t="s">
        <v>1545</v>
      </c>
      <c r="B18" s="1482" t="s">
        <v>1268</v>
      </c>
      <c r="C18" s="1488">
        <f>+Y18*1.07</f>
        <v>1.1235000000000002</v>
      </c>
      <c r="D18" s="1482" t="s">
        <v>965</v>
      </c>
      <c r="E18" s="1472" t="s">
        <v>1546</v>
      </c>
      <c r="F18" s="1489"/>
      <c r="G18" s="1474"/>
      <c r="H18" s="1475" t="s">
        <v>1546</v>
      </c>
      <c r="J18" s="1475" t="s">
        <v>965</v>
      </c>
      <c r="K18" s="1477"/>
      <c r="L18" s="1472" t="s">
        <v>1546</v>
      </c>
      <c r="M18" s="1489"/>
      <c r="N18" s="1474"/>
      <c r="O18" s="1472" t="s">
        <v>1546</v>
      </c>
      <c r="P18" s="1489"/>
      <c r="Q18" s="1474"/>
      <c r="S18" s="1490">
        <v>1</v>
      </c>
      <c r="T18" s="1478" t="e">
        <f t="shared" ref="T18:T86" si="1">AVERAGE(F18,I18,M18)</f>
        <v>#DIV/0!</v>
      </c>
      <c r="U18" s="1478">
        <f t="shared" si="0"/>
        <v>1</v>
      </c>
      <c r="W18" s="1467">
        <v>1</v>
      </c>
      <c r="X18" s="1491">
        <f>+W18*1.05</f>
        <v>1.05</v>
      </c>
      <c r="Y18" s="1491">
        <v>1.05</v>
      </c>
      <c r="Z18" s="1492" t="s">
        <v>1547</v>
      </c>
      <c r="AB18" s="1461"/>
      <c r="AC18" s="1461"/>
      <c r="AD18" s="1481" t="s">
        <v>1532</v>
      </c>
      <c r="AE18" s="1493"/>
      <c r="AF18" s="1494"/>
      <c r="AG18" s="1494"/>
      <c r="AH18" s="1495" t="s">
        <v>1548</v>
      </c>
      <c r="AI18" s="1495"/>
      <c r="AJ18" s="1495"/>
      <c r="AK18" s="1495"/>
      <c r="AL18" s="1495"/>
      <c r="AM18" s="1496"/>
      <c r="AN18" s="1497" t="s">
        <v>1549</v>
      </c>
      <c r="AO18" s="1497" t="s">
        <v>1549</v>
      </c>
      <c r="AP18" s="1498" t="s">
        <v>1550</v>
      </c>
      <c r="BD18" s="1482" t="s">
        <v>1268</v>
      </c>
      <c r="BE18" s="1488">
        <f>+CA18*1.07</f>
        <v>0</v>
      </c>
      <c r="BF18" s="1482" t="s">
        <v>965</v>
      </c>
    </row>
    <row r="19" spans="1:58">
      <c r="A19" s="1499" t="s">
        <v>1551</v>
      </c>
      <c r="B19" s="1500" t="s">
        <v>1268</v>
      </c>
      <c r="C19" s="1488">
        <f>+Y19*1.07</f>
        <v>9.5497500000000013</v>
      </c>
      <c r="D19" s="1482" t="s">
        <v>965</v>
      </c>
      <c r="E19" s="1501" t="s">
        <v>1268</v>
      </c>
      <c r="F19" s="1489"/>
      <c r="G19" s="1474"/>
      <c r="H19" s="1502" t="s">
        <v>1268</v>
      </c>
      <c r="J19" s="1475" t="s">
        <v>965</v>
      </c>
      <c r="K19" s="1477"/>
      <c r="L19" s="1501" t="s">
        <v>1268</v>
      </c>
      <c r="M19" s="1489"/>
      <c r="N19" s="1474"/>
      <c r="O19" s="1501" t="s">
        <v>1268</v>
      </c>
      <c r="P19" s="1489"/>
      <c r="Q19" s="1474"/>
      <c r="S19" s="1490">
        <v>8.5</v>
      </c>
      <c r="T19" s="1478" t="e">
        <f t="shared" si="1"/>
        <v>#DIV/0!</v>
      </c>
      <c r="U19" s="1478">
        <f t="shared" si="0"/>
        <v>8.5</v>
      </c>
      <c r="W19" s="1467">
        <v>8.5</v>
      </c>
      <c r="X19" s="1491">
        <f t="shared" ref="X19:X36" si="2">+W19*1.05</f>
        <v>8.9250000000000007</v>
      </c>
      <c r="Y19" s="1491">
        <v>8.9250000000000007</v>
      </c>
      <c r="Z19" s="1492" t="s">
        <v>1547</v>
      </c>
      <c r="AB19" s="1461"/>
      <c r="AC19" s="1461"/>
      <c r="AD19" s="1481" t="s">
        <v>1532</v>
      </c>
      <c r="AE19" s="1503"/>
      <c r="AF19" s="1504"/>
      <c r="AG19" s="1504"/>
      <c r="AH19" s="1505"/>
      <c r="AI19" s="1505" t="s">
        <v>1552</v>
      </c>
      <c r="AJ19" s="1505"/>
      <c r="AK19" s="1505"/>
      <c r="AL19" s="1505"/>
      <c r="AM19" s="1506"/>
      <c r="AN19" s="190" t="s">
        <v>1553</v>
      </c>
      <c r="AO19" s="190" t="s">
        <v>1550</v>
      </c>
      <c r="AP19" s="1507" t="s">
        <v>1554</v>
      </c>
      <c r="BD19" s="1500" t="s">
        <v>1268</v>
      </c>
      <c r="BE19" s="1488">
        <f>+CA19*1.07</f>
        <v>0</v>
      </c>
      <c r="BF19" s="1482" t="s">
        <v>965</v>
      </c>
    </row>
    <row r="20" spans="1:58">
      <c r="A20" s="1499" t="s">
        <v>1555</v>
      </c>
      <c r="B20" s="1500" t="s">
        <v>1268</v>
      </c>
      <c r="C20" s="1488">
        <f>+Y20*1.07</f>
        <v>8.4262500000000014</v>
      </c>
      <c r="D20" s="1482" t="s">
        <v>965</v>
      </c>
      <c r="E20" s="1501" t="s">
        <v>1268</v>
      </c>
      <c r="F20" s="1489"/>
      <c r="G20" s="1474"/>
      <c r="H20" s="1502" t="s">
        <v>1268</v>
      </c>
      <c r="J20" s="1475" t="s">
        <v>965</v>
      </c>
      <c r="K20" s="1477"/>
      <c r="L20" s="1501" t="s">
        <v>1268</v>
      </c>
      <c r="M20" s="1489"/>
      <c r="N20" s="1474"/>
      <c r="O20" s="1501" t="s">
        <v>1268</v>
      </c>
      <c r="P20" s="1489"/>
      <c r="Q20" s="1474"/>
      <c r="S20" s="1490">
        <v>7.5</v>
      </c>
      <c r="T20" s="1478" t="e">
        <f t="shared" si="1"/>
        <v>#DIV/0!</v>
      </c>
      <c r="U20" s="1478">
        <f t="shared" si="0"/>
        <v>7.5</v>
      </c>
      <c r="W20" s="1467">
        <v>7.5</v>
      </c>
      <c r="X20" s="1491">
        <f t="shared" si="2"/>
        <v>7.875</v>
      </c>
      <c r="Y20" s="1491">
        <v>7.875</v>
      </c>
      <c r="Z20" s="1492" t="s">
        <v>1547</v>
      </c>
      <c r="AB20" s="1461"/>
      <c r="AC20" s="1461"/>
      <c r="AD20" s="1481" t="s">
        <v>1532</v>
      </c>
      <c r="AE20" s="1508" t="s">
        <v>1556</v>
      </c>
      <c r="AF20" s="1504"/>
      <c r="AG20" s="1504"/>
      <c r="AH20" s="1509" t="s">
        <v>1557</v>
      </c>
      <c r="AI20" s="1509" t="s">
        <v>1558</v>
      </c>
      <c r="AJ20" s="1509" t="s">
        <v>1559</v>
      </c>
      <c r="AK20" s="1509" t="s">
        <v>1560</v>
      </c>
      <c r="AL20" s="1509" t="s">
        <v>1561</v>
      </c>
      <c r="AM20" s="1510" t="s">
        <v>1562</v>
      </c>
      <c r="AN20" s="190" t="s">
        <v>1563</v>
      </c>
      <c r="AO20" s="190" t="s">
        <v>1563</v>
      </c>
      <c r="AP20" s="1507" t="s">
        <v>1564</v>
      </c>
      <c r="BD20" s="1500" t="s">
        <v>1268</v>
      </c>
      <c r="BE20" s="1488">
        <f>+CA20*1.07</f>
        <v>0</v>
      </c>
      <c r="BF20" s="1482" t="s">
        <v>965</v>
      </c>
    </row>
    <row r="21" spans="1:58">
      <c r="A21" s="1499" t="s">
        <v>1565</v>
      </c>
      <c r="B21" s="1500" t="s">
        <v>1268</v>
      </c>
      <c r="C21" s="1488">
        <f>+Y21*1.07</f>
        <v>10.673249999999999</v>
      </c>
      <c r="D21" s="1482" t="s">
        <v>965</v>
      </c>
      <c r="E21" s="1501" t="s">
        <v>1268</v>
      </c>
      <c r="F21" s="1489"/>
      <c r="G21" s="1474"/>
      <c r="H21" s="1502" t="s">
        <v>1268</v>
      </c>
      <c r="J21" s="1475" t="s">
        <v>965</v>
      </c>
      <c r="K21" s="1477"/>
      <c r="L21" s="1501" t="s">
        <v>1268</v>
      </c>
      <c r="M21" s="1489"/>
      <c r="N21" s="1474"/>
      <c r="O21" s="1501" t="s">
        <v>1268</v>
      </c>
      <c r="P21" s="1489"/>
      <c r="Q21" s="1474"/>
      <c r="S21" s="1490">
        <v>9.5</v>
      </c>
      <c r="T21" s="1478" t="e">
        <f t="shared" si="1"/>
        <v>#DIV/0!</v>
      </c>
      <c r="U21" s="1478">
        <f t="shared" si="0"/>
        <v>9.5</v>
      </c>
      <c r="W21" s="1467">
        <v>9.5</v>
      </c>
      <c r="X21" s="1491">
        <f t="shared" si="2"/>
        <v>9.9749999999999996</v>
      </c>
      <c r="Y21" s="1491">
        <v>9.9749999999999996</v>
      </c>
      <c r="Z21" s="1492" t="s">
        <v>1547</v>
      </c>
      <c r="AB21" s="1461"/>
      <c r="AC21" s="1461"/>
      <c r="AD21" s="1481" t="s">
        <v>1532</v>
      </c>
      <c r="AE21" s="1511">
        <v>0.82</v>
      </c>
      <c r="AF21" s="1504" t="s">
        <v>1566</v>
      </c>
      <c r="AG21" s="1512" t="s">
        <v>1567</v>
      </c>
      <c r="AH21" s="1513">
        <v>520</v>
      </c>
      <c r="AI21" s="1513"/>
      <c r="AJ21" s="1513"/>
      <c r="AK21" s="1513"/>
      <c r="AL21" s="1513"/>
      <c r="AM21" s="1513"/>
      <c r="AN21" s="1514">
        <f t="shared" ref="AN21:AN29" si="3">AVERAGE(AH21:AM21)</f>
        <v>520</v>
      </c>
      <c r="AO21" s="1514">
        <f t="shared" ref="AO21:AO29" si="4">+AN21/2000</f>
        <v>0.26</v>
      </c>
      <c r="AP21" s="1515">
        <f>+AN21/2000/0.82</f>
        <v>0.31707317073170732</v>
      </c>
      <c r="BD21" s="1500" t="s">
        <v>1268</v>
      </c>
      <c r="BE21" s="1488">
        <f>+CA21*1.07</f>
        <v>0</v>
      </c>
      <c r="BF21" s="1482" t="s">
        <v>965</v>
      </c>
    </row>
    <row r="22" spans="1:58">
      <c r="A22" s="1499" t="s">
        <v>1568</v>
      </c>
      <c r="B22" s="1500" t="s">
        <v>1569</v>
      </c>
      <c r="C22" s="1488">
        <f>8.273*V22+26.051</f>
        <v>50.87</v>
      </c>
      <c r="D22" s="1500" t="s">
        <v>965</v>
      </c>
      <c r="E22" s="1501"/>
      <c r="F22" s="1489"/>
      <c r="G22" s="1474"/>
      <c r="H22" s="1502"/>
      <c r="J22" s="1475"/>
      <c r="K22" s="1477"/>
      <c r="L22" s="1501"/>
      <c r="M22" s="1489"/>
      <c r="N22" s="1474"/>
      <c r="O22" s="1501"/>
      <c r="P22" s="1489"/>
      <c r="Q22" s="1474"/>
      <c r="T22" s="1478"/>
      <c r="U22" s="1478"/>
      <c r="V22" s="1516">
        <v>3</v>
      </c>
      <c r="W22" s="1467"/>
      <c r="X22" s="1491"/>
      <c r="Y22" s="1491"/>
      <c r="Z22" s="1517" t="s">
        <v>1570</v>
      </c>
      <c r="AB22" s="1461"/>
      <c r="AC22" s="1461"/>
      <c r="AD22" s="1481"/>
      <c r="AE22" s="1511"/>
      <c r="AF22" s="1504"/>
      <c r="AG22" s="1512"/>
      <c r="AH22" s="1513"/>
      <c r="AI22" s="1513"/>
      <c r="AJ22" s="1513"/>
      <c r="AK22" s="1513"/>
      <c r="AL22" s="1513"/>
      <c r="AM22" s="1513"/>
      <c r="AN22" s="1514"/>
      <c r="AO22" s="1514"/>
      <c r="AP22" s="1515"/>
      <c r="BD22" s="1500" t="s">
        <v>1569</v>
      </c>
      <c r="BE22" s="1488"/>
      <c r="BF22" s="1500" t="s">
        <v>965</v>
      </c>
    </row>
    <row r="23" spans="1:58">
      <c r="A23" s="1499" t="s">
        <v>1571</v>
      </c>
      <c r="B23" s="1500" t="s">
        <v>1569</v>
      </c>
      <c r="C23" s="1488">
        <f>8.273*V23+26.051</f>
        <v>67.415999999999997</v>
      </c>
      <c r="D23" s="1500" t="s">
        <v>965</v>
      </c>
      <c r="E23" s="1501"/>
      <c r="F23" s="1489"/>
      <c r="G23" s="1474"/>
      <c r="H23" s="1502"/>
      <c r="J23" s="1475"/>
      <c r="K23" s="1477"/>
      <c r="L23" s="1501"/>
      <c r="M23" s="1489"/>
      <c r="N23" s="1474"/>
      <c r="O23" s="1501"/>
      <c r="P23" s="1489"/>
      <c r="Q23" s="1474"/>
      <c r="T23" s="1478"/>
      <c r="U23" s="1478"/>
      <c r="V23" s="1516">
        <v>5</v>
      </c>
      <c r="W23" s="1467"/>
      <c r="X23" s="1491"/>
      <c r="Y23" s="1491"/>
      <c r="Z23" s="1517" t="s">
        <v>1570</v>
      </c>
      <c r="AB23" s="1461"/>
      <c r="AC23" s="1461"/>
      <c r="AD23" s="1481"/>
      <c r="AE23" s="1511"/>
      <c r="AF23" s="1504"/>
      <c r="AG23" s="1512"/>
      <c r="AH23" s="1513"/>
      <c r="AI23" s="1513"/>
      <c r="AJ23" s="1513"/>
      <c r="AK23" s="1513"/>
      <c r="AL23" s="1513"/>
      <c r="AM23" s="1513"/>
      <c r="AN23" s="1514"/>
      <c r="AO23" s="1514"/>
      <c r="AP23" s="1515"/>
      <c r="BD23" s="1500" t="s">
        <v>1569</v>
      </c>
      <c r="BE23" s="1488"/>
      <c r="BF23" s="1500" t="s">
        <v>965</v>
      </c>
    </row>
    <row r="24" spans="1:58">
      <c r="A24" s="1499" t="s">
        <v>1572</v>
      </c>
      <c r="B24" s="1500" t="s">
        <v>1569</v>
      </c>
      <c r="C24" s="1488">
        <f t="shared" ref="C24:C29" si="5">+Y24*1.063</f>
        <v>66.968999999999994</v>
      </c>
      <c r="D24" s="1500" t="s">
        <v>965</v>
      </c>
      <c r="E24" s="1518" t="s">
        <v>1573</v>
      </c>
      <c r="F24" s="1519"/>
      <c r="G24" s="1520"/>
      <c r="H24" s="1500" t="s">
        <v>1573</v>
      </c>
      <c r="I24" s="1519"/>
      <c r="J24" s="1500" t="s">
        <v>965</v>
      </c>
      <c r="K24" s="1499"/>
      <c r="L24" s="1518" t="s">
        <v>1573</v>
      </c>
      <c r="M24" s="1519"/>
      <c r="N24" s="1520"/>
      <c r="O24" s="1518" t="s">
        <v>1573</v>
      </c>
      <c r="P24" s="1519"/>
      <c r="Q24" s="1520"/>
      <c r="S24" s="1519">
        <v>60</v>
      </c>
      <c r="T24" s="1478" t="e">
        <f t="shared" si="1"/>
        <v>#DIV/0!</v>
      </c>
      <c r="U24" s="1478">
        <f t="shared" si="0"/>
        <v>60</v>
      </c>
      <c r="W24" s="1467">
        <v>60</v>
      </c>
      <c r="X24" s="1491">
        <f t="shared" si="2"/>
        <v>63</v>
      </c>
      <c r="Y24" s="1491">
        <v>63</v>
      </c>
      <c r="Z24" s="1492" t="s">
        <v>1574</v>
      </c>
      <c r="AB24" s="1461"/>
      <c r="AC24" s="1461"/>
      <c r="AD24" s="1481" t="s">
        <v>1532</v>
      </c>
      <c r="AE24" s="1511">
        <v>0.21</v>
      </c>
      <c r="AF24" s="1504" t="s">
        <v>1566</v>
      </c>
      <c r="AG24" s="1512" t="s">
        <v>1575</v>
      </c>
      <c r="AH24" s="1521" t="s">
        <v>1576</v>
      </c>
      <c r="AI24" s="1513">
        <f>13.95/50*2000</f>
        <v>557.99999999999989</v>
      </c>
      <c r="AJ24" s="1513">
        <v>439</v>
      </c>
      <c r="AK24" s="1513">
        <v>445</v>
      </c>
      <c r="AL24" s="1521" t="s">
        <v>1576</v>
      </c>
      <c r="AM24" s="1513">
        <v>475</v>
      </c>
      <c r="AN24" s="1514">
        <f t="shared" si="3"/>
        <v>479.25</v>
      </c>
      <c r="AO24" s="1514">
        <f t="shared" si="4"/>
        <v>0.239625</v>
      </c>
      <c r="AP24" s="1515">
        <f>+AN24/2000/0.21</f>
        <v>1.1410714285714287</v>
      </c>
      <c r="BD24" s="1500" t="s">
        <v>1569</v>
      </c>
      <c r="BE24" s="1488">
        <f t="shared" ref="BE24:BE29" si="6">+CA24*1.063</f>
        <v>0</v>
      </c>
      <c r="BF24" s="1500" t="s">
        <v>965</v>
      </c>
    </row>
    <row r="25" spans="1:58" ht="13.5" thickBot="1">
      <c r="A25" s="1499" t="s">
        <v>1577</v>
      </c>
      <c r="B25" s="1500" t="s">
        <v>1569</v>
      </c>
      <c r="C25" s="1488">
        <f t="shared" si="5"/>
        <v>84.827399999999997</v>
      </c>
      <c r="D25" s="1500" t="s">
        <v>965</v>
      </c>
      <c r="E25" s="1518" t="s">
        <v>1569</v>
      </c>
      <c r="F25" s="1519"/>
      <c r="G25" s="1520"/>
      <c r="H25" s="1500" t="s">
        <v>1569</v>
      </c>
      <c r="I25" s="1519"/>
      <c r="J25" s="1500" t="s">
        <v>965</v>
      </c>
      <c r="K25" s="1499"/>
      <c r="L25" s="1518" t="s">
        <v>1569</v>
      </c>
      <c r="M25" s="1519"/>
      <c r="N25" s="1520"/>
      <c r="O25" s="1518" t="s">
        <v>1569</v>
      </c>
      <c r="P25" s="1519"/>
      <c r="Q25" s="1520"/>
      <c r="S25" s="1519">
        <v>76</v>
      </c>
      <c r="T25" s="1478" t="e">
        <f t="shared" si="1"/>
        <v>#DIV/0!</v>
      </c>
      <c r="U25" s="1478">
        <f t="shared" si="0"/>
        <v>76</v>
      </c>
      <c r="W25" s="1467">
        <v>76</v>
      </c>
      <c r="X25" s="1491">
        <f t="shared" si="2"/>
        <v>79.8</v>
      </c>
      <c r="Y25" s="1491">
        <v>79.8</v>
      </c>
      <c r="Z25" s="1492" t="s">
        <v>1574</v>
      </c>
      <c r="AB25" s="1461"/>
      <c r="AC25" s="1461"/>
      <c r="AD25" s="1481" t="s">
        <v>1532</v>
      </c>
      <c r="AE25" s="1511">
        <v>0.46</v>
      </c>
      <c r="AF25" s="1504" t="s">
        <v>1566</v>
      </c>
      <c r="AG25" s="1506" t="s">
        <v>1578</v>
      </c>
      <c r="AH25" s="1513">
        <v>730</v>
      </c>
      <c r="AI25" s="1513">
        <v>800</v>
      </c>
      <c r="AJ25" s="1513">
        <v>830</v>
      </c>
      <c r="AK25" s="1513">
        <v>750</v>
      </c>
      <c r="AL25" s="1513">
        <v>700</v>
      </c>
      <c r="AM25" s="1513">
        <v>740</v>
      </c>
      <c r="AN25" s="1514">
        <f t="shared" si="3"/>
        <v>758.33333333333337</v>
      </c>
      <c r="AO25" s="1514">
        <f t="shared" si="4"/>
        <v>0.37916666666666671</v>
      </c>
      <c r="AP25" s="1515">
        <f>+AN25/2000/0.46</f>
        <v>0.82427536231884069</v>
      </c>
      <c r="BD25" s="1500" t="s">
        <v>1569</v>
      </c>
      <c r="BE25" s="1488">
        <f t="shared" si="6"/>
        <v>0</v>
      </c>
      <c r="BF25" s="1500" t="s">
        <v>965</v>
      </c>
    </row>
    <row r="26" spans="1:58" ht="13.5" thickBot="1">
      <c r="A26" s="1499" t="s">
        <v>1579</v>
      </c>
      <c r="B26" s="1500" t="s">
        <v>1580</v>
      </c>
      <c r="C26" s="1488">
        <f t="shared" si="5"/>
        <v>100.45349999999999</v>
      </c>
      <c r="D26" s="1500" t="s">
        <v>965</v>
      </c>
      <c r="E26" s="1518" t="s">
        <v>1580</v>
      </c>
      <c r="F26" s="1519"/>
      <c r="G26" s="1520"/>
      <c r="H26" s="1500" t="s">
        <v>1580</v>
      </c>
      <c r="I26" s="1519"/>
      <c r="J26" s="1500" t="s">
        <v>965</v>
      </c>
      <c r="K26" s="1499"/>
      <c r="L26" s="1518" t="s">
        <v>1580</v>
      </c>
      <c r="M26" s="1519"/>
      <c r="N26" s="1520"/>
      <c r="O26" s="1518" t="s">
        <v>1580</v>
      </c>
      <c r="P26" s="1519"/>
      <c r="Q26" s="1520"/>
      <c r="S26" s="1519">
        <v>90</v>
      </c>
      <c r="T26" s="1478" t="e">
        <f t="shared" si="1"/>
        <v>#DIV/0!</v>
      </c>
      <c r="U26" s="1478">
        <f t="shared" si="0"/>
        <v>90</v>
      </c>
      <c r="W26" s="1467">
        <v>90</v>
      </c>
      <c r="X26" s="1491">
        <f t="shared" si="2"/>
        <v>94.5</v>
      </c>
      <c r="Y26" s="1491">
        <v>94.5</v>
      </c>
      <c r="Z26" s="1492" t="s">
        <v>1574</v>
      </c>
      <c r="AB26" s="1461"/>
      <c r="AC26" s="1461"/>
      <c r="AD26" s="1481" t="s">
        <v>1532</v>
      </c>
      <c r="AE26" s="1511">
        <v>0.46</v>
      </c>
      <c r="AF26" s="1504" t="s">
        <v>1581</v>
      </c>
      <c r="AG26" s="1506" t="s">
        <v>1582</v>
      </c>
      <c r="AH26" s="1513">
        <v>1085</v>
      </c>
      <c r="AI26" s="1513">
        <v>1110</v>
      </c>
      <c r="AJ26" s="1513">
        <v>975</v>
      </c>
      <c r="AK26" s="1513">
        <v>1200</v>
      </c>
      <c r="AL26" s="1513">
        <v>1100</v>
      </c>
      <c r="AM26" s="1513">
        <v>990</v>
      </c>
      <c r="AN26" s="1514">
        <f t="shared" si="3"/>
        <v>1076.6666666666667</v>
      </c>
      <c r="AO26" s="1514">
        <f t="shared" si="4"/>
        <v>0.53833333333333333</v>
      </c>
      <c r="AP26" s="1515">
        <f>+AN26/2000/0.46</f>
        <v>1.1702898550724636</v>
      </c>
      <c r="AQ26" s="1522">
        <f>+AN26/2000/0.18</f>
        <v>2.9907407407407409</v>
      </c>
      <c r="AR26" s="191" t="s">
        <v>1583</v>
      </c>
      <c r="BD26" s="1500" t="s">
        <v>1580</v>
      </c>
      <c r="BE26" s="1488">
        <f t="shared" si="6"/>
        <v>0</v>
      </c>
      <c r="BF26" s="1500" t="s">
        <v>965</v>
      </c>
    </row>
    <row r="27" spans="1:58">
      <c r="A27" s="1499" t="s">
        <v>1584</v>
      </c>
      <c r="B27" s="1500" t="s">
        <v>1569</v>
      </c>
      <c r="C27" s="1488">
        <f t="shared" si="5"/>
        <v>114.96344999999999</v>
      </c>
      <c r="D27" s="1500" t="s">
        <v>1585</v>
      </c>
      <c r="E27" s="1518" t="s">
        <v>1569</v>
      </c>
      <c r="F27" s="1519"/>
      <c r="G27" s="1520"/>
      <c r="H27" s="1500" t="s">
        <v>1569</v>
      </c>
      <c r="I27" s="1519"/>
      <c r="J27" s="1500" t="s">
        <v>1585</v>
      </c>
      <c r="K27" s="1499"/>
      <c r="L27" s="1518" t="s">
        <v>1569</v>
      </c>
      <c r="M27" s="1519"/>
      <c r="N27" s="1520"/>
      <c r="O27" s="1518" t="s">
        <v>1569</v>
      </c>
      <c r="P27" s="1519"/>
      <c r="Q27" s="1520"/>
      <c r="S27" s="1519">
        <v>103</v>
      </c>
      <c r="T27" s="1478" t="e">
        <f>AVERAGE(F27,I27,M27)</f>
        <v>#DIV/0!</v>
      </c>
      <c r="U27" s="1478">
        <f t="shared" si="0"/>
        <v>103</v>
      </c>
      <c r="W27" s="1467">
        <v>103</v>
      </c>
      <c r="X27" s="1491">
        <f t="shared" si="2"/>
        <v>108.15</v>
      </c>
      <c r="Y27" s="1491">
        <v>108.15</v>
      </c>
      <c r="Z27" s="1492" t="s">
        <v>1574</v>
      </c>
      <c r="AB27" s="1461"/>
      <c r="AC27" s="1461"/>
      <c r="AD27" s="1481" t="s">
        <v>1532</v>
      </c>
      <c r="AE27" s="1511">
        <v>0.46</v>
      </c>
      <c r="AF27" s="1504" t="s">
        <v>1581</v>
      </c>
      <c r="AG27" s="1512" t="s">
        <v>1586</v>
      </c>
      <c r="AH27" s="1521" t="s">
        <v>1576</v>
      </c>
      <c r="AI27" s="1521" t="s">
        <v>1576</v>
      </c>
      <c r="AJ27" s="1513">
        <v>959</v>
      </c>
      <c r="AK27" s="1521" t="s">
        <v>1576</v>
      </c>
      <c r="AL27" s="1521" t="s">
        <v>1576</v>
      </c>
      <c r="AM27" s="1521" t="s">
        <v>1576</v>
      </c>
      <c r="AN27" s="1514">
        <f t="shared" si="3"/>
        <v>959</v>
      </c>
      <c r="AO27" s="1514">
        <f t="shared" si="4"/>
        <v>0.47949999999999998</v>
      </c>
      <c r="AP27" s="1515">
        <f>+AN27/2000/0.46</f>
        <v>1.0423913043478259</v>
      </c>
      <c r="BD27" s="1500" t="s">
        <v>1569</v>
      </c>
      <c r="BE27" s="1488">
        <f t="shared" si="6"/>
        <v>0</v>
      </c>
      <c r="BF27" s="1500" t="s">
        <v>1585</v>
      </c>
    </row>
    <row r="28" spans="1:58">
      <c r="A28" s="1499" t="s">
        <v>1587</v>
      </c>
      <c r="B28" s="1500" t="s">
        <v>1569</v>
      </c>
      <c r="C28" s="1488">
        <f t="shared" si="5"/>
        <v>145.09950000000001</v>
      </c>
      <c r="D28" s="1500" t="s">
        <v>965</v>
      </c>
      <c r="E28" s="1518" t="s">
        <v>1588</v>
      </c>
      <c r="F28" s="1519"/>
      <c r="G28" s="1520"/>
      <c r="H28" s="1500" t="s">
        <v>1588</v>
      </c>
      <c r="I28" s="1519"/>
      <c r="J28" s="1500" t="s">
        <v>965</v>
      </c>
      <c r="K28" s="1499"/>
      <c r="L28" s="1518" t="s">
        <v>1588</v>
      </c>
      <c r="M28" s="1519"/>
      <c r="N28" s="1520"/>
      <c r="O28" s="1518" t="s">
        <v>1588</v>
      </c>
      <c r="P28" s="1519"/>
      <c r="Q28" s="1520"/>
      <c r="S28" s="1519">
        <v>130</v>
      </c>
      <c r="T28" s="1478" t="e">
        <f>AVERAGE(F28,I28,M28)</f>
        <v>#DIV/0!</v>
      </c>
      <c r="U28" s="1478">
        <f t="shared" si="0"/>
        <v>130</v>
      </c>
      <c r="W28" s="1467">
        <v>130</v>
      </c>
      <c r="X28" s="1491">
        <f t="shared" si="2"/>
        <v>136.5</v>
      </c>
      <c r="Y28" s="1491">
        <v>136.5</v>
      </c>
      <c r="Z28" s="1492" t="s">
        <v>1574</v>
      </c>
      <c r="AB28" s="1461"/>
      <c r="AC28" s="1461"/>
      <c r="AD28" s="1481" t="s">
        <v>1532</v>
      </c>
      <c r="AE28" s="1511">
        <v>0.61</v>
      </c>
      <c r="AF28" s="1504" t="s">
        <v>1589</v>
      </c>
      <c r="AG28" s="1506" t="s">
        <v>1590</v>
      </c>
      <c r="AH28" s="1513">
        <v>635</v>
      </c>
      <c r="AI28" s="1513">
        <v>722</v>
      </c>
      <c r="AJ28" s="1513">
        <v>799</v>
      </c>
      <c r="AK28" s="1513">
        <v>775</v>
      </c>
      <c r="AL28" s="1513">
        <v>650</v>
      </c>
      <c r="AM28" s="1513">
        <v>725</v>
      </c>
      <c r="AN28" s="1514">
        <f t="shared" si="3"/>
        <v>717.66666666666663</v>
      </c>
      <c r="AO28" s="1514">
        <f t="shared" si="4"/>
        <v>0.35883333333333334</v>
      </c>
      <c r="AP28" s="1515">
        <f>+AN28/2000/0.61</f>
        <v>0.58825136612021856</v>
      </c>
      <c r="BD28" s="1500" t="s">
        <v>1569</v>
      </c>
      <c r="BE28" s="1488">
        <f t="shared" si="6"/>
        <v>0</v>
      </c>
      <c r="BF28" s="1500" t="s">
        <v>965</v>
      </c>
    </row>
    <row r="29" spans="1:58">
      <c r="A29" s="1499" t="s">
        <v>1591</v>
      </c>
      <c r="B29" s="1500" t="s">
        <v>1569</v>
      </c>
      <c r="C29" s="1488">
        <f t="shared" si="5"/>
        <v>165.1902</v>
      </c>
      <c r="D29" s="1500" t="s">
        <v>965</v>
      </c>
      <c r="E29" s="1518" t="s">
        <v>1569</v>
      </c>
      <c r="F29" s="1519"/>
      <c r="G29" s="1520"/>
      <c r="H29" s="1500" t="s">
        <v>1569</v>
      </c>
      <c r="I29" s="1519"/>
      <c r="J29" s="1500" t="s">
        <v>965</v>
      </c>
      <c r="K29" s="1499"/>
      <c r="L29" s="1518" t="s">
        <v>1569</v>
      </c>
      <c r="M29" s="1519"/>
      <c r="N29" s="1520"/>
      <c r="O29" s="1518" t="s">
        <v>1569</v>
      </c>
      <c r="P29" s="1519"/>
      <c r="Q29" s="1520"/>
      <c r="S29" s="1519">
        <v>148</v>
      </c>
      <c r="T29" s="1478" t="e">
        <f>AVERAGE(F29,I29,M29)</f>
        <v>#DIV/0!</v>
      </c>
      <c r="U29" s="1478">
        <f t="shared" si="0"/>
        <v>148</v>
      </c>
      <c r="W29" s="1467">
        <v>148</v>
      </c>
      <c r="X29" s="1491">
        <f t="shared" si="2"/>
        <v>155.4</v>
      </c>
      <c r="Y29" s="1491">
        <v>155.4</v>
      </c>
      <c r="Z29" s="1492" t="s">
        <v>1574</v>
      </c>
      <c r="AB29" s="1461"/>
      <c r="AC29" s="1461"/>
      <c r="AD29" s="1481" t="s">
        <v>1532</v>
      </c>
      <c r="AE29" s="1511">
        <v>0.5</v>
      </c>
      <c r="AF29" s="1504" t="s">
        <v>1589</v>
      </c>
      <c r="AG29" s="1512" t="s">
        <v>1592</v>
      </c>
      <c r="AH29" s="1523">
        <v>600</v>
      </c>
      <c r="AI29" s="1513">
        <v>900</v>
      </c>
      <c r="AJ29" s="1513">
        <v>629</v>
      </c>
      <c r="AK29" s="1513">
        <v>950</v>
      </c>
      <c r="AL29" s="1513">
        <v>675</v>
      </c>
      <c r="AM29" s="1513">
        <v>740</v>
      </c>
      <c r="AN29" s="1514">
        <f t="shared" si="3"/>
        <v>749</v>
      </c>
      <c r="AO29" s="1514">
        <f t="shared" si="4"/>
        <v>0.3745</v>
      </c>
      <c r="AP29" s="1515">
        <f>+AN29/2000/0.5</f>
        <v>0.749</v>
      </c>
      <c r="BD29" s="1500" t="s">
        <v>1569</v>
      </c>
      <c r="BE29" s="1488">
        <f t="shared" si="6"/>
        <v>0</v>
      </c>
      <c r="BF29" s="1500" t="s">
        <v>965</v>
      </c>
    </row>
    <row r="30" spans="1:58">
      <c r="A30" s="1499" t="s">
        <v>1593</v>
      </c>
      <c r="B30" s="1524" t="s">
        <v>761</v>
      </c>
      <c r="C30" s="1488">
        <f t="shared" ref="C30:C35" si="7">+Y30*1.07</f>
        <v>31.458000000000002</v>
      </c>
      <c r="D30" s="1500" t="s">
        <v>965</v>
      </c>
      <c r="E30" s="1525" t="s">
        <v>761</v>
      </c>
      <c r="F30" s="1489"/>
      <c r="G30" s="1526"/>
      <c r="H30" s="1527" t="s">
        <v>761</v>
      </c>
      <c r="J30" s="1502" t="s">
        <v>965</v>
      </c>
      <c r="K30" s="1528"/>
      <c r="L30" s="1525" t="s">
        <v>761</v>
      </c>
      <c r="M30" s="1489">
        <f>10.57*6</f>
        <v>63.42</v>
      </c>
      <c r="N30" s="1526" t="s">
        <v>1594</v>
      </c>
      <c r="O30" s="1525" t="s">
        <v>761</v>
      </c>
      <c r="P30" s="1489">
        <v>27.3</v>
      </c>
      <c r="Q30" s="1526" t="s">
        <v>1595</v>
      </c>
      <c r="S30" s="1490">
        <v>28</v>
      </c>
      <c r="T30" s="1478">
        <f t="shared" si="1"/>
        <v>63.42</v>
      </c>
      <c r="U30" s="1478">
        <f t="shared" si="0"/>
        <v>45.71</v>
      </c>
      <c r="W30" s="1467">
        <v>28</v>
      </c>
      <c r="X30" s="1491">
        <f t="shared" si="2"/>
        <v>29.400000000000002</v>
      </c>
      <c r="Y30" s="1491">
        <v>29.4</v>
      </c>
      <c r="Z30" s="1492" t="s">
        <v>1547</v>
      </c>
      <c r="AB30" s="1461"/>
      <c r="AC30" s="1461"/>
      <c r="AD30" s="1481" t="s">
        <v>1532</v>
      </c>
      <c r="AE30" s="1503"/>
      <c r="AF30" s="1504"/>
      <c r="AG30" s="1504"/>
      <c r="AH30" s="1529"/>
      <c r="AI30" s="1504"/>
      <c r="AJ30" s="1504"/>
      <c r="AK30" s="1529"/>
      <c r="AL30" s="1504"/>
      <c r="AM30" s="1504"/>
      <c r="AN30" s="1504"/>
      <c r="AO30" s="1504"/>
      <c r="AP30" s="1530"/>
      <c r="BD30" s="1524" t="s">
        <v>761</v>
      </c>
      <c r="BE30" s="1488">
        <f t="shared" ref="BE30:BE35" si="8">+CA30*1.07</f>
        <v>0</v>
      </c>
      <c r="BF30" s="1500" t="s">
        <v>965</v>
      </c>
    </row>
    <row r="31" spans="1:58">
      <c r="A31" s="1499" t="s">
        <v>1596</v>
      </c>
      <c r="B31" s="1524" t="s">
        <v>761</v>
      </c>
      <c r="C31" s="1488">
        <f t="shared" si="7"/>
        <v>32.581499999999998</v>
      </c>
      <c r="D31" s="1500" t="s">
        <v>965</v>
      </c>
      <c r="E31" s="1525" t="s">
        <v>761</v>
      </c>
      <c r="F31" s="1489"/>
      <c r="G31" s="1526"/>
      <c r="H31" s="1527" t="s">
        <v>761</v>
      </c>
      <c r="J31" s="1502" t="s">
        <v>965</v>
      </c>
      <c r="K31" s="1528"/>
      <c r="L31" s="1525" t="s">
        <v>761</v>
      </c>
      <c r="M31" s="1489">
        <f>10.57*8</f>
        <v>84.56</v>
      </c>
      <c r="N31" s="1526" t="s">
        <v>1594</v>
      </c>
      <c r="O31" s="1525" t="s">
        <v>761</v>
      </c>
      <c r="P31" s="1489">
        <v>33.15</v>
      </c>
      <c r="Q31" s="1526" t="s">
        <v>1595</v>
      </c>
      <c r="S31" s="1490">
        <v>29</v>
      </c>
      <c r="T31" s="1478">
        <f t="shared" si="1"/>
        <v>84.56</v>
      </c>
      <c r="U31" s="1478">
        <f t="shared" si="0"/>
        <v>56.78</v>
      </c>
      <c r="W31" s="1467">
        <v>29</v>
      </c>
      <c r="X31" s="1491">
        <f t="shared" si="2"/>
        <v>30.450000000000003</v>
      </c>
      <c r="Y31" s="1491">
        <v>30.45</v>
      </c>
      <c r="Z31" s="1492" t="s">
        <v>1547</v>
      </c>
      <c r="AB31" s="1461"/>
      <c r="AC31" s="1461"/>
      <c r="AD31" s="1481" t="s">
        <v>1532</v>
      </c>
      <c r="AE31" s="1503"/>
      <c r="AF31" s="1504" t="s">
        <v>451</v>
      </c>
      <c r="AG31" s="1504"/>
      <c r="AH31" s="1531">
        <v>9</v>
      </c>
      <c r="AI31" s="1532" t="s">
        <v>1597</v>
      </c>
      <c r="AJ31" s="1532" t="s">
        <v>1598</v>
      </c>
      <c r="AK31" s="1513">
        <v>10.5</v>
      </c>
      <c r="AL31" s="1513">
        <v>8</v>
      </c>
      <c r="AM31" s="1513">
        <v>7.5</v>
      </c>
      <c r="AN31" s="1514">
        <f>AVERAGE(AH31:AM31)</f>
        <v>8.75</v>
      </c>
      <c r="AO31" s="1533" t="s">
        <v>1599</v>
      </c>
      <c r="AP31" s="1530"/>
      <c r="BD31" s="1524" t="s">
        <v>761</v>
      </c>
      <c r="BE31" s="1488">
        <f t="shared" si="8"/>
        <v>0</v>
      </c>
      <c r="BF31" s="1500" t="s">
        <v>965</v>
      </c>
    </row>
    <row r="32" spans="1:58">
      <c r="A32" s="1499" t="s">
        <v>1600</v>
      </c>
      <c r="B32" s="1524" t="s">
        <v>761</v>
      </c>
      <c r="C32" s="1488">
        <f t="shared" si="7"/>
        <v>35.952000000000005</v>
      </c>
      <c r="D32" s="1500" t="s">
        <v>965</v>
      </c>
      <c r="E32" s="1525" t="s">
        <v>761</v>
      </c>
      <c r="F32" s="1489"/>
      <c r="G32" s="1526"/>
      <c r="H32" s="1527" t="s">
        <v>761</v>
      </c>
      <c r="J32" s="1502" t="s">
        <v>965</v>
      </c>
      <c r="K32" s="1528"/>
      <c r="L32" s="1525" t="s">
        <v>761</v>
      </c>
      <c r="M32" s="1489">
        <f>10.57*10</f>
        <v>105.7</v>
      </c>
      <c r="N32" s="1526" t="s">
        <v>1594</v>
      </c>
      <c r="O32" s="1525" t="s">
        <v>761</v>
      </c>
      <c r="P32" s="1489">
        <v>39.65</v>
      </c>
      <c r="Q32" s="1526" t="s">
        <v>1595</v>
      </c>
      <c r="S32" s="1490">
        <v>32</v>
      </c>
      <c r="T32" s="1478">
        <f t="shared" si="1"/>
        <v>105.7</v>
      </c>
      <c r="U32" s="1478">
        <f t="shared" si="0"/>
        <v>68.849999999999994</v>
      </c>
      <c r="W32" s="1467">
        <v>32</v>
      </c>
      <c r="X32" s="1491">
        <f t="shared" si="2"/>
        <v>33.6</v>
      </c>
      <c r="Y32" s="1491">
        <v>33.6</v>
      </c>
      <c r="Z32" s="1492" t="s">
        <v>1547</v>
      </c>
      <c r="AB32" s="1461"/>
      <c r="AC32" s="1461"/>
      <c r="AD32" s="1481" t="s">
        <v>1532</v>
      </c>
      <c r="AE32" s="1503"/>
      <c r="AF32" s="1504" t="s">
        <v>1601</v>
      </c>
      <c r="AG32" s="1504"/>
      <c r="AH32" s="1513">
        <v>5</v>
      </c>
      <c r="AI32" s="1534"/>
      <c r="AJ32" s="1534"/>
      <c r="AK32" s="1513">
        <v>4</v>
      </c>
      <c r="AL32" s="1513">
        <v>11.25</v>
      </c>
      <c r="AM32" s="1513">
        <v>5</v>
      </c>
      <c r="AN32" s="1514">
        <f>AVERAGE(AH32:AM32)</f>
        <v>6.3125</v>
      </c>
      <c r="AO32" s="1533" t="s">
        <v>1599</v>
      </c>
      <c r="AP32" s="1530"/>
      <c r="BD32" s="1524" t="s">
        <v>761</v>
      </c>
      <c r="BE32" s="1488">
        <f t="shared" si="8"/>
        <v>0</v>
      </c>
      <c r="BF32" s="1500" t="s">
        <v>965</v>
      </c>
    </row>
    <row r="33" spans="1:58">
      <c r="A33" s="1499" t="s">
        <v>1602</v>
      </c>
      <c r="B33" s="1524" t="s">
        <v>761</v>
      </c>
      <c r="C33" s="1488">
        <f t="shared" si="7"/>
        <v>42.692999999999998</v>
      </c>
      <c r="D33" s="1500" t="s">
        <v>965</v>
      </c>
      <c r="E33" s="1525" t="s">
        <v>761</v>
      </c>
      <c r="F33" s="1489"/>
      <c r="G33" s="1526"/>
      <c r="H33" s="1527" t="s">
        <v>761</v>
      </c>
      <c r="J33" s="1502" t="s">
        <v>965</v>
      </c>
      <c r="K33" s="1528"/>
      <c r="L33" s="1525" t="s">
        <v>761</v>
      </c>
      <c r="M33" s="1489">
        <f>10.57*12</f>
        <v>126.84</v>
      </c>
      <c r="N33" s="1526" t="s">
        <v>1594</v>
      </c>
      <c r="O33" s="1525" t="s">
        <v>761</v>
      </c>
      <c r="P33" s="1489">
        <v>44.8</v>
      </c>
      <c r="Q33" s="1526" t="s">
        <v>1595</v>
      </c>
      <c r="S33" s="1490">
        <v>38</v>
      </c>
      <c r="T33" s="1478">
        <f t="shared" si="1"/>
        <v>126.84</v>
      </c>
      <c r="U33" s="1478">
        <f t="shared" si="0"/>
        <v>82.42</v>
      </c>
      <c r="W33" s="1467">
        <v>38</v>
      </c>
      <c r="X33" s="1491">
        <f t="shared" si="2"/>
        <v>39.9</v>
      </c>
      <c r="Y33" s="1491">
        <v>39.9</v>
      </c>
      <c r="Z33" s="1492" t="s">
        <v>1547</v>
      </c>
      <c r="AB33" s="1461"/>
      <c r="AC33" s="1461"/>
      <c r="AD33" s="1481" t="s">
        <v>1532</v>
      </c>
      <c r="AE33" s="1503"/>
      <c r="AF33" s="1504" t="s">
        <v>1603</v>
      </c>
      <c r="AG33" s="1504"/>
      <c r="AH33" s="1531">
        <v>5</v>
      </c>
      <c r="AI33" s="1531">
        <v>5.5</v>
      </c>
      <c r="AJ33" s="1531">
        <v>5</v>
      </c>
      <c r="AK33" s="1531">
        <v>6</v>
      </c>
      <c r="AL33" s="1513">
        <v>5.5</v>
      </c>
      <c r="AM33" s="1513">
        <v>5.5</v>
      </c>
      <c r="AN33" s="1514">
        <f>AVERAGE(AH33:AM33)</f>
        <v>5.416666666666667</v>
      </c>
      <c r="AO33" s="1533" t="s">
        <v>1604</v>
      </c>
      <c r="AP33" s="1530"/>
      <c r="BD33" s="1524" t="s">
        <v>761</v>
      </c>
      <c r="BE33" s="1488">
        <f t="shared" si="8"/>
        <v>0</v>
      </c>
      <c r="BF33" s="1500" t="s">
        <v>965</v>
      </c>
    </row>
    <row r="34" spans="1:58" ht="13.5" thickBot="1">
      <c r="A34" s="1499" t="s">
        <v>1605</v>
      </c>
      <c r="B34" s="1524" t="s">
        <v>761</v>
      </c>
      <c r="C34" s="1488">
        <f t="shared" si="7"/>
        <v>60.669000000000004</v>
      </c>
      <c r="D34" s="1500" t="s">
        <v>965</v>
      </c>
      <c r="E34" s="1525" t="s">
        <v>761</v>
      </c>
      <c r="F34" s="1489"/>
      <c r="G34" s="1526"/>
      <c r="H34" s="1527" t="s">
        <v>761</v>
      </c>
      <c r="J34" s="1502" t="s">
        <v>965</v>
      </c>
      <c r="K34" s="1528"/>
      <c r="L34" s="1525" t="s">
        <v>761</v>
      </c>
      <c r="M34" s="1489">
        <f>10.57*18</f>
        <v>190.26</v>
      </c>
      <c r="N34" s="1526" t="s">
        <v>1594</v>
      </c>
      <c r="O34" s="1525" t="s">
        <v>761</v>
      </c>
      <c r="P34" s="1489">
        <v>78.930000000000007</v>
      </c>
      <c r="Q34" s="1526" t="s">
        <v>1595</v>
      </c>
      <c r="S34" s="1490">
        <v>54</v>
      </c>
      <c r="T34" s="1478">
        <f t="shared" si="1"/>
        <v>190.26</v>
      </c>
      <c r="U34" s="1478">
        <f t="shared" si="0"/>
        <v>122.13</v>
      </c>
      <c r="W34" s="1467">
        <v>54</v>
      </c>
      <c r="X34" s="1491">
        <f t="shared" si="2"/>
        <v>56.7</v>
      </c>
      <c r="Y34" s="1491">
        <v>56.7</v>
      </c>
      <c r="Z34" s="1492" t="s">
        <v>1547</v>
      </c>
      <c r="AB34" s="1461"/>
      <c r="AC34" s="1461"/>
      <c r="AD34" s="1481" t="s">
        <v>1532</v>
      </c>
      <c r="AE34" s="1535"/>
      <c r="AF34" s="1536" t="s">
        <v>1606</v>
      </c>
      <c r="AG34" s="1536"/>
      <c r="AH34" s="1537">
        <v>5</v>
      </c>
      <c r="AI34" s="1537">
        <v>5.5</v>
      </c>
      <c r="AJ34" s="1538">
        <v>5</v>
      </c>
      <c r="AK34" s="1537">
        <v>7</v>
      </c>
      <c r="AL34" s="1537">
        <v>5.5</v>
      </c>
      <c r="AM34" s="1537">
        <v>5</v>
      </c>
      <c r="AN34" s="1539">
        <f>AVERAGE(AH34:AM34)</f>
        <v>5.5</v>
      </c>
      <c r="AO34" s="1540" t="s">
        <v>1599</v>
      </c>
      <c r="AP34" s="1541"/>
      <c r="BD34" s="1524" t="s">
        <v>761</v>
      </c>
      <c r="BE34" s="1488">
        <f t="shared" si="8"/>
        <v>0</v>
      </c>
      <c r="BF34" s="1500" t="s">
        <v>965</v>
      </c>
    </row>
    <row r="35" spans="1:58">
      <c r="A35" s="1499" t="s">
        <v>1607</v>
      </c>
      <c r="B35" s="1524" t="s">
        <v>761</v>
      </c>
      <c r="C35" s="1488">
        <f t="shared" si="7"/>
        <v>78.64500000000001</v>
      </c>
      <c r="D35" s="1500" t="s">
        <v>965</v>
      </c>
      <c r="E35" s="1525" t="s">
        <v>761</v>
      </c>
      <c r="F35" s="1489"/>
      <c r="G35" s="1526"/>
      <c r="H35" s="1527" t="s">
        <v>761</v>
      </c>
      <c r="J35" s="1502" t="s">
        <v>965</v>
      </c>
      <c r="K35" s="1528"/>
      <c r="L35" s="1525" t="s">
        <v>761</v>
      </c>
      <c r="M35" s="1489">
        <f>10.57*24</f>
        <v>253.68</v>
      </c>
      <c r="N35" s="1526" t="s">
        <v>1594</v>
      </c>
      <c r="O35" s="1525" t="s">
        <v>761</v>
      </c>
      <c r="P35" s="1489">
        <v>118.25</v>
      </c>
      <c r="Q35" s="1526" t="s">
        <v>1595</v>
      </c>
      <c r="S35" s="1490">
        <v>70</v>
      </c>
      <c r="T35" s="1478">
        <f t="shared" si="1"/>
        <v>253.68</v>
      </c>
      <c r="U35" s="1478">
        <f t="shared" si="0"/>
        <v>161.84</v>
      </c>
      <c r="W35" s="1467">
        <v>70</v>
      </c>
      <c r="X35" s="1491">
        <f t="shared" si="2"/>
        <v>73.5</v>
      </c>
      <c r="Y35" s="1491">
        <v>73.5</v>
      </c>
      <c r="Z35" s="1492" t="s">
        <v>1547</v>
      </c>
      <c r="AB35" s="1461"/>
      <c r="AC35" s="1461"/>
      <c r="AD35" s="1481" t="s">
        <v>1532</v>
      </c>
      <c r="AN35" s="1542">
        <f>+AN34+AN32+AN31</f>
        <v>20.5625</v>
      </c>
      <c r="AO35" s="1543" t="s">
        <v>1608</v>
      </c>
      <c r="BD35" s="1524" t="s">
        <v>761</v>
      </c>
      <c r="BE35" s="1488">
        <f t="shared" si="8"/>
        <v>0</v>
      </c>
      <c r="BF35" s="1500" t="s">
        <v>965</v>
      </c>
    </row>
    <row r="36" spans="1:58">
      <c r="A36" s="1487" t="s">
        <v>1609</v>
      </c>
      <c r="B36" s="1482" t="s">
        <v>1268</v>
      </c>
      <c r="C36" s="1488">
        <f>+Y36*1</f>
        <v>5.58</v>
      </c>
      <c r="D36" s="1482" t="s">
        <v>965</v>
      </c>
      <c r="E36" s="1472" t="s">
        <v>1268</v>
      </c>
      <c r="F36" s="1473"/>
      <c r="G36" s="1474"/>
      <c r="H36" s="1475" t="s">
        <v>1268</v>
      </c>
      <c r="I36" s="1476"/>
      <c r="J36" s="1475" t="s">
        <v>965</v>
      </c>
      <c r="K36" s="1477"/>
      <c r="L36" s="1472" t="s">
        <v>1268</v>
      </c>
      <c r="M36" s="1473"/>
      <c r="N36" s="1474"/>
      <c r="O36" s="1472" t="s">
        <v>1268</v>
      </c>
      <c r="P36" s="1473"/>
      <c r="Q36" s="1474"/>
      <c r="S36" s="1476">
        <v>2.66</v>
      </c>
      <c r="T36" s="1478" t="e">
        <f t="shared" si="1"/>
        <v>#DIV/0!</v>
      </c>
      <c r="U36" s="1478">
        <f t="shared" si="0"/>
        <v>2.66</v>
      </c>
      <c r="W36" s="1467">
        <v>2.66</v>
      </c>
      <c r="X36" s="1491">
        <f t="shared" si="2"/>
        <v>2.7930000000000001</v>
      </c>
      <c r="Y36" s="1491">
        <v>5.58</v>
      </c>
      <c r="Z36" s="1517" t="s">
        <v>1610</v>
      </c>
      <c r="AA36" s="1440" t="s">
        <v>1611</v>
      </c>
      <c r="AB36" s="1461"/>
      <c r="AC36" s="1461"/>
      <c r="AD36" s="1481" t="s">
        <v>1532</v>
      </c>
      <c r="BD36" s="1482" t="s">
        <v>1268</v>
      </c>
      <c r="BE36" s="1488">
        <f>+CA36*1</f>
        <v>0</v>
      </c>
      <c r="BF36" s="1482" t="s">
        <v>965</v>
      </c>
    </row>
    <row r="37" spans="1:58" s="1440" customFormat="1" ht="13.5" thickBot="1">
      <c r="A37" s="1487" t="s">
        <v>1612</v>
      </c>
      <c r="B37" s="1482" t="s">
        <v>619</v>
      </c>
      <c r="C37" s="1488">
        <v>9</v>
      </c>
      <c r="D37" s="1482" t="s">
        <v>965</v>
      </c>
      <c r="E37" s="1544"/>
      <c r="F37" s="1545"/>
      <c r="G37" s="1546"/>
      <c r="H37" s="1547"/>
      <c r="I37" s="1548"/>
      <c r="J37" s="1547"/>
      <c r="K37" s="1549"/>
      <c r="L37" s="1544"/>
      <c r="M37" s="1545"/>
      <c r="N37" s="1546"/>
      <c r="O37" s="1544"/>
      <c r="P37" s="1545"/>
      <c r="Q37" s="1546"/>
      <c r="S37" s="1548"/>
      <c r="T37" s="1550"/>
      <c r="U37" s="1550"/>
      <c r="V37" s="1551"/>
      <c r="W37" s="1552"/>
      <c r="X37" s="1553"/>
      <c r="Y37" s="1491">
        <v>8.31</v>
      </c>
      <c r="Z37" s="1480" t="s">
        <v>1613</v>
      </c>
      <c r="AA37" s="1440" t="s">
        <v>1614</v>
      </c>
      <c r="AD37" s="1481" t="s">
        <v>1532</v>
      </c>
      <c r="BD37" s="1482" t="s">
        <v>619</v>
      </c>
      <c r="BE37" s="1488">
        <v>9</v>
      </c>
      <c r="BF37" s="1482" t="s">
        <v>965</v>
      </c>
    </row>
    <row r="38" spans="1:58" ht="13.5" thickBot="1">
      <c r="A38" s="1487" t="s">
        <v>1615</v>
      </c>
      <c r="B38" s="1482" t="s">
        <v>1268</v>
      </c>
      <c r="C38" s="1488">
        <f>+X38</f>
        <v>0</v>
      </c>
      <c r="D38" s="1482"/>
      <c r="E38" s="1472" t="s">
        <v>1268</v>
      </c>
      <c r="F38" s="1489">
        <v>6.75</v>
      </c>
      <c r="G38" s="1474"/>
      <c r="H38" s="1475" t="s">
        <v>1616</v>
      </c>
      <c r="I38" s="1476"/>
      <c r="J38" s="1475" t="s">
        <v>965</v>
      </c>
      <c r="K38" s="1477"/>
      <c r="L38" s="1472" t="s">
        <v>1268</v>
      </c>
      <c r="N38" s="1474"/>
      <c r="O38" s="1472" t="s">
        <v>1268</v>
      </c>
      <c r="Q38" s="1474"/>
      <c r="S38" s="1476"/>
      <c r="T38" s="1478">
        <f>AVERAGE(F38,I38,M38)</f>
        <v>6.75</v>
      </c>
      <c r="U38" s="1478">
        <f t="shared" si="0"/>
        <v>6.75</v>
      </c>
      <c r="W38" s="1467"/>
      <c r="X38" s="1491">
        <f t="shared" ref="X38:X76" si="9">+S38*1.05</f>
        <v>0</v>
      </c>
      <c r="Y38" s="1491">
        <v>0</v>
      </c>
      <c r="Z38" s="1554" t="s">
        <v>1576</v>
      </c>
      <c r="AB38" s="1461"/>
      <c r="AC38" s="1461"/>
      <c r="AD38" s="1481" t="s">
        <v>1532</v>
      </c>
      <c r="AE38" s="1483"/>
      <c r="AF38" s="1484"/>
      <c r="AG38" s="1484"/>
      <c r="AH38" s="1484"/>
      <c r="AI38" s="1485" t="s">
        <v>1617</v>
      </c>
      <c r="AJ38" s="1484"/>
      <c r="AK38" s="1484"/>
      <c r="AL38" s="1484"/>
      <c r="AM38" s="1484"/>
      <c r="AN38" s="1486"/>
      <c r="BD38" s="1482" t="s">
        <v>1268</v>
      </c>
      <c r="BE38" s="1488">
        <f>+BZ38</f>
        <v>0</v>
      </c>
      <c r="BF38" s="1482"/>
    </row>
    <row r="39" spans="1:58">
      <c r="A39" s="1499" t="s">
        <v>1618</v>
      </c>
      <c r="B39" s="1524" t="s">
        <v>1619</v>
      </c>
      <c r="C39" s="1488">
        <f>+Y39*1.07</f>
        <v>146.05500000000001</v>
      </c>
      <c r="D39" s="1500" t="s">
        <v>965</v>
      </c>
      <c r="E39" s="1525" t="s">
        <v>1619</v>
      </c>
      <c r="F39" s="1489"/>
      <c r="G39" s="1526"/>
      <c r="H39" s="1527" t="s">
        <v>1619</v>
      </c>
      <c r="J39" s="1502" t="s">
        <v>965</v>
      </c>
      <c r="K39" s="1528"/>
      <c r="L39" s="1525" t="s">
        <v>1619</v>
      </c>
      <c r="M39" s="1489"/>
      <c r="N39" s="1526"/>
      <c r="O39" s="1525" t="s">
        <v>1619</v>
      </c>
      <c r="P39" s="1555">
        <v>160</v>
      </c>
      <c r="Q39" s="1556" t="s">
        <v>1620</v>
      </c>
      <c r="S39" s="1490">
        <v>130</v>
      </c>
      <c r="T39" s="1478" t="e">
        <f t="shared" si="1"/>
        <v>#DIV/0!</v>
      </c>
      <c r="U39" s="1478">
        <f t="shared" si="0"/>
        <v>130</v>
      </c>
      <c r="W39" s="1467">
        <v>130</v>
      </c>
      <c r="X39" s="1491">
        <f t="shared" si="9"/>
        <v>136.5</v>
      </c>
      <c r="Y39" s="1491">
        <v>136.5</v>
      </c>
      <c r="Z39" s="1492" t="s">
        <v>1547</v>
      </c>
      <c r="AB39" s="1461"/>
      <c r="AC39" s="1461"/>
      <c r="AD39" s="1481" t="s">
        <v>1532</v>
      </c>
      <c r="AE39" s="1493"/>
      <c r="AF39" s="1494"/>
      <c r="AG39" s="1494"/>
      <c r="AH39" s="1495" t="s">
        <v>1548</v>
      </c>
      <c r="AI39" s="1495"/>
      <c r="AJ39" s="1496"/>
      <c r="AK39" s="1496"/>
      <c r="AL39" s="1496"/>
      <c r="AM39" s="1496"/>
      <c r="AN39" s="1557"/>
      <c r="BD39" s="1524" t="s">
        <v>1619</v>
      </c>
      <c r="BE39" s="1488">
        <f>+CA39*1.07</f>
        <v>0</v>
      </c>
      <c r="BF39" s="1500" t="s">
        <v>965</v>
      </c>
    </row>
    <row r="40" spans="1:58">
      <c r="A40" s="1499" t="s">
        <v>1621</v>
      </c>
      <c r="B40" s="1524" t="s">
        <v>1619</v>
      </c>
      <c r="C40" s="1488">
        <f t="shared" ref="C40:C52" si="10">+Y40*1.07</f>
        <v>202.23000000000002</v>
      </c>
      <c r="D40" s="1500" t="s">
        <v>965</v>
      </c>
      <c r="E40" s="1525" t="s">
        <v>1619</v>
      </c>
      <c r="F40" s="1489"/>
      <c r="G40" s="1526"/>
      <c r="H40" s="1527" t="s">
        <v>1619</v>
      </c>
      <c r="J40" s="1502" t="s">
        <v>965</v>
      </c>
      <c r="K40" s="1528"/>
      <c r="L40" s="1525" t="s">
        <v>1619</v>
      </c>
      <c r="M40" s="1489"/>
      <c r="N40" s="1526"/>
      <c r="O40" s="1525" t="s">
        <v>1619</v>
      </c>
      <c r="P40" s="1555">
        <v>210</v>
      </c>
      <c r="Q40" s="1556" t="s">
        <v>1620</v>
      </c>
      <c r="S40" s="1490">
        <v>180</v>
      </c>
      <c r="T40" s="1478" t="e">
        <f t="shared" si="1"/>
        <v>#DIV/0!</v>
      </c>
      <c r="U40" s="1478">
        <f t="shared" si="0"/>
        <v>180</v>
      </c>
      <c r="W40" s="1467">
        <v>180</v>
      </c>
      <c r="X40" s="1491">
        <f t="shared" si="9"/>
        <v>189</v>
      </c>
      <c r="Y40" s="1491">
        <v>189</v>
      </c>
      <c r="Z40" s="1492" t="s">
        <v>1547</v>
      </c>
      <c r="AB40" s="1461"/>
      <c r="AC40" s="1461"/>
      <c r="AD40" s="1481" t="s">
        <v>1532</v>
      </c>
      <c r="AE40" s="1503"/>
      <c r="AF40" s="1504"/>
      <c r="AG40" s="1504"/>
      <c r="AH40" s="1505"/>
      <c r="AI40" s="1505" t="s">
        <v>1622</v>
      </c>
      <c r="AJ40" s="1506"/>
      <c r="AK40" s="1506"/>
      <c r="AL40" s="1506"/>
      <c r="AM40" s="1506"/>
      <c r="AN40" s="1530"/>
      <c r="BD40" s="1524" t="s">
        <v>1619</v>
      </c>
      <c r="BE40" s="1488">
        <f t="shared" ref="BE40:BE52" si="11">+CA40*1.07</f>
        <v>0</v>
      </c>
      <c r="BF40" s="1500" t="s">
        <v>965</v>
      </c>
    </row>
    <row r="41" spans="1:58">
      <c r="A41" s="1558" t="s">
        <v>1623</v>
      </c>
      <c r="B41" s="1500" t="s">
        <v>1569</v>
      </c>
      <c r="C41" s="1488">
        <f t="shared" si="10"/>
        <v>3.4266750000000004</v>
      </c>
      <c r="D41" s="1482" t="s">
        <v>965</v>
      </c>
      <c r="E41" s="1501" t="s">
        <v>1569</v>
      </c>
      <c r="F41" s="1489"/>
      <c r="G41" s="1474"/>
      <c r="H41" s="1502" t="s">
        <v>1569</v>
      </c>
      <c r="J41" s="1475" t="s">
        <v>965</v>
      </c>
      <c r="K41" s="1477"/>
      <c r="L41" s="1501" t="s">
        <v>1569</v>
      </c>
      <c r="M41" s="1489"/>
      <c r="N41" s="1474"/>
      <c r="O41" s="1501" t="s">
        <v>1569</v>
      </c>
      <c r="P41" s="1489"/>
      <c r="Q41" s="1474"/>
      <c r="S41" s="1490">
        <v>3.05</v>
      </c>
      <c r="T41" s="1478" t="e">
        <f t="shared" si="1"/>
        <v>#DIV/0!</v>
      </c>
      <c r="U41" s="1478">
        <f t="shared" si="0"/>
        <v>3.05</v>
      </c>
      <c r="W41" s="1467">
        <v>3.05</v>
      </c>
      <c r="X41" s="1491">
        <f t="shared" si="9"/>
        <v>3.2025000000000001</v>
      </c>
      <c r="Y41" s="1491">
        <v>3.2025000000000001</v>
      </c>
      <c r="Z41" s="1492" t="s">
        <v>1547</v>
      </c>
      <c r="AB41" s="1461"/>
      <c r="AC41" s="1461"/>
      <c r="AD41" s="1481" t="s">
        <v>1532</v>
      </c>
      <c r="AE41" s="1508"/>
      <c r="AF41" s="1504"/>
      <c r="AG41" s="1509" t="s">
        <v>1624</v>
      </c>
      <c r="AH41" s="1504"/>
      <c r="AI41" s="1504"/>
      <c r="AJ41" s="1504"/>
      <c r="AK41" s="1504"/>
      <c r="AL41" s="1504"/>
      <c r="AM41" s="1504"/>
      <c r="AN41" s="1507"/>
      <c r="BD41" s="1500" t="s">
        <v>1569</v>
      </c>
      <c r="BE41" s="1488">
        <f t="shared" si="11"/>
        <v>0</v>
      </c>
      <c r="BF41" s="1482" t="s">
        <v>965</v>
      </c>
    </row>
    <row r="42" spans="1:58" ht="12.75" customHeight="1">
      <c r="A42" s="1499" t="s">
        <v>1625</v>
      </c>
      <c r="B42" s="1524" t="s">
        <v>761</v>
      </c>
      <c r="C42" s="1488">
        <f t="shared" si="10"/>
        <v>219.08250000000001</v>
      </c>
      <c r="D42" s="1482" t="s">
        <v>965</v>
      </c>
      <c r="E42" s="1525" t="s">
        <v>761</v>
      </c>
      <c r="F42" s="1489"/>
      <c r="G42" s="1474"/>
      <c r="H42" s="1527" t="s">
        <v>761</v>
      </c>
      <c r="J42" s="1475" t="s">
        <v>965</v>
      </c>
      <c r="K42" s="1477"/>
      <c r="L42" s="1525" t="s">
        <v>761</v>
      </c>
      <c r="M42" s="1489"/>
      <c r="N42" s="1474"/>
      <c r="O42" s="1525" t="s">
        <v>761</v>
      </c>
      <c r="P42" s="1489"/>
      <c r="Q42" s="1474"/>
      <c r="S42" s="1490">
        <v>195</v>
      </c>
      <c r="T42" s="1478" t="e">
        <f t="shared" si="1"/>
        <v>#DIV/0!</v>
      </c>
      <c r="U42" s="1478">
        <f t="shared" si="0"/>
        <v>195</v>
      </c>
      <c r="W42" s="1467">
        <v>195</v>
      </c>
      <c r="X42" s="1491">
        <f t="shared" si="9"/>
        <v>204.75</v>
      </c>
      <c r="Y42" s="1491">
        <v>204.75</v>
      </c>
      <c r="Z42" s="1492" t="s">
        <v>1547</v>
      </c>
      <c r="AB42" s="1461"/>
      <c r="AC42" s="1461"/>
      <c r="AD42" s="1481" t="s">
        <v>1532</v>
      </c>
      <c r="AE42" s="1559" t="s">
        <v>1626</v>
      </c>
      <c r="AF42" s="1504"/>
      <c r="AG42" s="1504">
        <v>27</v>
      </c>
      <c r="AH42" s="1513">
        <f t="shared" ref="AH42:AM44" si="12">+$AL66</f>
        <v>11.1270375</v>
      </c>
      <c r="AI42" s="1513">
        <f t="shared" si="12"/>
        <v>11.1270375</v>
      </c>
      <c r="AJ42" s="1513">
        <f t="shared" si="12"/>
        <v>11.1270375</v>
      </c>
      <c r="AK42" s="1513">
        <f t="shared" si="12"/>
        <v>11.1270375</v>
      </c>
      <c r="AL42" s="1513">
        <f t="shared" si="12"/>
        <v>11.1270375</v>
      </c>
      <c r="AM42" s="1513">
        <f t="shared" si="12"/>
        <v>11.1270375</v>
      </c>
      <c r="AN42" s="1560"/>
      <c r="BD42" s="1524" t="s">
        <v>761</v>
      </c>
      <c r="BE42" s="1488">
        <f t="shared" si="11"/>
        <v>0</v>
      </c>
      <c r="BF42" s="1482" t="s">
        <v>965</v>
      </c>
    </row>
    <row r="43" spans="1:58">
      <c r="A43" s="1558" t="s">
        <v>1627</v>
      </c>
      <c r="B43" s="1500" t="s">
        <v>1268</v>
      </c>
      <c r="C43" s="1488">
        <f t="shared" si="10"/>
        <v>2.8087500000000003</v>
      </c>
      <c r="D43" s="1482" t="s">
        <v>965</v>
      </c>
      <c r="E43" s="1501" t="s">
        <v>1268</v>
      </c>
      <c r="F43" s="1489">
        <v>1.93</v>
      </c>
      <c r="G43" s="1474" t="s">
        <v>1628</v>
      </c>
      <c r="H43" s="1502" t="s">
        <v>1268</v>
      </c>
      <c r="J43" s="1475" t="s">
        <v>965</v>
      </c>
      <c r="K43" s="1477"/>
      <c r="L43" s="1501" t="s">
        <v>1268</v>
      </c>
      <c r="M43" s="1489">
        <v>3.34</v>
      </c>
      <c r="N43" s="1474" t="s">
        <v>1629</v>
      </c>
      <c r="O43" s="1501" t="s">
        <v>1268</v>
      </c>
      <c r="P43" s="1555">
        <v>2.65</v>
      </c>
      <c r="Q43" s="1556" t="s">
        <v>1620</v>
      </c>
      <c r="S43" s="1490">
        <v>2.5</v>
      </c>
      <c r="T43" s="1478">
        <f t="shared" si="1"/>
        <v>2.6349999999999998</v>
      </c>
      <c r="U43" s="1478">
        <f t="shared" si="0"/>
        <v>2.59</v>
      </c>
      <c r="W43" s="1467">
        <v>2.5</v>
      </c>
      <c r="X43" s="1491">
        <f t="shared" si="9"/>
        <v>2.625</v>
      </c>
      <c r="Y43" s="1491">
        <v>2.625</v>
      </c>
      <c r="Z43" s="1492" t="s">
        <v>1547</v>
      </c>
      <c r="AB43" s="1461"/>
      <c r="AC43" s="1461"/>
      <c r="AD43" s="1481" t="s">
        <v>1532</v>
      </c>
      <c r="AE43" s="1559" t="s">
        <v>1630</v>
      </c>
      <c r="AF43" s="1504"/>
      <c r="AG43" s="1512">
        <v>16</v>
      </c>
      <c r="AH43" s="1513">
        <f t="shared" si="12"/>
        <v>26.955624999999998</v>
      </c>
      <c r="AI43" s="1513">
        <f t="shared" si="12"/>
        <v>26.955624999999998</v>
      </c>
      <c r="AJ43" s="1513">
        <f t="shared" si="12"/>
        <v>26.955624999999998</v>
      </c>
      <c r="AK43" s="1513">
        <f t="shared" si="12"/>
        <v>26.955624999999998</v>
      </c>
      <c r="AL43" s="1513">
        <f t="shared" si="12"/>
        <v>26.955624999999998</v>
      </c>
      <c r="AM43" s="1513">
        <f t="shared" si="12"/>
        <v>26.955624999999998</v>
      </c>
      <c r="AN43" s="1560"/>
      <c r="BD43" s="1500" t="s">
        <v>1268</v>
      </c>
      <c r="BE43" s="1488">
        <f t="shared" si="11"/>
        <v>0</v>
      </c>
      <c r="BF43" s="1482" t="s">
        <v>965</v>
      </c>
    </row>
    <row r="44" spans="1:58">
      <c r="A44" s="1561" t="s">
        <v>1631</v>
      </c>
      <c r="B44" s="1500" t="s">
        <v>1619</v>
      </c>
      <c r="C44" s="1488">
        <f t="shared" si="10"/>
        <v>146.05500000000001</v>
      </c>
      <c r="D44" s="1562" t="s">
        <v>965</v>
      </c>
      <c r="E44" s="1501" t="s">
        <v>1619</v>
      </c>
      <c r="F44" s="1489">
        <v>125</v>
      </c>
      <c r="G44" s="1563"/>
      <c r="H44" s="1502" t="s">
        <v>1619</v>
      </c>
      <c r="J44" s="1564" t="s">
        <v>965</v>
      </c>
      <c r="K44" s="1565"/>
      <c r="L44" s="1501" t="s">
        <v>1619</v>
      </c>
      <c r="M44" s="1489">
        <v>136.93</v>
      </c>
      <c r="N44" s="1563" t="s">
        <v>1632</v>
      </c>
      <c r="O44" s="1501" t="s">
        <v>1619</v>
      </c>
      <c r="P44" s="1555">
        <v>160</v>
      </c>
      <c r="Q44" s="1556" t="s">
        <v>1620</v>
      </c>
      <c r="S44" s="1490">
        <v>130</v>
      </c>
      <c r="T44" s="1478">
        <f t="shared" si="1"/>
        <v>130.965</v>
      </c>
      <c r="U44" s="1478">
        <f t="shared" si="0"/>
        <v>130.64333333333335</v>
      </c>
      <c r="W44" s="1467">
        <v>130</v>
      </c>
      <c r="X44" s="1491">
        <f t="shared" si="9"/>
        <v>136.5</v>
      </c>
      <c r="Y44" s="1491">
        <v>136.5</v>
      </c>
      <c r="Z44" s="1492" t="s">
        <v>1547</v>
      </c>
      <c r="AB44" s="1461"/>
      <c r="AC44" s="1461"/>
      <c r="AD44" s="1481" t="s">
        <v>1532</v>
      </c>
      <c r="AE44" s="1559" t="s">
        <v>1633</v>
      </c>
      <c r="AF44" s="1504"/>
      <c r="AG44" s="1512">
        <v>8</v>
      </c>
      <c r="AH44" s="1513">
        <f t="shared" si="12"/>
        <v>18.75</v>
      </c>
      <c r="AI44" s="1513">
        <f t="shared" si="12"/>
        <v>18.75</v>
      </c>
      <c r="AJ44" s="1513">
        <f t="shared" si="12"/>
        <v>18.75</v>
      </c>
      <c r="AK44" s="1513">
        <f t="shared" si="12"/>
        <v>18.75</v>
      </c>
      <c r="AL44" s="1513">
        <f t="shared" si="12"/>
        <v>18.75</v>
      </c>
      <c r="AM44" s="1513">
        <f t="shared" si="12"/>
        <v>18.75</v>
      </c>
      <c r="AN44" s="1560"/>
      <c r="BD44" s="1500" t="s">
        <v>1619</v>
      </c>
      <c r="BE44" s="1488">
        <f t="shared" si="11"/>
        <v>0</v>
      </c>
      <c r="BF44" s="1562" t="s">
        <v>965</v>
      </c>
    </row>
    <row r="45" spans="1:58">
      <c r="A45" s="1499" t="s">
        <v>1634</v>
      </c>
      <c r="B45" s="1524" t="s">
        <v>761</v>
      </c>
      <c r="C45" s="1488">
        <f t="shared" si="10"/>
        <v>983.06250000000011</v>
      </c>
      <c r="D45" s="1500" t="s">
        <v>965</v>
      </c>
      <c r="E45" s="1525" t="s">
        <v>761</v>
      </c>
      <c r="F45" s="1489"/>
      <c r="G45" s="1526"/>
      <c r="H45" s="1527" t="s">
        <v>761</v>
      </c>
      <c r="J45" s="1502" t="s">
        <v>965</v>
      </c>
      <c r="K45" s="1528"/>
      <c r="L45" s="1525" t="s">
        <v>761</v>
      </c>
      <c r="M45" s="1489"/>
      <c r="N45" s="1526"/>
      <c r="O45" s="1525" t="s">
        <v>761</v>
      </c>
      <c r="P45" s="1489"/>
      <c r="Q45" s="1526"/>
      <c r="S45" s="1490">
        <v>875</v>
      </c>
      <c r="T45" s="1478" t="e">
        <f t="shared" si="1"/>
        <v>#DIV/0!</v>
      </c>
      <c r="U45" s="1478">
        <f t="shared" si="0"/>
        <v>875</v>
      </c>
      <c r="W45" s="1467">
        <v>875</v>
      </c>
      <c r="X45" s="1491">
        <f t="shared" si="9"/>
        <v>918.75</v>
      </c>
      <c r="Y45" s="1491">
        <v>918.75</v>
      </c>
      <c r="Z45" s="1492" t="s">
        <v>1547</v>
      </c>
      <c r="AB45" s="1461"/>
      <c r="AC45" s="1461"/>
      <c r="AD45" s="1481" t="s">
        <v>1532</v>
      </c>
      <c r="AE45" s="1566"/>
      <c r="AF45" s="1504"/>
      <c r="AG45" s="1567"/>
      <c r="AH45" s="1509" t="s">
        <v>1557</v>
      </c>
      <c r="AI45" s="1509" t="s">
        <v>1558</v>
      </c>
      <c r="AJ45" s="1509" t="s">
        <v>1559</v>
      </c>
      <c r="AK45" s="1509" t="s">
        <v>1560</v>
      </c>
      <c r="AL45" s="1509" t="s">
        <v>1561</v>
      </c>
      <c r="AM45" s="1510" t="s">
        <v>1562</v>
      </c>
      <c r="AN45" s="1560"/>
      <c r="BD45" s="1524" t="s">
        <v>761</v>
      </c>
      <c r="BE45" s="1488">
        <f t="shared" si="11"/>
        <v>0</v>
      </c>
      <c r="BF45" s="1500" t="s">
        <v>965</v>
      </c>
    </row>
    <row r="46" spans="1:58">
      <c r="A46" s="1499" t="s">
        <v>1635</v>
      </c>
      <c r="B46" s="1524" t="s">
        <v>761</v>
      </c>
      <c r="C46" s="1488">
        <f t="shared" si="10"/>
        <v>1235.8500000000001</v>
      </c>
      <c r="D46" s="1500" t="s">
        <v>965</v>
      </c>
      <c r="E46" s="1525" t="s">
        <v>761</v>
      </c>
      <c r="F46" s="1489"/>
      <c r="G46" s="1526"/>
      <c r="H46" s="1527" t="s">
        <v>761</v>
      </c>
      <c r="J46" s="1502" t="s">
        <v>965</v>
      </c>
      <c r="K46" s="1528"/>
      <c r="L46" s="1525" t="s">
        <v>761</v>
      </c>
      <c r="M46" s="1489"/>
      <c r="N46" s="1526"/>
      <c r="O46" s="1525" t="s">
        <v>761</v>
      </c>
      <c r="P46" s="1489"/>
      <c r="Q46" s="1526"/>
      <c r="S46" s="1490">
        <v>1100</v>
      </c>
      <c r="T46" s="1478" t="e">
        <f t="shared" si="1"/>
        <v>#DIV/0!</v>
      </c>
      <c r="U46" s="1478">
        <f t="shared" si="0"/>
        <v>1100</v>
      </c>
      <c r="W46" s="1467">
        <v>1100</v>
      </c>
      <c r="X46" s="1491">
        <f t="shared" si="9"/>
        <v>1155</v>
      </c>
      <c r="Y46" s="1491">
        <v>1155</v>
      </c>
      <c r="Z46" s="1492" t="s">
        <v>1547</v>
      </c>
      <c r="AB46" s="1461"/>
      <c r="AC46" s="1461"/>
      <c r="AD46" s="1481" t="s">
        <v>1532</v>
      </c>
      <c r="AE46" s="1503" t="s">
        <v>1636</v>
      </c>
      <c r="AF46" s="1504"/>
      <c r="AG46" s="1567"/>
      <c r="AH46" s="1513">
        <v>9</v>
      </c>
      <c r="AI46" s="1513">
        <v>5.5</v>
      </c>
      <c r="AJ46" s="1513">
        <v>8.9499999999999993</v>
      </c>
      <c r="AK46" s="1513">
        <v>7</v>
      </c>
      <c r="AL46" s="1513">
        <v>6</v>
      </c>
      <c r="AM46" s="1513">
        <v>5.5</v>
      </c>
      <c r="AN46" s="1560">
        <f>AVERAGE(AH46:AM46)</f>
        <v>6.9916666666666671</v>
      </c>
      <c r="BD46" s="1524" t="s">
        <v>761</v>
      </c>
      <c r="BE46" s="1488">
        <f t="shared" si="11"/>
        <v>0</v>
      </c>
      <c r="BF46" s="1500" t="s">
        <v>965</v>
      </c>
    </row>
    <row r="47" spans="1:58">
      <c r="A47" s="1499" t="s">
        <v>1637</v>
      </c>
      <c r="B47" s="1524" t="s">
        <v>761</v>
      </c>
      <c r="C47" s="1488">
        <f t="shared" si="10"/>
        <v>601.07249999999999</v>
      </c>
      <c r="D47" s="1500" t="s">
        <v>965</v>
      </c>
      <c r="E47" s="1525" t="s">
        <v>761</v>
      </c>
      <c r="F47" s="1489"/>
      <c r="G47" s="1526"/>
      <c r="H47" s="1527" t="s">
        <v>761</v>
      </c>
      <c r="J47" s="1502" t="s">
        <v>965</v>
      </c>
      <c r="K47" s="1528"/>
      <c r="L47" s="1525" t="s">
        <v>761</v>
      </c>
      <c r="M47" s="1489"/>
      <c r="N47" s="1526"/>
      <c r="O47" s="1525" t="s">
        <v>761</v>
      </c>
      <c r="P47" s="1489"/>
      <c r="Q47" s="1526"/>
      <c r="S47" s="1490">
        <v>535</v>
      </c>
      <c r="T47" s="1478" t="e">
        <f t="shared" si="1"/>
        <v>#DIV/0!</v>
      </c>
      <c r="U47" s="1478">
        <f t="shared" si="0"/>
        <v>535</v>
      </c>
      <c r="W47" s="1467">
        <v>535</v>
      </c>
      <c r="X47" s="1491">
        <f t="shared" si="9"/>
        <v>561.75</v>
      </c>
      <c r="Y47" s="1491">
        <v>561.75</v>
      </c>
      <c r="Z47" s="1492" t="s">
        <v>1547</v>
      </c>
      <c r="AB47" s="1461"/>
      <c r="AC47" s="1461"/>
      <c r="AD47" s="1481" t="s">
        <v>1532</v>
      </c>
      <c r="AE47" s="1503" t="s">
        <v>1638</v>
      </c>
      <c r="AF47" s="1504"/>
      <c r="AG47" s="1512"/>
      <c r="AH47" s="1513">
        <v>150</v>
      </c>
      <c r="AI47" s="1513">
        <v>125</v>
      </c>
      <c r="AJ47" s="1513">
        <v>150</v>
      </c>
      <c r="AK47" s="1513">
        <v>300</v>
      </c>
      <c r="AL47" s="1513">
        <v>100</v>
      </c>
      <c r="AM47" s="1513">
        <v>100</v>
      </c>
      <c r="AN47" s="1560">
        <f>AVERAGE(AH47:AM47)</f>
        <v>154.16666666666666</v>
      </c>
      <c r="BD47" s="1524" t="s">
        <v>761</v>
      </c>
      <c r="BE47" s="1488">
        <f t="shared" si="11"/>
        <v>0</v>
      </c>
      <c r="BF47" s="1500" t="s">
        <v>965</v>
      </c>
    </row>
    <row r="48" spans="1:58">
      <c r="A48" s="1499" t="s">
        <v>1639</v>
      </c>
      <c r="B48" s="1524" t="s">
        <v>761</v>
      </c>
      <c r="C48" s="1488">
        <f t="shared" si="10"/>
        <v>674.1</v>
      </c>
      <c r="D48" s="1500" t="s">
        <v>965</v>
      </c>
      <c r="E48" s="1525" t="s">
        <v>761</v>
      </c>
      <c r="F48" s="1489"/>
      <c r="G48" s="1526"/>
      <c r="H48" s="1527" t="s">
        <v>761</v>
      </c>
      <c r="J48" s="1502" t="s">
        <v>965</v>
      </c>
      <c r="K48" s="1528"/>
      <c r="L48" s="1525" t="s">
        <v>761</v>
      </c>
      <c r="M48" s="1489"/>
      <c r="N48" s="1526"/>
      <c r="O48" s="1525" t="s">
        <v>761</v>
      </c>
      <c r="P48" s="1489"/>
      <c r="Q48" s="1526"/>
      <c r="S48" s="1490">
        <v>600</v>
      </c>
      <c r="T48" s="1478" t="e">
        <f t="shared" si="1"/>
        <v>#DIV/0!</v>
      </c>
      <c r="U48" s="1478">
        <f t="shared" si="0"/>
        <v>600</v>
      </c>
      <c r="W48" s="1467">
        <v>600</v>
      </c>
      <c r="X48" s="1491">
        <f t="shared" si="9"/>
        <v>630</v>
      </c>
      <c r="Y48" s="1491">
        <v>630</v>
      </c>
      <c r="Z48" s="1492" t="s">
        <v>1547</v>
      </c>
      <c r="AB48" s="1461"/>
      <c r="AC48" s="1461"/>
      <c r="AD48" s="1481" t="s">
        <v>1532</v>
      </c>
      <c r="AE48" s="1503"/>
      <c r="AF48" s="1504"/>
      <c r="AG48" s="1504"/>
      <c r="AH48" s="1504"/>
      <c r="AI48" s="1504"/>
      <c r="AJ48" s="1504"/>
      <c r="AK48" s="1568"/>
      <c r="AL48" s="1568"/>
      <c r="AM48" s="1504"/>
      <c r="AN48" s="1560"/>
      <c r="AQ48" s="1569" t="s">
        <v>1640</v>
      </c>
      <c r="BD48" s="1524" t="s">
        <v>761</v>
      </c>
      <c r="BE48" s="1488">
        <f t="shared" si="11"/>
        <v>0</v>
      </c>
      <c r="BF48" s="1500" t="s">
        <v>965</v>
      </c>
    </row>
    <row r="49" spans="1:58">
      <c r="A49" s="1499" t="s">
        <v>1641</v>
      </c>
      <c r="B49" s="1524" t="s">
        <v>761</v>
      </c>
      <c r="C49" s="1488">
        <f t="shared" si="10"/>
        <v>505.57500000000005</v>
      </c>
      <c r="D49" s="1500" t="s">
        <v>965</v>
      </c>
      <c r="E49" s="1525" t="s">
        <v>761</v>
      </c>
      <c r="F49" s="1489"/>
      <c r="G49" s="1526"/>
      <c r="H49" s="1527" t="s">
        <v>761</v>
      </c>
      <c r="J49" s="1502" t="s">
        <v>965</v>
      </c>
      <c r="K49" s="1528"/>
      <c r="L49" s="1525" t="s">
        <v>761</v>
      </c>
      <c r="M49" s="1489"/>
      <c r="N49" s="1526"/>
      <c r="O49" s="1525" t="s">
        <v>761</v>
      </c>
      <c r="P49" s="1489"/>
      <c r="Q49" s="1526"/>
      <c r="S49" s="1490">
        <v>450</v>
      </c>
      <c r="T49" s="1478" t="e">
        <f t="shared" si="1"/>
        <v>#DIV/0!</v>
      </c>
      <c r="U49" s="1478">
        <f t="shared" si="0"/>
        <v>450</v>
      </c>
      <c r="W49" s="1467">
        <v>450</v>
      </c>
      <c r="X49" s="1491">
        <f t="shared" si="9"/>
        <v>472.5</v>
      </c>
      <c r="Y49" s="1491">
        <v>472.5</v>
      </c>
      <c r="Z49" s="1492" t="s">
        <v>1547</v>
      </c>
      <c r="AB49" s="1461"/>
      <c r="AC49" s="1461"/>
      <c r="AD49" s="1481" t="s">
        <v>1532</v>
      </c>
      <c r="AE49" s="1503" t="s">
        <v>1642</v>
      </c>
      <c r="AF49" s="1504"/>
      <c r="AG49" s="1504"/>
      <c r="AH49" s="1570">
        <f t="shared" ref="AH49:AM49" si="13">+((AH42+AH46)+(AH43+AH46))/2</f>
        <v>28.041331249999999</v>
      </c>
      <c r="AI49" s="1570">
        <f t="shared" si="13"/>
        <v>24.541331249999999</v>
      </c>
      <c r="AJ49" s="1570">
        <f t="shared" si="13"/>
        <v>27.991331250000002</v>
      </c>
      <c r="AK49" s="1570">
        <f t="shared" si="13"/>
        <v>26.041331249999999</v>
      </c>
      <c r="AL49" s="1570">
        <f t="shared" si="13"/>
        <v>25.041331249999999</v>
      </c>
      <c r="AM49" s="1570">
        <f t="shared" si="13"/>
        <v>24.541331249999999</v>
      </c>
      <c r="AN49" s="1560">
        <f>AVERAGE(AH49:AM49)</f>
        <v>26.03299791666667</v>
      </c>
      <c r="AO49" s="1571" t="s">
        <v>1643</v>
      </c>
      <c r="AQ49" s="1514">
        <f>+(AL68+AN46)</f>
        <v>25.741666666666667</v>
      </c>
      <c r="BD49" s="1524" t="s">
        <v>761</v>
      </c>
      <c r="BE49" s="1488">
        <f t="shared" si="11"/>
        <v>0</v>
      </c>
      <c r="BF49" s="1500" t="s">
        <v>965</v>
      </c>
    </row>
    <row r="50" spans="1:58">
      <c r="A50" s="1558" t="s">
        <v>1644</v>
      </c>
      <c r="B50" s="1500" t="s">
        <v>1569</v>
      </c>
      <c r="C50" s="1488">
        <f t="shared" si="10"/>
        <v>42.692999999999998</v>
      </c>
      <c r="D50" s="1482" t="s">
        <v>965</v>
      </c>
      <c r="E50" s="1501" t="s">
        <v>1569</v>
      </c>
      <c r="F50" s="1489"/>
      <c r="G50" s="1474"/>
      <c r="H50" s="1502" t="s">
        <v>1569</v>
      </c>
      <c r="J50" s="1475" t="s">
        <v>965</v>
      </c>
      <c r="K50" s="1477"/>
      <c r="L50" s="1501" t="s">
        <v>1569</v>
      </c>
      <c r="M50" s="1489"/>
      <c r="N50" s="1474"/>
      <c r="O50" s="1501" t="s">
        <v>1569</v>
      </c>
      <c r="P50" s="1489"/>
      <c r="Q50" s="1474"/>
      <c r="S50" s="1490">
        <v>38</v>
      </c>
      <c r="T50" s="1478" t="e">
        <f t="shared" si="1"/>
        <v>#DIV/0!</v>
      </c>
      <c r="U50" s="1478">
        <f t="shared" si="0"/>
        <v>38</v>
      </c>
      <c r="W50" s="1467">
        <v>38</v>
      </c>
      <c r="X50" s="1491">
        <f t="shared" si="9"/>
        <v>39.9</v>
      </c>
      <c r="Y50" s="1491">
        <v>39.9</v>
      </c>
      <c r="Z50" s="1492" t="s">
        <v>1547</v>
      </c>
      <c r="AB50" s="1461"/>
      <c r="AC50" s="1461"/>
      <c r="AD50" s="1481" t="s">
        <v>1532</v>
      </c>
      <c r="AE50" s="1503" t="s">
        <v>1645</v>
      </c>
      <c r="AF50" s="1504"/>
      <c r="AG50" s="1504"/>
      <c r="AH50" s="1570">
        <f t="shared" ref="AH50:AM50" si="14">+AH49*5</f>
        <v>140.20665624999998</v>
      </c>
      <c r="AI50" s="1570">
        <f t="shared" si="14"/>
        <v>122.70665624999999</v>
      </c>
      <c r="AJ50" s="1570">
        <f t="shared" si="14"/>
        <v>139.95665625000001</v>
      </c>
      <c r="AK50" s="1570">
        <f t="shared" si="14"/>
        <v>130.20665624999998</v>
      </c>
      <c r="AL50" s="1570">
        <f t="shared" si="14"/>
        <v>125.20665624999999</v>
      </c>
      <c r="AM50" s="1570">
        <f t="shared" si="14"/>
        <v>122.70665624999999</v>
      </c>
      <c r="AN50" s="1560">
        <f>AVERAGE(AH50:AM50)</f>
        <v>130.16498958333332</v>
      </c>
      <c r="AO50" s="1571" t="s">
        <v>1646</v>
      </c>
      <c r="AQ50" s="1514">
        <f>+AQ49*5</f>
        <v>128.70833333333334</v>
      </c>
      <c r="BD50" s="1500" t="s">
        <v>1569</v>
      </c>
      <c r="BE50" s="1488">
        <f t="shared" si="11"/>
        <v>0</v>
      </c>
      <c r="BF50" s="1482" t="s">
        <v>965</v>
      </c>
    </row>
    <row r="51" spans="1:58" ht="12.75" customHeight="1">
      <c r="A51" s="1561" t="s">
        <v>1647</v>
      </c>
      <c r="B51" s="1500" t="s">
        <v>1619</v>
      </c>
      <c r="C51" s="1488">
        <f t="shared" si="10"/>
        <v>202.23000000000002</v>
      </c>
      <c r="D51" s="1562" t="s">
        <v>965</v>
      </c>
      <c r="E51" s="1501" t="s">
        <v>1619</v>
      </c>
      <c r="F51" s="1489"/>
      <c r="G51" s="1563"/>
      <c r="H51" s="1502" t="s">
        <v>1619</v>
      </c>
      <c r="J51" s="1564" t="s">
        <v>965</v>
      </c>
      <c r="K51" s="1565"/>
      <c r="L51" s="1501" t="s">
        <v>1619</v>
      </c>
      <c r="M51" s="1489"/>
      <c r="N51" s="1563"/>
      <c r="O51" s="1501" t="s">
        <v>1619</v>
      </c>
      <c r="P51" s="1489"/>
      <c r="Q51" s="1563"/>
      <c r="S51" s="1490">
        <v>180</v>
      </c>
      <c r="T51" s="1478" t="e">
        <f t="shared" si="1"/>
        <v>#DIV/0!</v>
      </c>
      <c r="U51" s="1478">
        <f t="shared" si="0"/>
        <v>180</v>
      </c>
      <c r="W51" s="1467">
        <v>180</v>
      </c>
      <c r="X51" s="1491">
        <f t="shared" si="9"/>
        <v>189</v>
      </c>
      <c r="Y51" s="1491">
        <v>189</v>
      </c>
      <c r="Z51" s="1492" t="s">
        <v>1547</v>
      </c>
      <c r="AB51" s="1461"/>
      <c r="AC51" s="1461"/>
      <c r="AD51" s="1481" t="s">
        <v>1532</v>
      </c>
      <c r="AE51" s="1503" t="s">
        <v>1648</v>
      </c>
      <c r="AF51" s="1504"/>
      <c r="AG51" s="1504"/>
      <c r="AH51" s="1570">
        <f t="shared" ref="AH51:AM51" si="15">+AH47+AH50</f>
        <v>290.20665624999998</v>
      </c>
      <c r="AI51" s="1570">
        <f t="shared" si="15"/>
        <v>247.70665624999998</v>
      </c>
      <c r="AJ51" s="1570">
        <f t="shared" si="15"/>
        <v>289.95665625000004</v>
      </c>
      <c r="AK51" s="1570">
        <f t="shared" si="15"/>
        <v>430.20665624999998</v>
      </c>
      <c r="AL51" s="1570">
        <f t="shared" si="15"/>
        <v>225.20665624999998</v>
      </c>
      <c r="AM51" s="1570">
        <f t="shared" si="15"/>
        <v>222.70665624999998</v>
      </c>
      <c r="AN51" s="1560">
        <f>AVERAGE(AH51:AM51)</f>
        <v>284.33165624999998</v>
      </c>
      <c r="AO51" s="1571" t="s">
        <v>1646</v>
      </c>
      <c r="AQ51" s="1514">
        <f>+(AQ50)/5</f>
        <v>25.741666666666667</v>
      </c>
      <c r="BD51" s="1500" t="s">
        <v>1619</v>
      </c>
      <c r="BE51" s="1488">
        <f t="shared" si="11"/>
        <v>0</v>
      </c>
      <c r="BF51" s="1562" t="s">
        <v>965</v>
      </c>
    </row>
    <row r="52" spans="1:58">
      <c r="A52" s="1561" t="s">
        <v>1649</v>
      </c>
      <c r="B52" s="1500" t="s">
        <v>1619</v>
      </c>
      <c r="C52" s="1488">
        <f t="shared" si="10"/>
        <v>224.70000000000002</v>
      </c>
      <c r="D52" s="1562" t="s">
        <v>965</v>
      </c>
      <c r="E52" s="1501" t="s">
        <v>1619</v>
      </c>
      <c r="F52" s="1489"/>
      <c r="G52" s="1563"/>
      <c r="H52" s="1502" t="s">
        <v>1619</v>
      </c>
      <c r="J52" s="1564" t="s">
        <v>965</v>
      </c>
      <c r="K52" s="1565"/>
      <c r="L52" s="1501" t="s">
        <v>1619</v>
      </c>
      <c r="M52" s="1489"/>
      <c r="N52" s="1563"/>
      <c r="O52" s="1501" t="s">
        <v>1619</v>
      </c>
      <c r="P52" s="1489"/>
      <c r="Q52" s="1563"/>
      <c r="S52" s="1490">
        <v>200</v>
      </c>
      <c r="T52" s="1478" t="e">
        <f t="shared" si="1"/>
        <v>#DIV/0!</v>
      </c>
      <c r="U52" s="1478">
        <f t="shared" si="0"/>
        <v>200</v>
      </c>
      <c r="W52" s="1467">
        <v>200</v>
      </c>
      <c r="X52" s="1491">
        <f t="shared" si="9"/>
        <v>210</v>
      </c>
      <c r="Y52" s="1491">
        <v>210</v>
      </c>
      <c r="Z52" s="1492" t="s">
        <v>1547</v>
      </c>
      <c r="AB52" s="1461"/>
      <c r="AC52" s="1461"/>
      <c r="AD52" s="1481" t="s">
        <v>1532</v>
      </c>
      <c r="AE52" s="1572" t="s">
        <v>1650</v>
      </c>
      <c r="AF52" s="1504"/>
      <c r="AG52" s="1504"/>
      <c r="AH52" s="1570">
        <f t="shared" ref="AH52:AM52" si="16">+AH51/5</f>
        <v>58.041331249999999</v>
      </c>
      <c r="AI52" s="1570">
        <f t="shared" si="16"/>
        <v>49.541331249999999</v>
      </c>
      <c r="AJ52" s="1570">
        <f t="shared" si="16"/>
        <v>57.991331250000009</v>
      </c>
      <c r="AK52" s="1570">
        <f t="shared" si="16"/>
        <v>86.041331249999999</v>
      </c>
      <c r="AL52" s="1570">
        <f t="shared" si="16"/>
        <v>45.041331249999999</v>
      </c>
      <c r="AM52" s="1570">
        <f t="shared" si="16"/>
        <v>44.541331249999999</v>
      </c>
      <c r="AN52" s="1560">
        <f>AVERAGE(AH52:AM52)</f>
        <v>56.866331249999995</v>
      </c>
      <c r="AO52" s="1571" t="s">
        <v>1643</v>
      </c>
      <c r="BD52" s="1500" t="s">
        <v>1619</v>
      </c>
      <c r="BE52" s="1488">
        <f t="shared" si="11"/>
        <v>0</v>
      </c>
      <c r="BF52" s="1562" t="s">
        <v>965</v>
      </c>
    </row>
    <row r="53" spans="1:58" ht="13.5" thickBot="1">
      <c r="A53" s="1487" t="s">
        <v>1651</v>
      </c>
      <c r="B53" s="1482" t="s">
        <v>1569</v>
      </c>
      <c r="C53" s="1488">
        <f>+Y53*1.02</f>
        <v>2.1420000000000003</v>
      </c>
      <c r="D53" s="1482" t="s">
        <v>965</v>
      </c>
      <c r="E53" s="1472" t="s">
        <v>1569</v>
      </c>
      <c r="F53" s="1473"/>
      <c r="G53" s="1474"/>
      <c r="H53" s="1475" t="s">
        <v>1569</v>
      </c>
      <c r="I53" s="1476"/>
      <c r="J53" s="1475" t="s">
        <v>965</v>
      </c>
      <c r="K53" s="1477"/>
      <c r="L53" s="1472" t="s">
        <v>1569</v>
      </c>
      <c r="M53" s="1473"/>
      <c r="N53" s="1474"/>
      <c r="O53" s="1472" t="s">
        <v>1569</v>
      </c>
      <c r="P53" s="1573">
        <v>3</v>
      </c>
      <c r="Q53" s="1556" t="s">
        <v>1652</v>
      </c>
      <c r="S53" s="1476">
        <v>2</v>
      </c>
      <c r="T53" s="1478" t="e">
        <f t="shared" si="1"/>
        <v>#DIV/0!</v>
      </c>
      <c r="U53" s="1478">
        <f t="shared" si="0"/>
        <v>2</v>
      </c>
      <c r="W53" s="1467">
        <v>2</v>
      </c>
      <c r="X53" s="1491">
        <f t="shared" si="9"/>
        <v>2.1</v>
      </c>
      <c r="Y53" s="1491">
        <v>2.1</v>
      </c>
      <c r="Z53" s="1480" t="s">
        <v>1653</v>
      </c>
      <c r="AB53" s="1461"/>
      <c r="AC53" s="1461"/>
      <c r="AD53" s="1481" t="s">
        <v>1532</v>
      </c>
      <c r="AE53" s="1535"/>
      <c r="AF53" s="1536"/>
      <c r="AG53" s="1536"/>
      <c r="AH53" s="1536">
        <v>8854123</v>
      </c>
      <c r="AI53" s="1574" t="s">
        <v>1654</v>
      </c>
      <c r="AJ53" s="1575" t="s">
        <v>1655</v>
      </c>
      <c r="AK53" s="1576" t="s">
        <v>1656</v>
      </c>
      <c r="AL53" s="1576" t="s">
        <v>1657</v>
      </c>
      <c r="AM53" s="1577" t="s">
        <v>1658</v>
      </c>
      <c r="AN53" s="1541"/>
      <c r="BD53" s="1482" t="s">
        <v>1569</v>
      </c>
      <c r="BE53" s="1488">
        <f>+CA53*1.02</f>
        <v>0</v>
      </c>
      <c r="BF53" s="1482" t="s">
        <v>965</v>
      </c>
    </row>
    <row r="54" spans="1:58">
      <c r="A54" s="1499" t="s">
        <v>1659</v>
      </c>
      <c r="B54" s="1524" t="s">
        <v>619</v>
      </c>
      <c r="C54" s="1488">
        <f>+Y54*1.02</f>
        <v>59.772000000000006</v>
      </c>
      <c r="D54" s="1500" t="s">
        <v>965</v>
      </c>
      <c r="E54" s="1578" t="s">
        <v>619</v>
      </c>
      <c r="F54" s="1519"/>
      <c r="G54" s="1520" t="s">
        <v>1660</v>
      </c>
      <c r="H54" s="1524" t="s">
        <v>619</v>
      </c>
      <c r="I54" s="1579"/>
      <c r="J54" s="1500" t="s">
        <v>965</v>
      </c>
      <c r="K54" s="1499"/>
      <c r="L54" s="1578" t="s">
        <v>619</v>
      </c>
      <c r="M54" s="1519"/>
      <c r="N54" s="1520"/>
      <c r="O54" s="1578" t="s">
        <v>619</v>
      </c>
      <c r="P54" s="1519"/>
      <c r="Q54" s="1520"/>
      <c r="S54" s="1579">
        <v>50</v>
      </c>
      <c r="T54" s="1478" t="e">
        <f t="shared" si="1"/>
        <v>#DIV/0!</v>
      </c>
      <c r="U54" s="1478">
        <f t="shared" si="0"/>
        <v>50</v>
      </c>
      <c r="W54" s="1467">
        <v>50</v>
      </c>
      <c r="X54" s="1491">
        <f>+S54*1.172</f>
        <v>58.599999999999994</v>
      </c>
      <c r="Y54" s="1491">
        <v>58.6</v>
      </c>
      <c r="Z54" s="1480" t="s">
        <v>1653</v>
      </c>
      <c r="AB54" s="1461" t="s">
        <v>1661</v>
      </c>
      <c r="AC54" s="1461"/>
      <c r="AD54" s="1481" t="s">
        <v>1532</v>
      </c>
      <c r="AE54" s="1504"/>
      <c r="AF54" s="1580" t="s">
        <v>1662</v>
      </c>
      <c r="AG54" s="191" t="s">
        <v>1663</v>
      </c>
      <c r="AI54" s="1504"/>
      <c r="BD54" s="1524" t="s">
        <v>619</v>
      </c>
      <c r="BE54" s="1488">
        <f>+CA54*1.02</f>
        <v>0</v>
      </c>
      <c r="BF54" s="1500" t="s">
        <v>965</v>
      </c>
    </row>
    <row r="55" spans="1:58">
      <c r="A55" s="1499" t="s">
        <v>1664</v>
      </c>
      <c r="B55" s="1524" t="s">
        <v>619</v>
      </c>
      <c r="C55" s="1488">
        <f>+Y55*1.02</f>
        <v>298.86</v>
      </c>
      <c r="D55" s="1500" t="s">
        <v>965</v>
      </c>
      <c r="E55" s="1525" t="s">
        <v>619</v>
      </c>
      <c r="F55" s="1489"/>
      <c r="G55" s="1520" t="s">
        <v>1660</v>
      </c>
      <c r="H55" s="1527" t="s">
        <v>619</v>
      </c>
      <c r="J55" s="1502" t="s">
        <v>965</v>
      </c>
      <c r="K55" s="1528"/>
      <c r="L55" s="1525" t="s">
        <v>619</v>
      </c>
      <c r="N55" s="1581"/>
      <c r="O55" s="1525" t="s">
        <v>619</v>
      </c>
      <c r="Q55" s="1581"/>
      <c r="S55" s="1490">
        <v>250</v>
      </c>
      <c r="T55" s="1478" t="e">
        <f t="shared" si="1"/>
        <v>#DIV/0!</v>
      </c>
      <c r="U55" s="1478">
        <f t="shared" si="0"/>
        <v>250</v>
      </c>
      <c r="W55" s="1467">
        <v>250</v>
      </c>
      <c r="X55" s="1491">
        <f>+S55*1.172</f>
        <v>293</v>
      </c>
      <c r="Y55" s="1491">
        <v>293</v>
      </c>
      <c r="Z55" s="1480" t="s">
        <v>1653</v>
      </c>
      <c r="AB55" s="1461" t="s">
        <v>1661</v>
      </c>
      <c r="AC55" s="1461"/>
      <c r="AD55" s="1481" t="s">
        <v>1532</v>
      </c>
      <c r="AF55" s="1580" t="s">
        <v>1665</v>
      </c>
      <c r="AG55" s="191" t="s">
        <v>1666</v>
      </c>
      <c r="AO55" s="1504"/>
      <c r="AP55" s="1504"/>
      <c r="BD55" s="1524" t="s">
        <v>619</v>
      </c>
      <c r="BE55" s="1488">
        <f>+CA55*1.02</f>
        <v>0</v>
      </c>
      <c r="BF55" s="1500" t="s">
        <v>965</v>
      </c>
    </row>
    <row r="56" spans="1:58">
      <c r="A56" s="1499" t="s">
        <v>1667</v>
      </c>
      <c r="B56" s="1524" t="s">
        <v>619</v>
      </c>
      <c r="C56" s="1488">
        <f>+Y56*1.02</f>
        <v>573.81119999999999</v>
      </c>
      <c r="D56" s="1500" t="s">
        <v>965</v>
      </c>
      <c r="E56" s="1525" t="s">
        <v>619</v>
      </c>
      <c r="F56" s="1489"/>
      <c r="G56" s="1520" t="s">
        <v>1660</v>
      </c>
      <c r="H56" s="1527" t="s">
        <v>619</v>
      </c>
      <c r="J56" s="1502" t="s">
        <v>965</v>
      </c>
      <c r="K56" s="1528"/>
      <c r="L56" s="1525" t="s">
        <v>619</v>
      </c>
      <c r="N56" s="1581"/>
      <c r="O56" s="1525" t="s">
        <v>619</v>
      </c>
      <c r="Q56" s="1581"/>
      <c r="S56" s="1490">
        <v>480</v>
      </c>
      <c r="T56" s="1478" t="e">
        <f t="shared" si="1"/>
        <v>#DIV/0!</v>
      </c>
      <c r="U56" s="1478">
        <f t="shared" si="0"/>
        <v>480</v>
      </c>
      <c r="W56" s="1467">
        <v>480</v>
      </c>
      <c r="X56" s="1491">
        <f>+S56*1.172</f>
        <v>562.55999999999995</v>
      </c>
      <c r="Y56" s="1491">
        <v>562.55999999999995</v>
      </c>
      <c r="Z56" s="1480" t="s">
        <v>1653</v>
      </c>
      <c r="AB56" s="1461" t="s">
        <v>1661</v>
      </c>
      <c r="AC56" s="1461"/>
      <c r="AD56" s="1481" t="s">
        <v>1532</v>
      </c>
      <c r="AF56" s="1580" t="s">
        <v>1668</v>
      </c>
      <c r="AG56" s="191" t="s">
        <v>1666</v>
      </c>
      <c r="BD56" s="1524" t="s">
        <v>619</v>
      </c>
      <c r="BE56" s="1488">
        <f>+CA56*1.02</f>
        <v>0</v>
      </c>
      <c r="BF56" s="1500" t="s">
        <v>965</v>
      </c>
    </row>
    <row r="57" spans="1:58">
      <c r="A57" s="1487" t="s">
        <v>1669</v>
      </c>
      <c r="B57" s="1482" t="s">
        <v>619</v>
      </c>
      <c r="C57" s="1488">
        <f>+Y57*1.02</f>
        <v>872.6712</v>
      </c>
      <c r="D57" s="1482" t="s">
        <v>965</v>
      </c>
      <c r="E57" s="1472" t="s">
        <v>619</v>
      </c>
      <c r="F57" s="1489"/>
      <c r="G57" s="1520" t="s">
        <v>1660</v>
      </c>
      <c r="H57" s="1475" t="s">
        <v>619</v>
      </c>
      <c r="J57" s="1475" t="s">
        <v>965</v>
      </c>
      <c r="K57" s="1477"/>
      <c r="L57" s="1472" t="s">
        <v>619</v>
      </c>
      <c r="N57" s="1581"/>
      <c r="O57" s="1472" t="s">
        <v>619</v>
      </c>
      <c r="Q57" s="1581"/>
      <c r="S57" s="1490">
        <v>730</v>
      </c>
      <c r="T57" s="1478" t="e">
        <f t="shared" si="1"/>
        <v>#DIV/0!</v>
      </c>
      <c r="U57" s="1478">
        <f t="shared" si="0"/>
        <v>730</v>
      </c>
      <c r="W57" s="1467">
        <v>730</v>
      </c>
      <c r="X57" s="1491">
        <f>+S57*1.172</f>
        <v>855.56</v>
      </c>
      <c r="Y57" s="1491">
        <v>855.56</v>
      </c>
      <c r="Z57" s="1480" t="s">
        <v>1653</v>
      </c>
      <c r="AB57" s="1461" t="s">
        <v>1661</v>
      </c>
      <c r="AC57" s="1461"/>
      <c r="AD57" s="1481" t="s">
        <v>1532</v>
      </c>
      <c r="BD57" s="1482" t="s">
        <v>619</v>
      </c>
      <c r="BE57" s="1488">
        <f>+CA57*1.02</f>
        <v>0</v>
      </c>
      <c r="BF57" s="1482" t="s">
        <v>965</v>
      </c>
    </row>
    <row r="58" spans="1:58">
      <c r="A58" s="1499" t="s">
        <v>1670</v>
      </c>
      <c r="B58" s="1524" t="s">
        <v>1569</v>
      </c>
      <c r="C58" s="1488">
        <f>+Y58*1.07</f>
        <v>11.235000000000001</v>
      </c>
      <c r="D58" s="1500" t="s">
        <v>965</v>
      </c>
      <c r="E58" s="1578" t="s">
        <v>1569</v>
      </c>
      <c r="F58" s="1519"/>
      <c r="G58" s="1520"/>
      <c r="H58" s="1524" t="s">
        <v>1569</v>
      </c>
      <c r="I58" s="1579">
        <v>17.5</v>
      </c>
      <c r="J58" s="1500" t="s">
        <v>965</v>
      </c>
      <c r="K58" s="1499" t="s">
        <v>1671</v>
      </c>
      <c r="L58" s="1578" t="s">
        <v>1569</v>
      </c>
      <c r="M58" s="1519"/>
      <c r="N58" s="1520"/>
      <c r="O58" s="1578" t="s">
        <v>1569</v>
      </c>
      <c r="P58" s="1519"/>
      <c r="Q58" s="1520"/>
      <c r="S58" s="1579">
        <v>10</v>
      </c>
      <c r="T58" s="1478">
        <f t="shared" si="1"/>
        <v>17.5</v>
      </c>
      <c r="U58" s="1478">
        <f t="shared" si="0"/>
        <v>13.75</v>
      </c>
      <c r="W58" s="1467">
        <v>10</v>
      </c>
      <c r="X58" s="1491">
        <f t="shared" si="9"/>
        <v>10.5</v>
      </c>
      <c r="Y58" s="1491">
        <v>10.5</v>
      </c>
      <c r="Z58" s="1492" t="s">
        <v>1547</v>
      </c>
      <c r="AB58" s="1461"/>
      <c r="AC58" s="1461"/>
      <c r="AD58" s="1481" t="s">
        <v>1532</v>
      </c>
      <c r="BD58" s="1524" t="s">
        <v>1569</v>
      </c>
      <c r="BE58" s="1488">
        <f>+CA58*1.07</f>
        <v>0</v>
      </c>
      <c r="BF58" s="1500" t="s">
        <v>965</v>
      </c>
    </row>
    <row r="59" spans="1:58">
      <c r="A59" s="1499" t="s">
        <v>1672</v>
      </c>
      <c r="B59" s="1524" t="s">
        <v>1569</v>
      </c>
      <c r="C59" s="1488">
        <f t="shared" ref="C59:C92" si="17">+Y59*1.07</f>
        <v>14.605500000000001</v>
      </c>
      <c r="D59" s="1500" t="s">
        <v>965</v>
      </c>
      <c r="E59" s="1578" t="s">
        <v>1569</v>
      </c>
      <c r="F59" s="1519">
        <v>10</v>
      </c>
      <c r="G59" s="1520"/>
      <c r="H59" s="1524" t="s">
        <v>1569</v>
      </c>
      <c r="I59" s="1579">
        <f>1.75*12</f>
        <v>21</v>
      </c>
      <c r="J59" s="1500" t="s">
        <v>965</v>
      </c>
      <c r="K59" s="1499" t="s">
        <v>1671</v>
      </c>
      <c r="L59" s="1578" t="s">
        <v>1569</v>
      </c>
      <c r="M59" s="1519"/>
      <c r="N59" s="1520"/>
      <c r="O59" s="1578" t="s">
        <v>1569</v>
      </c>
      <c r="P59" s="1519"/>
      <c r="Q59" s="1520"/>
      <c r="S59" s="1579">
        <v>13</v>
      </c>
      <c r="T59" s="1478">
        <f t="shared" si="1"/>
        <v>15.5</v>
      </c>
      <c r="U59" s="1478">
        <f t="shared" si="0"/>
        <v>14.666666666666666</v>
      </c>
      <c r="W59" s="1467">
        <v>13</v>
      </c>
      <c r="X59" s="1491">
        <f t="shared" si="9"/>
        <v>13.65</v>
      </c>
      <c r="Y59" s="1491">
        <v>13.65</v>
      </c>
      <c r="Z59" s="1492" t="s">
        <v>1547</v>
      </c>
      <c r="AB59" s="1461"/>
      <c r="AC59" s="1461"/>
      <c r="AD59" s="1481" t="s">
        <v>1532</v>
      </c>
      <c r="BD59" s="1524" t="s">
        <v>1569</v>
      </c>
      <c r="BE59" s="1488">
        <f t="shared" ref="BE59:BE92" si="18">+CA59*1.07</f>
        <v>0</v>
      </c>
      <c r="BF59" s="1500" t="s">
        <v>965</v>
      </c>
    </row>
    <row r="60" spans="1:58" ht="13.5" thickBot="1">
      <c r="A60" s="1499" t="s">
        <v>1673</v>
      </c>
      <c r="B60" s="1524" t="s">
        <v>1569</v>
      </c>
      <c r="C60" s="1488">
        <f t="shared" si="17"/>
        <v>19.324200000000001</v>
      </c>
      <c r="D60" s="1500" t="s">
        <v>965</v>
      </c>
      <c r="E60" s="1578" t="s">
        <v>1569</v>
      </c>
      <c r="F60" s="1519"/>
      <c r="G60" s="1520"/>
      <c r="H60" s="1524" t="s">
        <v>1569</v>
      </c>
      <c r="I60" s="1579">
        <f>1.75*15</f>
        <v>26.25</v>
      </c>
      <c r="J60" s="1500" t="s">
        <v>965</v>
      </c>
      <c r="K60" s="1499" t="s">
        <v>1671</v>
      </c>
      <c r="L60" s="1578" t="s">
        <v>1569</v>
      </c>
      <c r="M60" s="1519"/>
      <c r="N60" s="1520"/>
      <c r="O60" s="1578" t="s">
        <v>1569</v>
      </c>
      <c r="P60" s="1519"/>
      <c r="Q60" s="1520"/>
      <c r="S60" s="1579">
        <v>17.2</v>
      </c>
      <c r="T60" s="1478">
        <f t="shared" si="1"/>
        <v>26.25</v>
      </c>
      <c r="U60" s="1478">
        <f t="shared" si="0"/>
        <v>21.725000000000001</v>
      </c>
      <c r="W60" s="1467">
        <v>17.2</v>
      </c>
      <c r="X60" s="1491">
        <f t="shared" si="9"/>
        <v>18.059999999999999</v>
      </c>
      <c r="Y60" s="1491">
        <v>18.059999999999999</v>
      </c>
      <c r="Z60" s="1492" t="s">
        <v>1547</v>
      </c>
      <c r="AB60" s="1461"/>
      <c r="AC60" s="1461"/>
      <c r="AD60" s="1481" t="s">
        <v>1532</v>
      </c>
      <c r="AE60" s="1536"/>
      <c r="AI60" s="1582" t="s">
        <v>1674</v>
      </c>
      <c r="BD60" s="1524" t="s">
        <v>1569</v>
      </c>
      <c r="BE60" s="1488">
        <f t="shared" si="18"/>
        <v>0</v>
      </c>
      <c r="BF60" s="1500" t="s">
        <v>965</v>
      </c>
    </row>
    <row r="61" spans="1:58">
      <c r="A61" s="1499" t="s">
        <v>1675</v>
      </c>
      <c r="B61" s="1524" t="s">
        <v>1569</v>
      </c>
      <c r="C61" s="1488">
        <f t="shared" si="17"/>
        <v>23.3688</v>
      </c>
      <c r="D61" s="1500" t="s">
        <v>965</v>
      </c>
      <c r="E61" s="1578" t="s">
        <v>1569</v>
      </c>
      <c r="F61" s="1519">
        <v>16.5</v>
      </c>
      <c r="G61" s="1520"/>
      <c r="H61" s="1524" t="s">
        <v>1569</v>
      </c>
      <c r="I61" s="1579">
        <f>1.75*18</f>
        <v>31.5</v>
      </c>
      <c r="J61" s="1500" t="s">
        <v>965</v>
      </c>
      <c r="K61" s="1499" t="s">
        <v>1671</v>
      </c>
      <c r="L61" s="1578" t="s">
        <v>1569</v>
      </c>
      <c r="M61" s="1519"/>
      <c r="N61" s="1520"/>
      <c r="O61" s="1578" t="s">
        <v>1569</v>
      </c>
      <c r="P61" s="1519"/>
      <c r="Q61" s="1520"/>
      <c r="S61" s="1579">
        <v>20.8</v>
      </c>
      <c r="T61" s="1478">
        <f t="shared" si="1"/>
        <v>24</v>
      </c>
      <c r="U61" s="1478">
        <f t="shared" si="0"/>
        <v>22.933333333333334</v>
      </c>
      <c r="W61" s="1467">
        <v>20.8</v>
      </c>
      <c r="X61" s="1491">
        <f t="shared" si="9"/>
        <v>21.840000000000003</v>
      </c>
      <c r="Y61" s="1491">
        <v>21.84</v>
      </c>
      <c r="Z61" s="1492" t="s">
        <v>1547</v>
      </c>
      <c r="AB61" s="1461"/>
      <c r="AC61" s="1461"/>
      <c r="AD61" s="1481" t="s">
        <v>1532</v>
      </c>
      <c r="AE61" s="1503"/>
      <c r="AF61" s="1494"/>
      <c r="AG61" s="1494"/>
      <c r="AH61" s="1494"/>
      <c r="AI61" s="1494"/>
      <c r="AJ61" s="1937" t="s">
        <v>1676</v>
      </c>
      <c r="AK61" s="1494"/>
      <c r="AL61" s="1494"/>
      <c r="AM61" s="1557"/>
      <c r="AO61" s="1494"/>
      <c r="AP61" s="1494"/>
      <c r="AQ61" s="1494"/>
      <c r="AR61" s="1494"/>
      <c r="AS61" s="1937" t="s">
        <v>1677</v>
      </c>
      <c r="AT61" s="1494"/>
      <c r="AU61" s="1494"/>
      <c r="AV61" s="1557"/>
      <c r="BD61" s="1524" t="s">
        <v>1569</v>
      </c>
      <c r="BE61" s="1488">
        <f t="shared" si="18"/>
        <v>0</v>
      </c>
      <c r="BF61" s="1500" t="s">
        <v>965</v>
      </c>
    </row>
    <row r="62" spans="1:58">
      <c r="A62" s="1499" t="s">
        <v>1678</v>
      </c>
      <c r="B62" s="1524" t="s">
        <v>1569</v>
      </c>
      <c r="C62" s="1488">
        <f t="shared" si="17"/>
        <v>26.964000000000002</v>
      </c>
      <c r="D62" s="1500" t="s">
        <v>965</v>
      </c>
      <c r="E62" s="1578" t="s">
        <v>1569</v>
      </c>
      <c r="F62" s="1519">
        <v>23</v>
      </c>
      <c r="G62" s="1520"/>
      <c r="H62" s="1524" t="s">
        <v>1569</v>
      </c>
      <c r="I62" s="1579">
        <f>1.75*24</f>
        <v>42</v>
      </c>
      <c r="J62" s="1500" t="s">
        <v>965</v>
      </c>
      <c r="K62" s="1499" t="s">
        <v>1671</v>
      </c>
      <c r="L62" s="1578" t="s">
        <v>1569</v>
      </c>
      <c r="M62" s="1519"/>
      <c r="N62" s="1520"/>
      <c r="O62" s="1578" t="s">
        <v>1569</v>
      </c>
      <c r="P62" s="1519"/>
      <c r="Q62" s="1520"/>
      <c r="S62" s="1579">
        <v>24</v>
      </c>
      <c r="T62" s="1478">
        <f t="shared" si="1"/>
        <v>32.5</v>
      </c>
      <c r="U62" s="1478">
        <f t="shared" si="0"/>
        <v>29.666666666666668</v>
      </c>
      <c r="W62" s="1467">
        <v>24</v>
      </c>
      <c r="X62" s="1491">
        <f t="shared" si="9"/>
        <v>25.200000000000003</v>
      </c>
      <c r="Y62" s="1491">
        <v>25.2</v>
      </c>
      <c r="Z62" s="1492" t="s">
        <v>1547</v>
      </c>
      <c r="AB62" s="1461"/>
      <c r="AC62" s="1461"/>
      <c r="AD62" s="1481" t="s">
        <v>1532</v>
      </c>
      <c r="AE62" s="1503"/>
      <c r="AF62" s="1504"/>
      <c r="AG62" s="1504"/>
      <c r="AH62" s="1504"/>
      <c r="AI62" s="1504"/>
      <c r="AJ62" s="1934"/>
      <c r="AK62" s="1504"/>
      <c r="AL62" s="1504"/>
      <c r="AM62" s="1530"/>
      <c r="AO62" s="1504"/>
      <c r="AP62" s="1504"/>
      <c r="AQ62" s="1504"/>
      <c r="AR62" s="1504"/>
      <c r="AS62" s="1934"/>
      <c r="AT62" s="1504"/>
      <c r="AU62" s="1504"/>
      <c r="AV62" s="1530"/>
      <c r="BD62" s="1524" t="s">
        <v>1569</v>
      </c>
      <c r="BE62" s="1488">
        <f t="shared" si="18"/>
        <v>0</v>
      </c>
      <c r="BF62" s="1500" t="s">
        <v>965</v>
      </c>
    </row>
    <row r="63" spans="1:58">
      <c r="A63" s="1499" t="s">
        <v>1679</v>
      </c>
      <c r="B63" s="1524" t="s">
        <v>1569</v>
      </c>
      <c r="C63" s="1488">
        <f t="shared" si="17"/>
        <v>40.10895</v>
      </c>
      <c r="D63" s="1500" t="s">
        <v>965</v>
      </c>
      <c r="E63" s="1578" t="s">
        <v>1569</v>
      </c>
      <c r="F63" s="1519">
        <v>39</v>
      </c>
      <c r="G63" s="1520"/>
      <c r="H63" s="1524" t="s">
        <v>1569</v>
      </c>
      <c r="I63" s="1579">
        <f>1.75*30</f>
        <v>52.5</v>
      </c>
      <c r="J63" s="1500" t="s">
        <v>965</v>
      </c>
      <c r="K63" s="1499" t="s">
        <v>1671</v>
      </c>
      <c r="L63" s="1578" t="s">
        <v>1569</v>
      </c>
      <c r="M63" s="1519"/>
      <c r="N63" s="1520"/>
      <c r="O63" s="1578" t="s">
        <v>1569</v>
      </c>
      <c r="P63" s="1519"/>
      <c r="Q63" s="1520"/>
      <c r="S63" s="1579">
        <v>35.700000000000003</v>
      </c>
      <c r="T63" s="1478">
        <f t="shared" si="1"/>
        <v>45.75</v>
      </c>
      <c r="U63" s="1478">
        <f t="shared" si="0"/>
        <v>42.4</v>
      </c>
      <c r="W63" s="1467">
        <v>35.700000000000003</v>
      </c>
      <c r="X63" s="1491">
        <f t="shared" si="9"/>
        <v>37.485000000000007</v>
      </c>
      <c r="Y63" s="1491">
        <v>37.484999999999999</v>
      </c>
      <c r="Z63" s="1492" t="s">
        <v>1547</v>
      </c>
      <c r="AB63" s="1461"/>
      <c r="AC63" s="1461"/>
      <c r="AD63" s="1481" t="s">
        <v>1532</v>
      </c>
      <c r="AE63" s="1503"/>
      <c r="AF63" s="1504"/>
      <c r="AG63" s="1504"/>
      <c r="AH63" s="1504"/>
      <c r="AI63" s="1504"/>
      <c r="AJ63" s="1934"/>
      <c r="AK63" s="1504"/>
      <c r="AL63" s="1504"/>
      <c r="AM63" s="1530"/>
      <c r="AO63" s="1504"/>
      <c r="AP63" s="1504"/>
      <c r="AQ63" s="1504"/>
      <c r="AR63" s="1504"/>
      <c r="AS63" s="1934"/>
      <c r="AT63" s="1504"/>
      <c r="AU63" s="1504"/>
      <c r="AV63" s="1530"/>
      <c r="BD63" s="1524" t="s">
        <v>1569</v>
      </c>
      <c r="BE63" s="1488">
        <f t="shared" si="18"/>
        <v>0</v>
      </c>
      <c r="BF63" s="1500" t="s">
        <v>965</v>
      </c>
    </row>
    <row r="64" spans="1:58">
      <c r="A64" s="1499" t="s">
        <v>1680</v>
      </c>
      <c r="B64" s="1524" t="s">
        <v>1569</v>
      </c>
      <c r="C64" s="1488">
        <f t="shared" si="17"/>
        <v>42.131250000000001</v>
      </c>
      <c r="D64" s="1500" t="s">
        <v>965</v>
      </c>
      <c r="E64" s="1578" t="s">
        <v>1569</v>
      </c>
      <c r="F64" s="1519">
        <v>43</v>
      </c>
      <c r="G64" s="1520"/>
      <c r="H64" s="1524" t="s">
        <v>1569</v>
      </c>
      <c r="I64" s="1579">
        <f>1.75*36</f>
        <v>63</v>
      </c>
      <c r="J64" s="1500" t="s">
        <v>965</v>
      </c>
      <c r="K64" s="1499" t="s">
        <v>1671</v>
      </c>
      <c r="L64" s="1578" t="s">
        <v>1569</v>
      </c>
      <c r="M64" s="1519"/>
      <c r="N64" s="1520"/>
      <c r="O64" s="1578" t="s">
        <v>1569</v>
      </c>
      <c r="P64" s="1519"/>
      <c r="Q64" s="1520"/>
      <c r="S64" s="1579">
        <v>37.5</v>
      </c>
      <c r="T64" s="1478">
        <f t="shared" si="1"/>
        <v>53</v>
      </c>
      <c r="U64" s="1478">
        <f t="shared" si="0"/>
        <v>47.833333333333336</v>
      </c>
      <c r="W64" s="1467">
        <v>37.5</v>
      </c>
      <c r="X64" s="1491">
        <f t="shared" si="9"/>
        <v>39.375</v>
      </c>
      <c r="Y64" s="1491">
        <v>39.375</v>
      </c>
      <c r="Z64" s="1492" t="s">
        <v>1547</v>
      </c>
      <c r="AB64" s="1461"/>
      <c r="AC64" s="1461"/>
      <c r="AD64" s="1481" t="s">
        <v>1532</v>
      </c>
      <c r="AE64" s="1503"/>
      <c r="AF64" s="1504"/>
      <c r="AG64" s="1504"/>
      <c r="AH64" s="1504"/>
      <c r="AI64" s="1504"/>
      <c r="AJ64" s="1934"/>
      <c r="AK64" s="1504"/>
      <c r="AL64" s="1504"/>
      <c r="AM64" s="1530"/>
      <c r="AO64" s="1504"/>
      <c r="AP64" s="1504"/>
      <c r="AQ64" s="1504"/>
      <c r="AR64" s="1504"/>
      <c r="AS64" s="1934"/>
      <c r="AT64" s="1504"/>
      <c r="AU64" s="1504"/>
      <c r="AV64" s="1530"/>
      <c r="BD64" s="1524" t="s">
        <v>1569</v>
      </c>
      <c r="BE64" s="1488">
        <f t="shared" si="18"/>
        <v>0</v>
      </c>
      <c r="BF64" s="1500" t="s">
        <v>965</v>
      </c>
    </row>
    <row r="65" spans="1:58">
      <c r="A65" s="1499" t="s">
        <v>1681</v>
      </c>
      <c r="B65" s="1500" t="s">
        <v>1569</v>
      </c>
      <c r="C65" s="1488">
        <f t="shared" si="17"/>
        <v>4.7187000000000001</v>
      </c>
      <c r="D65" s="1500" t="s">
        <v>965</v>
      </c>
      <c r="E65" s="1518" t="s">
        <v>1569</v>
      </c>
      <c r="F65" s="1519"/>
      <c r="G65" s="1520"/>
      <c r="H65" s="1500" t="s">
        <v>1569</v>
      </c>
      <c r="I65" s="1579"/>
      <c r="J65" s="1500" t="s">
        <v>965</v>
      </c>
      <c r="K65" s="1499"/>
      <c r="L65" s="1518" t="s">
        <v>1569</v>
      </c>
      <c r="M65" s="1519"/>
      <c r="N65" s="1520"/>
      <c r="O65" s="1518" t="s">
        <v>1569</v>
      </c>
      <c r="P65" s="1519"/>
      <c r="Q65" s="1520"/>
      <c r="S65" s="1579">
        <v>4.2</v>
      </c>
      <c r="T65" s="1478" t="e">
        <f t="shared" si="1"/>
        <v>#DIV/0!</v>
      </c>
      <c r="U65" s="1478">
        <f t="shared" si="0"/>
        <v>4.2</v>
      </c>
      <c r="W65" s="1467">
        <v>4.2</v>
      </c>
      <c r="X65" s="1491">
        <f t="shared" si="9"/>
        <v>4.41</v>
      </c>
      <c r="Y65" s="1491">
        <v>4.41</v>
      </c>
      <c r="Z65" s="1492" t="s">
        <v>1547</v>
      </c>
      <c r="AB65" s="1461"/>
      <c r="AC65" s="1461"/>
      <c r="AD65" s="1481" t="s">
        <v>1532</v>
      </c>
      <c r="AE65" s="1503"/>
      <c r="AF65" s="1506" t="s">
        <v>1682</v>
      </c>
      <c r="AG65" s="1506"/>
      <c r="AH65" s="1583" t="s">
        <v>1683</v>
      </c>
      <c r="AI65" s="1506" t="s">
        <v>46</v>
      </c>
      <c r="AJ65" s="1934"/>
      <c r="AK65" s="1506" t="s">
        <v>46</v>
      </c>
      <c r="AL65" s="1583" t="s">
        <v>1684</v>
      </c>
      <c r="AM65" s="1584" t="s">
        <v>46</v>
      </c>
      <c r="AO65" s="1506" t="s">
        <v>1682</v>
      </c>
      <c r="AP65" s="1506"/>
      <c r="AQ65" s="1583" t="s">
        <v>1683</v>
      </c>
      <c r="AR65" s="1506" t="s">
        <v>46</v>
      </c>
      <c r="AS65" s="1934"/>
      <c r="AT65" s="1506" t="s">
        <v>46</v>
      </c>
      <c r="AU65" s="1583" t="s">
        <v>1684</v>
      </c>
      <c r="AV65" s="1584" t="s">
        <v>46</v>
      </c>
      <c r="BD65" s="1500" t="s">
        <v>1569</v>
      </c>
      <c r="BE65" s="1488">
        <f t="shared" si="18"/>
        <v>0</v>
      </c>
      <c r="BF65" s="1500" t="s">
        <v>965</v>
      </c>
    </row>
    <row r="66" spans="1:58">
      <c r="A66" s="1499" t="s">
        <v>1685</v>
      </c>
      <c r="B66" s="1500" t="s">
        <v>1569</v>
      </c>
      <c r="C66" s="1488">
        <f t="shared" si="17"/>
        <v>8.5386000000000006</v>
      </c>
      <c r="D66" s="1500" t="s">
        <v>965</v>
      </c>
      <c r="E66" s="1518" t="s">
        <v>1569</v>
      </c>
      <c r="F66" s="1519"/>
      <c r="G66" s="1520"/>
      <c r="H66" s="1500" t="s">
        <v>1569</v>
      </c>
      <c r="I66" s="1579"/>
      <c r="J66" s="1500" t="s">
        <v>965</v>
      </c>
      <c r="K66" s="1499"/>
      <c r="L66" s="1518" t="s">
        <v>1569</v>
      </c>
      <c r="M66" s="1519"/>
      <c r="N66" s="1520"/>
      <c r="O66" s="1518" t="s">
        <v>1569</v>
      </c>
      <c r="P66" s="1519"/>
      <c r="Q66" s="1520"/>
      <c r="S66" s="1579">
        <v>7.6</v>
      </c>
      <c r="T66" s="1478" t="e">
        <f t="shared" si="1"/>
        <v>#DIV/0!</v>
      </c>
      <c r="U66" s="1478">
        <f t="shared" si="0"/>
        <v>7.6</v>
      </c>
      <c r="W66" s="1467">
        <v>7.6</v>
      </c>
      <c r="X66" s="1491">
        <f t="shared" si="9"/>
        <v>7.9799999999999995</v>
      </c>
      <c r="Y66" s="1491">
        <v>7.98</v>
      </c>
      <c r="Z66" s="1492" t="s">
        <v>1547</v>
      </c>
      <c r="AB66" s="1461"/>
      <c r="AC66" s="1461"/>
      <c r="AD66" s="1481" t="s">
        <v>1532</v>
      </c>
      <c r="AE66" s="1508"/>
      <c r="AF66" s="1529" t="s">
        <v>1626</v>
      </c>
      <c r="AG66" s="1504"/>
      <c r="AH66" s="1570">
        <f>+AS88</f>
        <v>52.750399999999999</v>
      </c>
      <c r="AI66" s="1504" t="s">
        <v>1686</v>
      </c>
      <c r="AJ66" s="1504">
        <v>27</v>
      </c>
      <c r="AK66" s="1504" t="s">
        <v>1687</v>
      </c>
      <c r="AL66" s="1570">
        <f>+AH66/128*AJ66</f>
        <v>11.1270375</v>
      </c>
      <c r="AM66" s="1530" t="s">
        <v>619</v>
      </c>
      <c r="AO66" s="1504" t="s">
        <v>1688</v>
      </c>
      <c r="AP66" s="1504"/>
      <c r="AQ66" s="1568">
        <v>31</v>
      </c>
      <c r="AR66" s="1504" t="s">
        <v>1686</v>
      </c>
      <c r="AS66" s="1504">
        <v>26</v>
      </c>
      <c r="AT66" s="1504" t="s">
        <v>1687</v>
      </c>
      <c r="AU66" s="1568">
        <f>+AQ66/128*AS66</f>
        <v>6.296875</v>
      </c>
      <c r="AV66" s="1530" t="s">
        <v>619</v>
      </c>
      <c r="BD66" s="1500" t="s">
        <v>1569</v>
      </c>
      <c r="BE66" s="1488">
        <f t="shared" si="18"/>
        <v>0</v>
      </c>
      <c r="BF66" s="1500" t="s">
        <v>965</v>
      </c>
    </row>
    <row r="67" spans="1:58">
      <c r="A67" s="1499" t="s">
        <v>1689</v>
      </c>
      <c r="B67" s="1500" t="s">
        <v>1569</v>
      </c>
      <c r="C67" s="1488">
        <f t="shared" si="17"/>
        <v>9.6621000000000006</v>
      </c>
      <c r="D67" s="1500" t="s">
        <v>965</v>
      </c>
      <c r="E67" s="1518" t="s">
        <v>1569</v>
      </c>
      <c r="F67" s="1519"/>
      <c r="G67" s="1520"/>
      <c r="H67" s="1500" t="s">
        <v>1569</v>
      </c>
      <c r="I67" s="1579"/>
      <c r="J67" s="1500" t="s">
        <v>965</v>
      </c>
      <c r="K67" s="1499"/>
      <c r="L67" s="1518" t="s">
        <v>1569</v>
      </c>
      <c r="M67" s="1519"/>
      <c r="N67" s="1520"/>
      <c r="O67" s="1518" t="s">
        <v>1569</v>
      </c>
      <c r="P67" s="1519"/>
      <c r="Q67" s="1520"/>
      <c r="S67" s="1579">
        <v>8.6</v>
      </c>
      <c r="T67" s="1478" t="e">
        <f t="shared" si="1"/>
        <v>#DIV/0!</v>
      </c>
      <c r="U67" s="1478">
        <f t="shared" si="0"/>
        <v>8.6</v>
      </c>
      <c r="W67" s="1467">
        <v>8.6</v>
      </c>
      <c r="X67" s="1491">
        <f t="shared" si="9"/>
        <v>9.0299999999999994</v>
      </c>
      <c r="Y67" s="1491">
        <v>9.0299999999999994</v>
      </c>
      <c r="Z67" s="1492" t="s">
        <v>1547</v>
      </c>
      <c r="AB67" s="1461"/>
      <c r="AC67" s="1461"/>
      <c r="AD67" s="1481" t="s">
        <v>1532</v>
      </c>
      <c r="AE67" s="1508"/>
      <c r="AF67" s="1529" t="s">
        <v>1630</v>
      </c>
      <c r="AG67" s="1504"/>
      <c r="AH67" s="1570">
        <f>+AP94</f>
        <v>215.64499999999998</v>
      </c>
      <c r="AI67" s="1504" t="s">
        <v>1686</v>
      </c>
      <c r="AJ67" s="1504">
        <v>16</v>
      </c>
      <c r="AK67" s="1504" t="s">
        <v>1687</v>
      </c>
      <c r="AL67" s="1570">
        <f>+AH67/128*AJ67</f>
        <v>26.955624999999998</v>
      </c>
      <c r="AM67" s="1530" t="s">
        <v>619</v>
      </c>
      <c r="AO67" s="1504" t="s">
        <v>1690</v>
      </c>
      <c r="AP67" s="1504"/>
      <c r="AQ67" s="1568">
        <v>125.06</v>
      </c>
      <c r="AR67" s="1504" t="s">
        <v>1686</v>
      </c>
      <c r="AS67" s="1504">
        <v>16</v>
      </c>
      <c r="AT67" s="1504" t="s">
        <v>1687</v>
      </c>
      <c r="AU67" s="1568">
        <f>+AQ67/128*AS67</f>
        <v>15.6325</v>
      </c>
      <c r="AV67" s="1530" t="s">
        <v>619</v>
      </c>
      <c r="BD67" s="1500" t="s">
        <v>1569</v>
      </c>
      <c r="BE67" s="1488">
        <f t="shared" si="18"/>
        <v>0</v>
      </c>
      <c r="BF67" s="1500" t="s">
        <v>965</v>
      </c>
    </row>
    <row r="68" spans="1:58">
      <c r="A68" s="1499" t="s">
        <v>1691</v>
      </c>
      <c r="B68" s="1500" t="s">
        <v>1569</v>
      </c>
      <c r="C68" s="1488">
        <f t="shared" si="17"/>
        <v>10.111499999999999</v>
      </c>
      <c r="D68" s="1500" t="s">
        <v>965</v>
      </c>
      <c r="E68" s="1518" t="s">
        <v>1569</v>
      </c>
      <c r="F68" s="1519"/>
      <c r="G68" s="1520"/>
      <c r="H68" s="1500" t="s">
        <v>1569</v>
      </c>
      <c r="I68" s="1579"/>
      <c r="J68" s="1500" t="s">
        <v>965</v>
      </c>
      <c r="K68" s="1499"/>
      <c r="L68" s="1518" t="s">
        <v>1569</v>
      </c>
      <c r="M68" s="1519"/>
      <c r="N68" s="1520"/>
      <c r="O68" s="1518" t="s">
        <v>1569</v>
      </c>
      <c r="P68" s="1519"/>
      <c r="Q68" s="1520"/>
      <c r="S68" s="1579">
        <v>9</v>
      </c>
      <c r="T68" s="1478" t="e">
        <f t="shared" si="1"/>
        <v>#DIV/0!</v>
      </c>
      <c r="U68" s="1478">
        <f t="shared" si="0"/>
        <v>9</v>
      </c>
      <c r="W68" s="1467">
        <v>9</v>
      </c>
      <c r="X68" s="1491">
        <f t="shared" si="9"/>
        <v>9.4500000000000011</v>
      </c>
      <c r="Y68" s="1491">
        <v>9.4499999999999993</v>
      </c>
      <c r="Z68" s="1492" t="s">
        <v>1547</v>
      </c>
      <c r="AB68" s="1461"/>
      <c r="AC68" s="1461"/>
      <c r="AD68" s="1481" t="s">
        <v>1532</v>
      </c>
      <c r="AE68" s="1508" t="s">
        <v>1665</v>
      </c>
      <c r="AF68" s="1529" t="s">
        <v>1633</v>
      </c>
      <c r="AG68" s="1504"/>
      <c r="AH68" s="1570">
        <f>+AP95</f>
        <v>300</v>
      </c>
      <c r="AI68" s="1504" t="s">
        <v>1686</v>
      </c>
      <c r="AJ68" s="1504">
        <v>8</v>
      </c>
      <c r="AK68" s="1504" t="s">
        <v>1687</v>
      </c>
      <c r="AL68" s="1570">
        <f>+AH68/128*AJ68</f>
        <v>18.75</v>
      </c>
      <c r="AM68" s="1530" t="s">
        <v>619</v>
      </c>
      <c r="AO68" s="1504"/>
      <c r="AP68" s="1504"/>
      <c r="AQ68" s="1568"/>
      <c r="AR68" s="1504"/>
      <c r="AS68" s="1504"/>
      <c r="AT68" s="1504"/>
      <c r="AU68" s="1568"/>
      <c r="AV68" s="1530"/>
      <c r="BD68" s="1500" t="s">
        <v>1569</v>
      </c>
      <c r="BE68" s="1488">
        <f t="shared" si="18"/>
        <v>0</v>
      </c>
      <c r="BF68" s="1500" t="s">
        <v>965</v>
      </c>
    </row>
    <row r="69" spans="1:58">
      <c r="A69" s="1499" t="s">
        <v>1692</v>
      </c>
      <c r="B69" s="1500" t="s">
        <v>1569</v>
      </c>
      <c r="C69" s="1488">
        <f t="shared" si="17"/>
        <v>13.482000000000001</v>
      </c>
      <c r="D69" s="1500" t="s">
        <v>965</v>
      </c>
      <c r="E69" s="1518" t="s">
        <v>1569</v>
      </c>
      <c r="F69" s="1519"/>
      <c r="G69" s="1520"/>
      <c r="H69" s="1500" t="s">
        <v>1569</v>
      </c>
      <c r="I69" s="1579"/>
      <c r="J69" s="1500" t="s">
        <v>965</v>
      </c>
      <c r="K69" s="1499"/>
      <c r="L69" s="1518" t="s">
        <v>1569</v>
      </c>
      <c r="M69" s="1519"/>
      <c r="N69" s="1520"/>
      <c r="O69" s="1518" t="s">
        <v>1569</v>
      </c>
      <c r="P69" s="1519"/>
      <c r="Q69" s="1520"/>
      <c r="S69" s="1579">
        <v>12</v>
      </c>
      <c r="T69" s="1478" t="e">
        <f t="shared" si="1"/>
        <v>#DIV/0!</v>
      </c>
      <c r="U69" s="1478">
        <f t="shared" si="0"/>
        <v>12</v>
      </c>
      <c r="W69" s="1467">
        <v>12</v>
      </c>
      <c r="X69" s="1491">
        <f t="shared" si="9"/>
        <v>12.600000000000001</v>
      </c>
      <c r="Y69" s="1491">
        <v>12.6</v>
      </c>
      <c r="Z69" s="1492" t="s">
        <v>1547</v>
      </c>
      <c r="AB69" s="1461"/>
      <c r="AC69" s="1461"/>
      <c r="AD69" s="1481" t="s">
        <v>1532</v>
      </c>
      <c r="AE69" s="1503"/>
      <c r="AF69" s="1529" t="s">
        <v>1693</v>
      </c>
      <c r="AG69" s="1504"/>
      <c r="AH69" s="1504"/>
      <c r="AI69" s="1504"/>
      <c r="AJ69" s="1504"/>
      <c r="AK69" s="1504"/>
      <c r="AL69" s="1570">
        <f>+AL66+AL68</f>
        <v>29.8770375</v>
      </c>
      <c r="AM69" s="1530" t="s">
        <v>619</v>
      </c>
      <c r="AO69" s="1504" t="s">
        <v>1694</v>
      </c>
      <c r="AP69" s="1504"/>
      <c r="AQ69" s="1568">
        <v>36.950000000000003</v>
      </c>
      <c r="AR69" s="1504" t="s">
        <v>1686</v>
      </c>
      <c r="AS69" s="1504">
        <v>40</v>
      </c>
      <c r="AT69" s="1504" t="s">
        <v>1687</v>
      </c>
      <c r="AU69" s="1568">
        <f>+AQ69/128*AS69</f>
        <v>11.546875</v>
      </c>
      <c r="AV69" s="1530" t="s">
        <v>619</v>
      </c>
      <c r="BD69" s="1500" t="s">
        <v>1569</v>
      </c>
      <c r="BE69" s="1488">
        <f t="shared" si="18"/>
        <v>0</v>
      </c>
      <c r="BF69" s="1500" t="s">
        <v>965</v>
      </c>
    </row>
    <row r="70" spans="1:58" ht="13.5" thickBot="1">
      <c r="A70" s="1499" t="s">
        <v>1695</v>
      </c>
      <c r="B70" s="1500" t="s">
        <v>1569</v>
      </c>
      <c r="C70" s="1488">
        <f t="shared" si="17"/>
        <v>15.729000000000001</v>
      </c>
      <c r="D70" s="1500" t="s">
        <v>965</v>
      </c>
      <c r="E70" s="1518" t="s">
        <v>1569</v>
      </c>
      <c r="F70" s="1519"/>
      <c r="G70" s="1520"/>
      <c r="H70" s="1500" t="s">
        <v>1569</v>
      </c>
      <c r="I70" s="1579"/>
      <c r="J70" s="1500" t="s">
        <v>965</v>
      </c>
      <c r="K70" s="1499"/>
      <c r="L70" s="1518" t="s">
        <v>1569</v>
      </c>
      <c r="M70" s="1519"/>
      <c r="N70" s="1520"/>
      <c r="O70" s="1518" t="s">
        <v>1569</v>
      </c>
      <c r="P70" s="1519"/>
      <c r="Q70" s="1520"/>
      <c r="S70" s="1579">
        <v>14</v>
      </c>
      <c r="T70" s="1478" t="e">
        <f t="shared" si="1"/>
        <v>#DIV/0!</v>
      </c>
      <c r="U70" s="1478">
        <f t="shared" si="0"/>
        <v>14</v>
      </c>
      <c r="W70" s="1467">
        <v>14</v>
      </c>
      <c r="X70" s="1491">
        <f t="shared" si="9"/>
        <v>14.700000000000001</v>
      </c>
      <c r="Y70" s="1491">
        <v>14.7</v>
      </c>
      <c r="Z70" s="1492" t="s">
        <v>1547</v>
      </c>
      <c r="AB70" s="1461"/>
      <c r="AC70" s="1461"/>
      <c r="AD70" s="1481" t="s">
        <v>1532</v>
      </c>
      <c r="AE70" s="1503"/>
      <c r="AF70" s="1504"/>
      <c r="AG70" s="1504"/>
      <c r="AH70" s="1504"/>
      <c r="AI70" s="1504"/>
      <c r="AJ70" s="1504"/>
      <c r="AK70" s="1504"/>
      <c r="AL70" s="1504"/>
      <c r="AM70" s="1530"/>
      <c r="AO70" s="1504" t="s">
        <v>1690</v>
      </c>
      <c r="AP70" s="1504"/>
      <c r="AQ70" s="1568">
        <v>125</v>
      </c>
      <c r="AR70" s="1504" t="s">
        <v>1686</v>
      </c>
      <c r="AS70" s="1504">
        <v>16</v>
      </c>
      <c r="AT70" s="1504" t="s">
        <v>1687</v>
      </c>
      <c r="AU70" s="1568">
        <f>+AQ70/128*AS70</f>
        <v>15.625</v>
      </c>
      <c r="AV70" s="1530" t="s">
        <v>619</v>
      </c>
      <c r="BD70" s="1500" t="s">
        <v>1569</v>
      </c>
      <c r="BE70" s="1488">
        <f t="shared" si="18"/>
        <v>0</v>
      </c>
      <c r="BF70" s="1500" t="s">
        <v>965</v>
      </c>
    </row>
    <row r="71" spans="1:58" ht="13.5" thickBot="1">
      <c r="A71" s="1499" t="s">
        <v>1696</v>
      </c>
      <c r="B71" s="1524" t="s">
        <v>1569</v>
      </c>
      <c r="C71" s="1488">
        <f t="shared" si="17"/>
        <v>10.111499999999999</v>
      </c>
      <c r="D71" s="1500" t="s">
        <v>965</v>
      </c>
      <c r="E71" s="1578" t="s">
        <v>1569</v>
      </c>
      <c r="F71" s="1519">
        <v>7</v>
      </c>
      <c r="G71" s="1520"/>
      <c r="H71" s="1524" t="s">
        <v>1569</v>
      </c>
      <c r="I71" s="1579">
        <f>1.1*12</f>
        <v>13.200000000000001</v>
      </c>
      <c r="J71" s="1500" t="s">
        <v>965</v>
      </c>
      <c r="K71" s="1499" t="s">
        <v>1697</v>
      </c>
      <c r="L71" s="1578" t="s">
        <v>1569</v>
      </c>
      <c r="M71" s="1519"/>
      <c r="N71" s="1520"/>
      <c r="O71" s="1578" t="s">
        <v>1569</v>
      </c>
      <c r="P71" s="1519"/>
      <c r="Q71" s="1520"/>
      <c r="S71" s="1579">
        <v>9</v>
      </c>
      <c r="T71" s="1478">
        <f t="shared" si="1"/>
        <v>10.100000000000001</v>
      </c>
      <c r="U71" s="1478">
        <f t="shared" si="0"/>
        <v>9.7333333333333343</v>
      </c>
      <c r="W71" s="1467">
        <v>9</v>
      </c>
      <c r="X71" s="1491">
        <f t="shared" si="9"/>
        <v>9.4500000000000011</v>
      </c>
      <c r="Y71" s="1491">
        <v>9.4499999999999993</v>
      </c>
      <c r="Z71" s="1492" t="s">
        <v>1547</v>
      </c>
      <c r="AB71" s="1461"/>
      <c r="AC71" s="1461"/>
      <c r="AD71" s="1481" t="s">
        <v>1532</v>
      </c>
      <c r="AE71" s="1503"/>
      <c r="AF71" s="1504"/>
      <c r="AI71" s="1504"/>
      <c r="AJ71" s="1504"/>
      <c r="AK71" s="1585" t="s">
        <v>1698</v>
      </c>
      <c r="AL71" s="1586">
        <f>+(AL66+AL67)/2</f>
        <v>19.041331249999999</v>
      </c>
      <c r="AM71" s="1530" t="s">
        <v>619</v>
      </c>
      <c r="AV71" s="1530"/>
      <c r="BD71" s="1524" t="s">
        <v>1569</v>
      </c>
      <c r="BE71" s="1488">
        <f t="shared" si="18"/>
        <v>0</v>
      </c>
      <c r="BF71" s="1500" t="s">
        <v>965</v>
      </c>
    </row>
    <row r="72" spans="1:58">
      <c r="A72" s="1487" t="s">
        <v>1699</v>
      </c>
      <c r="B72" s="1482" t="s">
        <v>1569</v>
      </c>
      <c r="C72" s="1488">
        <f t="shared" si="17"/>
        <v>13.482000000000001</v>
      </c>
      <c r="D72" s="1482" t="s">
        <v>965</v>
      </c>
      <c r="E72" s="1587" t="s">
        <v>1569</v>
      </c>
      <c r="F72" s="1519">
        <v>8</v>
      </c>
      <c r="G72" s="1588"/>
      <c r="H72" s="1482" t="s">
        <v>1569</v>
      </c>
      <c r="I72" s="1579">
        <f>1.1*15</f>
        <v>16.5</v>
      </c>
      <c r="J72" s="1482" t="s">
        <v>965</v>
      </c>
      <c r="K72" s="1499" t="s">
        <v>1697</v>
      </c>
      <c r="L72" s="1587" t="s">
        <v>1569</v>
      </c>
      <c r="M72" s="1519"/>
      <c r="N72" s="1588"/>
      <c r="O72" s="1587" t="s">
        <v>1569</v>
      </c>
      <c r="P72" s="1519"/>
      <c r="Q72" s="1588"/>
      <c r="S72" s="1579">
        <v>12</v>
      </c>
      <c r="T72" s="1478">
        <f t="shared" si="1"/>
        <v>12.25</v>
      </c>
      <c r="U72" s="1478">
        <f t="shared" si="0"/>
        <v>12.166666666666666</v>
      </c>
      <c r="W72" s="1467">
        <v>12</v>
      </c>
      <c r="X72" s="1491">
        <f t="shared" si="9"/>
        <v>12.600000000000001</v>
      </c>
      <c r="Y72" s="1491">
        <v>12.6</v>
      </c>
      <c r="Z72" s="1492" t="s">
        <v>1547</v>
      </c>
      <c r="AB72" s="1461"/>
      <c r="AC72" s="1461"/>
      <c r="AD72" s="1481" t="s">
        <v>1532</v>
      </c>
      <c r="AE72" s="1508"/>
      <c r="AF72" s="1589"/>
      <c r="AI72" s="1504"/>
      <c r="AJ72" s="1504"/>
      <c r="AK72" s="1504"/>
      <c r="AL72" s="1504"/>
      <c r="AM72" s="1530"/>
      <c r="AO72" s="1504" t="s">
        <v>1700</v>
      </c>
      <c r="AP72" s="1504"/>
      <c r="AQ72" s="1568">
        <v>43.5</v>
      </c>
      <c r="AR72" s="1504" t="s">
        <v>1686</v>
      </c>
      <c r="AS72" s="1504">
        <v>27</v>
      </c>
      <c r="AT72" s="1504" t="s">
        <v>1687</v>
      </c>
      <c r="AU72" s="1568">
        <f>+AQ72/128*AS72</f>
        <v>9.17578125</v>
      </c>
      <c r="AV72" s="1530" t="s">
        <v>619</v>
      </c>
      <c r="BD72" s="1482" t="s">
        <v>1569</v>
      </c>
      <c r="BE72" s="1488">
        <f t="shared" si="18"/>
        <v>0</v>
      </c>
      <c r="BF72" s="1482" t="s">
        <v>965</v>
      </c>
    </row>
    <row r="73" spans="1:58">
      <c r="A73" s="1499" t="s">
        <v>1701</v>
      </c>
      <c r="B73" s="1524" t="s">
        <v>1569</v>
      </c>
      <c r="C73" s="1488">
        <f t="shared" si="17"/>
        <v>15.729000000000001</v>
      </c>
      <c r="D73" s="1500" t="s">
        <v>965</v>
      </c>
      <c r="E73" s="1578" t="s">
        <v>1569</v>
      </c>
      <c r="F73" s="1519">
        <v>12.5</v>
      </c>
      <c r="G73" s="1520"/>
      <c r="H73" s="1524" t="s">
        <v>1569</v>
      </c>
      <c r="I73" s="1579">
        <f>1.1*18</f>
        <v>19.8</v>
      </c>
      <c r="J73" s="1500" t="s">
        <v>965</v>
      </c>
      <c r="K73" s="1499" t="s">
        <v>1697</v>
      </c>
      <c r="L73" s="1578" t="s">
        <v>1569</v>
      </c>
      <c r="M73" s="1519"/>
      <c r="N73" s="1520"/>
      <c r="O73" s="1578" t="s">
        <v>1569</v>
      </c>
      <c r="P73" s="1519"/>
      <c r="Q73" s="1520"/>
      <c r="S73" s="1579">
        <v>14</v>
      </c>
      <c r="T73" s="1478">
        <f t="shared" si="1"/>
        <v>16.149999999999999</v>
      </c>
      <c r="U73" s="1478">
        <f t="shared" si="0"/>
        <v>15.433333333333332</v>
      </c>
      <c r="W73" s="1467">
        <v>14</v>
      </c>
      <c r="X73" s="1491">
        <f t="shared" si="9"/>
        <v>14.700000000000001</v>
      </c>
      <c r="Y73" s="1491">
        <v>14.7</v>
      </c>
      <c r="Z73" s="1492" t="s">
        <v>1547</v>
      </c>
      <c r="AB73" s="1461"/>
      <c r="AC73" s="1461"/>
      <c r="AD73" s="1481" t="s">
        <v>1532</v>
      </c>
      <c r="AE73" s="1508" t="s">
        <v>1665</v>
      </c>
      <c r="AF73" s="1504" t="s">
        <v>1702</v>
      </c>
      <c r="AI73" s="1504"/>
      <c r="AJ73" s="1504"/>
      <c r="AK73" s="1504"/>
      <c r="AL73" s="1504"/>
      <c r="AM73" s="1530"/>
      <c r="AO73" s="1504" t="s">
        <v>1690</v>
      </c>
      <c r="AP73" s="1504"/>
      <c r="AQ73" s="1568">
        <f>313/2.5</f>
        <v>125.2</v>
      </c>
      <c r="AR73" s="1504" t="s">
        <v>1686</v>
      </c>
      <c r="AS73" s="1504">
        <v>16</v>
      </c>
      <c r="AT73" s="1504" t="s">
        <v>1687</v>
      </c>
      <c r="AU73" s="1568">
        <f>+AQ73/128*AS73</f>
        <v>15.65</v>
      </c>
      <c r="AV73" s="1530" t="s">
        <v>619</v>
      </c>
      <c r="BD73" s="1524" t="s">
        <v>1569</v>
      </c>
      <c r="BE73" s="1488">
        <f t="shared" si="18"/>
        <v>0</v>
      </c>
      <c r="BF73" s="1500" t="s">
        <v>965</v>
      </c>
    </row>
    <row r="74" spans="1:58">
      <c r="A74" s="1499" t="s">
        <v>1703</v>
      </c>
      <c r="B74" s="1524" t="s">
        <v>1569</v>
      </c>
      <c r="C74" s="1488">
        <f t="shared" si="17"/>
        <v>17.976000000000003</v>
      </c>
      <c r="D74" s="1500" t="s">
        <v>965</v>
      </c>
      <c r="E74" s="1578" t="s">
        <v>1569</v>
      </c>
      <c r="F74" s="1519">
        <v>14</v>
      </c>
      <c r="G74" s="1520"/>
      <c r="H74" s="1524" t="s">
        <v>1569</v>
      </c>
      <c r="I74" s="1579">
        <f>1.1*24</f>
        <v>26.400000000000002</v>
      </c>
      <c r="J74" s="1500" t="s">
        <v>965</v>
      </c>
      <c r="K74" s="1499" t="s">
        <v>1697</v>
      </c>
      <c r="L74" s="1578" t="s">
        <v>1569</v>
      </c>
      <c r="M74" s="1519"/>
      <c r="N74" s="1520"/>
      <c r="O74" s="1578" t="s">
        <v>1569</v>
      </c>
      <c r="P74" s="1519"/>
      <c r="Q74" s="1520"/>
      <c r="S74" s="1579">
        <v>16</v>
      </c>
      <c r="T74" s="1478">
        <f t="shared" si="1"/>
        <v>20.200000000000003</v>
      </c>
      <c r="U74" s="1478">
        <f t="shared" si="0"/>
        <v>18.8</v>
      </c>
      <c r="W74" s="1467">
        <v>16</v>
      </c>
      <c r="X74" s="1491">
        <f t="shared" si="9"/>
        <v>16.8</v>
      </c>
      <c r="Y74" s="1491">
        <v>16.8</v>
      </c>
      <c r="Z74" s="1492" t="s">
        <v>1547</v>
      </c>
      <c r="AB74" s="1461"/>
      <c r="AC74" s="1461"/>
      <c r="AD74" s="1481" t="s">
        <v>1532</v>
      </c>
      <c r="AE74" s="1590" t="s">
        <v>1698</v>
      </c>
      <c r="AF74" s="1591" t="s">
        <v>1704</v>
      </c>
      <c r="AG74" s="1592"/>
      <c r="AH74" s="1592"/>
      <c r="AI74" s="1592"/>
      <c r="AJ74" s="1592"/>
      <c r="AK74" s="1592"/>
      <c r="AL74" s="1592"/>
      <c r="AM74" s="1530"/>
      <c r="AO74" s="238"/>
      <c r="AP74" s="1504"/>
      <c r="AQ74" s="1504"/>
      <c r="AR74" s="1504"/>
      <c r="AS74" s="1504"/>
      <c r="AT74" s="1504"/>
      <c r="AU74" s="1568"/>
      <c r="BD74" s="1524" t="s">
        <v>1569</v>
      </c>
      <c r="BE74" s="1488">
        <f t="shared" si="18"/>
        <v>0</v>
      </c>
      <c r="BF74" s="1500" t="s">
        <v>965</v>
      </c>
    </row>
    <row r="75" spans="1:58">
      <c r="A75" s="1499" t="s">
        <v>1705</v>
      </c>
      <c r="B75" s="1524" t="s">
        <v>1569</v>
      </c>
      <c r="C75" s="1488">
        <f t="shared" si="17"/>
        <v>22.470000000000002</v>
      </c>
      <c r="D75" s="1500" t="s">
        <v>965</v>
      </c>
      <c r="E75" s="1578" t="s">
        <v>1569</v>
      </c>
      <c r="F75" s="1519">
        <v>16</v>
      </c>
      <c r="G75" s="1520"/>
      <c r="H75" s="1524" t="s">
        <v>1569</v>
      </c>
      <c r="I75" s="1579">
        <f>1.1*30</f>
        <v>33</v>
      </c>
      <c r="J75" s="1500" t="s">
        <v>965</v>
      </c>
      <c r="K75" s="1499" t="s">
        <v>1697</v>
      </c>
      <c r="L75" s="1578" t="s">
        <v>1569</v>
      </c>
      <c r="M75" s="1519"/>
      <c r="N75" s="1520"/>
      <c r="O75" s="1578" t="s">
        <v>1569</v>
      </c>
      <c r="P75" s="1519"/>
      <c r="Q75" s="1520"/>
      <c r="S75" s="1579">
        <v>20</v>
      </c>
      <c r="T75" s="1478">
        <f t="shared" si="1"/>
        <v>24.5</v>
      </c>
      <c r="U75" s="1478">
        <f t="shared" si="0"/>
        <v>23</v>
      </c>
      <c r="W75" s="1467">
        <v>20</v>
      </c>
      <c r="X75" s="1491">
        <f t="shared" si="9"/>
        <v>21</v>
      </c>
      <c r="Y75" s="1491">
        <v>21</v>
      </c>
      <c r="Z75" s="1492" t="s">
        <v>1547</v>
      </c>
      <c r="AB75" s="1461"/>
      <c r="AC75" s="1461"/>
      <c r="AD75" s="1481" t="s">
        <v>1532</v>
      </c>
      <c r="AE75" s="1503"/>
      <c r="AF75" s="1592"/>
      <c r="AG75" s="1592"/>
      <c r="AH75" s="1592"/>
      <c r="AI75" s="1592"/>
      <c r="AJ75" s="1592"/>
      <c r="AK75" s="1592"/>
      <c r="AL75" s="1592"/>
      <c r="AM75" s="1530"/>
      <c r="BD75" s="1524" t="s">
        <v>1569</v>
      </c>
      <c r="BE75" s="1488">
        <f t="shared" si="18"/>
        <v>0</v>
      </c>
      <c r="BF75" s="1500" t="s">
        <v>965</v>
      </c>
    </row>
    <row r="76" spans="1:58" ht="13.5" thickBot="1">
      <c r="A76" s="1499" t="s">
        <v>1706</v>
      </c>
      <c r="B76" s="1524" t="s">
        <v>1569</v>
      </c>
      <c r="C76" s="1488">
        <f t="shared" si="17"/>
        <v>24.997875000000001</v>
      </c>
      <c r="D76" s="1500" t="s">
        <v>965</v>
      </c>
      <c r="E76" s="1578" t="s">
        <v>1569</v>
      </c>
      <c r="F76" s="1519">
        <v>20</v>
      </c>
      <c r="G76" s="1520"/>
      <c r="H76" s="1524" t="s">
        <v>1569</v>
      </c>
      <c r="I76" s="1579">
        <f>1.1*36</f>
        <v>39.6</v>
      </c>
      <c r="J76" s="1500" t="s">
        <v>965</v>
      </c>
      <c r="K76" s="1499" t="s">
        <v>1697</v>
      </c>
      <c r="L76" s="1578" t="s">
        <v>1569</v>
      </c>
      <c r="M76" s="1519"/>
      <c r="N76" s="1520"/>
      <c r="O76" s="1578" t="s">
        <v>1569</v>
      </c>
      <c r="P76" s="1519"/>
      <c r="Q76" s="1520"/>
      <c r="S76" s="1579">
        <v>22.25</v>
      </c>
      <c r="T76" s="1478">
        <f t="shared" si="1"/>
        <v>29.8</v>
      </c>
      <c r="U76" s="1478">
        <f t="shared" si="0"/>
        <v>27.283333333333331</v>
      </c>
      <c r="V76" s="1593"/>
      <c r="W76" s="1467">
        <v>22.25</v>
      </c>
      <c r="X76" s="1491">
        <f t="shared" si="9"/>
        <v>23.362500000000001</v>
      </c>
      <c r="Y76" s="1491">
        <v>23.362500000000001</v>
      </c>
      <c r="Z76" s="1492" t="s">
        <v>1547</v>
      </c>
      <c r="AB76" s="1461"/>
      <c r="AC76" s="1461"/>
      <c r="AD76" s="1481" t="s">
        <v>1532</v>
      </c>
      <c r="AE76" s="1594">
        <v>39234</v>
      </c>
      <c r="AF76" s="1536"/>
      <c r="AG76" s="1536"/>
      <c r="AH76" s="1536"/>
      <c r="AI76" s="1536"/>
      <c r="AJ76" s="1536"/>
      <c r="AK76" s="1536"/>
      <c r="AL76" s="1536"/>
      <c r="AM76" s="1541"/>
      <c r="AO76" s="191" t="s">
        <v>1707</v>
      </c>
      <c r="AQ76" s="1568">
        <f>44.9/2.5</f>
        <v>17.96</v>
      </c>
      <c r="AR76" s="191" t="s">
        <v>1686</v>
      </c>
      <c r="AS76" s="191">
        <v>1.5</v>
      </c>
      <c r="AT76" s="191" t="s">
        <v>1708</v>
      </c>
      <c r="AU76" s="1568">
        <f>+AQ76/4*AS76</f>
        <v>6.7350000000000003</v>
      </c>
      <c r="AV76" s="191" t="s">
        <v>619</v>
      </c>
      <c r="BD76" s="1524" t="s">
        <v>1569</v>
      </c>
      <c r="BE76" s="1488">
        <f t="shared" si="18"/>
        <v>0</v>
      </c>
      <c r="BF76" s="1500" t="s">
        <v>965</v>
      </c>
    </row>
    <row r="77" spans="1:58">
      <c r="A77" s="1499" t="s">
        <v>1709</v>
      </c>
      <c r="B77" s="1524" t="s">
        <v>1569</v>
      </c>
      <c r="C77" s="1488">
        <f t="shared" si="17"/>
        <v>1.0914000000000001</v>
      </c>
      <c r="D77" s="1500" t="s">
        <v>965</v>
      </c>
      <c r="E77" s="1525" t="s">
        <v>1569</v>
      </c>
      <c r="F77" s="1489">
        <v>0.5</v>
      </c>
      <c r="G77" s="1526"/>
      <c r="H77" s="1527" t="s">
        <v>1569</v>
      </c>
      <c r="I77" s="1490">
        <f>0.45*4</f>
        <v>1.8</v>
      </c>
      <c r="J77" s="1502" t="s">
        <v>965</v>
      </c>
      <c r="K77" s="1477" t="s">
        <v>1710</v>
      </c>
      <c r="L77" s="1525" t="s">
        <v>1569</v>
      </c>
      <c r="M77" s="1489">
        <v>0.42</v>
      </c>
      <c r="N77" s="1474" t="s">
        <v>1711</v>
      </c>
      <c r="O77" s="1525" t="s">
        <v>1569</v>
      </c>
      <c r="P77" s="1555">
        <f>+W77*1.2</f>
        <v>1.02</v>
      </c>
      <c r="Q77" s="1556" t="s">
        <v>1712</v>
      </c>
      <c r="S77" s="1490">
        <v>0.85</v>
      </c>
      <c r="T77" s="1478">
        <f t="shared" si="1"/>
        <v>0.90666666666666662</v>
      </c>
      <c r="U77" s="1478">
        <f t="shared" si="0"/>
        <v>0.89250000000000007</v>
      </c>
      <c r="V77" s="1593">
        <f>+(P77-S77)/S77</f>
        <v>0.20000000000000004</v>
      </c>
      <c r="W77" s="1467">
        <v>0.85</v>
      </c>
      <c r="X77" s="1491">
        <f>+S77*1.2</f>
        <v>1.02</v>
      </c>
      <c r="Y77" s="1491">
        <v>1.02</v>
      </c>
      <c r="Z77" s="1492" t="s">
        <v>1547</v>
      </c>
      <c r="AB77" s="1461" t="s">
        <v>1713</v>
      </c>
      <c r="AC77" s="1461"/>
      <c r="AD77" s="1481" t="s">
        <v>1532</v>
      </c>
      <c r="AE77" s="1461"/>
      <c r="AF77" s="1461"/>
      <c r="AG77" s="1461"/>
      <c r="AO77" s="1504" t="s">
        <v>1714</v>
      </c>
      <c r="AP77" s="1504"/>
      <c r="AQ77" s="1568">
        <f>75/2.5</f>
        <v>30</v>
      </c>
      <c r="AR77" s="1504" t="s">
        <v>1686</v>
      </c>
      <c r="AS77" s="1504">
        <v>1</v>
      </c>
      <c r="AT77" s="1504" t="s">
        <v>1708</v>
      </c>
      <c r="AU77" s="1568">
        <f>+AQ77/4*AS77</f>
        <v>7.5</v>
      </c>
      <c r="AV77" s="191" t="s">
        <v>619</v>
      </c>
      <c r="BD77" s="1524" t="s">
        <v>1569</v>
      </c>
      <c r="BE77" s="1488">
        <f t="shared" si="18"/>
        <v>0</v>
      </c>
      <c r="BF77" s="1500" t="s">
        <v>965</v>
      </c>
    </row>
    <row r="78" spans="1:58">
      <c r="A78" s="1499" t="s">
        <v>1715</v>
      </c>
      <c r="B78" s="1524" t="s">
        <v>1569</v>
      </c>
      <c r="C78" s="1488">
        <f t="shared" si="17"/>
        <v>1.5407999999999999</v>
      </c>
      <c r="D78" s="1500" t="s">
        <v>965</v>
      </c>
      <c r="E78" s="1525" t="s">
        <v>1569</v>
      </c>
      <c r="F78" s="1489"/>
      <c r="G78" s="1526"/>
      <c r="H78" s="1527" t="s">
        <v>1569</v>
      </c>
      <c r="I78" s="1490">
        <f>0.45*5</f>
        <v>2.25</v>
      </c>
      <c r="J78" s="1502" t="s">
        <v>965</v>
      </c>
      <c r="K78" s="1477" t="s">
        <v>1710</v>
      </c>
      <c r="L78" s="1525" t="s">
        <v>1569</v>
      </c>
      <c r="M78" s="1489">
        <v>0.73</v>
      </c>
      <c r="N78" s="1474" t="s">
        <v>1711</v>
      </c>
      <c r="O78" s="1525" t="s">
        <v>1569</v>
      </c>
      <c r="P78" s="1555">
        <f>+W78*1.2</f>
        <v>1.44</v>
      </c>
      <c r="Q78" s="1556" t="s">
        <v>1712</v>
      </c>
      <c r="S78" s="1490">
        <v>1.2</v>
      </c>
      <c r="T78" s="1478">
        <f t="shared" si="1"/>
        <v>1.49</v>
      </c>
      <c r="U78" s="1478">
        <f t="shared" si="0"/>
        <v>1.3933333333333333</v>
      </c>
      <c r="V78" s="1593">
        <f t="shared" ref="V78:V91" si="19">+(P78-S78)/S78</f>
        <v>0.2</v>
      </c>
      <c r="W78" s="1467">
        <v>1.2</v>
      </c>
      <c r="X78" s="1491">
        <f t="shared" ref="X78:X92" si="20">+S78*1.2</f>
        <v>1.44</v>
      </c>
      <c r="Y78" s="1491">
        <v>1.44</v>
      </c>
      <c r="Z78" s="1492" t="s">
        <v>1547</v>
      </c>
      <c r="AB78" s="1461" t="s">
        <v>1713</v>
      </c>
      <c r="AC78" s="1461"/>
      <c r="AD78" s="1481" t="s">
        <v>1532</v>
      </c>
      <c r="AE78" s="1461"/>
      <c r="AF78" s="1461"/>
      <c r="AG78" s="1461"/>
      <c r="BD78" s="1524" t="s">
        <v>1569</v>
      </c>
      <c r="BE78" s="1488">
        <f t="shared" si="18"/>
        <v>0</v>
      </c>
      <c r="BF78" s="1500" t="s">
        <v>965</v>
      </c>
    </row>
    <row r="79" spans="1:58" ht="13.5" thickBot="1">
      <c r="A79" s="1499" t="s">
        <v>1716</v>
      </c>
      <c r="B79" s="1524" t="s">
        <v>1569</v>
      </c>
      <c r="C79" s="1488">
        <f t="shared" si="17"/>
        <v>1.8618000000000001</v>
      </c>
      <c r="D79" s="1500" t="s">
        <v>965</v>
      </c>
      <c r="E79" s="1525" t="s">
        <v>1569</v>
      </c>
      <c r="F79" s="1489">
        <v>1.25</v>
      </c>
      <c r="G79" s="1526"/>
      <c r="H79" s="1527" t="s">
        <v>1569</v>
      </c>
      <c r="I79" s="1490">
        <f>0.45*6</f>
        <v>2.7</v>
      </c>
      <c r="J79" s="1502" t="s">
        <v>965</v>
      </c>
      <c r="K79" s="1477" t="s">
        <v>1710</v>
      </c>
      <c r="L79" s="1525" t="s">
        <v>1569</v>
      </c>
      <c r="M79" s="1489">
        <v>0.99</v>
      </c>
      <c r="N79" s="1474" t="s">
        <v>1711</v>
      </c>
      <c r="O79" s="1525" t="s">
        <v>1569</v>
      </c>
      <c r="P79" s="1555">
        <f>+W79*1.2</f>
        <v>1.74</v>
      </c>
      <c r="Q79" s="1556" t="s">
        <v>1712</v>
      </c>
      <c r="S79" s="1490">
        <v>1.45</v>
      </c>
      <c r="T79" s="1478">
        <f t="shared" si="1"/>
        <v>1.6466666666666667</v>
      </c>
      <c r="U79" s="1478">
        <f t="shared" si="0"/>
        <v>1.5975000000000001</v>
      </c>
      <c r="V79" s="1593">
        <f t="shared" si="19"/>
        <v>0.20000000000000004</v>
      </c>
      <c r="W79" s="1467">
        <v>1.45</v>
      </c>
      <c r="X79" s="1491">
        <f t="shared" si="20"/>
        <v>1.74</v>
      </c>
      <c r="Y79" s="1491">
        <v>1.74</v>
      </c>
      <c r="Z79" s="1492" t="s">
        <v>1547</v>
      </c>
      <c r="AB79" s="1461" t="s">
        <v>1713</v>
      </c>
      <c r="AC79" s="1461"/>
      <c r="AD79" s="1481" t="s">
        <v>1532</v>
      </c>
      <c r="AE79" s="1461"/>
      <c r="BD79" s="1524" t="s">
        <v>1569</v>
      </c>
      <c r="BE79" s="1488">
        <f t="shared" si="18"/>
        <v>0</v>
      </c>
      <c r="BF79" s="1500" t="s">
        <v>965</v>
      </c>
    </row>
    <row r="80" spans="1:58" ht="13.5" thickBot="1">
      <c r="A80" s="1487" t="s">
        <v>1717</v>
      </c>
      <c r="B80" s="1482" t="s">
        <v>1569</v>
      </c>
      <c r="C80" s="1488">
        <f t="shared" si="17"/>
        <v>2.6964000000000001</v>
      </c>
      <c r="D80" s="1482" t="s">
        <v>965</v>
      </c>
      <c r="E80" s="1472" t="s">
        <v>1569</v>
      </c>
      <c r="F80" s="1489">
        <v>2</v>
      </c>
      <c r="G80" s="1474"/>
      <c r="H80" s="1475" t="s">
        <v>1569</v>
      </c>
      <c r="I80" s="1490">
        <f>0.45*8</f>
        <v>3.6</v>
      </c>
      <c r="J80" s="1475" t="s">
        <v>965</v>
      </c>
      <c r="K80" s="1477" t="s">
        <v>1710</v>
      </c>
      <c r="L80" s="1472" t="s">
        <v>1569</v>
      </c>
      <c r="M80" s="1489">
        <v>1.69</v>
      </c>
      <c r="N80" s="1474" t="s">
        <v>1711</v>
      </c>
      <c r="O80" s="1472" t="s">
        <v>1569</v>
      </c>
      <c r="P80" s="1555">
        <f>+W80*1.2</f>
        <v>2.52</v>
      </c>
      <c r="Q80" s="1556" t="s">
        <v>1712</v>
      </c>
      <c r="S80" s="1490">
        <v>2.1</v>
      </c>
      <c r="T80" s="1478">
        <f t="shared" si="1"/>
        <v>2.4299999999999997</v>
      </c>
      <c r="U80" s="1478">
        <f t="shared" si="0"/>
        <v>2.3474999999999997</v>
      </c>
      <c r="V80" s="1593">
        <f t="shared" si="19"/>
        <v>0.19999999999999996</v>
      </c>
      <c r="W80" s="1467">
        <v>2.1</v>
      </c>
      <c r="X80" s="1491">
        <f t="shared" si="20"/>
        <v>2.52</v>
      </c>
      <c r="Y80" s="1491">
        <v>2.52</v>
      </c>
      <c r="Z80" s="1492" t="s">
        <v>1547</v>
      </c>
      <c r="AB80" s="1461" t="s">
        <v>1713</v>
      </c>
      <c r="AC80" s="1461"/>
      <c r="AD80" s="1481" t="s">
        <v>1532</v>
      </c>
      <c r="AE80" s="1461"/>
      <c r="AF80" s="1483"/>
      <c r="AG80" s="1484"/>
      <c r="AH80" s="1484"/>
      <c r="AI80" s="1484"/>
      <c r="AJ80" s="1485" t="s">
        <v>1617</v>
      </c>
      <c r="AK80" s="1595"/>
      <c r="AL80" s="1484"/>
      <c r="AM80" s="1484"/>
      <c r="AN80" s="1484"/>
      <c r="AO80" s="1484"/>
      <c r="AP80" s="1486"/>
      <c r="BD80" s="1482" t="s">
        <v>1569</v>
      </c>
      <c r="BE80" s="1488">
        <f t="shared" si="18"/>
        <v>0</v>
      </c>
      <c r="BF80" s="1482" t="s">
        <v>965</v>
      </c>
    </row>
    <row r="81" spans="1:58">
      <c r="A81" s="1487" t="s">
        <v>1718</v>
      </c>
      <c r="B81" s="1482" t="s">
        <v>1569</v>
      </c>
      <c r="C81" s="1488">
        <f t="shared" si="17"/>
        <v>4.7508000000000008</v>
      </c>
      <c r="D81" s="1482" t="s">
        <v>965</v>
      </c>
      <c r="E81" s="1472" t="s">
        <v>1569</v>
      </c>
      <c r="F81" s="1489">
        <v>3.5</v>
      </c>
      <c r="G81" s="1474"/>
      <c r="H81" s="1475" t="s">
        <v>1569</v>
      </c>
      <c r="I81" s="1490">
        <f>0.45*10</f>
        <v>4.5</v>
      </c>
      <c r="J81" s="1475" t="s">
        <v>965</v>
      </c>
      <c r="K81" s="1477" t="s">
        <v>1710</v>
      </c>
      <c r="L81" s="1472" t="s">
        <v>1569</v>
      </c>
      <c r="M81" s="1489">
        <v>3</v>
      </c>
      <c r="N81" s="1474" t="s">
        <v>1711</v>
      </c>
      <c r="O81" s="1472" t="s">
        <v>1569</v>
      </c>
      <c r="P81" s="1489"/>
      <c r="Q81" s="1474"/>
      <c r="S81" s="1490">
        <v>3.7</v>
      </c>
      <c r="T81" s="1478">
        <f t="shared" si="1"/>
        <v>3.6666666666666665</v>
      </c>
      <c r="U81" s="1478">
        <f t="shared" si="0"/>
        <v>3.6749999999999998</v>
      </c>
      <c r="V81" s="1593"/>
      <c r="W81" s="1467">
        <v>3.7</v>
      </c>
      <c r="X81" s="1491">
        <f t="shared" si="20"/>
        <v>4.4400000000000004</v>
      </c>
      <c r="Y81" s="1491">
        <v>4.4400000000000004</v>
      </c>
      <c r="Z81" s="1492" t="s">
        <v>1547</v>
      </c>
      <c r="AB81" s="1461" t="s">
        <v>1713</v>
      </c>
      <c r="AC81" s="1461"/>
      <c r="AD81" s="1481" t="s">
        <v>1532</v>
      </c>
      <c r="AE81" s="1461"/>
      <c r="AF81" s="1596"/>
      <c r="AG81" s="1597"/>
      <c r="AH81" s="1504"/>
      <c r="AI81" s="1504"/>
      <c r="AJ81" s="1506"/>
      <c r="AK81" s="1506" t="s">
        <v>1719</v>
      </c>
      <c r="AL81" s="1506"/>
      <c r="AM81" s="1506"/>
      <c r="AN81" s="1506"/>
      <c r="AO81" s="1506"/>
      <c r="AP81" s="1530"/>
      <c r="AU81" s="191">
        <f>(35+55+74.5)/3</f>
        <v>54.833333333333336</v>
      </c>
      <c r="BD81" s="1482" t="s">
        <v>1569</v>
      </c>
      <c r="BE81" s="1488">
        <f t="shared" si="18"/>
        <v>0</v>
      </c>
      <c r="BF81" s="1482" t="s">
        <v>965</v>
      </c>
    </row>
    <row r="82" spans="1:58">
      <c r="A82" s="1487" t="s">
        <v>1720</v>
      </c>
      <c r="B82" s="1482" t="s">
        <v>1569</v>
      </c>
      <c r="C82" s="1488">
        <f t="shared" si="17"/>
        <v>6.1631999999999998</v>
      </c>
      <c r="D82" s="1482" t="s">
        <v>965</v>
      </c>
      <c r="E82" s="1472" t="s">
        <v>1569</v>
      </c>
      <c r="F82" s="1489">
        <v>5</v>
      </c>
      <c r="G82" s="1474"/>
      <c r="H82" s="1475" t="s">
        <v>1569</v>
      </c>
      <c r="I82" s="1490">
        <f>0.45*12</f>
        <v>5.4</v>
      </c>
      <c r="J82" s="1475" t="s">
        <v>965</v>
      </c>
      <c r="K82" s="1477" t="s">
        <v>1710</v>
      </c>
      <c r="L82" s="1472" t="s">
        <v>1569</v>
      </c>
      <c r="M82" s="1489">
        <v>4.1500000000000004</v>
      </c>
      <c r="N82" s="1474" t="s">
        <v>1711</v>
      </c>
      <c r="O82" s="1472" t="s">
        <v>1569</v>
      </c>
      <c r="P82" s="1489"/>
      <c r="Q82" s="1474"/>
      <c r="S82" s="1490">
        <v>4.8</v>
      </c>
      <c r="T82" s="1478">
        <f t="shared" si="1"/>
        <v>4.8500000000000005</v>
      </c>
      <c r="U82" s="1478">
        <f t="shared" si="0"/>
        <v>4.8375000000000004</v>
      </c>
      <c r="V82" s="1593"/>
      <c r="W82" s="1467">
        <v>4.8</v>
      </c>
      <c r="X82" s="1491">
        <f t="shared" si="20"/>
        <v>5.76</v>
      </c>
      <c r="Y82" s="1491">
        <v>5.76</v>
      </c>
      <c r="Z82" s="1492" t="s">
        <v>1547</v>
      </c>
      <c r="AB82" s="1461" t="s">
        <v>1713</v>
      </c>
      <c r="AC82" s="1461"/>
      <c r="AD82" s="1481" t="s">
        <v>1532</v>
      </c>
      <c r="AE82" s="1461"/>
      <c r="AF82" s="1596"/>
      <c r="AG82" s="1597"/>
      <c r="AH82" s="1598"/>
      <c r="AI82" s="1504"/>
      <c r="AJ82" s="1509" t="s">
        <v>1557</v>
      </c>
      <c r="AK82" s="1509" t="s">
        <v>1558</v>
      </c>
      <c r="AL82" s="1509" t="s">
        <v>1559</v>
      </c>
      <c r="AM82" s="1509" t="s">
        <v>1560</v>
      </c>
      <c r="AN82" s="1509" t="s">
        <v>1561</v>
      </c>
      <c r="AO82" s="1510" t="s">
        <v>1721</v>
      </c>
      <c r="AP82" s="1507" t="s">
        <v>1549</v>
      </c>
      <c r="BD82" s="1482" t="s">
        <v>1569</v>
      </c>
      <c r="BE82" s="1488">
        <f t="shared" si="18"/>
        <v>0</v>
      </c>
      <c r="BF82" s="1482" t="s">
        <v>965</v>
      </c>
    </row>
    <row r="83" spans="1:58" ht="13.5" thickBot="1">
      <c r="A83" s="1499" t="s">
        <v>1722</v>
      </c>
      <c r="B83" s="1524" t="s">
        <v>1569</v>
      </c>
      <c r="C83" s="1488">
        <f t="shared" si="17"/>
        <v>1.96452</v>
      </c>
      <c r="D83" s="1500" t="s">
        <v>965</v>
      </c>
      <c r="E83" s="1578" t="s">
        <v>1569</v>
      </c>
      <c r="F83" s="1519"/>
      <c r="G83" s="1520"/>
      <c r="H83" s="1524" t="s">
        <v>1569</v>
      </c>
      <c r="I83" s="1579">
        <v>4</v>
      </c>
      <c r="J83" s="1500" t="s">
        <v>965</v>
      </c>
      <c r="K83" s="1477" t="s">
        <v>1723</v>
      </c>
      <c r="L83" s="1578" t="s">
        <v>1569</v>
      </c>
      <c r="M83" s="1519">
        <v>1.44</v>
      </c>
      <c r="N83" s="1474" t="s">
        <v>1711</v>
      </c>
      <c r="O83" s="1578" t="s">
        <v>1569</v>
      </c>
      <c r="P83" s="1555">
        <f>+W83*1.2</f>
        <v>1.8359999999999999</v>
      </c>
      <c r="Q83" s="1556" t="s">
        <v>1712</v>
      </c>
      <c r="S83" s="1579">
        <v>1.53</v>
      </c>
      <c r="T83" s="1478">
        <f t="shared" si="1"/>
        <v>2.7199999999999998</v>
      </c>
      <c r="U83" s="1478">
        <f t="shared" ref="U83:U157" si="21">AVERAGE(W83,F83,I83,M83)</f>
        <v>2.3233333333333337</v>
      </c>
      <c r="V83" s="1593">
        <f t="shared" si="19"/>
        <v>0.19999999999999987</v>
      </c>
      <c r="W83" s="1467">
        <v>1.53</v>
      </c>
      <c r="X83" s="1491">
        <f t="shared" si="20"/>
        <v>1.8359999999999999</v>
      </c>
      <c r="Y83" s="1491">
        <v>1.8359999999999999</v>
      </c>
      <c r="Z83" s="1492" t="s">
        <v>1547</v>
      </c>
      <c r="AB83" s="1461" t="s">
        <v>1713</v>
      </c>
      <c r="AC83" s="1461"/>
      <c r="AD83" s="1481" t="s">
        <v>1532</v>
      </c>
      <c r="AE83" s="1461"/>
      <c r="AF83" s="1596"/>
      <c r="AG83" s="1504"/>
      <c r="AH83" s="1583" t="s">
        <v>1724</v>
      </c>
      <c r="AI83" s="1599" t="s">
        <v>1725</v>
      </c>
      <c r="AJ83" s="1600"/>
      <c r="AK83" s="1600"/>
      <c r="AL83" s="1600"/>
      <c r="AM83" s="1600"/>
      <c r="AN83" s="1600"/>
      <c r="AO83" s="1600"/>
      <c r="AP83" s="1560"/>
      <c r="BD83" s="1524" t="s">
        <v>1569</v>
      </c>
      <c r="BE83" s="1488">
        <f t="shared" si="18"/>
        <v>0</v>
      </c>
      <c r="BF83" s="1500" t="s">
        <v>965</v>
      </c>
    </row>
    <row r="84" spans="1:58">
      <c r="A84" s="1499" t="s">
        <v>1726</v>
      </c>
      <c r="B84" s="1524" t="s">
        <v>1569</v>
      </c>
      <c r="C84" s="1488">
        <f t="shared" si="17"/>
        <v>3.21</v>
      </c>
      <c r="D84" s="1500" t="s">
        <v>965</v>
      </c>
      <c r="E84" s="1578" t="s">
        <v>1569</v>
      </c>
      <c r="F84" s="1519"/>
      <c r="G84" s="1520"/>
      <c r="H84" s="1524" t="s">
        <v>1569</v>
      </c>
      <c r="I84" s="1579">
        <v>6</v>
      </c>
      <c r="J84" s="1500" t="s">
        <v>965</v>
      </c>
      <c r="K84" s="1477" t="s">
        <v>1723</v>
      </c>
      <c r="L84" s="1578" t="s">
        <v>1569</v>
      </c>
      <c r="M84" s="1519">
        <v>2.42</v>
      </c>
      <c r="N84" s="1474" t="s">
        <v>1711</v>
      </c>
      <c r="O84" s="1578" t="s">
        <v>1569</v>
      </c>
      <c r="P84" s="1555">
        <f>+W84*1.2</f>
        <v>3</v>
      </c>
      <c r="Q84" s="1556" t="s">
        <v>1712</v>
      </c>
      <c r="S84" s="1579">
        <v>2.5</v>
      </c>
      <c r="T84" s="1478">
        <f t="shared" si="1"/>
        <v>4.21</v>
      </c>
      <c r="U84" s="1478">
        <f t="shared" si="21"/>
        <v>3.64</v>
      </c>
      <c r="V84" s="1593">
        <f t="shared" si="19"/>
        <v>0.2</v>
      </c>
      <c r="W84" s="1467">
        <v>2.5</v>
      </c>
      <c r="X84" s="1491">
        <f t="shared" si="20"/>
        <v>3</v>
      </c>
      <c r="Y84" s="1491">
        <v>3</v>
      </c>
      <c r="Z84" s="1492" t="s">
        <v>1547</v>
      </c>
      <c r="AB84" s="1461" t="s">
        <v>1713</v>
      </c>
      <c r="AC84" s="1461"/>
      <c r="AD84" s="1481" t="s">
        <v>1532</v>
      </c>
      <c r="AE84" s="1461"/>
      <c r="AF84" s="1596"/>
      <c r="AG84" s="1504"/>
      <c r="AH84" s="1567" t="s">
        <v>1727</v>
      </c>
      <c r="AI84" s="1601">
        <v>41</v>
      </c>
      <c r="AJ84" s="1602"/>
      <c r="AK84" s="1602">
        <v>35</v>
      </c>
      <c r="AL84" s="1602"/>
      <c r="AM84" s="1602">
        <v>35</v>
      </c>
      <c r="AN84" s="1602"/>
      <c r="AO84" s="1602">
        <v>35</v>
      </c>
      <c r="AP84" s="1515">
        <f>AVERAGE(AJ84:AO84)</f>
        <v>35</v>
      </c>
      <c r="AS84" s="1603" t="s">
        <v>1549</v>
      </c>
      <c r="BD84" s="1524" t="s">
        <v>1569</v>
      </c>
      <c r="BE84" s="1488">
        <f t="shared" si="18"/>
        <v>0</v>
      </c>
      <c r="BF84" s="1500" t="s">
        <v>965</v>
      </c>
    </row>
    <row r="85" spans="1:58">
      <c r="A85" s="1499" t="s">
        <v>1728</v>
      </c>
      <c r="B85" s="1524" t="s">
        <v>1569</v>
      </c>
      <c r="C85" s="1488">
        <f t="shared" si="17"/>
        <v>4.4940000000000007</v>
      </c>
      <c r="D85" s="1500" t="s">
        <v>965</v>
      </c>
      <c r="E85" s="1578" t="s">
        <v>1569</v>
      </c>
      <c r="F85" s="1519"/>
      <c r="G85" s="1520"/>
      <c r="H85" s="1524" t="s">
        <v>1569</v>
      </c>
      <c r="I85" s="1579">
        <v>8</v>
      </c>
      <c r="J85" s="1500" t="s">
        <v>965</v>
      </c>
      <c r="K85" s="1477" t="s">
        <v>1723</v>
      </c>
      <c r="L85" s="1578" t="s">
        <v>1569</v>
      </c>
      <c r="M85" s="1519">
        <v>3.67</v>
      </c>
      <c r="N85" s="1474" t="s">
        <v>1711</v>
      </c>
      <c r="O85" s="1578" t="s">
        <v>1569</v>
      </c>
      <c r="P85" s="1555">
        <f>+W85*1.2</f>
        <v>4.2</v>
      </c>
      <c r="Q85" s="1556" t="s">
        <v>1712</v>
      </c>
      <c r="S85" s="1579">
        <v>3.5</v>
      </c>
      <c r="T85" s="1478">
        <f t="shared" si="1"/>
        <v>5.835</v>
      </c>
      <c r="U85" s="1478">
        <f t="shared" si="21"/>
        <v>5.0566666666666666</v>
      </c>
      <c r="V85" s="1593">
        <f t="shared" si="19"/>
        <v>0.20000000000000004</v>
      </c>
      <c r="W85" s="1467">
        <v>3.5</v>
      </c>
      <c r="X85" s="1491">
        <f t="shared" si="20"/>
        <v>4.2</v>
      </c>
      <c r="Y85" s="1491">
        <v>4.2</v>
      </c>
      <c r="Z85" s="1492" t="s">
        <v>1547</v>
      </c>
      <c r="AB85" s="1461" t="s">
        <v>1713</v>
      </c>
      <c r="AC85" s="1461"/>
      <c r="AD85" s="1481" t="s">
        <v>1532</v>
      </c>
      <c r="AE85" s="1461"/>
      <c r="AF85" s="1596"/>
      <c r="AG85" s="1504"/>
      <c r="AH85" s="1567" t="s">
        <v>1729</v>
      </c>
      <c r="AI85" s="1601">
        <v>52.3</v>
      </c>
      <c r="AJ85" s="1602">
        <v>62</v>
      </c>
      <c r="AK85" s="1602"/>
      <c r="AL85" s="1602"/>
      <c r="AM85" s="1602"/>
      <c r="AN85" s="1602"/>
      <c r="AO85" s="1602"/>
      <c r="AP85" s="1515">
        <f>AVERAGE(AJ85:AO85)</f>
        <v>62</v>
      </c>
      <c r="AS85" s="1604" t="s">
        <v>1626</v>
      </c>
      <c r="BD85" s="1524" t="s">
        <v>1569</v>
      </c>
      <c r="BE85" s="1488">
        <f t="shared" si="18"/>
        <v>0</v>
      </c>
      <c r="BF85" s="1500" t="s">
        <v>965</v>
      </c>
    </row>
    <row r="86" spans="1:58">
      <c r="A86" s="1487" t="s">
        <v>1730</v>
      </c>
      <c r="B86" s="1482" t="s">
        <v>1569</v>
      </c>
      <c r="C86" s="1488">
        <f t="shared" si="17"/>
        <v>6.2659200000000004</v>
      </c>
      <c r="D86" s="1482" t="s">
        <v>965</v>
      </c>
      <c r="E86" s="1587" t="s">
        <v>1569</v>
      </c>
      <c r="F86" s="1519"/>
      <c r="G86" s="1588"/>
      <c r="H86" s="1482" t="s">
        <v>1569</v>
      </c>
      <c r="I86" s="1490">
        <v>10</v>
      </c>
      <c r="J86" s="1482" t="s">
        <v>965</v>
      </c>
      <c r="K86" s="1477" t="s">
        <v>1723</v>
      </c>
      <c r="L86" s="1587" t="s">
        <v>1569</v>
      </c>
      <c r="M86" s="1519">
        <v>4.88</v>
      </c>
      <c r="N86" s="1474" t="s">
        <v>1711</v>
      </c>
      <c r="O86" s="1587" t="s">
        <v>1569</v>
      </c>
      <c r="P86" s="1519"/>
      <c r="Q86" s="1588"/>
      <c r="S86" s="1579">
        <v>4.88</v>
      </c>
      <c r="T86" s="1478">
        <f t="shared" si="1"/>
        <v>7.4399999999999995</v>
      </c>
      <c r="U86" s="1478">
        <f t="shared" si="21"/>
        <v>6.586666666666666</v>
      </c>
      <c r="V86" s="1593"/>
      <c r="W86" s="1467">
        <v>4.88</v>
      </c>
      <c r="X86" s="1491">
        <f t="shared" si="20"/>
        <v>5.8559999999999999</v>
      </c>
      <c r="Y86" s="1491">
        <v>5.8559999999999999</v>
      </c>
      <c r="Z86" s="1492" t="s">
        <v>1547</v>
      </c>
      <c r="AB86" s="1461" t="s">
        <v>1713</v>
      </c>
      <c r="AC86" s="1461"/>
      <c r="AD86" s="1481" t="s">
        <v>1532</v>
      </c>
      <c r="AE86" s="1461"/>
      <c r="AF86" s="1596"/>
      <c r="AG86" s="1504"/>
      <c r="AH86" s="1567" t="s">
        <v>1731</v>
      </c>
      <c r="AI86" s="1601">
        <v>41</v>
      </c>
      <c r="AJ86" s="1602"/>
      <c r="AK86" s="1602"/>
      <c r="AL86" s="1602"/>
      <c r="AM86" s="1602"/>
      <c r="AN86" s="1602"/>
      <c r="AO86" s="1602"/>
      <c r="AP86" s="1515"/>
      <c r="AS86" s="1604" t="s">
        <v>1732</v>
      </c>
      <c r="BD86" s="1482" t="s">
        <v>1569</v>
      </c>
      <c r="BE86" s="1488">
        <f t="shared" si="18"/>
        <v>0</v>
      </c>
      <c r="BF86" s="1482" t="s">
        <v>965</v>
      </c>
    </row>
    <row r="87" spans="1:58" ht="13.5" thickBot="1">
      <c r="A87" s="1487" t="s">
        <v>1733</v>
      </c>
      <c r="B87" s="1482" t="s">
        <v>1569</v>
      </c>
      <c r="C87" s="1488">
        <f t="shared" si="17"/>
        <v>6.9849600000000009</v>
      </c>
      <c r="D87" s="1482" t="s">
        <v>965</v>
      </c>
      <c r="E87" s="1587" t="s">
        <v>1569</v>
      </c>
      <c r="F87" s="1519"/>
      <c r="G87" s="1588"/>
      <c r="H87" s="1482" t="s">
        <v>1569</v>
      </c>
      <c r="I87" s="1579">
        <v>12</v>
      </c>
      <c r="J87" s="1482" t="s">
        <v>965</v>
      </c>
      <c r="K87" s="1477" t="s">
        <v>1723</v>
      </c>
      <c r="L87" s="1587" t="s">
        <v>1569</v>
      </c>
      <c r="M87" s="1519">
        <v>6.09</v>
      </c>
      <c r="N87" s="1474" t="s">
        <v>1711</v>
      </c>
      <c r="O87" s="1587" t="s">
        <v>1569</v>
      </c>
      <c r="P87" s="1555">
        <v>7.72</v>
      </c>
      <c r="Q87" s="1556" t="s">
        <v>1734</v>
      </c>
      <c r="S87" s="1579">
        <v>5.44</v>
      </c>
      <c r="T87" s="1478">
        <f t="shared" ref="T87:T210" si="22">AVERAGE(F87,I87,M87)</f>
        <v>9.0449999999999999</v>
      </c>
      <c r="U87" s="1478">
        <f t="shared" si="21"/>
        <v>7.8433333333333337</v>
      </c>
      <c r="V87" s="1593">
        <f t="shared" si="19"/>
        <v>0.41911764705882337</v>
      </c>
      <c r="W87" s="1467">
        <v>5.44</v>
      </c>
      <c r="X87" s="1491">
        <f t="shared" si="20"/>
        <v>6.5280000000000005</v>
      </c>
      <c r="Y87" s="1491">
        <v>6.5280000000000005</v>
      </c>
      <c r="Z87" s="1492" t="s">
        <v>1547</v>
      </c>
      <c r="AB87" s="1461" t="s">
        <v>1713</v>
      </c>
      <c r="AC87" s="1461"/>
      <c r="AD87" s="1481" t="s">
        <v>1532</v>
      </c>
      <c r="AE87" s="1461"/>
      <c r="AF87" s="1596"/>
      <c r="AG87" s="1504"/>
      <c r="AH87" s="1567" t="s">
        <v>1735</v>
      </c>
      <c r="AI87" s="1601">
        <v>48.7</v>
      </c>
      <c r="AJ87" s="1602"/>
      <c r="AK87" s="1602"/>
      <c r="AL87" s="1602"/>
      <c r="AM87" s="1602"/>
      <c r="AN87" s="1602"/>
      <c r="AO87" s="1602">
        <v>37</v>
      </c>
      <c r="AP87" s="1515">
        <f t="shared" ref="AP87:AP95" si="23">AVERAGE(AJ87:AO87)</f>
        <v>37</v>
      </c>
      <c r="AS87" s="1604"/>
      <c r="BD87" s="1482" t="s">
        <v>1569</v>
      </c>
      <c r="BE87" s="1488">
        <f t="shared" si="18"/>
        <v>0</v>
      </c>
      <c r="BF87" s="1482" t="s">
        <v>965</v>
      </c>
    </row>
    <row r="88" spans="1:58" ht="13.5" thickBot="1">
      <c r="A88" s="1499" t="s">
        <v>1736</v>
      </c>
      <c r="B88" s="1524" t="s">
        <v>1569</v>
      </c>
      <c r="C88" s="1488">
        <f t="shared" si="17"/>
        <v>9.0650399999999998</v>
      </c>
      <c r="D88" s="1500" t="s">
        <v>965</v>
      </c>
      <c r="E88" s="1578" t="s">
        <v>1569</v>
      </c>
      <c r="F88" s="1519"/>
      <c r="G88" s="1520"/>
      <c r="H88" s="1524" t="s">
        <v>1569</v>
      </c>
      <c r="I88" s="1490">
        <f>1.2*15</f>
        <v>18</v>
      </c>
      <c r="J88" s="1500" t="s">
        <v>965</v>
      </c>
      <c r="K88" s="1477" t="s">
        <v>1737</v>
      </c>
      <c r="L88" s="1578" t="s">
        <v>1569</v>
      </c>
      <c r="M88" s="1519">
        <v>8.1300000000000008</v>
      </c>
      <c r="N88" s="1474" t="s">
        <v>1711</v>
      </c>
      <c r="O88" s="1578" t="s">
        <v>1569</v>
      </c>
      <c r="P88" s="1555">
        <v>8.48</v>
      </c>
      <c r="Q88" s="1556" t="s">
        <v>1734</v>
      </c>
      <c r="S88" s="1579">
        <v>7.06</v>
      </c>
      <c r="T88" s="1478">
        <f t="shared" si="22"/>
        <v>13.065000000000001</v>
      </c>
      <c r="U88" s="1478">
        <f t="shared" si="21"/>
        <v>11.063333333333333</v>
      </c>
      <c r="V88" s="1593">
        <f t="shared" si="19"/>
        <v>0.20113314447592082</v>
      </c>
      <c r="W88" s="1467">
        <v>7.06</v>
      </c>
      <c r="X88" s="1491">
        <f t="shared" si="20"/>
        <v>8.4719999999999995</v>
      </c>
      <c r="Y88" s="1491">
        <v>8.4719999999999995</v>
      </c>
      <c r="Z88" s="1492" t="s">
        <v>1547</v>
      </c>
      <c r="AB88" s="1461" t="s">
        <v>1713</v>
      </c>
      <c r="AC88" s="1461"/>
      <c r="AD88" s="1481" t="s">
        <v>1532</v>
      </c>
      <c r="AE88" s="1461"/>
      <c r="AF88" s="1596"/>
      <c r="AG88" s="1504"/>
      <c r="AH88" s="1567" t="s">
        <v>1738</v>
      </c>
      <c r="AI88" s="1601">
        <v>48.7</v>
      </c>
      <c r="AJ88" s="1602"/>
      <c r="AK88" s="1602"/>
      <c r="AL88" s="1602"/>
      <c r="AM88" s="1602"/>
      <c r="AN88" s="1602">
        <v>55</v>
      </c>
      <c r="AO88" s="1602"/>
      <c r="AP88" s="1515">
        <f t="shared" si="23"/>
        <v>55</v>
      </c>
      <c r="AS88" s="1586">
        <f>AVERAGE(AP83:AP93)</f>
        <v>52.750399999999999</v>
      </c>
      <c r="BD88" s="1524" t="s">
        <v>1569</v>
      </c>
      <c r="BE88" s="1488">
        <f t="shared" si="18"/>
        <v>0</v>
      </c>
      <c r="BF88" s="1500" t="s">
        <v>965</v>
      </c>
    </row>
    <row r="89" spans="1:58">
      <c r="A89" s="1499" t="s">
        <v>1739</v>
      </c>
      <c r="B89" s="1524" t="s">
        <v>1569</v>
      </c>
      <c r="C89" s="1488">
        <f t="shared" si="17"/>
        <v>12.275040000000001</v>
      </c>
      <c r="D89" s="1500" t="s">
        <v>965</v>
      </c>
      <c r="E89" s="1578" t="s">
        <v>1569</v>
      </c>
      <c r="F89" s="1519"/>
      <c r="G89" s="1520"/>
      <c r="H89" s="1524" t="s">
        <v>1569</v>
      </c>
      <c r="I89" s="1490">
        <f>1.2*18</f>
        <v>21.599999999999998</v>
      </c>
      <c r="J89" s="1500" t="s">
        <v>965</v>
      </c>
      <c r="K89" s="1477" t="s">
        <v>1737</v>
      </c>
      <c r="L89" s="1578" t="s">
        <v>1569</v>
      </c>
      <c r="M89" s="1519">
        <v>10.44</v>
      </c>
      <c r="N89" s="1474" t="s">
        <v>1711</v>
      </c>
      <c r="O89" s="1578" t="s">
        <v>1569</v>
      </c>
      <c r="P89" s="1555">
        <v>13.31</v>
      </c>
      <c r="Q89" s="1556" t="s">
        <v>1620</v>
      </c>
      <c r="S89" s="1579">
        <v>9.56</v>
      </c>
      <c r="T89" s="1478">
        <f t="shared" si="22"/>
        <v>16.02</v>
      </c>
      <c r="U89" s="1478">
        <f t="shared" si="21"/>
        <v>13.866666666666665</v>
      </c>
      <c r="V89" s="1593">
        <f t="shared" si="19"/>
        <v>0.39225941422594141</v>
      </c>
      <c r="W89" s="1467">
        <v>9.56</v>
      </c>
      <c r="X89" s="1491">
        <f t="shared" si="20"/>
        <v>11.472</v>
      </c>
      <c r="Y89" s="1491">
        <v>11.472</v>
      </c>
      <c r="Z89" s="1492" t="s">
        <v>1547</v>
      </c>
      <c r="AB89" s="1461" t="s">
        <v>1713</v>
      </c>
      <c r="AC89" s="1461"/>
      <c r="AD89" s="1481" t="s">
        <v>1532</v>
      </c>
      <c r="AE89" s="1461"/>
      <c r="AF89" s="1596"/>
      <c r="AG89" s="1504"/>
      <c r="AH89" s="1567" t="s">
        <v>1740</v>
      </c>
      <c r="AI89" s="1601">
        <v>71.400000000000006</v>
      </c>
      <c r="AJ89" s="1602"/>
      <c r="AK89" s="1602"/>
      <c r="AL89" s="1602"/>
      <c r="AM89" s="1602"/>
      <c r="AN89" s="1602"/>
      <c r="AO89" s="1602"/>
      <c r="AP89" s="1515"/>
      <c r="BD89" s="1524" t="s">
        <v>1569</v>
      </c>
      <c r="BE89" s="1488">
        <f t="shared" si="18"/>
        <v>0</v>
      </c>
      <c r="BF89" s="1500" t="s">
        <v>965</v>
      </c>
    </row>
    <row r="90" spans="1:58">
      <c r="A90" s="1499" t="s">
        <v>1741</v>
      </c>
      <c r="B90" s="1524" t="s">
        <v>1569</v>
      </c>
      <c r="C90" s="1488">
        <f t="shared" si="17"/>
        <v>17.500920000000004</v>
      </c>
      <c r="D90" s="1500" t="s">
        <v>965</v>
      </c>
      <c r="E90" s="1578" t="s">
        <v>1569</v>
      </c>
      <c r="F90" s="1519"/>
      <c r="G90" s="1520"/>
      <c r="H90" s="1524" t="s">
        <v>1569</v>
      </c>
      <c r="I90" s="1490">
        <f>1.2*24</f>
        <v>28.799999999999997</v>
      </c>
      <c r="J90" s="1500" t="s">
        <v>965</v>
      </c>
      <c r="K90" s="1477" t="s">
        <v>1737</v>
      </c>
      <c r="L90" s="1578" t="s">
        <v>1569</v>
      </c>
      <c r="M90" s="1519">
        <v>16.52</v>
      </c>
      <c r="N90" s="1474" t="s">
        <v>1711</v>
      </c>
      <c r="O90" s="1578" t="s">
        <v>1569</v>
      </c>
      <c r="P90" s="1519"/>
      <c r="Q90" s="1474"/>
      <c r="S90" s="1579">
        <v>13.63</v>
      </c>
      <c r="T90" s="1478">
        <f t="shared" si="22"/>
        <v>22.659999999999997</v>
      </c>
      <c r="U90" s="1478">
        <f t="shared" si="21"/>
        <v>19.650000000000002</v>
      </c>
      <c r="V90" s="1593"/>
      <c r="W90" s="1467">
        <v>13.63</v>
      </c>
      <c r="X90" s="1491">
        <f t="shared" si="20"/>
        <v>16.356000000000002</v>
      </c>
      <c r="Y90" s="1491">
        <v>16.356000000000002</v>
      </c>
      <c r="Z90" s="1492" t="s">
        <v>1547</v>
      </c>
      <c r="AB90" s="1461" t="s">
        <v>1713</v>
      </c>
      <c r="AC90" s="1461"/>
      <c r="AD90" s="1481" t="s">
        <v>1532</v>
      </c>
      <c r="AE90" s="1461"/>
      <c r="AF90" s="1596"/>
      <c r="AG90" s="1504"/>
      <c r="AH90" s="1567" t="s">
        <v>1742</v>
      </c>
      <c r="AI90" s="1601">
        <v>50.2</v>
      </c>
      <c r="AJ90" s="1602"/>
      <c r="AK90" s="1602"/>
      <c r="AL90" s="1602"/>
      <c r="AM90" s="1602"/>
      <c r="AN90" s="1602"/>
      <c r="AO90" s="1602"/>
      <c r="AP90" s="1515"/>
      <c r="BD90" s="1524" t="s">
        <v>1569</v>
      </c>
      <c r="BE90" s="1488">
        <f t="shared" si="18"/>
        <v>0</v>
      </c>
      <c r="BF90" s="1500" t="s">
        <v>965</v>
      </c>
    </row>
    <row r="91" spans="1:58">
      <c r="A91" s="1499" t="s">
        <v>1743</v>
      </c>
      <c r="B91" s="1524" t="s">
        <v>1569</v>
      </c>
      <c r="C91" s="1488">
        <f t="shared" si="17"/>
        <v>27.451920000000001</v>
      </c>
      <c r="D91" s="1500" t="s">
        <v>965</v>
      </c>
      <c r="E91" s="1578" t="s">
        <v>1569</v>
      </c>
      <c r="F91" s="1519"/>
      <c r="G91" s="1520"/>
      <c r="H91" s="1524" t="s">
        <v>1569</v>
      </c>
      <c r="I91" s="1490">
        <f>1.2*30</f>
        <v>36</v>
      </c>
      <c r="J91" s="1500" t="s">
        <v>965</v>
      </c>
      <c r="K91" s="1477" t="s">
        <v>1737</v>
      </c>
      <c r="L91" s="1578" t="s">
        <v>1569</v>
      </c>
      <c r="M91" s="1519">
        <v>15</v>
      </c>
      <c r="N91" s="1474" t="s">
        <v>1744</v>
      </c>
      <c r="O91" s="1578" t="s">
        <v>1569</v>
      </c>
      <c r="P91" s="1555">
        <v>31.89</v>
      </c>
      <c r="Q91" s="1556" t="s">
        <v>1745</v>
      </c>
      <c r="S91" s="1579">
        <v>21.38</v>
      </c>
      <c r="T91" s="1478">
        <f t="shared" si="22"/>
        <v>25.5</v>
      </c>
      <c r="U91" s="1478">
        <f t="shared" si="21"/>
        <v>24.126666666666665</v>
      </c>
      <c r="V91" s="1593">
        <f t="shared" si="19"/>
        <v>0.49158091674462123</v>
      </c>
      <c r="W91" s="1467">
        <v>21.38</v>
      </c>
      <c r="X91" s="1491">
        <f t="shared" si="20"/>
        <v>25.655999999999999</v>
      </c>
      <c r="Y91" s="1491">
        <v>25.655999999999999</v>
      </c>
      <c r="Z91" s="1492" t="s">
        <v>1547</v>
      </c>
      <c r="AB91" s="1461" t="s">
        <v>1713</v>
      </c>
      <c r="AC91" s="1461"/>
      <c r="AD91" s="1481" t="s">
        <v>1532</v>
      </c>
      <c r="AE91" s="1461"/>
      <c r="AF91" s="1596"/>
      <c r="AG91" s="1504"/>
      <c r="AH91" s="1567" t="s">
        <v>1746</v>
      </c>
      <c r="AI91" s="1601">
        <v>48.8</v>
      </c>
      <c r="AJ91" s="1602"/>
      <c r="AK91" s="1602"/>
      <c r="AL91" s="1602"/>
      <c r="AM91" s="1602"/>
      <c r="AN91" s="1602"/>
      <c r="AO91" s="1602"/>
      <c r="AP91" s="1515"/>
      <c r="BD91" s="1524" t="s">
        <v>1569</v>
      </c>
      <c r="BE91" s="1488">
        <f t="shared" si="18"/>
        <v>0</v>
      </c>
      <c r="BF91" s="1500" t="s">
        <v>965</v>
      </c>
    </row>
    <row r="92" spans="1:58">
      <c r="A92" s="1499" t="s">
        <v>1747</v>
      </c>
      <c r="B92" s="1524" t="s">
        <v>1569</v>
      </c>
      <c r="C92" s="1488">
        <f t="shared" si="17"/>
        <v>37.402919999999995</v>
      </c>
      <c r="D92" s="1500" t="s">
        <v>965</v>
      </c>
      <c r="E92" s="1578" t="s">
        <v>1569</v>
      </c>
      <c r="F92" s="1519"/>
      <c r="G92" s="1520"/>
      <c r="H92" s="1524" t="s">
        <v>1569</v>
      </c>
      <c r="I92" s="1490">
        <f>1.2*36</f>
        <v>43.199999999999996</v>
      </c>
      <c r="J92" s="1500" t="s">
        <v>965</v>
      </c>
      <c r="K92" s="1477" t="s">
        <v>1737</v>
      </c>
      <c r="L92" s="1578" t="s">
        <v>1569</v>
      </c>
      <c r="M92" s="1519">
        <v>18</v>
      </c>
      <c r="N92" s="1474" t="s">
        <v>1711</v>
      </c>
      <c r="O92" s="1578" t="s">
        <v>1569</v>
      </c>
      <c r="P92" s="1519"/>
      <c r="Q92" s="1474"/>
      <c r="S92" s="1579">
        <v>29.13</v>
      </c>
      <c r="T92" s="1478">
        <f t="shared" si="22"/>
        <v>30.599999999999998</v>
      </c>
      <c r="U92" s="1478">
        <f t="shared" si="21"/>
        <v>30.11</v>
      </c>
      <c r="V92" s="1593"/>
      <c r="W92" s="1467">
        <v>29.13</v>
      </c>
      <c r="X92" s="1491">
        <f t="shared" si="20"/>
        <v>34.955999999999996</v>
      </c>
      <c r="Y92" s="1491">
        <v>34.955999999999996</v>
      </c>
      <c r="Z92" s="1492" t="s">
        <v>1547</v>
      </c>
      <c r="AB92" s="1461" t="s">
        <v>1713</v>
      </c>
      <c r="AC92" s="1461"/>
      <c r="AD92" s="1481" t="s">
        <v>1532</v>
      </c>
      <c r="AE92" s="1461"/>
      <c r="AF92" s="1596"/>
      <c r="AG92" s="1504"/>
      <c r="AH92" s="1567" t="s">
        <v>1748</v>
      </c>
      <c r="AI92" s="1601">
        <v>50.2</v>
      </c>
      <c r="AJ92" s="1602"/>
      <c r="AK92" s="1602"/>
      <c r="AL92" s="1602"/>
      <c r="AM92" s="1602"/>
      <c r="AN92" s="1602"/>
      <c r="AO92" s="1602"/>
      <c r="AP92" s="1515"/>
      <c r="BD92" s="1524" t="s">
        <v>1569</v>
      </c>
      <c r="BE92" s="1488">
        <f t="shared" si="18"/>
        <v>0</v>
      </c>
      <c r="BF92" s="1500" t="s">
        <v>965</v>
      </c>
    </row>
    <row r="93" spans="1:58">
      <c r="A93" s="1469" t="s">
        <v>1749</v>
      </c>
      <c r="B93" s="1470" t="s">
        <v>1750</v>
      </c>
      <c r="C93" s="1488">
        <f>+AN32</f>
        <v>6.3125</v>
      </c>
      <c r="D93" s="1482" t="s">
        <v>965</v>
      </c>
      <c r="E93" s="1578"/>
      <c r="F93" s="1519"/>
      <c r="G93" s="1520"/>
      <c r="H93" s="1524"/>
      <c r="J93" s="1500"/>
      <c r="K93" s="1477"/>
      <c r="L93" s="1578"/>
      <c r="M93" s="1519"/>
      <c r="N93" s="1474"/>
      <c r="O93" s="1578"/>
      <c r="P93" s="1519"/>
      <c r="Q93" s="1474"/>
      <c r="S93" s="1579"/>
      <c r="T93" s="1478"/>
      <c r="U93" s="1478"/>
      <c r="W93" s="1467"/>
      <c r="X93" s="1479">
        <f>+AK32</f>
        <v>4</v>
      </c>
      <c r="Y93" s="1479">
        <v>5</v>
      </c>
      <c r="Z93" s="1480" t="s">
        <v>1751</v>
      </c>
      <c r="AB93" s="1461" t="s">
        <v>1752</v>
      </c>
      <c r="AC93" s="1461"/>
      <c r="AD93" s="1481" t="s">
        <v>1532</v>
      </c>
      <c r="AE93" s="1461"/>
      <c r="AF93" s="1596"/>
      <c r="AG93" s="1504"/>
      <c r="AH93" s="1567" t="s">
        <v>1753</v>
      </c>
      <c r="AI93" s="1601">
        <v>48.8</v>
      </c>
      <c r="AJ93" s="1602"/>
      <c r="AK93" s="1602"/>
      <c r="AL93" s="1602">
        <f>186.26/2.5</f>
        <v>74.503999999999991</v>
      </c>
      <c r="AM93" s="1602">
        <v>75</v>
      </c>
      <c r="AN93" s="1602"/>
      <c r="AO93" s="1602"/>
      <c r="AP93" s="1515">
        <f t="shared" si="23"/>
        <v>74.751999999999995</v>
      </c>
      <c r="BD93" s="1470" t="s">
        <v>1750</v>
      </c>
      <c r="BE93" s="1488">
        <f>+CP32</f>
        <v>0</v>
      </c>
      <c r="BF93" s="1482" t="s">
        <v>965</v>
      </c>
    </row>
    <row r="94" spans="1:58">
      <c r="A94" s="1469" t="s">
        <v>1754</v>
      </c>
      <c r="B94" s="1470" t="s">
        <v>1750</v>
      </c>
      <c r="C94" s="1488">
        <f>+AL32</f>
        <v>11.25</v>
      </c>
      <c r="D94" s="1482" t="s">
        <v>965</v>
      </c>
      <c r="E94" s="1578"/>
      <c r="F94" s="1519"/>
      <c r="G94" s="1520"/>
      <c r="H94" s="1524"/>
      <c r="J94" s="1500"/>
      <c r="K94" s="1477"/>
      <c r="L94" s="1578"/>
      <c r="M94" s="1519"/>
      <c r="N94" s="1474"/>
      <c r="O94" s="1578"/>
      <c r="P94" s="1519"/>
      <c r="Q94" s="1474"/>
      <c r="S94" s="1579"/>
      <c r="T94" s="1478"/>
      <c r="U94" s="1478"/>
      <c r="W94" s="1467"/>
      <c r="X94" s="1479">
        <f>+AL32</f>
        <v>11.25</v>
      </c>
      <c r="Y94" s="1479">
        <v>7</v>
      </c>
      <c r="Z94" s="1480" t="s">
        <v>1751</v>
      </c>
      <c r="AB94" s="1461" t="s">
        <v>1752</v>
      </c>
      <c r="AC94" s="1461"/>
      <c r="AD94" s="1481" t="s">
        <v>1532</v>
      </c>
      <c r="AE94" s="1461"/>
      <c r="AF94" s="1596"/>
      <c r="AG94" s="1597"/>
      <c r="AH94" s="1567" t="s">
        <v>1755</v>
      </c>
      <c r="AI94" s="1605" t="s">
        <v>1756</v>
      </c>
      <c r="AJ94" s="1602">
        <f>693/2.5</f>
        <v>277.2</v>
      </c>
      <c r="AK94" s="1602">
        <f>392.95/2.5</f>
        <v>157.18</v>
      </c>
      <c r="AL94" s="1602"/>
      <c r="AM94" s="1602">
        <f>695.5/2.5</f>
        <v>278.2</v>
      </c>
      <c r="AN94" s="1602">
        <v>150</v>
      </c>
      <c r="AO94" s="1606" t="s">
        <v>1576</v>
      </c>
      <c r="AP94" s="1515">
        <f t="shared" si="23"/>
        <v>215.64499999999998</v>
      </c>
      <c r="BD94" s="1470" t="s">
        <v>1750</v>
      </c>
      <c r="BE94" s="1488">
        <f>+CN32</f>
        <v>0</v>
      </c>
      <c r="BF94" s="1482" t="s">
        <v>965</v>
      </c>
    </row>
    <row r="95" spans="1:58">
      <c r="A95" s="1499" t="s">
        <v>1757</v>
      </c>
      <c r="B95" s="1500" t="s">
        <v>1569</v>
      </c>
      <c r="C95" s="1488">
        <f>+X95</f>
        <v>0</v>
      </c>
      <c r="D95" s="1500"/>
      <c r="E95" s="1578"/>
      <c r="F95" s="1519"/>
      <c r="G95" s="1520"/>
      <c r="H95" s="1524"/>
      <c r="I95" s="1579"/>
      <c r="J95" s="1500"/>
      <c r="K95" s="1487"/>
      <c r="L95" s="1578"/>
      <c r="M95" s="1519"/>
      <c r="N95" s="1588"/>
      <c r="O95" s="1578"/>
      <c r="P95" s="1519"/>
      <c r="Q95" s="1474"/>
      <c r="S95" s="1579"/>
      <c r="T95" s="1478" t="e">
        <f>AVERAGE(F95,I95,M95)</f>
        <v>#DIV/0!</v>
      </c>
      <c r="U95" s="1478" t="e">
        <f t="shared" si="21"/>
        <v>#DIV/0!</v>
      </c>
      <c r="W95" s="1467"/>
      <c r="X95" s="1491">
        <f t="shared" ref="X95:X199" si="24">+S95*1.05</f>
        <v>0</v>
      </c>
      <c r="Y95" s="1491">
        <v>0</v>
      </c>
      <c r="Z95" s="1554" t="s">
        <v>1576</v>
      </c>
      <c r="AB95" s="1461"/>
      <c r="AC95" s="1461"/>
      <c r="AD95" s="1481" t="s">
        <v>1532</v>
      </c>
      <c r="AE95" s="1461"/>
      <c r="AF95" s="1596"/>
      <c r="AG95" s="1597"/>
      <c r="AH95" s="1567" t="s">
        <v>1758</v>
      </c>
      <c r="AI95" s="1605">
        <v>23.3</v>
      </c>
      <c r="AJ95" s="1602"/>
      <c r="AK95" s="1602">
        <v>300</v>
      </c>
      <c r="AL95" s="1602"/>
      <c r="AM95" s="1602"/>
      <c r="AN95" s="1602"/>
      <c r="AO95" s="1606" t="s">
        <v>1576</v>
      </c>
      <c r="AP95" s="1515">
        <f t="shared" si="23"/>
        <v>300</v>
      </c>
      <c r="BD95" s="1500" t="s">
        <v>1569</v>
      </c>
      <c r="BE95" s="1488">
        <f>+BZ95</f>
        <v>0</v>
      </c>
      <c r="BF95" s="1500"/>
    </row>
    <row r="96" spans="1:58" ht="13.5" thickBot="1">
      <c r="A96" s="1499" t="s">
        <v>1759</v>
      </c>
      <c r="B96" s="1500" t="s">
        <v>1268</v>
      </c>
      <c r="C96" s="1488">
        <f>+Y96*1.07</f>
        <v>6.4601249999999997</v>
      </c>
      <c r="D96" s="1482" t="s">
        <v>965</v>
      </c>
      <c r="E96" s="1518" t="s">
        <v>1268</v>
      </c>
      <c r="F96" s="1519"/>
      <c r="G96" s="1474"/>
      <c r="H96" s="1500" t="s">
        <v>1268</v>
      </c>
      <c r="I96" s="1579"/>
      <c r="J96" s="1475" t="s">
        <v>965</v>
      </c>
      <c r="K96" s="1477"/>
      <c r="L96" s="1518" t="s">
        <v>1268</v>
      </c>
      <c r="M96" s="1519"/>
      <c r="N96" s="1474"/>
      <c r="O96" s="1518" t="s">
        <v>1268</v>
      </c>
      <c r="P96" s="1519"/>
      <c r="Q96" s="1474"/>
      <c r="S96" s="1579">
        <v>5.75</v>
      </c>
      <c r="T96" s="1478" t="e">
        <f t="shared" si="22"/>
        <v>#DIV/0!</v>
      </c>
      <c r="U96" s="1478">
        <f t="shared" si="21"/>
        <v>5.75</v>
      </c>
      <c r="W96" s="1467">
        <v>5.75</v>
      </c>
      <c r="X96" s="1491">
        <f t="shared" si="24"/>
        <v>6.0375000000000005</v>
      </c>
      <c r="Y96" s="1491">
        <v>6.0374999999999996</v>
      </c>
      <c r="Z96" s="1492" t="s">
        <v>1547</v>
      </c>
      <c r="AB96" s="1461"/>
      <c r="AC96" s="1461"/>
      <c r="AD96" s="1481" t="s">
        <v>1532</v>
      </c>
      <c r="AE96" s="1461"/>
      <c r="AF96" s="1607"/>
      <c r="AG96" s="1608"/>
      <c r="AH96" s="1609" t="s">
        <v>1760</v>
      </c>
      <c r="AI96" s="1610">
        <v>23.6</v>
      </c>
      <c r="AJ96" s="1611">
        <v>340</v>
      </c>
      <c r="AK96" s="1611">
        <v>340</v>
      </c>
      <c r="AL96" s="1611">
        <v>340</v>
      </c>
      <c r="AM96" s="1611">
        <v>340</v>
      </c>
      <c r="AN96" s="1611">
        <v>340</v>
      </c>
      <c r="AO96" s="1611">
        <v>340</v>
      </c>
      <c r="AP96" s="1612">
        <f>AVERAGE(AJ96:AO96)</f>
        <v>340</v>
      </c>
      <c r="BD96" s="1500" t="s">
        <v>1268</v>
      </c>
      <c r="BE96" s="1488">
        <f>+CA96*1.07</f>
        <v>0</v>
      </c>
      <c r="BF96" s="1482" t="s">
        <v>965</v>
      </c>
    </row>
    <row r="97" spans="1:58">
      <c r="A97" s="1499" t="s">
        <v>1761</v>
      </c>
      <c r="B97" s="1500" t="s">
        <v>1268</v>
      </c>
      <c r="C97" s="1488">
        <f>+Y97*1.07</f>
        <v>5.6175000000000006</v>
      </c>
      <c r="D97" s="1482" t="s">
        <v>965</v>
      </c>
      <c r="E97" s="1518" t="s">
        <v>1268</v>
      </c>
      <c r="F97" s="1519"/>
      <c r="G97" s="1474"/>
      <c r="H97" s="1500" t="s">
        <v>1268</v>
      </c>
      <c r="I97" s="1579"/>
      <c r="J97" s="1475" t="s">
        <v>965</v>
      </c>
      <c r="K97" s="1477"/>
      <c r="L97" s="1518" t="s">
        <v>1268</v>
      </c>
      <c r="M97" s="1519"/>
      <c r="N97" s="1474"/>
      <c r="O97" s="1518" t="s">
        <v>1268</v>
      </c>
      <c r="P97" s="1519"/>
      <c r="Q97" s="1474"/>
      <c r="S97" s="1579">
        <v>5</v>
      </c>
      <c r="T97" s="1478" t="e">
        <f t="shared" si="22"/>
        <v>#DIV/0!</v>
      </c>
      <c r="U97" s="1478">
        <f t="shared" si="21"/>
        <v>5</v>
      </c>
      <c r="W97" s="1467">
        <v>5</v>
      </c>
      <c r="X97" s="1491">
        <f t="shared" si="24"/>
        <v>5.25</v>
      </c>
      <c r="Y97" s="1491">
        <v>5.25</v>
      </c>
      <c r="Z97" s="1492" t="s">
        <v>1547</v>
      </c>
      <c r="AB97" s="1461"/>
      <c r="AC97" s="1461"/>
      <c r="AD97" s="1481" t="s">
        <v>1532</v>
      </c>
      <c r="AE97" s="1461"/>
      <c r="AF97" s="1461"/>
      <c r="AG97" s="1461"/>
      <c r="BD97" s="1500" t="s">
        <v>1268</v>
      </c>
      <c r="BE97" s="1488">
        <f>+CA97*1.07</f>
        <v>0</v>
      </c>
      <c r="BF97" s="1482" t="s">
        <v>965</v>
      </c>
    </row>
    <row r="98" spans="1:58">
      <c r="A98" s="1499" t="s">
        <v>1762</v>
      </c>
      <c r="B98" s="1500" t="s">
        <v>1268</v>
      </c>
      <c r="C98" s="1488">
        <f>+Y98*1.07</f>
        <v>7.8645000000000005</v>
      </c>
      <c r="D98" s="1482" t="s">
        <v>965</v>
      </c>
      <c r="E98" s="1518" t="s">
        <v>1268</v>
      </c>
      <c r="F98" s="1519"/>
      <c r="G98" s="1474"/>
      <c r="H98" s="1500" t="s">
        <v>1268</v>
      </c>
      <c r="I98" s="1579"/>
      <c r="J98" s="1475" t="s">
        <v>965</v>
      </c>
      <c r="K98" s="1477"/>
      <c r="L98" s="1518" t="s">
        <v>1268</v>
      </c>
      <c r="M98" s="1519"/>
      <c r="N98" s="1474"/>
      <c r="O98" s="1518" t="s">
        <v>1268</v>
      </c>
      <c r="P98" s="1519"/>
      <c r="Q98" s="1474"/>
      <c r="S98" s="1579">
        <v>7</v>
      </c>
      <c r="T98" s="1478" t="e">
        <f t="shared" si="22"/>
        <v>#DIV/0!</v>
      </c>
      <c r="U98" s="1478">
        <f t="shared" si="21"/>
        <v>7</v>
      </c>
      <c r="W98" s="1467">
        <v>7</v>
      </c>
      <c r="X98" s="1491">
        <f t="shared" si="24"/>
        <v>7.3500000000000005</v>
      </c>
      <c r="Y98" s="1491">
        <v>7.35</v>
      </c>
      <c r="Z98" s="1492" t="s">
        <v>1547</v>
      </c>
      <c r="AB98" s="1461"/>
      <c r="AC98" s="1461"/>
      <c r="AD98" s="1481" t="s">
        <v>1532</v>
      </c>
      <c r="AE98" s="1461"/>
      <c r="AF98" s="1461"/>
      <c r="AG98" s="1461"/>
      <c r="AH98" s="1613"/>
      <c r="BD98" s="1500" t="s">
        <v>1268</v>
      </c>
      <c r="BE98" s="1488">
        <f>+CA98*1.07</f>
        <v>0</v>
      </c>
      <c r="BF98" s="1482" t="s">
        <v>965</v>
      </c>
    </row>
    <row r="99" spans="1:58">
      <c r="A99" s="1487" t="s">
        <v>1763</v>
      </c>
      <c r="B99" s="1482" t="s">
        <v>619</v>
      </c>
      <c r="C99" s="1488">
        <v>15</v>
      </c>
      <c r="D99" s="1482" t="s">
        <v>965</v>
      </c>
      <c r="E99" s="1472" t="s">
        <v>619</v>
      </c>
      <c r="F99" s="1489"/>
      <c r="G99" s="1474"/>
      <c r="H99" s="1475" t="s">
        <v>619</v>
      </c>
      <c r="J99" s="1475" t="s">
        <v>1764</v>
      </c>
      <c r="K99" s="1477"/>
      <c r="L99" s="1472" t="s">
        <v>619</v>
      </c>
      <c r="M99" s="1489"/>
      <c r="N99" s="1474"/>
      <c r="O99" s="1472" t="s">
        <v>619</v>
      </c>
      <c r="P99" s="1489"/>
      <c r="Q99" s="1474"/>
      <c r="S99" s="1490">
        <v>30</v>
      </c>
      <c r="T99" s="1478" t="e">
        <f t="shared" si="22"/>
        <v>#DIV/0!</v>
      </c>
      <c r="U99" s="1478">
        <f t="shared" si="21"/>
        <v>30</v>
      </c>
      <c r="W99" s="1467">
        <v>30</v>
      </c>
      <c r="X99" s="1491">
        <v>40</v>
      </c>
      <c r="Y99" s="1491">
        <v>13.39</v>
      </c>
      <c r="Z99" s="1554" t="s">
        <v>1765</v>
      </c>
      <c r="AA99" s="1440" t="s">
        <v>1614</v>
      </c>
      <c r="AB99" s="1461"/>
      <c r="AC99" s="1461"/>
      <c r="AD99" s="1481" t="s">
        <v>1532</v>
      </c>
      <c r="AE99" s="1461"/>
      <c r="BD99" s="1482" t="s">
        <v>619</v>
      </c>
      <c r="BE99" s="1488">
        <v>15</v>
      </c>
      <c r="BF99" s="1482" t="s">
        <v>965</v>
      </c>
    </row>
    <row r="100" spans="1:58">
      <c r="A100" s="1487" t="s">
        <v>1766</v>
      </c>
      <c r="B100" s="1482" t="s">
        <v>619</v>
      </c>
      <c r="C100" s="1488">
        <v>30</v>
      </c>
      <c r="D100" s="1482" t="s">
        <v>965</v>
      </c>
      <c r="E100" s="1472"/>
      <c r="F100" s="1489"/>
      <c r="G100" s="1474"/>
      <c r="H100" s="1475"/>
      <c r="J100" s="1475"/>
      <c r="K100" s="1477"/>
      <c r="L100" s="1472"/>
      <c r="M100" s="1489"/>
      <c r="N100" s="1474"/>
      <c r="O100" s="1472"/>
      <c r="P100" s="1489"/>
      <c r="Q100" s="1474"/>
      <c r="T100" s="1478"/>
      <c r="U100" s="1478"/>
      <c r="W100" s="1467"/>
      <c r="X100" s="1491"/>
      <c r="Y100" s="1491">
        <v>30</v>
      </c>
      <c r="Z100" s="1554" t="s">
        <v>1576</v>
      </c>
      <c r="AA100" s="1440" t="s">
        <v>1767</v>
      </c>
      <c r="AB100" s="1461"/>
      <c r="AC100" s="1461"/>
      <c r="AD100" s="1481" t="s">
        <v>1532</v>
      </c>
      <c r="AE100" s="1461"/>
      <c r="AF100" s="1461"/>
      <c r="AG100" s="1461"/>
      <c r="BD100" s="1482" t="s">
        <v>619</v>
      </c>
      <c r="BE100" s="1488">
        <v>30</v>
      </c>
      <c r="BF100" s="1482" t="s">
        <v>965</v>
      </c>
    </row>
    <row r="101" spans="1:58">
      <c r="A101" s="1487" t="s">
        <v>1768</v>
      </c>
      <c r="B101" s="1562" t="s">
        <v>1569</v>
      </c>
      <c r="C101" s="1488">
        <f>+Y101*1.02</f>
        <v>2.4633000000000003</v>
      </c>
      <c r="D101" s="1562" t="s">
        <v>965</v>
      </c>
      <c r="E101" s="1614" t="s">
        <v>1569</v>
      </c>
      <c r="F101" s="1489">
        <v>1.5</v>
      </c>
      <c r="G101" s="1563"/>
      <c r="H101" s="1564" t="s">
        <v>1569</v>
      </c>
      <c r="I101" s="1490">
        <v>2.5</v>
      </c>
      <c r="J101" s="1564" t="s">
        <v>965</v>
      </c>
      <c r="K101" s="1565" t="s">
        <v>1769</v>
      </c>
      <c r="L101" s="1614" t="s">
        <v>1569</v>
      </c>
      <c r="M101" s="1489"/>
      <c r="N101" s="1563"/>
      <c r="O101" s="1614" t="s">
        <v>1569</v>
      </c>
      <c r="P101" s="1489"/>
      <c r="Q101" s="1563"/>
      <c r="S101" s="1490">
        <v>2.2999999999999998</v>
      </c>
      <c r="T101" s="1478">
        <f t="shared" si="22"/>
        <v>2</v>
      </c>
      <c r="U101" s="1478">
        <f t="shared" si="21"/>
        <v>2.1</v>
      </c>
      <c r="W101" s="1467">
        <v>2.2999999999999998</v>
      </c>
      <c r="X101" s="1491">
        <f t="shared" si="24"/>
        <v>2.415</v>
      </c>
      <c r="Y101" s="1491">
        <v>2.415</v>
      </c>
      <c r="Z101" s="1480" t="s">
        <v>1770</v>
      </c>
      <c r="AB101" s="1461"/>
      <c r="AC101" s="1461"/>
      <c r="AD101" s="1481" t="s">
        <v>1532</v>
      </c>
      <c r="AE101" s="1461"/>
      <c r="AF101" s="1461"/>
      <c r="AG101" s="1461"/>
      <c r="BD101" s="1562" t="s">
        <v>1569</v>
      </c>
      <c r="BE101" s="1488">
        <f>+CA101*1.02</f>
        <v>0</v>
      </c>
      <c r="BF101" s="1562" t="s">
        <v>965</v>
      </c>
    </row>
    <row r="102" spans="1:58">
      <c r="A102" s="1499" t="s">
        <v>1771</v>
      </c>
      <c r="B102" s="1500" t="s">
        <v>1619</v>
      </c>
      <c r="C102" s="1488">
        <f>+Y102*1.07</f>
        <v>39.322500000000005</v>
      </c>
      <c r="D102" s="1500" t="s">
        <v>965</v>
      </c>
      <c r="E102" s="1518" t="s">
        <v>1772</v>
      </c>
      <c r="F102" s="1519"/>
      <c r="G102" s="1520"/>
      <c r="H102" s="1500" t="s">
        <v>1772</v>
      </c>
      <c r="I102" s="1579">
        <v>35</v>
      </c>
      <c r="J102" s="1500" t="s">
        <v>965</v>
      </c>
      <c r="K102" s="1499"/>
      <c r="L102" s="1518" t="s">
        <v>1772</v>
      </c>
      <c r="M102" s="1519"/>
      <c r="N102" s="1520"/>
      <c r="O102" s="1518" t="s">
        <v>1772</v>
      </c>
      <c r="P102" s="1519"/>
      <c r="Q102" s="1520"/>
      <c r="S102" s="1579">
        <v>35</v>
      </c>
      <c r="T102" s="1478">
        <f t="shared" si="22"/>
        <v>35</v>
      </c>
      <c r="U102" s="1478">
        <f t="shared" si="21"/>
        <v>35</v>
      </c>
      <c r="W102" s="1467">
        <v>35</v>
      </c>
      <c r="X102" s="1491">
        <f t="shared" si="24"/>
        <v>36.75</v>
      </c>
      <c r="Y102" s="1491">
        <v>36.75</v>
      </c>
      <c r="Z102" s="1492" t="s">
        <v>1547</v>
      </c>
      <c r="AB102" s="1461"/>
      <c r="AC102" s="1461"/>
      <c r="AD102" s="1481" t="s">
        <v>1532</v>
      </c>
      <c r="AE102" s="1461"/>
      <c r="AF102" s="1461"/>
      <c r="AG102" s="1461"/>
      <c r="BD102" s="1500" t="s">
        <v>1619</v>
      </c>
      <c r="BE102" s="1488">
        <f>+CA102*1.07</f>
        <v>0</v>
      </c>
      <c r="BF102" s="1500" t="s">
        <v>965</v>
      </c>
    </row>
    <row r="103" spans="1:58">
      <c r="A103" s="1499" t="s">
        <v>1773</v>
      </c>
      <c r="B103" s="1500" t="s">
        <v>1774</v>
      </c>
      <c r="C103" s="1488">
        <f>+Y103*1.07</f>
        <v>20.222999999999999</v>
      </c>
      <c r="D103" s="1482" t="s">
        <v>965</v>
      </c>
      <c r="E103" s="1501" t="s">
        <v>1774</v>
      </c>
      <c r="F103" s="1489"/>
      <c r="G103" s="1474"/>
      <c r="H103" s="1502" t="s">
        <v>1774</v>
      </c>
      <c r="J103" s="1475" t="s">
        <v>965</v>
      </c>
      <c r="K103" s="1477"/>
      <c r="L103" s="1501" t="s">
        <v>1774</v>
      </c>
      <c r="M103" s="1489"/>
      <c r="N103" s="1474"/>
      <c r="O103" s="1501" t="s">
        <v>1774</v>
      </c>
      <c r="P103" s="1489"/>
      <c r="Q103" s="1474"/>
      <c r="S103" s="1490">
        <v>18</v>
      </c>
      <c r="T103" s="1478" t="e">
        <f t="shared" si="22"/>
        <v>#DIV/0!</v>
      </c>
      <c r="U103" s="1478">
        <f t="shared" si="21"/>
        <v>18</v>
      </c>
      <c r="W103" s="1467">
        <v>18</v>
      </c>
      <c r="X103" s="1491">
        <f t="shared" si="24"/>
        <v>18.900000000000002</v>
      </c>
      <c r="Y103" s="1491">
        <v>18.899999999999999</v>
      </c>
      <c r="Z103" s="1492" t="s">
        <v>1547</v>
      </c>
      <c r="AA103" s="1550"/>
      <c r="AB103" s="1461"/>
      <c r="AC103" s="1461"/>
      <c r="AD103" s="1481" t="s">
        <v>1532</v>
      </c>
      <c r="AE103" s="1461"/>
      <c r="AF103" s="1461"/>
      <c r="AG103" s="1461"/>
      <c r="BD103" s="1500" t="s">
        <v>1774</v>
      </c>
      <c r="BE103" s="1488">
        <f>+CA103*1.07</f>
        <v>0</v>
      </c>
      <c r="BF103" s="1482" t="s">
        <v>965</v>
      </c>
    </row>
    <row r="104" spans="1:58">
      <c r="A104" s="1499" t="s">
        <v>1775</v>
      </c>
      <c r="B104" s="1500" t="s">
        <v>619</v>
      </c>
      <c r="C104" s="1488">
        <v>20</v>
      </c>
      <c r="D104" s="1482" t="s">
        <v>965</v>
      </c>
      <c r="E104" s="1501"/>
      <c r="F104" s="1489"/>
      <c r="G104" s="1474"/>
      <c r="H104" s="1502"/>
      <c r="J104" s="1475"/>
      <c r="K104" s="1477"/>
      <c r="L104" s="1501"/>
      <c r="M104" s="1489"/>
      <c r="N104" s="1474"/>
      <c r="O104" s="1501"/>
      <c r="P104" s="1489"/>
      <c r="Q104" s="1474"/>
      <c r="T104" s="1478"/>
      <c r="U104" s="1478"/>
      <c r="W104" s="1467"/>
      <c r="X104" s="1491"/>
      <c r="Y104" s="1491">
        <v>17.63</v>
      </c>
      <c r="Z104" s="1554" t="s">
        <v>1765</v>
      </c>
      <c r="AA104" s="1440" t="s">
        <v>1776</v>
      </c>
      <c r="AB104" s="1461"/>
      <c r="AC104" s="1461"/>
      <c r="AD104" s="1481" t="s">
        <v>1532</v>
      </c>
      <c r="AE104" s="1461"/>
      <c r="AF104" s="1461"/>
      <c r="AG104" s="1461"/>
      <c r="BD104" s="1500" t="s">
        <v>619</v>
      </c>
      <c r="BE104" s="1488">
        <v>20</v>
      </c>
      <c r="BF104" s="1482" t="s">
        <v>965</v>
      </c>
    </row>
    <row r="105" spans="1:58">
      <c r="A105" s="1487" t="s">
        <v>1777</v>
      </c>
      <c r="B105" s="1482" t="s">
        <v>1619</v>
      </c>
      <c r="C105" s="1488">
        <f>+Y105*1.02</f>
        <v>2.5499999999999998</v>
      </c>
      <c r="D105" s="1482" t="s">
        <v>965</v>
      </c>
      <c r="E105" s="1472" t="s">
        <v>1619</v>
      </c>
      <c r="F105" s="1489"/>
      <c r="G105" s="1474"/>
      <c r="H105" s="1475" t="s">
        <v>1619</v>
      </c>
      <c r="J105" s="1475" t="s">
        <v>965</v>
      </c>
      <c r="K105" s="1477"/>
      <c r="L105" s="1472" t="s">
        <v>1619</v>
      </c>
      <c r="M105" s="1489"/>
      <c r="N105" s="1474"/>
      <c r="O105" s="1472" t="s">
        <v>1619</v>
      </c>
      <c r="P105" s="1555">
        <f>+W105*1.25</f>
        <v>2.5</v>
      </c>
      <c r="Q105" s="1556" t="s">
        <v>1778</v>
      </c>
      <c r="S105" s="1490">
        <v>2</v>
      </c>
      <c r="T105" s="1478" t="e">
        <f t="shared" si="22"/>
        <v>#DIV/0!</v>
      </c>
      <c r="U105" s="1478">
        <f t="shared" si="21"/>
        <v>2</v>
      </c>
      <c r="W105" s="1467">
        <v>2</v>
      </c>
      <c r="X105" s="1491">
        <f>+S105*1.25</f>
        <v>2.5</v>
      </c>
      <c r="Y105" s="1491">
        <v>2.5</v>
      </c>
      <c r="Z105" s="1480" t="s">
        <v>1770</v>
      </c>
      <c r="AB105" s="1461" t="s">
        <v>1779</v>
      </c>
      <c r="AC105" s="1461"/>
      <c r="AD105" s="1481" t="s">
        <v>1532</v>
      </c>
      <c r="AE105" s="1461"/>
      <c r="AF105" s="1461"/>
      <c r="AG105" s="1461"/>
      <c r="BD105" s="1482" t="s">
        <v>1619</v>
      </c>
      <c r="BE105" s="1488">
        <f>+CA105*1.02</f>
        <v>0</v>
      </c>
      <c r="BF105" s="1482" t="s">
        <v>965</v>
      </c>
    </row>
    <row r="106" spans="1:58">
      <c r="A106" s="1487" t="s">
        <v>1780</v>
      </c>
      <c r="B106" s="1482" t="s">
        <v>1616</v>
      </c>
      <c r="C106" s="1488">
        <f t="shared" ref="C106:C117" si="25">+Y106*1.02</f>
        <v>7.6499999999999999E-2</v>
      </c>
      <c r="D106" s="1482" t="s">
        <v>965</v>
      </c>
      <c r="E106" s="1472" t="s">
        <v>1616</v>
      </c>
      <c r="F106" s="1489"/>
      <c r="G106" s="1474"/>
      <c r="H106" s="1475" t="s">
        <v>1616</v>
      </c>
      <c r="J106" s="1475" t="s">
        <v>965</v>
      </c>
      <c r="K106" s="1477"/>
      <c r="L106" s="1472" t="s">
        <v>1616</v>
      </c>
      <c r="M106" s="1489"/>
      <c r="N106" s="1474"/>
      <c r="O106" s="1472" t="s">
        <v>1616</v>
      </c>
      <c r="P106" s="1555">
        <f t="shared" ref="P106:P116" si="26">+W106*1.25</f>
        <v>7.4999999999999997E-2</v>
      </c>
      <c r="Q106" s="1556" t="s">
        <v>1778</v>
      </c>
      <c r="S106" s="1490">
        <v>0.06</v>
      </c>
      <c r="T106" s="1478" t="e">
        <f t="shared" si="22"/>
        <v>#DIV/0!</v>
      </c>
      <c r="U106" s="1478">
        <f t="shared" si="21"/>
        <v>0.06</v>
      </c>
      <c r="W106" s="1467">
        <v>0.06</v>
      </c>
      <c r="X106" s="1491">
        <f t="shared" ref="X106:X117" si="27">+S106*1.25</f>
        <v>7.4999999999999997E-2</v>
      </c>
      <c r="Y106" s="1491">
        <v>7.4999999999999997E-2</v>
      </c>
      <c r="Z106" s="1480" t="s">
        <v>1770</v>
      </c>
      <c r="AB106" s="1461" t="s">
        <v>1779</v>
      </c>
      <c r="AC106" s="1461"/>
      <c r="AD106" s="1481" t="s">
        <v>1532</v>
      </c>
      <c r="AE106" s="1461"/>
      <c r="AF106" s="1461"/>
      <c r="AG106" s="1461"/>
      <c r="BD106" s="1482" t="s">
        <v>1616</v>
      </c>
      <c r="BE106" s="1488">
        <f t="shared" ref="BE106:BE117" si="28">+CA106*1.02</f>
        <v>0</v>
      </c>
      <c r="BF106" s="1482" t="s">
        <v>965</v>
      </c>
    </row>
    <row r="107" spans="1:58">
      <c r="A107" s="1487" t="s">
        <v>1781</v>
      </c>
      <c r="B107" s="1482" t="s">
        <v>1616</v>
      </c>
      <c r="C107" s="1488">
        <f t="shared" si="25"/>
        <v>0.1275</v>
      </c>
      <c r="D107" s="1482" t="s">
        <v>965</v>
      </c>
      <c r="E107" s="1472" t="s">
        <v>1616</v>
      </c>
      <c r="F107" s="1489"/>
      <c r="G107" s="1474"/>
      <c r="H107" s="1475" t="s">
        <v>1616</v>
      </c>
      <c r="J107" s="1475" t="s">
        <v>965</v>
      </c>
      <c r="K107" s="1477"/>
      <c r="L107" s="1472" t="s">
        <v>1616</v>
      </c>
      <c r="M107" s="1489"/>
      <c r="N107" s="1474"/>
      <c r="O107" s="1472" t="s">
        <v>1616</v>
      </c>
      <c r="P107" s="1555">
        <f t="shared" si="26"/>
        <v>0.125</v>
      </c>
      <c r="Q107" s="1556" t="s">
        <v>1778</v>
      </c>
      <c r="S107" s="1490">
        <v>0.1</v>
      </c>
      <c r="T107" s="1478" t="e">
        <f t="shared" si="22"/>
        <v>#DIV/0!</v>
      </c>
      <c r="U107" s="1478">
        <f t="shared" si="21"/>
        <v>0.1</v>
      </c>
      <c r="W107" s="1467">
        <v>0.1</v>
      </c>
      <c r="X107" s="1491">
        <f t="shared" si="27"/>
        <v>0.125</v>
      </c>
      <c r="Y107" s="1491">
        <v>0.125</v>
      </c>
      <c r="Z107" s="1480" t="s">
        <v>1770</v>
      </c>
      <c r="AB107" s="1461" t="s">
        <v>1779</v>
      </c>
      <c r="AC107" s="1461"/>
      <c r="AD107" s="1481" t="s">
        <v>1532</v>
      </c>
      <c r="AE107" s="1461"/>
      <c r="AF107" s="1461"/>
      <c r="AG107" s="1461"/>
      <c r="BD107" s="1482" t="s">
        <v>1616</v>
      </c>
      <c r="BE107" s="1488">
        <f t="shared" si="28"/>
        <v>0</v>
      </c>
      <c r="BF107" s="1482" t="s">
        <v>965</v>
      </c>
    </row>
    <row r="108" spans="1:58">
      <c r="A108" s="1487" t="s">
        <v>1782</v>
      </c>
      <c r="B108" s="1482" t="s">
        <v>1569</v>
      </c>
      <c r="C108" s="1488">
        <f t="shared" si="25"/>
        <v>1.9762500000000001</v>
      </c>
      <c r="D108" s="1482" t="s">
        <v>965</v>
      </c>
      <c r="E108" s="1472" t="s">
        <v>1569</v>
      </c>
      <c r="F108" s="1489">
        <v>1.5</v>
      </c>
      <c r="G108" s="1474" t="s">
        <v>1783</v>
      </c>
      <c r="H108" s="1475" t="s">
        <v>1569</v>
      </c>
      <c r="I108" s="1490">
        <v>1.9</v>
      </c>
      <c r="J108" s="1475" t="s">
        <v>965</v>
      </c>
      <c r="K108" s="1474" t="s">
        <v>1784</v>
      </c>
      <c r="L108" s="1475" t="s">
        <v>1569</v>
      </c>
      <c r="M108" s="1489">
        <v>1.27</v>
      </c>
      <c r="N108" s="1474" t="s">
        <v>1785</v>
      </c>
      <c r="O108" s="1475" t="s">
        <v>1569</v>
      </c>
      <c r="P108" s="1555">
        <f t="shared" si="26"/>
        <v>1.9375</v>
      </c>
      <c r="Q108" s="1556" t="s">
        <v>1778</v>
      </c>
      <c r="S108" s="1490">
        <v>1.55</v>
      </c>
      <c r="T108" s="1478">
        <f>AVERAGE(F108,I108,M108)</f>
        <v>1.5566666666666666</v>
      </c>
      <c r="U108" s="1478">
        <f t="shared" si="21"/>
        <v>1.5549999999999997</v>
      </c>
      <c r="W108" s="1467">
        <v>1.55</v>
      </c>
      <c r="X108" s="1491">
        <f t="shared" si="27"/>
        <v>1.9375</v>
      </c>
      <c r="Y108" s="1491">
        <v>1.9375</v>
      </c>
      <c r="Z108" s="1480" t="s">
        <v>1770</v>
      </c>
      <c r="AB108" s="1461" t="s">
        <v>1779</v>
      </c>
      <c r="AC108" s="1461"/>
      <c r="AD108" s="1481" t="s">
        <v>1532</v>
      </c>
      <c r="AE108" s="1461"/>
      <c r="AF108" s="1461"/>
      <c r="AG108" s="1461"/>
      <c r="BD108" s="1482" t="s">
        <v>1569</v>
      </c>
      <c r="BE108" s="1488">
        <f t="shared" si="28"/>
        <v>0</v>
      </c>
      <c r="BF108" s="1482" t="s">
        <v>965</v>
      </c>
    </row>
    <row r="109" spans="1:58">
      <c r="A109" s="1487" t="s">
        <v>1786</v>
      </c>
      <c r="B109" s="1482" t="s">
        <v>619</v>
      </c>
      <c r="C109" s="1488">
        <f t="shared" si="25"/>
        <v>165.75</v>
      </c>
      <c r="D109" s="1482" t="s">
        <v>965</v>
      </c>
      <c r="E109" s="1472" t="s">
        <v>619</v>
      </c>
      <c r="F109" s="1489">
        <f>75*1.5</f>
        <v>112.5</v>
      </c>
      <c r="G109" s="1474" t="s">
        <v>1787</v>
      </c>
      <c r="H109" s="1475" t="s">
        <v>619</v>
      </c>
      <c r="J109" s="1475" t="s">
        <v>965</v>
      </c>
      <c r="K109" s="1477"/>
      <c r="L109" s="1472" t="s">
        <v>619</v>
      </c>
      <c r="M109" s="1489">
        <v>415.24</v>
      </c>
      <c r="N109" s="1526" t="s">
        <v>1788</v>
      </c>
      <c r="O109" s="1472" t="s">
        <v>619</v>
      </c>
      <c r="P109" s="1555">
        <f t="shared" si="26"/>
        <v>162.5</v>
      </c>
      <c r="Q109" s="1556" t="s">
        <v>1778</v>
      </c>
      <c r="S109" s="1490">
        <v>130</v>
      </c>
      <c r="T109" s="1478">
        <f t="shared" si="22"/>
        <v>263.87</v>
      </c>
      <c r="U109" s="1478">
        <f t="shared" si="21"/>
        <v>219.24666666666667</v>
      </c>
      <c r="W109" s="1467">
        <v>130</v>
      </c>
      <c r="X109" s="1491">
        <f t="shared" si="27"/>
        <v>162.5</v>
      </c>
      <c r="Y109" s="1491">
        <v>162.5</v>
      </c>
      <c r="Z109" s="1480" t="s">
        <v>1770</v>
      </c>
      <c r="AB109" s="1461" t="s">
        <v>1779</v>
      </c>
      <c r="AC109" s="1461"/>
      <c r="AD109" s="1481" t="s">
        <v>1532</v>
      </c>
      <c r="AE109" s="1461"/>
      <c r="AF109" s="1461"/>
      <c r="AG109" s="1461"/>
      <c r="BD109" s="1482" t="s">
        <v>619</v>
      </c>
      <c r="BE109" s="1488">
        <f t="shared" si="28"/>
        <v>0</v>
      </c>
      <c r="BF109" s="1482" t="s">
        <v>965</v>
      </c>
    </row>
    <row r="110" spans="1:58">
      <c r="A110" s="1499" t="s">
        <v>1789</v>
      </c>
      <c r="B110" s="1524" t="s">
        <v>619</v>
      </c>
      <c r="C110" s="1488">
        <f t="shared" si="25"/>
        <v>701.25</v>
      </c>
      <c r="D110" s="1500" t="s">
        <v>965</v>
      </c>
      <c r="E110" s="1525" t="s">
        <v>619</v>
      </c>
      <c r="F110" s="1489"/>
      <c r="G110" s="1526"/>
      <c r="H110" s="1527" t="s">
        <v>619</v>
      </c>
      <c r="J110" s="1502" t="s">
        <v>965</v>
      </c>
      <c r="K110" s="1528"/>
      <c r="L110" s="1525" t="s">
        <v>619</v>
      </c>
      <c r="M110" s="1489"/>
      <c r="N110" s="1526"/>
      <c r="O110" s="1525" t="s">
        <v>619</v>
      </c>
      <c r="P110" s="1555">
        <f t="shared" si="26"/>
        <v>687.5</v>
      </c>
      <c r="Q110" s="1556" t="s">
        <v>1778</v>
      </c>
      <c r="S110" s="1490">
        <v>550</v>
      </c>
      <c r="T110" s="1478" t="e">
        <f t="shared" si="22"/>
        <v>#DIV/0!</v>
      </c>
      <c r="U110" s="1478">
        <f t="shared" si="21"/>
        <v>550</v>
      </c>
      <c r="W110" s="1467">
        <v>550</v>
      </c>
      <c r="X110" s="1491">
        <f t="shared" si="27"/>
        <v>687.5</v>
      </c>
      <c r="Y110" s="1491">
        <v>687.5</v>
      </c>
      <c r="Z110" s="1480" t="s">
        <v>1770</v>
      </c>
      <c r="AB110" s="1461" t="s">
        <v>1779</v>
      </c>
      <c r="AC110" s="1461"/>
      <c r="AD110" s="1481" t="s">
        <v>1532</v>
      </c>
      <c r="AE110" s="1461"/>
      <c r="AF110" s="1461"/>
      <c r="AG110" s="1461"/>
      <c r="BD110" s="1524" t="s">
        <v>619</v>
      </c>
      <c r="BE110" s="1488">
        <f t="shared" si="28"/>
        <v>0</v>
      </c>
      <c r="BF110" s="1500" t="s">
        <v>965</v>
      </c>
    </row>
    <row r="111" spans="1:58">
      <c r="A111" s="1487" t="s">
        <v>1790</v>
      </c>
      <c r="B111" s="1482" t="s">
        <v>619</v>
      </c>
      <c r="C111" s="1488">
        <f t="shared" si="25"/>
        <v>503.625</v>
      </c>
      <c r="D111" s="1482" t="s">
        <v>965</v>
      </c>
      <c r="E111" s="1472" t="s">
        <v>619</v>
      </c>
      <c r="F111" s="1489">
        <v>300</v>
      </c>
      <c r="G111" s="1474" t="s">
        <v>1791</v>
      </c>
      <c r="H111" s="1475" t="s">
        <v>619</v>
      </c>
      <c r="J111" s="1475" t="s">
        <v>965</v>
      </c>
      <c r="K111" s="1477"/>
      <c r="L111" s="1472" t="s">
        <v>619</v>
      </c>
      <c r="M111" s="1489">
        <v>758.57</v>
      </c>
      <c r="N111" s="1526" t="s">
        <v>1792</v>
      </c>
      <c r="O111" s="1472" t="s">
        <v>619</v>
      </c>
      <c r="P111" s="1555">
        <f t="shared" si="26"/>
        <v>493.75</v>
      </c>
      <c r="Q111" s="1556" t="s">
        <v>1778</v>
      </c>
      <c r="S111" s="1490">
        <v>395</v>
      </c>
      <c r="T111" s="1478">
        <f t="shared" si="22"/>
        <v>529.28500000000008</v>
      </c>
      <c r="U111" s="1478">
        <f t="shared" si="21"/>
        <v>484.52333333333337</v>
      </c>
      <c r="W111" s="1467">
        <v>395</v>
      </c>
      <c r="X111" s="1491">
        <f t="shared" si="27"/>
        <v>493.75</v>
      </c>
      <c r="Y111" s="1491">
        <v>493.75</v>
      </c>
      <c r="Z111" s="1480" t="s">
        <v>1770</v>
      </c>
      <c r="AB111" s="1461" t="s">
        <v>1779</v>
      </c>
      <c r="AC111" s="1461"/>
      <c r="AD111" s="1481" t="s">
        <v>1532</v>
      </c>
      <c r="AE111" s="1461"/>
      <c r="AF111" s="1461"/>
      <c r="AG111" s="1461"/>
      <c r="BD111" s="1482" t="s">
        <v>619</v>
      </c>
      <c r="BE111" s="1488">
        <f t="shared" si="28"/>
        <v>0</v>
      </c>
      <c r="BF111" s="1482" t="s">
        <v>965</v>
      </c>
    </row>
    <row r="112" spans="1:58">
      <c r="A112" s="1499" t="s">
        <v>1793</v>
      </c>
      <c r="B112" s="1524" t="s">
        <v>619</v>
      </c>
      <c r="C112" s="1488">
        <f t="shared" si="25"/>
        <v>1020</v>
      </c>
      <c r="D112" s="1500" t="s">
        <v>965</v>
      </c>
      <c r="E112" s="1525" t="s">
        <v>619</v>
      </c>
      <c r="F112" s="1489"/>
      <c r="G112" s="1526"/>
      <c r="H112" s="1527" t="s">
        <v>619</v>
      </c>
      <c r="J112" s="1502" t="s">
        <v>965</v>
      </c>
      <c r="K112" s="1528"/>
      <c r="L112" s="1525" t="s">
        <v>619</v>
      </c>
      <c r="M112" s="1489"/>
      <c r="N112" s="1526"/>
      <c r="O112" s="1525" t="s">
        <v>619</v>
      </c>
      <c r="P112" s="1615">
        <f t="shared" si="26"/>
        <v>1000</v>
      </c>
      <c r="Q112" s="1556" t="s">
        <v>1778</v>
      </c>
      <c r="S112" s="1490">
        <v>800</v>
      </c>
      <c r="T112" s="1478" t="e">
        <f t="shared" si="22"/>
        <v>#DIV/0!</v>
      </c>
      <c r="U112" s="1478">
        <f t="shared" si="21"/>
        <v>800</v>
      </c>
      <c r="W112" s="1467">
        <v>800</v>
      </c>
      <c r="X112" s="1491">
        <f t="shared" si="27"/>
        <v>1000</v>
      </c>
      <c r="Y112" s="1491">
        <v>1000</v>
      </c>
      <c r="Z112" s="1480" t="s">
        <v>1770</v>
      </c>
      <c r="AB112" s="1461" t="s">
        <v>1779</v>
      </c>
      <c r="AC112" s="1461"/>
      <c r="AD112" s="1481" t="s">
        <v>1532</v>
      </c>
      <c r="AE112" s="1461"/>
      <c r="AF112" s="1461"/>
      <c r="AG112" s="1461"/>
      <c r="BD112" s="1524" t="s">
        <v>619</v>
      </c>
      <c r="BE112" s="1488">
        <f t="shared" si="28"/>
        <v>0</v>
      </c>
      <c r="BF112" s="1500" t="s">
        <v>965</v>
      </c>
    </row>
    <row r="113" spans="1:58">
      <c r="A113" s="1487" t="s">
        <v>1794</v>
      </c>
      <c r="B113" s="1482" t="s">
        <v>619</v>
      </c>
      <c r="C113" s="1488">
        <f t="shared" si="25"/>
        <v>835.125</v>
      </c>
      <c r="D113" s="1482" t="s">
        <v>965</v>
      </c>
      <c r="E113" s="1472" t="s">
        <v>619</v>
      </c>
      <c r="F113" s="1489">
        <v>600</v>
      </c>
      <c r="G113" s="1474" t="s">
        <v>1791</v>
      </c>
      <c r="H113" s="1475" t="s">
        <v>619</v>
      </c>
      <c r="J113" s="1475" t="s">
        <v>965</v>
      </c>
      <c r="K113" s="1477"/>
      <c r="L113" s="1472" t="s">
        <v>619</v>
      </c>
      <c r="M113" s="1489">
        <v>1200.2</v>
      </c>
      <c r="N113" s="1526" t="s">
        <v>1795</v>
      </c>
      <c r="O113" s="1472" t="s">
        <v>619</v>
      </c>
      <c r="P113" s="1555">
        <f t="shared" si="26"/>
        <v>818.75</v>
      </c>
      <c r="Q113" s="1556" t="s">
        <v>1778</v>
      </c>
      <c r="S113" s="1490">
        <v>655</v>
      </c>
      <c r="T113" s="1478">
        <f t="shared" si="22"/>
        <v>900.1</v>
      </c>
      <c r="U113" s="1478">
        <f t="shared" si="21"/>
        <v>818.4</v>
      </c>
      <c r="W113" s="1467">
        <v>655</v>
      </c>
      <c r="X113" s="1491">
        <f t="shared" si="27"/>
        <v>818.75</v>
      </c>
      <c r="Y113" s="1491">
        <v>818.75</v>
      </c>
      <c r="Z113" s="1480" t="s">
        <v>1770</v>
      </c>
      <c r="AB113" s="1461" t="s">
        <v>1779</v>
      </c>
      <c r="AC113" s="1461"/>
      <c r="AD113" s="1481" t="s">
        <v>1532</v>
      </c>
      <c r="AE113" s="1461"/>
      <c r="AF113" s="1461"/>
      <c r="AG113" s="1461"/>
      <c r="BD113" s="1482" t="s">
        <v>619</v>
      </c>
      <c r="BE113" s="1488">
        <f t="shared" si="28"/>
        <v>0</v>
      </c>
      <c r="BF113" s="1482" t="s">
        <v>965</v>
      </c>
    </row>
    <row r="114" spans="1:58">
      <c r="A114" s="1499" t="s">
        <v>1796</v>
      </c>
      <c r="B114" s="1524" t="s">
        <v>619</v>
      </c>
      <c r="C114" s="1488">
        <f t="shared" si="25"/>
        <v>1708.5</v>
      </c>
      <c r="D114" s="1500" t="s">
        <v>965</v>
      </c>
      <c r="E114" s="1525" t="s">
        <v>619</v>
      </c>
      <c r="F114" s="1489"/>
      <c r="G114" s="1526"/>
      <c r="H114" s="1527" t="s">
        <v>619</v>
      </c>
      <c r="J114" s="1502" t="s">
        <v>965</v>
      </c>
      <c r="K114" s="1528"/>
      <c r="L114" s="1525" t="s">
        <v>619</v>
      </c>
      <c r="N114" s="1581"/>
      <c r="O114" s="1525" t="s">
        <v>619</v>
      </c>
      <c r="P114" s="1615">
        <f t="shared" si="26"/>
        <v>1675</v>
      </c>
      <c r="Q114" s="1556" t="s">
        <v>1778</v>
      </c>
      <c r="S114" s="1490">
        <v>1340</v>
      </c>
      <c r="T114" s="1478" t="e">
        <f t="shared" si="22"/>
        <v>#DIV/0!</v>
      </c>
      <c r="U114" s="1478">
        <f t="shared" si="21"/>
        <v>1340</v>
      </c>
      <c r="W114" s="1467">
        <v>1340</v>
      </c>
      <c r="X114" s="1491">
        <f t="shared" si="27"/>
        <v>1675</v>
      </c>
      <c r="Y114" s="1491">
        <v>1675</v>
      </c>
      <c r="Z114" s="1480" t="s">
        <v>1770</v>
      </c>
      <c r="AB114" s="1461" t="s">
        <v>1779</v>
      </c>
      <c r="AC114" s="1461"/>
      <c r="AD114" s="1481" t="s">
        <v>1532</v>
      </c>
      <c r="AE114" s="1461"/>
      <c r="AF114" s="1461"/>
      <c r="AG114" s="1461"/>
      <c r="BD114" s="1524" t="s">
        <v>619</v>
      </c>
      <c r="BE114" s="1488">
        <f t="shared" si="28"/>
        <v>0</v>
      </c>
      <c r="BF114" s="1500" t="s">
        <v>965</v>
      </c>
    </row>
    <row r="115" spans="1:58">
      <c r="A115" s="1487" t="s">
        <v>1797</v>
      </c>
      <c r="B115" s="1482" t="s">
        <v>619</v>
      </c>
      <c r="C115" s="1488">
        <f t="shared" si="25"/>
        <v>1530</v>
      </c>
      <c r="D115" s="1482" t="s">
        <v>965</v>
      </c>
      <c r="E115" s="1472" t="s">
        <v>619</v>
      </c>
      <c r="F115" s="1489">
        <f>75*15</f>
        <v>1125</v>
      </c>
      <c r="G115" s="1474" t="s">
        <v>1798</v>
      </c>
      <c r="H115" s="1475" t="s">
        <v>619</v>
      </c>
      <c r="J115" s="1475" t="s">
        <v>965</v>
      </c>
      <c r="K115" s="1477"/>
      <c r="L115" s="1472" t="s">
        <v>619</v>
      </c>
      <c r="N115" s="1581"/>
      <c r="O115" s="1472" t="s">
        <v>619</v>
      </c>
      <c r="P115" s="1615">
        <f t="shared" si="26"/>
        <v>1500</v>
      </c>
      <c r="Q115" s="1556" t="s">
        <v>1778</v>
      </c>
      <c r="S115" s="1490">
        <v>1200</v>
      </c>
      <c r="T115" s="1478">
        <f t="shared" si="22"/>
        <v>1125</v>
      </c>
      <c r="U115" s="1478">
        <f t="shared" si="21"/>
        <v>1162.5</v>
      </c>
      <c r="W115" s="1467">
        <v>1200</v>
      </c>
      <c r="X115" s="1491">
        <f t="shared" si="27"/>
        <v>1500</v>
      </c>
      <c r="Y115" s="1491">
        <v>1500</v>
      </c>
      <c r="Z115" s="1480" t="s">
        <v>1770</v>
      </c>
      <c r="AB115" s="1461" t="s">
        <v>1779</v>
      </c>
      <c r="AC115" s="1461"/>
      <c r="AD115" s="1481" t="s">
        <v>1532</v>
      </c>
      <c r="AE115" s="1461"/>
      <c r="AF115" s="1461"/>
      <c r="AG115" s="1461"/>
      <c r="BD115" s="1482" t="s">
        <v>619</v>
      </c>
      <c r="BE115" s="1488">
        <f t="shared" si="28"/>
        <v>0</v>
      </c>
      <c r="BF115" s="1482" t="s">
        <v>965</v>
      </c>
    </row>
    <row r="116" spans="1:58">
      <c r="A116" s="1499" t="s">
        <v>1799</v>
      </c>
      <c r="B116" s="1524" t="s">
        <v>619</v>
      </c>
      <c r="C116" s="1488">
        <f t="shared" si="25"/>
        <v>2040</v>
      </c>
      <c r="D116" s="1500" t="s">
        <v>965</v>
      </c>
      <c r="E116" s="1525" t="s">
        <v>619</v>
      </c>
      <c r="F116" s="1489"/>
      <c r="G116" s="1526"/>
      <c r="H116" s="1527" t="s">
        <v>619</v>
      </c>
      <c r="J116" s="1502" t="s">
        <v>965</v>
      </c>
      <c r="K116" s="1528"/>
      <c r="L116" s="1525" t="s">
        <v>619</v>
      </c>
      <c r="M116" s="1489"/>
      <c r="N116" s="1526"/>
      <c r="O116" s="1525" t="s">
        <v>619</v>
      </c>
      <c r="P116" s="1615">
        <f t="shared" si="26"/>
        <v>2000</v>
      </c>
      <c r="Q116" s="1556" t="s">
        <v>1778</v>
      </c>
      <c r="S116" s="1490">
        <v>1600</v>
      </c>
      <c r="T116" s="1478" t="e">
        <f t="shared" si="22"/>
        <v>#DIV/0!</v>
      </c>
      <c r="U116" s="1478">
        <f t="shared" si="21"/>
        <v>1600</v>
      </c>
      <c r="W116" s="1467">
        <v>1600</v>
      </c>
      <c r="X116" s="1491">
        <f t="shared" si="27"/>
        <v>2000</v>
      </c>
      <c r="Y116" s="1491">
        <v>2000</v>
      </c>
      <c r="Z116" s="1480" t="s">
        <v>1770</v>
      </c>
      <c r="AB116" s="1461" t="s">
        <v>1779</v>
      </c>
      <c r="AC116" s="1461"/>
      <c r="AD116" s="1481" t="s">
        <v>1532</v>
      </c>
      <c r="AE116" s="1461"/>
      <c r="AF116" s="1461"/>
      <c r="AG116" s="1461"/>
      <c r="BD116" s="1524" t="s">
        <v>619</v>
      </c>
      <c r="BE116" s="1488">
        <f t="shared" si="28"/>
        <v>0</v>
      </c>
      <c r="BF116" s="1500" t="s">
        <v>965</v>
      </c>
    </row>
    <row r="117" spans="1:58">
      <c r="A117" s="1499" t="s">
        <v>1800</v>
      </c>
      <c r="B117" s="1500" t="s">
        <v>1619</v>
      </c>
      <c r="C117" s="1488">
        <f t="shared" si="25"/>
        <v>2.6647499999999997</v>
      </c>
      <c r="D117" s="1500" t="s">
        <v>1801</v>
      </c>
      <c r="E117" s="1501" t="s">
        <v>1619</v>
      </c>
      <c r="F117" s="1489">
        <v>3</v>
      </c>
      <c r="G117" s="1526"/>
      <c r="H117" s="1527"/>
      <c r="J117" s="1502"/>
      <c r="K117" s="1528"/>
      <c r="L117" s="1525"/>
      <c r="M117" s="1489"/>
      <c r="N117" s="1526"/>
      <c r="O117" s="1501" t="s">
        <v>1619</v>
      </c>
      <c r="P117" s="1489">
        <v>1.5</v>
      </c>
      <c r="Q117" s="1526" t="s">
        <v>1802</v>
      </c>
      <c r="S117" s="1579">
        <v>2.09</v>
      </c>
      <c r="T117" s="1478">
        <f>AVERAGE(F117,I117,M117)</f>
        <v>3</v>
      </c>
      <c r="U117" s="1478">
        <f t="shared" si="21"/>
        <v>2.5449999999999999</v>
      </c>
      <c r="W117" s="1467">
        <v>2.09</v>
      </c>
      <c r="X117" s="1491">
        <f t="shared" si="27"/>
        <v>2.6124999999999998</v>
      </c>
      <c r="Y117" s="1491">
        <v>2.6124999999999998</v>
      </c>
      <c r="Z117" s="1480" t="s">
        <v>1770</v>
      </c>
      <c r="AB117" s="1461" t="s">
        <v>1779</v>
      </c>
      <c r="AC117" s="1461"/>
      <c r="AD117" s="1481" t="s">
        <v>1532</v>
      </c>
      <c r="AE117" s="1461"/>
      <c r="AF117" s="1461"/>
      <c r="AG117" s="1461"/>
      <c r="BD117" s="1500" t="s">
        <v>1619</v>
      </c>
      <c r="BE117" s="1488">
        <f t="shared" si="28"/>
        <v>0</v>
      </c>
      <c r="BF117" s="1500" t="s">
        <v>1801</v>
      </c>
    </row>
    <row r="118" spans="1:58">
      <c r="A118" s="1487" t="s">
        <v>1803</v>
      </c>
      <c r="B118" s="1482" t="s">
        <v>761</v>
      </c>
      <c r="C118" s="1488">
        <f>5000/0.65</f>
        <v>7692.3076923076924</v>
      </c>
      <c r="D118" s="1482"/>
      <c r="E118" s="1472" t="s">
        <v>761</v>
      </c>
      <c r="F118" s="1489"/>
      <c r="G118" s="1474"/>
      <c r="H118" s="1475" t="s">
        <v>761</v>
      </c>
      <c r="J118" s="1475" t="s">
        <v>1804</v>
      </c>
      <c r="K118" s="1477"/>
      <c r="L118" s="1472" t="s">
        <v>761</v>
      </c>
      <c r="M118" s="1489"/>
      <c r="N118" s="1474"/>
      <c r="O118" s="1472" t="s">
        <v>761</v>
      </c>
      <c r="P118" s="1489"/>
      <c r="Q118" s="1474"/>
      <c r="S118" s="1490">
        <v>11539</v>
      </c>
      <c r="T118" s="1478" t="e">
        <f t="shared" si="22"/>
        <v>#DIV/0!</v>
      </c>
      <c r="U118" s="1478" t="e">
        <f t="shared" si="21"/>
        <v>#DIV/0!</v>
      </c>
      <c r="W118" s="1467"/>
      <c r="X118" s="1491"/>
      <c r="Y118" s="1491">
        <v>7692.3076923076924</v>
      </c>
      <c r="Z118" s="1554" t="s">
        <v>1576</v>
      </c>
      <c r="AA118" s="1440" t="s">
        <v>1805</v>
      </c>
      <c r="AB118" s="1461"/>
      <c r="AC118" s="1461"/>
      <c r="AD118" s="1481" t="s">
        <v>1532</v>
      </c>
      <c r="AE118" s="1461"/>
      <c r="AF118" s="1461"/>
      <c r="AG118" s="1461"/>
      <c r="BD118" s="1482" t="s">
        <v>761</v>
      </c>
      <c r="BE118" s="1488"/>
      <c r="BF118" s="1482"/>
    </row>
    <row r="119" spans="1:58">
      <c r="A119" s="1487" t="s">
        <v>1806</v>
      </c>
      <c r="B119" s="1482" t="s">
        <v>761</v>
      </c>
      <c r="C119" s="1488">
        <f>+Y119</f>
        <v>11538.461538461537</v>
      </c>
      <c r="D119" s="1482"/>
      <c r="E119" s="1472"/>
      <c r="F119" s="1489"/>
      <c r="G119" s="1474"/>
      <c r="H119" s="1475"/>
      <c r="J119" s="1475"/>
      <c r="K119" s="1477"/>
      <c r="L119" s="1472"/>
      <c r="M119" s="1489"/>
      <c r="N119" s="1474"/>
      <c r="O119" s="1472"/>
      <c r="P119" s="1489"/>
      <c r="Q119" s="1474"/>
      <c r="T119" s="1478"/>
      <c r="U119" s="1478"/>
      <c r="W119" s="1467">
        <v>11540</v>
      </c>
      <c r="X119" s="1491">
        <f>7500/0.65</f>
        <v>11538.461538461537</v>
      </c>
      <c r="Y119" s="1491">
        <v>11538.461538461537</v>
      </c>
      <c r="Z119" s="1554" t="s">
        <v>1576</v>
      </c>
      <c r="AA119" s="1440" t="s">
        <v>1805</v>
      </c>
      <c r="AB119" s="1461"/>
      <c r="AC119" s="1461"/>
      <c r="AD119" s="1481" t="s">
        <v>1532</v>
      </c>
      <c r="AE119" s="1461"/>
      <c r="AF119" s="1461"/>
      <c r="AG119" s="1461"/>
      <c r="BD119" s="1482" t="s">
        <v>761</v>
      </c>
      <c r="BE119" s="1488">
        <f>+CA119</f>
        <v>0</v>
      </c>
      <c r="BF119" s="1482"/>
    </row>
    <row r="120" spans="1:58">
      <c r="A120" s="1487" t="s">
        <v>1807</v>
      </c>
      <c r="B120" s="1482" t="s">
        <v>761</v>
      </c>
      <c r="C120" s="1488">
        <f>+Y120*1.05</f>
        <v>163.80000000000001</v>
      </c>
      <c r="D120" s="1482" t="s">
        <v>965</v>
      </c>
      <c r="E120" s="1472"/>
      <c r="F120" s="1489"/>
      <c r="G120" s="1474"/>
      <c r="H120" s="1475"/>
      <c r="J120" s="1475"/>
      <c r="K120" s="1477"/>
      <c r="L120" s="1472"/>
      <c r="M120" s="1489"/>
      <c r="N120" s="1474"/>
      <c r="O120" s="1472"/>
      <c r="P120" s="1489"/>
      <c r="Q120" s="1474"/>
      <c r="T120" s="1478"/>
      <c r="U120" s="1478"/>
      <c r="W120" s="1467"/>
      <c r="X120" s="1491"/>
      <c r="Y120" s="1491">
        <v>156</v>
      </c>
      <c r="Z120" s="1554" t="s">
        <v>1808</v>
      </c>
      <c r="AB120" s="1461"/>
      <c r="AC120" s="1461"/>
      <c r="AD120" s="1481" t="s">
        <v>1532</v>
      </c>
      <c r="AE120" s="1461"/>
      <c r="AF120" s="1461"/>
      <c r="AG120" s="1461"/>
      <c r="BD120" s="1482" t="s">
        <v>761</v>
      </c>
      <c r="BE120" s="1488">
        <f>+CA120*1.05</f>
        <v>0</v>
      </c>
      <c r="BF120" s="1482" t="s">
        <v>965</v>
      </c>
    </row>
    <row r="121" spans="1:58">
      <c r="A121" s="1487" t="s">
        <v>1809</v>
      </c>
      <c r="B121" s="1482" t="s">
        <v>761</v>
      </c>
      <c r="C121" s="1488">
        <f>+X121</f>
        <v>200</v>
      </c>
      <c r="D121" s="1482" t="s">
        <v>965</v>
      </c>
      <c r="E121" s="1472" t="s">
        <v>761</v>
      </c>
      <c r="F121" s="1489">
        <v>500</v>
      </c>
      <c r="G121" s="1474"/>
      <c r="H121" s="1475" t="s">
        <v>761</v>
      </c>
      <c r="J121" s="1475" t="s">
        <v>965</v>
      </c>
      <c r="K121" s="1477"/>
      <c r="L121" s="1472" t="s">
        <v>761</v>
      </c>
      <c r="M121" s="1489">
        <v>265</v>
      </c>
      <c r="N121" s="1474" t="s">
        <v>1810</v>
      </c>
      <c r="O121" s="1472" t="s">
        <v>761</v>
      </c>
      <c r="P121" s="1489"/>
      <c r="Q121" s="1474"/>
      <c r="S121" s="1490">
        <v>200</v>
      </c>
      <c r="T121" s="1478">
        <f t="shared" si="22"/>
        <v>382.5</v>
      </c>
      <c r="U121" s="1478">
        <f t="shared" si="21"/>
        <v>321.66666666666669</v>
      </c>
      <c r="W121" s="1467">
        <v>200</v>
      </c>
      <c r="X121" s="1491">
        <v>200</v>
      </c>
      <c r="Y121" s="1491">
        <v>200</v>
      </c>
      <c r="Z121" s="1554" t="s">
        <v>1576</v>
      </c>
      <c r="AB121" s="1461" t="s">
        <v>1811</v>
      </c>
      <c r="AC121" s="1461"/>
      <c r="AD121" s="1481" t="s">
        <v>1532</v>
      </c>
      <c r="AE121" s="1461"/>
      <c r="AF121" s="1461"/>
      <c r="AG121" s="1461"/>
      <c r="BD121" s="1482" t="s">
        <v>761</v>
      </c>
      <c r="BE121" s="1488">
        <f>+BZ121</f>
        <v>0</v>
      </c>
      <c r="BF121" s="1482" t="s">
        <v>965</v>
      </c>
    </row>
    <row r="122" spans="1:58">
      <c r="A122" s="1487" t="s">
        <v>1812</v>
      </c>
      <c r="B122" s="1482" t="s">
        <v>1813</v>
      </c>
      <c r="C122" s="1488">
        <f>+Y122*1.05</f>
        <v>1.1864999999999999</v>
      </c>
      <c r="D122" s="1482" t="s">
        <v>965</v>
      </c>
      <c r="E122" s="1472" t="s">
        <v>1813</v>
      </c>
      <c r="F122" s="1489">
        <v>1</v>
      </c>
      <c r="G122" s="1474" t="s">
        <v>1814</v>
      </c>
      <c r="H122" s="1475" t="s">
        <v>1813</v>
      </c>
      <c r="J122" s="1475" t="s">
        <v>965</v>
      </c>
      <c r="K122" s="1477"/>
      <c r="L122" s="1472" t="s">
        <v>1813</v>
      </c>
      <c r="M122" s="1489"/>
      <c r="N122" s="1474"/>
      <c r="O122" s="1472" t="s">
        <v>1813</v>
      </c>
      <c r="P122" s="1555">
        <v>1.1299999999999999</v>
      </c>
      <c r="Q122" s="1556" t="s">
        <v>1620</v>
      </c>
      <c r="S122" s="1490">
        <v>0.87</v>
      </c>
      <c r="T122" s="1478">
        <f t="shared" si="22"/>
        <v>1</v>
      </c>
      <c r="U122" s="1478">
        <f t="shared" si="21"/>
        <v>0.93500000000000005</v>
      </c>
      <c r="W122" s="1467">
        <v>0.87</v>
      </c>
      <c r="X122" s="1491">
        <v>1.1299999999999999</v>
      </c>
      <c r="Y122" s="1491">
        <v>1.1299999999999999</v>
      </c>
      <c r="Z122" s="1554" t="s">
        <v>1808</v>
      </c>
      <c r="AB122" s="1461" t="s">
        <v>1815</v>
      </c>
      <c r="AC122" s="1461"/>
      <c r="AD122" s="1481" t="s">
        <v>1532</v>
      </c>
      <c r="AE122" s="1461"/>
      <c r="AF122" s="1461"/>
      <c r="AG122" s="1461"/>
      <c r="BD122" s="1482" t="s">
        <v>1813</v>
      </c>
      <c r="BE122" s="1488">
        <f>+CA122*1.05</f>
        <v>0</v>
      </c>
      <c r="BF122" s="1482" t="s">
        <v>965</v>
      </c>
    </row>
    <row r="123" spans="1:58">
      <c r="A123" s="1487" t="s">
        <v>1816</v>
      </c>
      <c r="B123" s="1482" t="s">
        <v>1813</v>
      </c>
      <c r="C123" s="1488">
        <f>+Y123*1.05</f>
        <v>1.5750000000000002</v>
      </c>
      <c r="D123" s="1482" t="s">
        <v>965</v>
      </c>
      <c r="E123" s="1472" t="s">
        <v>1813</v>
      </c>
      <c r="F123" s="1489">
        <v>1.6</v>
      </c>
      <c r="G123" s="1474" t="s">
        <v>1817</v>
      </c>
      <c r="H123" s="1475" t="s">
        <v>1813</v>
      </c>
      <c r="J123" s="1475" t="s">
        <v>965</v>
      </c>
      <c r="K123" s="1477"/>
      <c r="L123" s="1472" t="s">
        <v>1813</v>
      </c>
      <c r="M123" s="1489"/>
      <c r="N123" s="1474"/>
      <c r="O123" s="1472" t="s">
        <v>1813</v>
      </c>
      <c r="P123" s="1555">
        <v>1.5</v>
      </c>
      <c r="Q123" s="1556" t="s">
        <v>1620</v>
      </c>
      <c r="S123" s="1490">
        <v>1.1499999999999999</v>
      </c>
      <c r="T123" s="1478">
        <f t="shared" si="22"/>
        <v>1.6</v>
      </c>
      <c r="U123" s="1478">
        <f t="shared" si="21"/>
        <v>1.375</v>
      </c>
      <c r="W123" s="1467">
        <v>1.1499999999999999</v>
      </c>
      <c r="X123" s="1491">
        <v>1.5</v>
      </c>
      <c r="Y123" s="1491">
        <v>1.5</v>
      </c>
      <c r="Z123" s="1554" t="s">
        <v>1808</v>
      </c>
      <c r="AB123" s="1461" t="s">
        <v>1815</v>
      </c>
      <c r="AC123" s="1461"/>
      <c r="AD123" s="1481" t="s">
        <v>1532</v>
      </c>
      <c r="AE123" s="1461"/>
      <c r="AF123" s="1461"/>
      <c r="AG123" s="1461"/>
      <c r="BD123" s="1482" t="s">
        <v>1813</v>
      </c>
      <c r="BE123" s="1488">
        <f>+CA123*1.05</f>
        <v>0</v>
      </c>
      <c r="BF123" s="1482" t="s">
        <v>965</v>
      </c>
    </row>
    <row r="124" spans="1:58">
      <c r="A124" s="1487" t="s">
        <v>1818</v>
      </c>
      <c r="B124" s="1482" t="s">
        <v>1813</v>
      </c>
      <c r="C124" s="1488">
        <f>+Y124*1.05</f>
        <v>5.7959999999999994</v>
      </c>
      <c r="D124" s="1482" t="s">
        <v>965</v>
      </c>
      <c r="E124" s="1472" t="s">
        <v>1813</v>
      </c>
      <c r="F124" s="1489"/>
      <c r="G124" s="1474"/>
      <c r="H124" s="1475" t="s">
        <v>1813</v>
      </c>
      <c r="J124" s="1475" t="s">
        <v>965</v>
      </c>
      <c r="K124" s="1477"/>
      <c r="L124" s="1472" t="s">
        <v>1813</v>
      </c>
      <c r="M124" s="1489"/>
      <c r="N124" s="1474"/>
      <c r="O124" s="1472" t="s">
        <v>1813</v>
      </c>
      <c r="P124" s="1555">
        <v>5.52</v>
      </c>
      <c r="Q124" s="1556" t="s">
        <v>1620</v>
      </c>
      <c r="S124" s="1490">
        <v>4.25</v>
      </c>
      <c r="T124" s="1478" t="e">
        <f t="shared" si="22"/>
        <v>#DIV/0!</v>
      </c>
      <c r="U124" s="1478">
        <f t="shared" si="21"/>
        <v>4.25</v>
      </c>
      <c r="W124" s="1467">
        <v>4.25</v>
      </c>
      <c r="X124" s="1491">
        <v>5.52</v>
      </c>
      <c r="Y124" s="1491">
        <v>5.52</v>
      </c>
      <c r="Z124" s="1554" t="s">
        <v>1808</v>
      </c>
      <c r="AB124" s="1461" t="s">
        <v>1815</v>
      </c>
      <c r="AC124" s="1461"/>
      <c r="AD124" s="1481" t="s">
        <v>1532</v>
      </c>
      <c r="AE124" s="1461"/>
      <c r="AF124" s="1461"/>
      <c r="AG124" s="1461"/>
      <c r="BD124" s="1482" t="s">
        <v>1813</v>
      </c>
      <c r="BE124" s="1488">
        <f>+CA124*1.05</f>
        <v>0</v>
      </c>
      <c r="BF124" s="1482" t="s">
        <v>965</v>
      </c>
    </row>
    <row r="125" spans="1:58" ht="14.25">
      <c r="A125" s="1487" t="s">
        <v>1819</v>
      </c>
      <c r="B125" s="1482" t="s">
        <v>761</v>
      </c>
      <c r="C125" s="1488">
        <f>+X125</f>
        <v>4615.3846153846152</v>
      </c>
      <c r="D125" s="1482" t="s">
        <v>1804</v>
      </c>
      <c r="E125" s="1472" t="s">
        <v>761</v>
      </c>
      <c r="F125" s="1489"/>
      <c r="G125" s="1474"/>
      <c r="H125" s="1475" t="s">
        <v>761</v>
      </c>
      <c r="J125" s="1475" t="s">
        <v>1804</v>
      </c>
      <c r="K125" s="1477"/>
      <c r="L125" s="1472" t="s">
        <v>761</v>
      </c>
      <c r="M125" s="1489"/>
      <c r="N125" s="1474"/>
      <c r="O125" s="1472" t="s">
        <v>761</v>
      </c>
      <c r="P125" s="1615">
        <v>7500</v>
      </c>
      <c r="Q125" s="1556" t="s">
        <v>1820</v>
      </c>
      <c r="S125" s="1490">
        <v>4616</v>
      </c>
      <c r="T125" s="1478" t="e">
        <f t="shared" si="22"/>
        <v>#DIV/0!</v>
      </c>
      <c r="U125" s="1478">
        <f t="shared" si="21"/>
        <v>4616</v>
      </c>
      <c r="W125" s="1467">
        <v>4616</v>
      </c>
      <c r="X125" s="1491">
        <f>3000/0.65</f>
        <v>4615.3846153846152</v>
      </c>
      <c r="Y125" s="1491">
        <v>4615.3846153846152</v>
      </c>
      <c r="Z125" s="1554" t="s">
        <v>1576</v>
      </c>
      <c r="AB125" s="1461"/>
      <c r="AC125" s="1461"/>
      <c r="AD125" s="1481" t="s">
        <v>1532</v>
      </c>
      <c r="AE125" s="1461"/>
      <c r="AF125" s="1461"/>
      <c r="AG125" s="1461"/>
      <c r="BD125" s="1482" t="s">
        <v>761</v>
      </c>
      <c r="BE125" s="1488">
        <f>+BZ125</f>
        <v>0</v>
      </c>
      <c r="BF125" s="1482" t="s">
        <v>1804</v>
      </c>
    </row>
    <row r="126" spans="1:58">
      <c r="A126" s="1487" t="s">
        <v>1821</v>
      </c>
      <c r="B126" s="1482" t="s">
        <v>1569</v>
      </c>
      <c r="C126" s="1488">
        <f>+Y126*1.05</f>
        <v>2.625</v>
      </c>
      <c r="D126" s="1482" t="s">
        <v>965</v>
      </c>
      <c r="E126" s="1472" t="s">
        <v>1569</v>
      </c>
      <c r="F126" s="1473">
        <v>1.85</v>
      </c>
      <c r="G126" s="1474" t="s">
        <v>1822</v>
      </c>
      <c r="H126" s="1475" t="s">
        <v>1569</v>
      </c>
      <c r="I126" s="1476">
        <v>3</v>
      </c>
      <c r="J126" s="1475" t="s">
        <v>965</v>
      </c>
      <c r="K126" s="1477" t="s">
        <v>1823</v>
      </c>
      <c r="L126" s="1472" t="s">
        <v>1569</v>
      </c>
      <c r="M126" s="1473">
        <v>1.1000000000000001</v>
      </c>
      <c r="N126" s="1474" t="s">
        <v>1824</v>
      </c>
      <c r="O126" s="1472" t="s">
        <v>1569</v>
      </c>
      <c r="P126" s="1573">
        <v>2.5</v>
      </c>
      <c r="Q126" s="1556" t="s">
        <v>1825</v>
      </c>
      <c r="S126" s="1476">
        <v>2</v>
      </c>
      <c r="T126" s="1478">
        <f t="shared" si="22"/>
        <v>1.9833333333333332</v>
      </c>
      <c r="U126" s="1478">
        <f t="shared" si="21"/>
        <v>1.9874999999999998</v>
      </c>
      <c r="W126" s="1467">
        <v>2</v>
      </c>
      <c r="X126" s="1491">
        <v>2.5</v>
      </c>
      <c r="Y126" s="1491">
        <v>2.5</v>
      </c>
      <c r="Z126" s="1554" t="s">
        <v>1808</v>
      </c>
      <c r="AB126" s="1461" t="s">
        <v>1826</v>
      </c>
      <c r="AC126" s="1461"/>
      <c r="AD126" s="1481" t="s">
        <v>1532</v>
      </c>
      <c r="AE126" s="1461"/>
      <c r="AF126" s="1461"/>
      <c r="AG126" s="1461"/>
      <c r="BD126" s="1482" t="s">
        <v>1569</v>
      </c>
      <c r="BE126" s="1488">
        <f>+CA126*1.05</f>
        <v>0</v>
      </c>
      <c r="BF126" s="1482" t="s">
        <v>965</v>
      </c>
    </row>
    <row r="127" spans="1:58">
      <c r="A127" s="1487" t="s">
        <v>1827</v>
      </c>
      <c r="B127" s="1482" t="s">
        <v>1569</v>
      </c>
      <c r="C127" s="1488">
        <f>+Y127*1.05</f>
        <v>1.5750000000000002</v>
      </c>
      <c r="D127" s="1482" t="s">
        <v>965</v>
      </c>
      <c r="E127" s="1472" t="s">
        <v>1569</v>
      </c>
      <c r="F127" s="1473"/>
      <c r="G127" s="1474"/>
      <c r="H127" s="1475" t="s">
        <v>1569</v>
      </c>
      <c r="I127" s="1476"/>
      <c r="J127" s="1475" t="s">
        <v>965</v>
      </c>
      <c r="K127" s="1477"/>
      <c r="L127" s="1472" t="s">
        <v>1569</v>
      </c>
      <c r="M127" s="1473">
        <v>0.23</v>
      </c>
      <c r="N127" s="1474" t="s">
        <v>1828</v>
      </c>
      <c r="O127" s="1472" t="s">
        <v>1569</v>
      </c>
      <c r="P127" s="1573">
        <v>1.5</v>
      </c>
      <c r="Q127" s="1556" t="s">
        <v>1829</v>
      </c>
      <c r="S127" s="1476">
        <v>1.3</v>
      </c>
      <c r="T127" s="1478">
        <f t="shared" si="22"/>
        <v>0.23</v>
      </c>
      <c r="U127" s="1478">
        <f t="shared" si="21"/>
        <v>0.76500000000000001</v>
      </c>
      <c r="W127" s="1467">
        <v>1.3</v>
      </c>
      <c r="X127" s="1491">
        <v>1.5</v>
      </c>
      <c r="Y127" s="1491">
        <v>1.5</v>
      </c>
      <c r="Z127" s="1554" t="s">
        <v>1808</v>
      </c>
      <c r="AB127" s="1461" t="s">
        <v>1830</v>
      </c>
      <c r="AC127" s="1461"/>
      <c r="AD127" s="1481" t="s">
        <v>1532</v>
      </c>
      <c r="AE127" s="1461"/>
      <c r="AF127" s="1461"/>
      <c r="AG127" s="1461"/>
      <c r="BD127" s="1482" t="s">
        <v>1569</v>
      </c>
      <c r="BE127" s="1488">
        <f>+CA127*1.05</f>
        <v>0</v>
      </c>
      <c r="BF127" s="1482" t="s">
        <v>965</v>
      </c>
    </row>
    <row r="128" spans="1:58">
      <c r="A128" s="1487" t="s">
        <v>1831</v>
      </c>
      <c r="B128" s="1482" t="s">
        <v>1832</v>
      </c>
      <c r="C128" s="1488">
        <v>9.5</v>
      </c>
      <c r="D128" s="1482" t="s">
        <v>965</v>
      </c>
      <c r="E128" s="1472"/>
      <c r="F128" s="1473"/>
      <c r="G128" s="1474"/>
      <c r="H128" s="1475"/>
      <c r="I128" s="1476"/>
      <c r="J128" s="1475"/>
      <c r="K128" s="1477"/>
      <c r="L128" s="1472"/>
      <c r="M128" s="1473"/>
      <c r="N128" s="1474"/>
      <c r="O128" s="1472"/>
      <c r="P128" s="1573"/>
      <c r="Q128" s="1556"/>
      <c r="S128" s="1476"/>
      <c r="T128" s="1478"/>
      <c r="U128" s="1478"/>
      <c r="W128" s="1467"/>
      <c r="X128" s="1491"/>
      <c r="Y128" s="1491"/>
      <c r="Z128" s="1554" t="s">
        <v>1765</v>
      </c>
      <c r="AB128" s="1461"/>
      <c r="AC128" s="1461"/>
      <c r="AD128" s="1481"/>
      <c r="AE128" s="1461"/>
      <c r="AF128" s="1461"/>
      <c r="AG128" s="1461"/>
      <c r="BD128" s="1482" t="s">
        <v>1832</v>
      </c>
      <c r="BE128" s="1488">
        <v>9.5</v>
      </c>
      <c r="BF128" s="1482" t="s">
        <v>965</v>
      </c>
    </row>
    <row r="129" spans="1:58">
      <c r="A129" s="1499" t="s">
        <v>1833</v>
      </c>
      <c r="B129" s="1524" t="s">
        <v>1619</v>
      </c>
      <c r="C129" s="1488">
        <f>+Y129*1.07</f>
        <v>106.7325</v>
      </c>
      <c r="D129" s="1500" t="s">
        <v>965</v>
      </c>
      <c r="E129" s="1525" t="s">
        <v>1619</v>
      </c>
      <c r="F129" s="1489"/>
      <c r="G129" s="1526"/>
      <c r="H129" s="1527" t="s">
        <v>1619</v>
      </c>
      <c r="J129" s="1502" t="s">
        <v>965</v>
      </c>
      <c r="K129" s="1528"/>
      <c r="L129" s="1525" t="s">
        <v>1619</v>
      </c>
      <c r="M129" s="1489">
        <v>141.75</v>
      </c>
      <c r="N129" s="1526"/>
      <c r="O129" s="1525" t="s">
        <v>1619</v>
      </c>
      <c r="P129" s="1489"/>
      <c r="Q129" s="1526"/>
      <c r="S129" s="1490">
        <v>95</v>
      </c>
      <c r="T129" s="1478">
        <f t="shared" si="22"/>
        <v>141.75</v>
      </c>
      <c r="U129" s="1478">
        <f t="shared" si="21"/>
        <v>118.375</v>
      </c>
      <c r="W129" s="1467">
        <v>95</v>
      </c>
      <c r="X129" s="1491">
        <f t="shared" si="24"/>
        <v>99.75</v>
      </c>
      <c r="Y129" s="1491">
        <v>99.75</v>
      </c>
      <c r="Z129" s="1492" t="s">
        <v>1547</v>
      </c>
      <c r="AB129" s="1461"/>
      <c r="AC129" s="1461"/>
      <c r="AD129" s="1481" t="s">
        <v>1532</v>
      </c>
      <c r="AE129" s="1461"/>
      <c r="AF129" s="1461"/>
      <c r="AG129" s="1461"/>
      <c r="BD129" s="1524" t="s">
        <v>1619</v>
      </c>
      <c r="BE129" s="1488">
        <f>+CA129*1.07</f>
        <v>0</v>
      </c>
      <c r="BF129" s="1500" t="s">
        <v>965</v>
      </c>
    </row>
    <row r="130" spans="1:58">
      <c r="A130" s="1499" t="s">
        <v>1834</v>
      </c>
      <c r="B130" s="1524" t="s">
        <v>1619</v>
      </c>
      <c r="C130" s="1488">
        <f>+Y130*1.07</f>
        <v>129.20250000000001</v>
      </c>
      <c r="D130" s="1500" t="s">
        <v>965</v>
      </c>
      <c r="E130" s="1525" t="s">
        <v>1619</v>
      </c>
      <c r="F130" s="1489"/>
      <c r="G130" s="1526"/>
      <c r="H130" s="1527" t="s">
        <v>1619</v>
      </c>
      <c r="J130" s="1502" t="s">
        <v>965</v>
      </c>
      <c r="K130" s="1528"/>
      <c r="L130" s="1525" t="s">
        <v>1619</v>
      </c>
      <c r="M130" s="1489"/>
      <c r="N130" s="1526"/>
      <c r="O130" s="1525" t="s">
        <v>1619</v>
      </c>
      <c r="P130" s="1489"/>
      <c r="Q130" s="1526"/>
      <c r="S130" s="1490">
        <v>115</v>
      </c>
      <c r="T130" s="1478" t="e">
        <f t="shared" si="22"/>
        <v>#DIV/0!</v>
      </c>
      <c r="U130" s="1478">
        <f t="shared" si="21"/>
        <v>115</v>
      </c>
      <c r="W130" s="1467">
        <v>115</v>
      </c>
      <c r="X130" s="1491">
        <f t="shared" si="24"/>
        <v>120.75</v>
      </c>
      <c r="Y130" s="1491">
        <v>120.75</v>
      </c>
      <c r="Z130" s="1492" t="s">
        <v>1547</v>
      </c>
      <c r="AB130" s="1461"/>
      <c r="AC130" s="1461"/>
      <c r="AD130" s="1481" t="s">
        <v>1532</v>
      </c>
      <c r="AE130" s="1461"/>
      <c r="AF130" s="1461"/>
      <c r="AG130" s="1461"/>
      <c r="BD130" s="1524" t="s">
        <v>1619</v>
      </c>
      <c r="BE130" s="1488">
        <f>+CA130*1.07</f>
        <v>0</v>
      </c>
      <c r="BF130" s="1500" t="s">
        <v>965</v>
      </c>
    </row>
    <row r="131" spans="1:58">
      <c r="A131" s="1499" t="s">
        <v>1835</v>
      </c>
      <c r="B131" s="1524" t="s">
        <v>1569</v>
      </c>
      <c r="C131" s="1488">
        <f>+Y131*1.07</f>
        <v>3.5952000000000002</v>
      </c>
      <c r="D131" s="1500" t="s">
        <v>965</v>
      </c>
      <c r="E131" s="1525" t="s">
        <v>1569</v>
      </c>
      <c r="F131" s="1489"/>
      <c r="G131" s="1526"/>
      <c r="H131" s="1527" t="s">
        <v>1569</v>
      </c>
      <c r="J131" s="1502" t="s">
        <v>965</v>
      </c>
      <c r="K131" s="1528"/>
      <c r="L131" s="1525" t="s">
        <v>1569</v>
      </c>
      <c r="M131" s="1489"/>
      <c r="N131" s="1526"/>
      <c r="O131" s="1525" t="s">
        <v>1569</v>
      </c>
      <c r="P131" s="1489"/>
      <c r="Q131" s="1526"/>
      <c r="S131" s="1490">
        <v>3.2</v>
      </c>
      <c r="T131" s="1478" t="e">
        <f t="shared" si="22"/>
        <v>#DIV/0!</v>
      </c>
      <c r="U131" s="1478">
        <f t="shared" si="21"/>
        <v>3.2</v>
      </c>
      <c r="W131" s="1467">
        <v>3.2</v>
      </c>
      <c r="X131" s="1491">
        <f t="shared" si="24"/>
        <v>3.3600000000000003</v>
      </c>
      <c r="Y131" s="1491">
        <v>3.36</v>
      </c>
      <c r="Z131" s="1492" t="s">
        <v>1547</v>
      </c>
      <c r="AB131" s="1461"/>
      <c r="AC131" s="1461"/>
      <c r="AD131" s="1481" t="s">
        <v>1532</v>
      </c>
      <c r="AE131" s="1461"/>
      <c r="AF131" s="1461"/>
      <c r="AG131" s="1461"/>
      <c r="BD131" s="1524" t="s">
        <v>1569</v>
      </c>
      <c r="BE131" s="1488">
        <f>+CA131*1.07</f>
        <v>0</v>
      </c>
      <c r="BF131" s="1500" t="s">
        <v>965</v>
      </c>
    </row>
    <row r="132" spans="1:58">
      <c r="A132" s="1499" t="s">
        <v>1836</v>
      </c>
      <c r="B132" s="1524" t="s">
        <v>1569</v>
      </c>
      <c r="C132" s="1488">
        <f>+Y132*1.07</f>
        <v>2.9211</v>
      </c>
      <c r="D132" s="1500" t="s">
        <v>965</v>
      </c>
      <c r="E132" s="1525" t="s">
        <v>1569</v>
      </c>
      <c r="F132" s="1489"/>
      <c r="G132" s="1526"/>
      <c r="H132" s="1527" t="s">
        <v>1569</v>
      </c>
      <c r="J132" s="1502" t="s">
        <v>965</v>
      </c>
      <c r="K132" s="1528"/>
      <c r="L132" s="1525" t="s">
        <v>1569</v>
      </c>
      <c r="M132" s="1489"/>
      <c r="N132" s="1526"/>
      <c r="O132" s="1525" t="s">
        <v>1569</v>
      </c>
      <c r="P132" s="1489"/>
      <c r="Q132" s="1526"/>
      <c r="S132" s="1490">
        <v>2.6</v>
      </c>
      <c r="T132" s="1478" t="e">
        <f t="shared" si="22"/>
        <v>#DIV/0!</v>
      </c>
      <c r="U132" s="1478">
        <f t="shared" si="21"/>
        <v>2.6</v>
      </c>
      <c r="W132" s="1467">
        <v>2.6</v>
      </c>
      <c r="X132" s="1491">
        <f t="shared" si="24"/>
        <v>2.7300000000000004</v>
      </c>
      <c r="Y132" s="1491">
        <v>2.73</v>
      </c>
      <c r="Z132" s="1492" t="s">
        <v>1547</v>
      </c>
      <c r="AB132" s="1461"/>
      <c r="AC132" s="1461"/>
      <c r="AD132" s="1481" t="s">
        <v>1532</v>
      </c>
      <c r="AE132" s="1461"/>
      <c r="AF132" s="1461"/>
      <c r="AG132" s="1461"/>
      <c r="BD132" s="1524" t="s">
        <v>1569</v>
      </c>
      <c r="BE132" s="1488">
        <f>+CA132*1.07</f>
        <v>0</v>
      </c>
      <c r="BF132" s="1500" t="s">
        <v>965</v>
      </c>
    </row>
    <row r="133" spans="1:58">
      <c r="A133" s="1499" t="s">
        <v>1837</v>
      </c>
      <c r="B133" s="1524" t="s">
        <v>761</v>
      </c>
      <c r="C133" s="1488">
        <f>+Y133*1.05</f>
        <v>54.337500000000006</v>
      </c>
      <c r="D133" s="1500" t="s">
        <v>965</v>
      </c>
      <c r="E133" s="1525" t="s">
        <v>761</v>
      </c>
      <c r="F133" s="1489"/>
      <c r="G133" s="1526"/>
      <c r="H133" s="1527" t="s">
        <v>761</v>
      </c>
      <c r="J133" s="1502" t="s">
        <v>965</v>
      </c>
      <c r="K133" s="1528"/>
      <c r="L133" s="1525" t="s">
        <v>761</v>
      </c>
      <c r="M133" s="1489"/>
      <c r="N133" s="1526"/>
      <c r="O133" s="1525" t="s">
        <v>761</v>
      </c>
      <c r="P133" s="1616">
        <f>+W133*1.15</f>
        <v>51.749999999999993</v>
      </c>
      <c r="Q133" s="1556" t="s">
        <v>1838</v>
      </c>
      <c r="S133" s="1490">
        <v>45</v>
      </c>
      <c r="T133" s="1478" t="e">
        <f t="shared" si="22"/>
        <v>#DIV/0!</v>
      </c>
      <c r="U133" s="1478">
        <f t="shared" si="21"/>
        <v>45</v>
      </c>
      <c r="W133" s="1467">
        <v>45</v>
      </c>
      <c r="X133" s="1491">
        <f>+S133*1.15</f>
        <v>51.749999999999993</v>
      </c>
      <c r="Y133" s="1491">
        <v>51.75</v>
      </c>
      <c r="Z133" s="1554" t="s">
        <v>1808</v>
      </c>
      <c r="AB133" s="1461" t="s">
        <v>1815</v>
      </c>
      <c r="AC133" s="1461"/>
      <c r="AD133" s="1481" t="s">
        <v>1532</v>
      </c>
      <c r="AE133" s="1461"/>
      <c r="AF133" s="1461"/>
      <c r="AG133" s="1461"/>
      <c r="BD133" s="1524" t="s">
        <v>761</v>
      </c>
      <c r="BE133" s="1488">
        <f>+CA133*1.05</f>
        <v>0</v>
      </c>
      <c r="BF133" s="1500" t="s">
        <v>965</v>
      </c>
    </row>
    <row r="134" spans="1:58">
      <c r="A134" s="1499" t="s">
        <v>1839</v>
      </c>
      <c r="B134" s="1524" t="s">
        <v>761</v>
      </c>
      <c r="C134" s="1488">
        <f>+Y134*1.05</f>
        <v>61.582500000000003</v>
      </c>
      <c r="D134" s="1500" t="s">
        <v>965</v>
      </c>
      <c r="E134" s="1525" t="s">
        <v>761</v>
      </c>
      <c r="F134" s="1489">
        <v>80</v>
      </c>
      <c r="G134" s="1526"/>
      <c r="H134" s="1527" t="s">
        <v>761</v>
      </c>
      <c r="J134" s="1502" t="s">
        <v>965</v>
      </c>
      <c r="K134" s="1528"/>
      <c r="L134" s="1525" t="s">
        <v>761</v>
      </c>
      <c r="M134" s="1489"/>
      <c r="N134" s="1526"/>
      <c r="O134" s="1525" t="s">
        <v>761</v>
      </c>
      <c r="P134" s="1616">
        <f>+W134*1.15</f>
        <v>58.65</v>
      </c>
      <c r="Q134" s="1556" t="s">
        <v>1838</v>
      </c>
      <c r="S134" s="1490">
        <v>51</v>
      </c>
      <c r="T134" s="1478">
        <f t="shared" si="22"/>
        <v>80</v>
      </c>
      <c r="U134" s="1478">
        <f t="shared" si="21"/>
        <v>65.5</v>
      </c>
      <c r="W134" s="1467">
        <v>51</v>
      </c>
      <c r="X134" s="1491">
        <f>+S134*1.15</f>
        <v>58.65</v>
      </c>
      <c r="Y134" s="1491">
        <v>58.65</v>
      </c>
      <c r="Z134" s="1554" t="s">
        <v>1808</v>
      </c>
      <c r="AB134" s="1461" t="s">
        <v>1815</v>
      </c>
      <c r="AC134" s="1461"/>
      <c r="AD134" s="1481" t="s">
        <v>1532</v>
      </c>
      <c r="AE134" s="1461"/>
      <c r="AF134" s="1461"/>
      <c r="AG134" s="1461"/>
      <c r="BD134" s="1524" t="s">
        <v>761</v>
      </c>
      <c r="BE134" s="1488">
        <f>+CA134*1.05</f>
        <v>0</v>
      </c>
      <c r="BF134" s="1500" t="s">
        <v>965</v>
      </c>
    </row>
    <row r="135" spans="1:58">
      <c r="A135" s="1499" t="s">
        <v>1840</v>
      </c>
      <c r="B135" s="1524" t="s">
        <v>761</v>
      </c>
      <c r="C135" s="1488">
        <f>+Y135*1.05</f>
        <v>70.035000000000011</v>
      </c>
      <c r="D135" s="1500" t="s">
        <v>965</v>
      </c>
      <c r="E135" s="1525" t="s">
        <v>761</v>
      </c>
      <c r="F135" s="1489">
        <v>85</v>
      </c>
      <c r="G135" s="1526"/>
      <c r="H135" s="1527" t="s">
        <v>761</v>
      </c>
      <c r="J135" s="1502" t="s">
        <v>965</v>
      </c>
      <c r="K135" s="1528"/>
      <c r="L135" s="1525" t="s">
        <v>761</v>
      </c>
      <c r="M135" s="1489">
        <v>87.01</v>
      </c>
      <c r="N135" s="1526" t="s">
        <v>1841</v>
      </c>
      <c r="O135" s="1525" t="s">
        <v>761</v>
      </c>
      <c r="P135" s="1616">
        <f>+W135*1.15</f>
        <v>66.699999999999989</v>
      </c>
      <c r="Q135" s="1556" t="s">
        <v>1838</v>
      </c>
      <c r="S135" s="1490">
        <v>58</v>
      </c>
      <c r="T135" s="1478">
        <f t="shared" si="22"/>
        <v>86.004999999999995</v>
      </c>
      <c r="U135" s="1478">
        <f t="shared" si="21"/>
        <v>76.67</v>
      </c>
      <c r="W135" s="1467">
        <v>58</v>
      </c>
      <c r="X135" s="1491">
        <f>+S135*1.15</f>
        <v>66.699999999999989</v>
      </c>
      <c r="Y135" s="1491">
        <v>66.7</v>
      </c>
      <c r="Z135" s="1554" t="s">
        <v>1808</v>
      </c>
      <c r="AB135" s="1461" t="s">
        <v>1815</v>
      </c>
      <c r="AC135" s="1461"/>
      <c r="AD135" s="1481" t="s">
        <v>1532</v>
      </c>
      <c r="AE135" s="1461"/>
      <c r="AF135" s="1461"/>
      <c r="AG135" s="1461"/>
      <c r="BD135" s="1524" t="s">
        <v>761</v>
      </c>
      <c r="BE135" s="1488">
        <f>+CA135*1.05</f>
        <v>0</v>
      </c>
      <c r="BF135" s="1500" t="s">
        <v>965</v>
      </c>
    </row>
    <row r="136" spans="1:58">
      <c r="A136" s="1499" t="s">
        <v>1842</v>
      </c>
      <c r="B136" s="1524" t="s">
        <v>761</v>
      </c>
      <c r="C136" s="1488">
        <f>+Y136*1.05</f>
        <v>77.883750000000006</v>
      </c>
      <c r="D136" s="1500" t="s">
        <v>965</v>
      </c>
      <c r="E136" s="1525" t="s">
        <v>761</v>
      </c>
      <c r="F136" s="1489">
        <v>95</v>
      </c>
      <c r="G136" s="1526"/>
      <c r="H136" s="1527" t="s">
        <v>761</v>
      </c>
      <c r="J136" s="1502" t="s">
        <v>965</v>
      </c>
      <c r="K136" s="1528"/>
      <c r="L136" s="1525" t="s">
        <v>761</v>
      </c>
      <c r="M136" s="1489">
        <v>103</v>
      </c>
      <c r="N136" s="1526" t="s">
        <v>1841</v>
      </c>
      <c r="O136" s="1525" t="s">
        <v>761</v>
      </c>
      <c r="P136" s="1616">
        <f>+W136*1.15</f>
        <v>74.174999999999997</v>
      </c>
      <c r="Q136" s="1556" t="s">
        <v>1838</v>
      </c>
      <c r="S136" s="1490">
        <v>64.5</v>
      </c>
      <c r="T136" s="1478">
        <f t="shared" si="22"/>
        <v>99</v>
      </c>
      <c r="U136" s="1478">
        <f t="shared" si="21"/>
        <v>87.5</v>
      </c>
      <c r="W136" s="1467">
        <v>64.5</v>
      </c>
      <c r="X136" s="1491">
        <f>+S136*1.15</f>
        <v>74.174999999999997</v>
      </c>
      <c r="Y136" s="1491">
        <v>74.174999999999997</v>
      </c>
      <c r="Z136" s="1554" t="s">
        <v>1808</v>
      </c>
      <c r="AB136" s="1461" t="s">
        <v>1815</v>
      </c>
      <c r="AC136" s="1461"/>
      <c r="AD136" s="1481" t="s">
        <v>1532</v>
      </c>
      <c r="AE136" s="1461"/>
      <c r="AF136" s="1461"/>
      <c r="AG136" s="1461"/>
      <c r="BD136" s="1524" t="s">
        <v>761</v>
      </c>
      <c r="BE136" s="1488">
        <f>+CA136*1.05</f>
        <v>0</v>
      </c>
      <c r="BF136" s="1500" t="s">
        <v>965</v>
      </c>
    </row>
    <row r="137" spans="1:58">
      <c r="A137" s="1499" t="s">
        <v>1843</v>
      </c>
      <c r="B137" s="1524" t="s">
        <v>761</v>
      </c>
      <c r="C137" s="1488">
        <f>+Y137*1.05</f>
        <v>84.525000000000006</v>
      </c>
      <c r="D137" s="1500" t="s">
        <v>965</v>
      </c>
      <c r="E137" s="1525" t="s">
        <v>761</v>
      </c>
      <c r="F137" s="1489">
        <v>115</v>
      </c>
      <c r="G137" s="1526"/>
      <c r="H137" s="1527" t="s">
        <v>761</v>
      </c>
      <c r="J137" s="1502" t="s">
        <v>965</v>
      </c>
      <c r="K137" s="1528"/>
      <c r="L137" s="1525" t="s">
        <v>761</v>
      </c>
      <c r="M137" s="1489">
        <v>110.29</v>
      </c>
      <c r="N137" s="1526" t="s">
        <v>1841</v>
      </c>
      <c r="O137" s="1525" t="s">
        <v>761</v>
      </c>
      <c r="P137" s="1616">
        <f>+W137*1.15</f>
        <v>80.5</v>
      </c>
      <c r="Q137" s="1556" t="s">
        <v>1838</v>
      </c>
      <c r="S137" s="1490">
        <v>70</v>
      </c>
      <c r="T137" s="1478">
        <f t="shared" si="22"/>
        <v>112.64500000000001</v>
      </c>
      <c r="U137" s="1478">
        <f t="shared" si="21"/>
        <v>98.43</v>
      </c>
      <c r="W137" s="1467">
        <v>70</v>
      </c>
      <c r="X137" s="1491">
        <f>+S137*1.15</f>
        <v>80.5</v>
      </c>
      <c r="Y137" s="1491">
        <v>80.5</v>
      </c>
      <c r="Z137" s="1554" t="s">
        <v>1808</v>
      </c>
      <c r="AB137" s="1461" t="s">
        <v>1815</v>
      </c>
      <c r="AC137" s="1461"/>
      <c r="AD137" s="1481" t="s">
        <v>1532</v>
      </c>
      <c r="AE137" s="1461"/>
      <c r="AF137" s="1461"/>
      <c r="AG137" s="1461"/>
      <c r="BD137" s="1524" t="s">
        <v>761</v>
      </c>
      <c r="BE137" s="1488">
        <f>+CA137*1.05</f>
        <v>0</v>
      </c>
      <c r="BF137" s="1500" t="s">
        <v>965</v>
      </c>
    </row>
    <row r="138" spans="1:58">
      <c r="A138" s="1499" t="s">
        <v>1844</v>
      </c>
      <c r="B138" s="1524" t="s">
        <v>761</v>
      </c>
      <c r="C138" s="1488">
        <f>+Y138*1.02</f>
        <v>321.3</v>
      </c>
      <c r="D138" s="1500" t="s">
        <v>965</v>
      </c>
      <c r="E138" s="1525" t="s">
        <v>761</v>
      </c>
      <c r="F138" s="1489"/>
      <c r="G138" s="1526"/>
      <c r="H138" s="1527" t="s">
        <v>761</v>
      </c>
      <c r="J138" s="1502" t="s">
        <v>965</v>
      </c>
      <c r="K138" s="1528"/>
      <c r="L138" s="1525" t="s">
        <v>761</v>
      </c>
      <c r="M138" s="1489"/>
      <c r="N138" s="1526"/>
      <c r="O138" s="1525" t="s">
        <v>761</v>
      </c>
      <c r="P138" s="1617"/>
      <c r="Q138" s="1588"/>
      <c r="S138" s="1490">
        <v>300</v>
      </c>
      <c r="T138" s="1478" t="e">
        <f t="shared" si="22"/>
        <v>#DIV/0!</v>
      </c>
      <c r="U138" s="1478">
        <f t="shared" si="21"/>
        <v>300</v>
      </c>
      <c r="W138" s="1467">
        <v>300</v>
      </c>
      <c r="X138" s="1491">
        <f t="shared" si="24"/>
        <v>315</v>
      </c>
      <c r="Y138" s="1491">
        <v>315</v>
      </c>
      <c r="Z138" s="1480" t="s">
        <v>1653</v>
      </c>
      <c r="AB138" s="1461"/>
      <c r="AC138" s="1461"/>
      <c r="AD138" s="1481" t="s">
        <v>1532</v>
      </c>
      <c r="AE138" s="1461"/>
      <c r="AF138" s="1461"/>
      <c r="AG138" s="1461"/>
      <c r="BD138" s="1524" t="s">
        <v>761</v>
      </c>
      <c r="BE138" s="1488">
        <f>+CA138*1.02</f>
        <v>0</v>
      </c>
      <c r="BF138" s="1500" t="s">
        <v>965</v>
      </c>
    </row>
    <row r="139" spans="1:58">
      <c r="A139" s="1487" t="s">
        <v>1845</v>
      </c>
      <c r="B139" s="1482" t="s">
        <v>1813</v>
      </c>
      <c r="C139" s="1488">
        <f>+Y139*1.05</f>
        <v>2.2050000000000001</v>
      </c>
      <c r="D139" s="1500" t="s">
        <v>965</v>
      </c>
      <c r="E139" s="1472" t="s">
        <v>1813</v>
      </c>
      <c r="F139" s="1489"/>
      <c r="G139" s="1526"/>
      <c r="H139" s="1475" t="s">
        <v>1813</v>
      </c>
      <c r="J139" s="1502" t="s">
        <v>965</v>
      </c>
      <c r="K139" s="1528"/>
      <c r="L139" s="1472" t="s">
        <v>1813</v>
      </c>
      <c r="M139" s="1489">
        <v>2.34</v>
      </c>
      <c r="N139" s="1526" t="s">
        <v>1846</v>
      </c>
      <c r="O139" s="1472" t="s">
        <v>1813</v>
      </c>
      <c r="P139" s="1489"/>
      <c r="Q139" s="1526"/>
      <c r="S139" s="1490">
        <v>2</v>
      </c>
      <c r="T139" s="1478">
        <f t="shared" si="22"/>
        <v>2.34</v>
      </c>
      <c r="U139" s="1478">
        <f t="shared" si="21"/>
        <v>2.17</v>
      </c>
      <c r="W139" s="1467">
        <v>2</v>
      </c>
      <c r="X139" s="1491">
        <f t="shared" si="24"/>
        <v>2.1</v>
      </c>
      <c r="Y139" s="1491">
        <v>2.1</v>
      </c>
      <c r="Z139" s="1554" t="s">
        <v>1808</v>
      </c>
      <c r="AB139" s="1461"/>
      <c r="AC139" s="1461"/>
      <c r="AD139" s="1481" t="s">
        <v>1532</v>
      </c>
      <c r="AE139" s="1461"/>
      <c r="AF139" s="1461"/>
      <c r="AG139" s="1461"/>
      <c r="BD139" s="1482" t="s">
        <v>1813</v>
      </c>
      <c r="BE139" s="1488">
        <f>+CA139*1.05</f>
        <v>0</v>
      </c>
      <c r="BF139" s="1500" t="s">
        <v>965</v>
      </c>
    </row>
    <row r="140" spans="1:58">
      <c r="A140" s="1561" t="s">
        <v>1847</v>
      </c>
      <c r="B140" s="1562" t="s">
        <v>761</v>
      </c>
      <c r="C140" s="1488">
        <f>+Y140*1.05</f>
        <v>55.125</v>
      </c>
      <c r="D140" s="1482" t="s">
        <v>965</v>
      </c>
      <c r="E140" s="1614" t="s">
        <v>761</v>
      </c>
      <c r="F140" s="1489"/>
      <c r="G140" s="1474"/>
      <c r="H140" s="1564" t="s">
        <v>761</v>
      </c>
      <c r="J140" s="1475" t="s">
        <v>965</v>
      </c>
      <c r="K140" s="1477"/>
      <c r="L140" s="1614" t="s">
        <v>761</v>
      </c>
      <c r="M140" s="1489"/>
      <c r="N140" s="1474"/>
      <c r="O140" s="1614" t="s">
        <v>761</v>
      </c>
      <c r="P140" s="1489"/>
      <c r="Q140" s="1474"/>
      <c r="S140" s="1490">
        <v>50</v>
      </c>
      <c r="T140" s="1478" t="e">
        <f t="shared" si="22"/>
        <v>#DIV/0!</v>
      </c>
      <c r="U140" s="1478">
        <f t="shared" si="21"/>
        <v>50</v>
      </c>
      <c r="W140" s="1467">
        <v>50</v>
      </c>
      <c r="X140" s="1491">
        <f t="shared" si="24"/>
        <v>52.5</v>
      </c>
      <c r="Y140" s="1491">
        <v>52.5</v>
      </c>
      <c r="Z140" s="1554" t="s">
        <v>1808</v>
      </c>
      <c r="AB140" s="1461"/>
      <c r="AC140" s="1461"/>
      <c r="AD140" s="1481" t="s">
        <v>1532</v>
      </c>
      <c r="AE140" s="1461"/>
      <c r="AF140" s="1461"/>
      <c r="AG140" s="1461"/>
      <c r="BD140" s="1562" t="s">
        <v>761</v>
      </c>
      <c r="BE140" s="1488">
        <f>+CA140*1.05</f>
        <v>0</v>
      </c>
      <c r="BF140" s="1482" t="s">
        <v>965</v>
      </c>
    </row>
    <row r="141" spans="1:58">
      <c r="A141" s="1499" t="s">
        <v>1848</v>
      </c>
      <c r="B141" s="1524" t="s">
        <v>761</v>
      </c>
      <c r="C141" s="1488">
        <f>+Y141*1.05</f>
        <v>121.27500000000001</v>
      </c>
      <c r="D141" s="1500" t="s">
        <v>965</v>
      </c>
      <c r="E141" s="1525" t="s">
        <v>761</v>
      </c>
      <c r="F141" s="1489"/>
      <c r="G141" s="1526"/>
      <c r="H141" s="1527" t="s">
        <v>761</v>
      </c>
      <c r="J141" s="1502" t="s">
        <v>965</v>
      </c>
      <c r="K141" s="1528"/>
      <c r="L141" s="1525" t="s">
        <v>761</v>
      </c>
      <c r="M141" s="1489"/>
      <c r="N141" s="1526"/>
      <c r="O141" s="1525" t="s">
        <v>761</v>
      </c>
      <c r="P141" s="1489"/>
      <c r="Q141" s="1526"/>
      <c r="S141" s="1490">
        <v>110</v>
      </c>
      <c r="T141" s="1478" t="e">
        <f t="shared" si="22"/>
        <v>#DIV/0!</v>
      </c>
      <c r="U141" s="1478">
        <f t="shared" si="21"/>
        <v>110</v>
      </c>
      <c r="W141" s="1467">
        <v>110</v>
      </c>
      <c r="X141" s="1491">
        <f t="shared" si="24"/>
        <v>115.5</v>
      </c>
      <c r="Y141" s="1491">
        <v>115.5</v>
      </c>
      <c r="Z141" s="1554" t="s">
        <v>1808</v>
      </c>
      <c r="AB141" s="1461"/>
      <c r="AC141" s="1461"/>
      <c r="AD141" s="1481" t="s">
        <v>1532</v>
      </c>
      <c r="AE141" s="1461"/>
      <c r="AF141" s="1461"/>
      <c r="AG141" s="1461"/>
      <c r="BD141" s="1524" t="s">
        <v>761</v>
      </c>
      <c r="BE141" s="1488">
        <f>+CA141*1.05</f>
        <v>0</v>
      </c>
      <c r="BF141" s="1500" t="s">
        <v>965</v>
      </c>
    </row>
    <row r="142" spans="1:58" s="1440" customFormat="1">
      <c r="A142" s="1499" t="s">
        <v>1849</v>
      </c>
      <c r="B142" s="1500" t="s">
        <v>619</v>
      </c>
      <c r="C142" s="1488">
        <f>+Y142*1.05</f>
        <v>2.625</v>
      </c>
      <c r="D142" s="1500" t="s">
        <v>965</v>
      </c>
      <c r="E142" s="1618"/>
      <c r="F142" s="1619"/>
      <c r="G142" s="1620"/>
      <c r="H142" s="1621"/>
      <c r="I142" s="1622"/>
      <c r="J142" s="1623"/>
      <c r="K142" s="1624"/>
      <c r="L142" s="1618"/>
      <c r="M142" s="1619"/>
      <c r="N142" s="1620"/>
      <c r="O142" s="1618"/>
      <c r="P142" s="1619"/>
      <c r="Q142" s="1620"/>
      <c r="S142" s="1622"/>
      <c r="T142" s="1550"/>
      <c r="U142" s="1550"/>
      <c r="V142" s="1551"/>
      <c r="W142" s="1552"/>
      <c r="X142" s="1553"/>
      <c r="Y142" s="1491">
        <v>2.5</v>
      </c>
      <c r="Z142" s="1554" t="s">
        <v>1808</v>
      </c>
      <c r="AD142" s="1481" t="s">
        <v>1532</v>
      </c>
      <c r="BD142" s="1500" t="s">
        <v>619</v>
      </c>
      <c r="BE142" s="1488">
        <f>+CA142*1.05</f>
        <v>0</v>
      </c>
      <c r="BF142" s="1500" t="s">
        <v>965</v>
      </c>
    </row>
    <row r="143" spans="1:58">
      <c r="A143" s="1487" t="s">
        <v>1850</v>
      </c>
      <c r="B143" s="1524" t="s">
        <v>1569</v>
      </c>
      <c r="C143" s="1488">
        <f>+Y143*1.05</f>
        <v>3.3075000000000001</v>
      </c>
      <c r="D143" s="1500" t="s">
        <v>965</v>
      </c>
      <c r="E143" s="1525" t="s">
        <v>1569</v>
      </c>
      <c r="F143" s="1489"/>
      <c r="G143" s="1526"/>
      <c r="H143" s="1527" t="s">
        <v>1569</v>
      </c>
      <c r="J143" s="1502" t="s">
        <v>965</v>
      </c>
      <c r="K143" s="1528"/>
      <c r="L143" s="1525" t="s">
        <v>1569</v>
      </c>
      <c r="M143" s="1489">
        <v>6.02</v>
      </c>
      <c r="N143" s="1526"/>
      <c r="O143" s="1525" t="s">
        <v>1569</v>
      </c>
      <c r="P143" s="1489"/>
      <c r="Q143" s="1526"/>
      <c r="S143" s="1490">
        <v>3</v>
      </c>
      <c r="T143" s="1478">
        <f t="shared" si="22"/>
        <v>6.02</v>
      </c>
      <c r="U143" s="1478">
        <f t="shared" si="21"/>
        <v>4.51</v>
      </c>
      <c r="W143" s="1467">
        <v>3</v>
      </c>
      <c r="X143" s="1491">
        <f t="shared" si="24"/>
        <v>3.1500000000000004</v>
      </c>
      <c r="Y143" s="1491">
        <v>3.15</v>
      </c>
      <c r="Z143" s="1554" t="s">
        <v>1808</v>
      </c>
      <c r="AB143" s="1461"/>
      <c r="AC143" s="1461"/>
      <c r="AD143" s="1481" t="s">
        <v>1532</v>
      </c>
      <c r="AE143" s="1461"/>
      <c r="AF143" s="1461"/>
      <c r="AG143" s="1461"/>
      <c r="BD143" s="1524" t="s">
        <v>1569</v>
      </c>
      <c r="BE143" s="1488">
        <f>+CA143*1.05</f>
        <v>0</v>
      </c>
      <c r="BF143" s="1500" t="s">
        <v>965</v>
      </c>
    </row>
    <row r="144" spans="1:58">
      <c r="A144" s="1487" t="s">
        <v>482</v>
      </c>
      <c r="B144" s="1500" t="s">
        <v>619</v>
      </c>
      <c r="C144" s="1488">
        <v>10.5</v>
      </c>
      <c r="D144" s="1500" t="s">
        <v>965</v>
      </c>
      <c r="E144" s="1525"/>
      <c r="F144" s="1489"/>
      <c r="G144" s="1526"/>
      <c r="H144" s="1527"/>
      <c r="J144" s="1502"/>
      <c r="K144" s="1528"/>
      <c r="L144" s="1525"/>
      <c r="M144" s="1489"/>
      <c r="N144" s="1526"/>
      <c r="O144" s="1525"/>
      <c r="P144" s="1489"/>
      <c r="Q144" s="1526"/>
      <c r="T144" s="1478"/>
      <c r="U144" s="1478"/>
      <c r="W144" s="1467"/>
      <c r="X144" s="1491"/>
      <c r="Y144" s="1491">
        <v>9.35</v>
      </c>
      <c r="Z144" s="1554" t="s">
        <v>1765</v>
      </c>
      <c r="AA144" s="1440" t="s">
        <v>1851</v>
      </c>
      <c r="AB144" s="1461"/>
      <c r="AC144" s="1461"/>
      <c r="AD144" s="1481" t="s">
        <v>1532</v>
      </c>
      <c r="AE144" s="1461"/>
      <c r="AF144" s="1461"/>
      <c r="AG144" s="1461"/>
      <c r="BD144" s="1500" t="s">
        <v>619</v>
      </c>
      <c r="BE144" s="1488">
        <v>10.5</v>
      </c>
      <c r="BF144" s="1500" t="s">
        <v>965</v>
      </c>
    </row>
    <row r="145" spans="1:58">
      <c r="A145" s="1487" t="s">
        <v>1852</v>
      </c>
      <c r="B145" s="1482" t="s">
        <v>619</v>
      </c>
      <c r="C145" s="1625">
        <f>+AN49</f>
        <v>26.03299791666667</v>
      </c>
      <c r="D145" s="1482" t="s">
        <v>965</v>
      </c>
      <c r="E145" s="1472" t="s">
        <v>619</v>
      </c>
      <c r="F145" s="1489"/>
      <c r="G145" s="1474"/>
      <c r="H145" s="1475" t="s">
        <v>619</v>
      </c>
      <c r="J145" s="1475" t="s">
        <v>965</v>
      </c>
      <c r="K145" s="1477"/>
      <c r="L145" s="1472" t="s">
        <v>619</v>
      </c>
      <c r="M145" s="1489"/>
      <c r="N145" s="1474"/>
      <c r="O145" s="1472" t="s">
        <v>619</v>
      </c>
      <c r="P145" s="1555">
        <v>40</v>
      </c>
      <c r="Q145" s="1556" t="s">
        <v>1620</v>
      </c>
      <c r="S145" s="1490">
        <v>35</v>
      </c>
      <c r="T145" s="1478" t="e">
        <f t="shared" si="22"/>
        <v>#DIV/0!</v>
      </c>
      <c r="U145" s="1478">
        <f t="shared" si="21"/>
        <v>35</v>
      </c>
      <c r="W145" s="1467">
        <v>35</v>
      </c>
      <c r="X145" s="1491">
        <v>40</v>
      </c>
      <c r="Y145" s="1491">
        <v>21.643000000000001</v>
      </c>
      <c r="Z145" s="1480" t="s">
        <v>1751</v>
      </c>
      <c r="AA145" s="1440" t="s">
        <v>1853</v>
      </c>
      <c r="AB145" s="1461" t="s">
        <v>1854</v>
      </c>
      <c r="AC145" s="1461"/>
      <c r="AD145" s="1481" t="s">
        <v>1532</v>
      </c>
      <c r="AE145" s="1461"/>
      <c r="AF145" s="1461"/>
      <c r="AG145" s="1461"/>
      <c r="BD145" s="1482" t="s">
        <v>619</v>
      </c>
      <c r="BE145" s="1625">
        <v>36.5</v>
      </c>
      <c r="BF145" s="1482" t="s">
        <v>965</v>
      </c>
    </row>
    <row r="146" spans="1:58">
      <c r="A146" s="1487" t="s">
        <v>1855</v>
      </c>
      <c r="B146" s="1482" t="s">
        <v>619</v>
      </c>
      <c r="C146" s="1625">
        <f>+AL68+AN46</f>
        <v>25.741666666666667</v>
      </c>
      <c r="D146" s="1482" t="s">
        <v>965</v>
      </c>
      <c r="E146" s="1472"/>
      <c r="F146" s="1489"/>
      <c r="G146" s="1474"/>
      <c r="H146" s="1475"/>
      <c r="J146" s="1475"/>
      <c r="K146" s="1477"/>
      <c r="L146" s="1472"/>
      <c r="M146" s="1489"/>
      <c r="N146" s="1474"/>
      <c r="O146" s="1472"/>
      <c r="P146" s="1555"/>
      <c r="Q146" s="1556"/>
      <c r="T146" s="1478"/>
      <c r="U146" s="1478"/>
      <c r="W146" s="1467"/>
      <c r="X146" s="1491"/>
      <c r="Y146" s="1491">
        <v>30.125</v>
      </c>
      <c r="Z146" s="1480" t="s">
        <v>1751</v>
      </c>
      <c r="AA146" s="1440" t="s">
        <v>1853</v>
      </c>
      <c r="AB146" s="1461"/>
      <c r="AC146" s="1461"/>
      <c r="AD146" s="1481" t="s">
        <v>1532</v>
      </c>
      <c r="AE146" s="1461"/>
      <c r="AF146" s="1461"/>
      <c r="AG146" s="1461"/>
      <c r="BD146" s="1482" t="s">
        <v>619</v>
      </c>
      <c r="BE146" s="1625">
        <v>36.5</v>
      </c>
      <c r="BF146" s="1482" t="s">
        <v>965</v>
      </c>
    </row>
    <row r="147" spans="1:58">
      <c r="A147" s="1487" t="s">
        <v>1856</v>
      </c>
      <c r="B147" s="1482" t="s">
        <v>1857</v>
      </c>
      <c r="C147" s="1625">
        <f>+AS88</f>
        <v>52.750399999999999</v>
      </c>
      <c r="D147" s="1482" t="s">
        <v>965</v>
      </c>
      <c r="E147" s="1472"/>
      <c r="F147" s="1489"/>
      <c r="G147" s="1474"/>
      <c r="H147" s="1475"/>
      <c r="J147" s="1475"/>
      <c r="K147" s="1477"/>
      <c r="L147" s="1472"/>
      <c r="M147" s="1489"/>
      <c r="N147" s="1474"/>
      <c r="O147" s="1472"/>
      <c r="P147" s="1555"/>
      <c r="Q147" s="1556"/>
      <c r="T147" s="1478"/>
      <c r="U147" s="1478"/>
      <c r="W147" s="1467"/>
      <c r="X147" s="1491"/>
      <c r="Y147" s="1491"/>
      <c r="Z147" s="1480" t="s">
        <v>1751</v>
      </c>
      <c r="AB147" s="1461"/>
      <c r="AC147" s="1461"/>
      <c r="AD147" s="1481"/>
      <c r="AE147" s="1461"/>
      <c r="AF147" s="1461"/>
      <c r="AG147" s="1461"/>
      <c r="BD147" s="1482" t="s">
        <v>1857</v>
      </c>
      <c r="BE147" s="1625">
        <f>+CU88</f>
        <v>0</v>
      </c>
      <c r="BF147" s="1482" t="s">
        <v>965</v>
      </c>
    </row>
    <row r="148" spans="1:58">
      <c r="A148" s="1487" t="s">
        <v>1858</v>
      </c>
      <c r="B148" s="1482" t="s">
        <v>761</v>
      </c>
      <c r="C148" s="1488">
        <f>+Y148*1.05</f>
        <v>8.82</v>
      </c>
      <c r="D148" s="1482" t="s">
        <v>965</v>
      </c>
      <c r="E148" s="1472" t="s">
        <v>761</v>
      </c>
      <c r="F148" s="1489"/>
      <c r="G148" s="1474"/>
      <c r="H148" s="1475" t="s">
        <v>761</v>
      </c>
      <c r="J148" s="1475" t="s">
        <v>965</v>
      </c>
      <c r="K148" s="1477"/>
      <c r="L148" s="1472" t="s">
        <v>761</v>
      </c>
      <c r="M148" s="1489"/>
      <c r="N148" s="1474"/>
      <c r="O148" s="1472" t="s">
        <v>761</v>
      </c>
      <c r="P148" s="1489"/>
      <c r="Q148" s="1474"/>
      <c r="S148" s="1490">
        <v>8</v>
      </c>
      <c r="T148" s="1478" t="e">
        <f t="shared" si="22"/>
        <v>#DIV/0!</v>
      </c>
      <c r="U148" s="1478">
        <f t="shared" si="21"/>
        <v>8</v>
      </c>
      <c r="W148" s="1467">
        <v>8</v>
      </c>
      <c r="X148" s="1491">
        <f t="shared" si="24"/>
        <v>8.4</v>
      </c>
      <c r="Y148" s="1491">
        <v>8.4</v>
      </c>
      <c r="Z148" s="1554" t="s">
        <v>1808</v>
      </c>
      <c r="AB148" s="1461"/>
      <c r="AC148" s="1461"/>
      <c r="AD148" s="1481" t="s">
        <v>1532</v>
      </c>
      <c r="AE148" s="1461"/>
      <c r="AF148" s="1461"/>
      <c r="AG148" s="1461"/>
      <c r="BD148" s="1482" t="s">
        <v>761</v>
      </c>
      <c r="BE148" s="1488">
        <f>+CA148*1.05</f>
        <v>0</v>
      </c>
      <c r="BF148" s="1482" t="s">
        <v>965</v>
      </c>
    </row>
    <row r="149" spans="1:58">
      <c r="A149" s="1626" t="s">
        <v>1859</v>
      </c>
      <c r="B149" s="1482" t="s">
        <v>761</v>
      </c>
      <c r="C149" s="1488">
        <f>+Y149*1.07</f>
        <v>556.13250000000005</v>
      </c>
      <c r="D149" s="1482" t="s">
        <v>965</v>
      </c>
      <c r="E149" s="1472"/>
      <c r="F149" s="1489"/>
      <c r="G149" s="1474"/>
      <c r="H149" s="1475"/>
      <c r="J149" s="1475"/>
      <c r="K149" s="1477"/>
      <c r="L149" s="1472"/>
      <c r="M149" s="1489"/>
      <c r="N149" s="1474"/>
      <c r="O149" s="1472"/>
      <c r="P149" s="1489"/>
      <c r="Q149" s="1474"/>
      <c r="S149" s="1627">
        <v>495</v>
      </c>
      <c r="T149" s="1478" t="e">
        <f t="shared" si="22"/>
        <v>#DIV/0!</v>
      </c>
      <c r="U149" s="1478">
        <f t="shared" si="21"/>
        <v>495</v>
      </c>
      <c r="W149" s="1467">
        <v>495</v>
      </c>
      <c r="X149" s="1491">
        <f t="shared" si="24"/>
        <v>519.75</v>
      </c>
      <c r="Y149" s="1491">
        <v>519.75</v>
      </c>
      <c r="Z149" s="1492" t="s">
        <v>1547</v>
      </c>
      <c r="AB149" s="1461"/>
      <c r="AC149" s="1461"/>
      <c r="AD149" s="1481" t="s">
        <v>1532</v>
      </c>
      <c r="AE149" s="1461"/>
      <c r="AF149" s="1461"/>
      <c r="AG149" s="1461"/>
      <c r="BD149" s="1482" t="s">
        <v>761</v>
      </c>
      <c r="BE149" s="1488">
        <f>+CA149*1.07</f>
        <v>0</v>
      </c>
      <c r="BF149" s="1482" t="s">
        <v>965</v>
      </c>
    </row>
    <row r="150" spans="1:58">
      <c r="A150" s="1626" t="s">
        <v>1860</v>
      </c>
      <c r="B150" s="1482" t="s">
        <v>761</v>
      </c>
      <c r="C150" s="1488">
        <f t="shared" ref="C150:C193" si="29">+Y150*1.07</f>
        <v>584.22</v>
      </c>
      <c r="D150" s="1482" t="s">
        <v>965</v>
      </c>
      <c r="E150" s="1472"/>
      <c r="F150" s="1489"/>
      <c r="G150" s="1474"/>
      <c r="H150" s="1475"/>
      <c r="J150" s="1475"/>
      <c r="K150" s="1477"/>
      <c r="L150" s="1472"/>
      <c r="M150" s="1489"/>
      <c r="N150" s="1474"/>
      <c r="O150" s="1472"/>
      <c r="P150" s="1489"/>
      <c r="Q150" s="1474"/>
      <c r="S150" s="1627">
        <v>520</v>
      </c>
      <c r="T150" s="1478" t="e">
        <f t="shared" si="22"/>
        <v>#DIV/0!</v>
      </c>
      <c r="U150" s="1478">
        <f t="shared" si="21"/>
        <v>520</v>
      </c>
      <c r="W150" s="1467">
        <v>520</v>
      </c>
      <c r="X150" s="1491">
        <f t="shared" si="24"/>
        <v>546</v>
      </c>
      <c r="Y150" s="1491">
        <v>546</v>
      </c>
      <c r="Z150" s="1492" t="s">
        <v>1547</v>
      </c>
      <c r="AB150" s="1461"/>
      <c r="AC150" s="1461"/>
      <c r="AD150" s="1481" t="s">
        <v>1532</v>
      </c>
      <c r="AE150" s="1461"/>
      <c r="AF150" s="1461"/>
      <c r="AG150" s="1461"/>
      <c r="BD150" s="1482" t="s">
        <v>761</v>
      </c>
      <c r="BE150" s="1488">
        <f t="shared" ref="BE150:BE193" si="30">+CA150*1.07</f>
        <v>0</v>
      </c>
      <c r="BF150" s="1482" t="s">
        <v>965</v>
      </c>
    </row>
    <row r="151" spans="1:58">
      <c r="A151" s="1626" t="s">
        <v>1861</v>
      </c>
      <c r="B151" s="1482" t="s">
        <v>761</v>
      </c>
      <c r="C151" s="1488">
        <f t="shared" si="29"/>
        <v>612.3075</v>
      </c>
      <c r="D151" s="1482" t="s">
        <v>965</v>
      </c>
      <c r="E151" s="1472"/>
      <c r="F151" s="1489"/>
      <c r="G151" s="1474"/>
      <c r="H151" s="1475"/>
      <c r="J151" s="1475"/>
      <c r="K151" s="1477"/>
      <c r="L151" s="1472"/>
      <c r="M151" s="1489"/>
      <c r="N151" s="1474"/>
      <c r="O151" s="1472"/>
      <c r="P151" s="1489"/>
      <c r="Q151" s="1474"/>
      <c r="S151" s="1627">
        <v>545</v>
      </c>
      <c r="T151" s="1478" t="e">
        <f t="shared" si="22"/>
        <v>#DIV/0!</v>
      </c>
      <c r="U151" s="1478">
        <f t="shared" si="21"/>
        <v>545</v>
      </c>
      <c r="W151" s="1467">
        <v>545</v>
      </c>
      <c r="X151" s="1491">
        <f t="shared" si="24"/>
        <v>572.25</v>
      </c>
      <c r="Y151" s="1491">
        <v>572.25</v>
      </c>
      <c r="Z151" s="1492" t="s">
        <v>1547</v>
      </c>
      <c r="AB151" s="1461"/>
      <c r="AC151" s="1461"/>
      <c r="AD151" s="1481" t="s">
        <v>1532</v>
      </c>
      <c r="AE151" s="1461"/>
      <c r="AF151" s="1461"/>
      <c r="AG151" s="1461"/>
      <c r="BD151" s="1482" t="s">
        <v>761</v>
      </c>
      <c r="BE151" s="1488">
        <f t="shared" si="30"/>
        <v>0</v>
      </c>
      <c r="BF151" s="1482" t="s">
        <v>965</v>
      </c>
    </row>
    <row r="152" spans="1:58">
      <c r="A152" s="1626" t="s">
        <v>1862</v>
      </c>
      <c r="B152" s="1482" t="s">
        <v>761</v>
      </c>
      <c r="C152" s="1488">
        <f t="shared" si="29"/>
        <v>640.39499999999998</v>
      </c>
      <c r="D152" s="1482" t="s">
        <v>965</v>
      </c>
      <c r="E152" s="1472"/>
      <c r="F152" s="1489"/>
      <c r="G152" s="1474"/>
      <c r="H152" s="1475"/>
      <c r="J152" s="1475"/>
      <c r="K152" s="1477"/>
      <c r="L152" s="1472"/>
      <c r="M152" s="1489"/>
      <c r="N152" s="1474"/>
      <c r="O152" s="1472"/>
      <c r="P152" s="1489"/>
      <c r="Q152" s="1474"/>
      <c r="S152" s="1627">
        <v>570</v>
      </c>
      <c r="T152" s="1478" t="e">
        <f t="shared" si="22"/>
        <v>#DIV/0!</v>
      </c>
      <c r="U152" s="1478">
        <f t="shared" si="21"/>
        <v>570</v>
      </c>
      <c r="W152" s="1467">
        <v>570</v>
      </c>
      <c r="X152" s="1491">
        <f t="shared" si="24"/>
        <v>598.5</v>
      </c>
      <c r="Y152" s="1491">
        <v>598.5</v>
      </c>
      <c r="Z152" s="1492" t="s">
        <v>1547</v>
      </c>
      <c r="AB152" s="1461"/>
      <c r="AC152" s="1461"/>
      <c r="AD152" s="1481" t="s">
        <v>1532</v>
      </c>
      <c r="AE152" s="1461"/>
      <c r="AF152" s="1461"/>
      <c r="AG152" s="1461"/>
      <c r="BD152" s="1482" t="s">
        <v>761</v>
      </c>
      <c r="BE152" s="1488">
        <f t="shared" si="30"/>
        <v>0</v>
      </c>
      <c r="BF152" s="1482" t="s">
        <v>965</v>
      </c>
    </row>
    <row r="153" spans="1:58">
      <c r="A153" s="1626" t="s">
        <v>1863</v>
      </c>
      <c r="B153" s="1482" t="s">
        <v>761</v>
      </c>
      <c r="C153" s="1488">
        <f t="shared" si="29"/>
        <v>539.28000000000009</v>
      </c>
      <c r="D153" s="1482" t="s">
        <v>965</v>
      </c>
      <c r="E153" s="1472"/>
      <c r="F153" s="1489"/>
      <c r="G153" s="1474"/>
      <c r="H153" s="1475"/>
      <c r="J153" s="1475"/>
      <c r="K153" s="1477"/>
      <c r="L153" s="1472"/>
      <c r="M153" s="1489"/>
      <c r="N153" s="1474"/>
      <c r="O153" s="1472"/>
      <c r="P153" s="1489"/>
      <c r="Q153" s="1474"/>
      <c r="S153" s="1627">
        <v>480</v>
      </c>
      <c r="T153" s="1478" t="e">
        <f t="shared" si="22"/>
        <v>#DIV/0!</v>
      </c>
      <c r="U153" s="1478">
        <f t="shared" si="21"/>
        <v>480</v>
      </c>
      <c r="W153" s="1467">
        <v>480</v>
      </c>
      <c r="X153" s="1491">
        <f t="shared" si="24"/>
        <v>504</v>
      </c>
      <c r="Y153" s="1491">
        <v>504</v>
      </c>
      <c r="Z153" s="1492" t="s">
        <v>1547</v>
      </c>
      <c r="AB153" s="1461"/>
      <c r="AC153" s="1461"/>
      <c r="AD153" s="1481" t="s">
        <v>1532</v>
      </c>
      <c r="AE153" s="1461"/>
      <c r="AF153" s="1461"/>
      <c r="AG153" s="1461"/>
      <c r="BD153" s="1482" t="s">
        <v>761</v>
      </c>
      <c r="BE153" s="1488">
        <f t="shared" si="30"/>
        <v>0</v>
      </c>
      <c r="BF153" s="1482" t="s">
        <v>965</v>
      </c>
    </row>
    <row r="154" spans="1:58">
      <c r="A154" s="1626" t="s">
        <v>1864</v>
      </c>
      <c r="B154" s="1482" t="s">
        <v>761</v>
      </c>
      <c r="C154" s="1488">
        <f t="shared" si="29"/>
        <v>575.23200000000008</v>
      </c>
      <c r="D154" s="1482" t="s">
        <v>965</v>
      </c>
      <c r="E154" s="1472"/>
      <c r="F154" s="1489"/>
      <c r="G154" s="1474"/>
      <c r="H154" s="1475"/>
      <c r="J154" s="1475"/>
      <c r="K154" s="1477"/>
      <c r="L154" s="1472"/>
      <c r="M154" s="1489"/>
      <c r="N154" s="1474"/>
      <c r="O154" s="1472"/>
      <c r="P154" s="1489"/>
      <c r="Q154" s="1474"/>
      <c r="S154" s="1627">
        <v>512</v>
      </c>
      <c r="T154" s="1478" t="e">
        <f t="shared" si="22"/>
        <v>#DIV/0!</v>
      </c>
      <c r="U154" s="1478">
        <f t="shared" si="21"/>
        <v>512</v>
      </c>
      <c r="W154" s="1467">
        <v>512</v>
      </c>
      <c r="X154" s="1491">
        <f t="shared" si="24"/>
        <v>537.6</v>
      </c>
      <c r="Y154" s="1491">
        <v>537.6</v>
      </c>
      <c r="Z154" s="1492" t="s">
        <v>1547</v>
      </c>
      <c r="AB154" s="1461"/>
      <c r="AC154" s="1461"/>
      <c r="AD154" s="1481" t="s">
        <v>1532</v>
      </c>
      <c r="AE154" s="1461"/>
      <c r="AF154" s="1461"/>
      <c r="AG154" s="1461"/>
      <c r="BD154" s="1482" t="s">
        <v>761</v>
      </c>
      <c r="BE154" s="1488">
        <f t="shared" si="30"/>
        <v>0</v>
      </c>
      <c r="BF154" s="1482" t="s">
        <v>965</v>
      </c>
    </row>
    <row r="155" spans="1:58">
      <c r="A155" s="1626" t="s">
        <v>1865</v>
      </c>
      <c r="B155" s="1482" t="s">
        <v>761</v>
      </c>
      <c r="C155" s="1488">
        <f t="shared" si="29"/>
        <v>612.3075</v>
      </c>
      <c r="D155" s="1482" t="s">
        <v>965</v>
      </c>
      <c r="E155" s="1472"/>
      <c r="F155" s="1489"/>
      <c r="G155" s="1474"/>
      <c r="H155" s="1475"/>
      <c r="J155" s="1475"/>
      <c r="K155" s="1477"/>
      <c r="L155" s="1472"/>
      <c r="M155" s="1489"/>
      <c r="N155" s="1474"/>
      <c r="O155" s="1472"/>
      <c r="P155" s="1489"/>
      <c r="Q155" s="1474"/>
      <c r="S155" s="1627">
        <v>545</v>
      </c>
      <c r="T155" s="1478" t="e">
        <f t="shared" si="22"/>
        <v>#DIV/0!</v>
      </c>
      <c r="U155" s="1478">
        <f t="shared" si="21"/>
        <v>545</v>
      </c>
      <c r="W155" s="1467">
        <v>545</v>
      </c>
      <c r="X155" s="1491">
        <f t="shared" si="24"/>
        <v>572.25</v>
      </c>
      <c r="Y155" s="1491">
        <v>572.25</v>
      </c>
      <c r="Z155" s="1492" t="s">
        <v>1547</v>
      </c>
      <c r="AB155" s="1461"/>
      <c r="AC155" s="1461"/>
      <c r="AD155" s="1481" t="s">
        <v>1532</v>
      </c>
      <c r="AE155" s="1461"/>
      <c r="AF155" s="1461"/>
      <c r="AG155" s="1461"/>
      <c r="BD155" s="1482" t="s">
        <v>761</v>
      </c>
      <c r="BE155" s="1488">
        <f t="shared" si="30"/>
        <v>0</v>
      </c>
      <c r="BF155" s="1482" t="s">
        <v>965</v>
      </c>
    </row>
    <row r="156" spans="1:58">
      <c r="A156" s="1626" t="s">
        <v>1866</v>
      </c>
      <c r="B156" s="1482" t="s">
        <v>761</v>
      </c>
      <c r="C156" s="1488">
        <f t="shared" si="29"/>
        <v>646.01250000000005</v>
      </c>
      <c r="D156" s="1482" t="s">
        <v>965</v>
      </c>
      <c r="E156" s="1472"/>
      <c r="F156" s="1489"/>
      <c r="G156" s="1474"/>
      <c r="H156" s="1475"/>
      <c r="J156" s="1475"/>
      <c r="K156" s="1477"/>
      <c r="L156" s="1472"/>
      <c r="M156" s="1489"/>
      <c r="N156" s="1474"/>
      <c r="O156" s="1472"/>
      <c r="P156" s="1489"/>
      <c r="Q156" s="1474"/>
      <c r="S156" s="1627">
        <v>575</v>
      </c>
      <c r="T156" s="1478" t="e">
        <f t="shared" si="22"/>
        <v>#DIV/0!</v>
      </c>
      <c r="U156" s="1478">
        <f t="shared" si="21"/>
        <v>575</v>
      </c>
      <c r="W156" s="1467">
        <v>575</v>
      </c>
      <c r="X156" s="1491">
        <f t="shared" si="24"/>
        <v>603.75</v>
      </c>
      <c r="Y156" s="1491">
        <v>603.75</v>
      </c>
      <c r="Z156" s="1492" t="s">
        <v>1547</v>
      </c>
      <c r="AB156" s="1461"/>
      <c r="AC156" s="1461"/>
      <c r="AD156" s="1481" t="s">
        <v>1532</v>
      </c>
      <c r="AE156" s="1461"/>
      <c r="AF156" s="1461"/>
      <c r="AG156" s="1461"/>
      <c r="BD156" s="1482" t="s">
        <v>761</v>
      </c>
      <c r="BE156" s="1488">
        <f t="shared" si="30"/>
        <v>0</v>
      </c>
      <c r="BF156" s="1482" t="s">
        <v>965</v>
      </c>
    </row>
    <row r="157" spans="1:58">
      <c r="A157" s="1626" t="s">
        <v>1867</v>
      </c>
      <c r="B157" s="1482" t="s">
        <v>761</v>
      </c>
      <c r="C157" s="1488">
        <f t="shared" si="29"/>
        <v>679.71750000000009</v>
      </c>
      <c r="D157" s="1482" t="s">
        <v>965</v>
      </c>
      <c r="E157" s="1472"/>
      <c r="F157" s="1489"/>
      <c r="G157" s="1474"/>
      <c r="H157" s="1475"/>
      <c r="J157" s="1475"/>
      <c r="K157" s="1477"/>
      <c r="L157" s="1472"/>
      <c r="M157" s="1489"/>
      <c r="N157" s="1474"/>
      <c r="O157" s="1472"/>
      <c r="P157" s="1489"/>
      <c r="Q157" s="1474"/>
      <c r="S157" s="1627">
        <v>605</v>
      </c>
      <c r="T157" s="1478" t="e">
        <f t="shared" si="22"/>
        <v>#DIV/0!</v>
      </c>
      <c r="U157" s="1478">
        <f t="shared" si="21"/>
        <v>605</v>
      </c>
      <c r="W157" s="1467">
        <v>605</v>
      </c>
      <c r="X157" s="1491">
        <f t="shared" si="24"/>
        <v>635.25</v>
      </c>
      <c r="Y157" s="1491">
        <v>635.25</v>
      </c>
      <c r="Z157" s="1492" t="s">
        <v>1547</v>
      </c>
      <c r="AB157" s="1461"/>
      <c r="AC157" s="1461"/>
      <c r="AD157" s="1481" t="s">
        <v>1532</v>
      </c>
      <c r="AE157" s="1461"/>
      <c r="AF157" s="1461"/>
      <c r="AG157" s="1461"/>
      <c r="BD157" s="1482" t="s">
        <v>761</v>
      </c>
      <c r="BE157" s="1488">
        <f t="shared" si="30"/>
        <v>0</v>
      </c>
      <c r="BF157" s="1482" t="s">
        <v>965</v>
      </c>
    </row>
    <row r="158" spans="1:58">
      <c r="A158" s="1626" t="s">
        <v>1868</v>
      </c>
      <c r="B158" s="1482" t="s">
        <v>761</v>
      </c>
      <c r="C158" s="1488">
        <f t="shared" si="29"/>
        <v>719.04000000000008</v>
      </c>
      <c r="D158" s="1482" t="s">
        <v>965</v>
      </c>
      <c r="E158" s="1472"/>
      <c r="F158" s="1489"/>
      <c r="G158" s="1474"/>
      <c r="H158" s="1475"/>
      <c r="J158" s="1475"/>
      <c r="K158" s="1477"/>
      <c r="L158" s="1472"/>
      <c r="M158" s="1489"/>
      <c r="N158" s="1474"/>
      <c r="O158" s="1472"/>
      <c r="P158" s="1489"/>
      <c r="Q158" s="1474"/>
      <c r="S158" s="1627">
        <v>640</v>
      </c>
      <c r="T158" s="1478" t="e">
        <f t="shared" si="22"/>
        <v>#DIV/0!</v>
      </c>
      <c r="U158" s="1478">
        <f t="shared" ref="U158:U225" si="31">AVERAGE(W158,F158,I158,M158)</f>
        <v>640</v>
      </c>
      <c r="W158" s="1467">
        <v>640</v>
      </c>
      <c r="X158" s="1491">
        <f t="shared" si="24"/>
        <v>672</v>
      </c>
      <c r="Y158" s="1491">
        <v>672</v>
      </c>
      <c r="Z158" s="1492" t="s">
        <v>1547</v>
      </c>
      <c r="AB158" s="1461"/>
      <c r="AC158" s="1461"/>
      <c r="AD158" s="1481" t="s">
        <v>1532</v>
      </c>
      <c r="AE158" s="1461"/>
      <c r="AF158" s="1461"/>
      <c r="AG158" s="1461"/>
      <c r="BD158" s="1482" t="s">
        <v>761</v>
      </c>
      <c r="BE158" s="1488">
        <f t="shared" si="30"/>
        <v>0</v>
      </c>
      <c r="BF158" s="1482" t="s">
        <v>965</v>
      </c>
    </row>
    <row r="159" spans="1:58">
      <c r="A159" s="1626" t="s">
        <v>1869</v>
      </c>
      <c r="B159" s="1482" t="s">
        <v>761</v>
      </c>
      <c r="C159" s="1488">
        <f t="shared" si="29"/>
        <v>522.42750000000001</v>
      </c>
      <c r="D159" s="1482" t="s">
        <v>965</v>
      </c>
      <c r="E159" s="1472"/>
      <c r="F159" s="1489"/>
      <c r="G159" s="1474"/>
      <c r="H159" s="1475"/>
      <c r="J159" s="1475"/>
      <c r="K159" s="1477"/>
      <c r="L159" s="1472"/>
      <c r="M159" s="1489"/>
      <c r="N159" s="1474"/>
      <c r="O159" s="1472"/>
      <c r="P159" s="1489"/>
      <c r="Q159" s="1474"/>
      <c r="S159" s="1627">
        <v>465</v>
      </c>
      <c r="T159" s="1478" t="e">
        <f t="shared" si="22"/>
        <v>#DIV/0!</v>
      </c>
      <c r="U159" s="1478">
        <f t="shared" si="31"/>
        <v>465</v>
      </c>
      <c r="W159" s="1467">
        <v>465</v>
      </c>
      <c r="X159" s="1491">
        <f t="shared" si="24"/>
        <v>488.25</v>
      </c>
      <c r="Y159" s="1491">
        <v>488.25</v>
      </c>
      <c r="Z159" s="1492" t="s">
        <v>1547</v>
      </c>
      <c r="AB159" s="1461"/>
      <c r="AC159" s="1461"/>
      <c r="AD159" s="1481" t="s">
        <v>1532</v>
      </c>
      <c r="AE159" s="1461"/>
      <c r="AF159" s="1461"/>
      <c r="AG159" s="1461"/>
      <c r="BD159" s="1482" t="s">
        <v>761</v>
      </c>
      <c r="BE159" s="1488">
        <f t="shared" si="30"/>
        <v>0</v>
      </c>
      <c r="BF159" s="1482" t="s">
        <v>965</v>
      </c>
    </row>
    <row r="160" spans="1:58">
      <c r="A160" s="1626" t="s">
        <v>1870</v>
      </c>
      <c r="B160" s="1482" t="s">
        <v>761</v>
      </c>
      <c r="C160" s="1488">
        <f t="shared" si="29"/>
        <v>539.28000000000009</v>
      </c>
      <c r="D160" s="1482" t="s">
        <v>965</v>
      </c>
      <c r="E160" s="1472"/>
      <c r="F160" s="1489"/>
      <c r="G160" s="1474"/>
      <c r="H160" s="1475"/>
      <c r="J160" s="1475"/>
      <c r="K160" s="1477"/>
      <c r="L160" s="1472"/>
      <c r="M160" s="1489"/>
      <c r="N160" s="1474"/>
      <c r="O160" s="1472"/>
      <c r="P160" s="1489"/>
      <c r="Q160" s="1474"/>
      <c r="S160" s="1627">
        <v>480</v>
      </c>
      <c r="T160" s="1478" t="e">
        <f t="shared" si="22"/>
        <v>#DIV/0!</v>
      </c>
      <c r="U160" s="1478">
        <f t="shared" si="31"/>
        <v>480</v>
      </c>
      <c r="W160" s="1467">
        <v>480</v>
      </c>
      <c r="X160" s="1491">
        <f t="shared" si="24"/>
        <v>504</v>
      </c>
      <c r="Y160" s="1491">
        <v>504</v>
      </c>
      <c r="Z160" s="1492" t="s">
        <v>1547</v>
      </c>
      <c r="AB160" s="1461"/>
      <c r="AC160" s="1461"/>
      <c r="AD160" s="1481" t="s">
        <v>1532</v>
      </c>
      <c r="AE160" s="1461"/>
      <c r="AF160" s="1461"/>
      <c r="AG160" s="1461"/>
      <c r="BD160" s="1482" t="s">
        <v>761</v>
      </c>
      <c r="BE160" s="1488">
        <f t="shared" si="30"/>
        <v>0</v>
      </c>
      <c r="BF160" s="1482" t="s">
        <v>965</v>
      </c>
    </row>
    <row r="161" spans="1:58">
      <c r="A161" s="1626" t="s">
        <v>1871</v>
      </c>
      <c r="B161" s="1482" t="s">
        <v>761</v>
      </c>
      <c r="C161" s="1488">
        <f t="shared" si="29"/>
        <v>561.75</v>
      </c>
      <c r="D161" s="1482" t="s">
        <v>965</v>
      </c>
      <c r="E161" s="1472"/>
      <c r="F161" s="1489"/>
      <c r="G161" s="1474"/>
      <c r="H161" s="1475"/>
      <c r="J161" s="1475"/>
      <c r="K161" s="1477"/>
      <c r="L161" s="1472"/>
      <c r="M161" s="1489"/>
      <c r="N161" s="1474"/>
      <c r="O161" s="1472"/>
      <c r="P161" s="1489"/>
      <c r="Q161" s="1474"/>
      <c r="S161" s="1627">
        <v>500</v>
      </c>
      <c r="T161" s="1478" t="e">
        <f t="shared" si="22"/>
        <v>#DIV/0!</v>
      </c>
      <c r="U161" s="1478">
        <f t="shared" si="31"/>
        <v>500</v>
      </c>
      <c r="W161" s="1467">
        <v>500</v>
      </c>
      <c r="X161" s="1491">
        <f t="shared" si="24"/>
        <v>525</v>
      </c>
      <c r="Y161" s="1491">
        <v>525</v>
      </c>
      <c r="Z161" s="1492" t="s">
        <v>1547</v>
      </c>
      <c r="AB161" s="1461"/>
      <c r="AC161" s="1461"/>
      <c r="AD161" s="1481" t="s">
        <v>1532</v>
      </c>
      <c r="AE161" s="1461"/>
      <c r="AF161" s="1461"/>
      <c r="AG161" s="1461"/>
      <c r="BD161" s="1482" t="s">
        <v>761</v>
      </c>
      <c r="BE161" s="1488">
        <f t="shared" si="30"/>
        <v>0</v>
      </c>
      <c r="BF161" s="1482" t="s">
        <v>965</v>
      </c>
    </row>
    <row r="162" spans="1:58">
      <c r="A162" s="1626" t="s">
        <v>1872</v>
      </c>
      <c r="B162" s="1482" t="s">
        <v>761</v>
      </c>
      <c r="C162" s="1488">
        <f t="shared" si="29"/>
        <v>584.22</v>
      </c>
      <c r="D162" s="1482" t="s">
        <v>965</v>
      </c>
      <c r="E162" s="1472"/>
      <c r="F162" s="1489"/>
      <c r="G162" s="1474"/>
      <c r="H162" s="1475"/>
      <c r="J162" s="1475"/>
      <c r="K162" s="1477"/>
      <c r="L162" s="1472"/>
      <c r="M162" s="1489"/>
      <c r="N162" s="1474"/>
      <c r="O162" s="1472"/>
      <c r="P162" s="1489"/>
      <c r="Q162" s="1474"/>
      <c r="S162" s="1627">
        <v>520</v>
      </c>
      <c r="T162" s="1478" t="e">
        <f t="shared" si="22"/>
        <v>#DIV/0!</v>
      </c>
      <c r="U162" s="1478">
        <f t="shared" si="31"/>
        <v>520</v>
      </c>
      <c r="W162" s="1467">
        <v>520</v>
      </c>
      <c r="X162" s="1491">
        <f t="shared" si="24"/>
        <v>546</v>
      </c>
      <c r="Y162" s="1491">
        <v>546</v>
      </c>
      <c r="Z162" s="1492" t="s">
        <v>1547</v>
      </c>
      <c r="AB162" s="1461"/>
      <c r="AC162" s="1461"/>
      <c r="AD162" s="1481" t="s">
        <v>1532</v>
      </c>
      <c r="AE162" s="1461"/>
      <c r="AF162" s="1461"/>
      <c r="AG162" s="1461"/>
      <c r="BD162" s="1482" t="s">
        <v>761</v>
      </c>
      <c r="BE162" s="1488">
        <f t="shared" si="30"/>
        <v>0</v>
      </c>
      <c r="BF162" s="1482" t="s">
        <v>965</v>
      </c>
    </row>
    <row r="163" spans="1:58">
      <c r="A163" s="1626" t="s">
        <v>1873</v>
      </c>
      <c r="B163" s="1482" t="s">
        <v>761</v>
      </c>
      <c r="C163" s="1488">
        <f t="shared" si="29"/>
        <v>539.28000000000009</v>
      </c>
      <c r="D163" s="1482" t="s">
        <v>965</v>
      </c>
      <c r="E163" s="1472"/>
      <c r="F163" s="1489"/>
      <c r="G163" s="1474"/>
      <c r="H163" s="1475"/>
      <c r="J163" s="1475"/>
      <c r="K163" s="1477"/>
      <c r="L163" s="1472"/>
      <c r="M163" s="1489"/>
      <c r="N163" s="1474"/>
      <c r="O163" s="1472"/>
      <c r="P163" s="1489"/>
      <c r="Q163" s="1474"/>
      <c r="S163" s="1627">
        <v>480</v>
      </c>
      <c r="T163" s="1478" t="e">
        <f t="shared" si="22"/>
        <v>#DIV/0!</v>
      </c>
      <c r="U163" s="1478">
        <f t="shared" si="31"/>
        <v>480</v>
      </c>
      <c r="W163" s="1467">
        <v>480</v>
      </c>
      <c r="X163" s="1491">
        <f t="shared" si="24"/>
        <v>504</v>
      </c>
      <c r="Y163" s="1491">
        <v>504</v>
      </c>
      <c r="Z163" s="1492" t="s">
        <v>1547</v>
      </c>
      <c r="AB163" s="1461"/>
      <c r="AC163" s="1461"/>
      <c r="AD163" s="1481" t="s">
        <v>1532</v>
      </c>
      <c r="AE163" s="1461"/>
      <c r="AF163" s="1461"/>
      <c r="AG163" s="1461"/>
      <c r="BD163" s="1482" t="s">
        <v>761</v>
      </c>
      <c r="BE163" s="1488">
        <f t="shared" si="30"/>
        <v>0</v>
      </c>
      <c r="BF163" s="1482" t="s">
        <v>965</v>
      </c>
    </row>
    <row r="164" spans="1:58">
      <c r="A164" s="1626" t="s">
        <v>1874</v>
      </c>
      <c r="B164" s="1482" t="s">
        <v>761</v>
      </c>
      <c r="C164" s="1488">
        <f t="shared" si="29"/>
        <v>572.98500000000001</v>
      </c>
      <c r="D164" s="1482" t="s">
        <v>965</v>
      </c>
      <c r="E164" s="1472"/>
      <c r="F164" s="1489"/>
      <c r="G164" s="1474"/>
      <c r="H164" s="1475"/>
      <c r="J164" s="1475"/>
      <c r="K164" s="1477"/>
      <c r="L164" s="1472"/>
      <c r="M164" s="1489"/>
      <c r="N164" s="1474"/>
      <c r="O164" s="1472"/>
      <c r="P164" s="1489"/>
      <c r="Q164" s="1474"/>
      <c r="S164" s="1627">
        <v>510</v>
      </c>
      <c r="T164" s="1478" t="e">
        <f t="shared" si="22"/>
        <v>#DIV/0!</v>
      </c>
      <c r="U164" s="1478">
        <f t="shared" si="31"/>
        <v>510</v>
      </c>
      <c r="W164" s="1467">
        <v>510</v>
      </c>
      <c r="X164" s="1491">
        <f t="shared" si="24"/>
        <v>535.5</v>
      </c>
      <c r="Y164" s="1491">
        <v>535.5</v>
      </c>
      <c r="Z164" s="1492" t="s">
        <v>1547</v>
      </c>
      <c r="AB164" s="1461"/>
      <c r="AC164" s="1461"/>
      <c r="AD164" s="1481" t="s">
        <v>1532</v>
      </c>
      <c r="AE164" s="1461"/>
      <c r="AF164" s="1461"/>
      <c r="AG164" s="1461"/>
      <c r="BD164" s="1482" t="s">
        <v>761</v>
      </c>
      <c r="BE164" s="1488">
        <f t="shared" si="30"/>
        <v>0</v>
      </c>
      <c r="BF164" s="1482" t="s">
        <v>965</v>
      </c>
    </row>
    <row r="165" spans="1:58">
      <c r="A165" s="1626" t="s">
        <v>1875</v>
      </c>
      <c r="B165" s="1482" t="s">
        <v>761</v>
      </c>
      <c r="C165" s="1488">
        <f t="shared" si="29"/>
        <v>595.45500000000004</v>
      </c>
      <c r="D165" s="1482" t="s">
        <v>965</v>
      </c>
      <c r="E165" s="1472"/>
      <c r="F165" s="1489"/>
      <c r="G165" s="1474"/>
      <c r="H165" s="1475"/>
      <c r="J165" s="1475"/>
      <c r="K165" s="1477"/>
      <c r="L165" s="1472"/>
      <c r="M165" s="1489"/>
      <c r="N165" s="1474"/>
      <c r="O165" s="1472"/>
      <c r="P165" s="1489"/>
      <c r="Q165" s="1474"/>
      <c r="S165" s="1627">
        <v>530</v>
      </c>
      <c r="T165" s="1478" t="e">
        <f t="shared" si="22"/>
        <v>#DIV/0!</v>
      </c>
      <c r="U165" s="1478">
        <f t="shared" si="31"/>
        <v>530</v>
      </c>
      <c r="W165" s="1467">
        <v>530</v>
      </c>
      <c r="X165" s="1491">
        <f t="shared" si="24"/>
        <v>556.5</v>
      </c>
      <c r="Y165" s="1491">
        <v>556.5</v>
      </c>
      <c r="Z165" s="1492" t="s">
        <v>1547</v>
      </c>
      <c r="AB165" s="1461"/>
      <c r="AC165" s="1461"/>
      <c r="AD165" s="1481" t="s">
        <v>1532</v>
      </c>
      <c r="AE165" s="1461"/>
      <c r="AF165" s="1461"/>
      <c r="AG165" s="1461"/>
      <c r="BD165" s="1482" t="s">
        <v>761</v>
      </c>
      <c r="BE165" s="1488">
        <f t="shared" si="30"/>
        <v>0</v>
      </c>
      <c r="BF165" s="1482" t="s">
        <v>965</v>
      </c>
    </row>
    <row r="166" spans="1:58">
      <c r="A166" s="1626" t="s">
        <v>1876</v>
      </c>
      <c r="B166" s="1482" t="s">
        <v>761</v>
      </c>
      <c r="C166" s="1488">
        <f t="shared" si="29"/>
        <v>629.16000000000008</v>
      </c>
      <c r="D166" s="1482" t="s">
        <v>965</v>
      </c>
      <c r="E166" s="1472"/>
      <c r="F166" s="1489"/>
      <c r="G166" s="1474"/>
      <c r="H166" s="1475"/>
      <c r="J166" s="1475"/>
      <c r="K166" s="1477"/>
      <c r="L166" s="1472"/>
      <c r="M166" s="1489"/>
      <c r="N166" s="1474"/>
      <c r="O166" s="1472"/>
      <c r="P166" s="1489"/>
      <c r="Q166" s="1474"/>
      <c r="S166" s="1627">
        <v>560</v>
      </c>
      <c r="T166" s="1478" t="e">
        <f t="shared" si="22"/>
        <v>#DIV/0!</v>
      </c>
      <c r="U166" s="1478">
        <f t="shared" si="31"/>
        <v>560</v>
      </c>
      <c r="W166" s="1467">
        <v>560</v>
      </c>
      <c r="X166" s="1491">
        <f t="shared" si="24"/>
        <v>588</v>
      </c>
      <c r="Y166" s="1491">
        <v>588</v>
      </c>
      <c r="Z166" s="1492" t="s">
        <v>1547</v>
      </c>
      <c r="AB166" s="1461"/>
      <c r="AC166" s="1461"/>
      <c r="AD166" s="1481" t="s">
        <v>1532</v>
      </c>
      <c r="AE166" s="1461"/>
      <c r="AF166" s="1461"/>
      <c r="AG166" s="1461"/>
      <c r="BD166" s="1482" t="s">
        <v>761</v>
      </c>
      <c r="BE166" s="1488">
        <f t="shared" si="30"/>
        <v>0</v>
      </c>
      <c r="BF166" s="1482" t="s">
        <v>965</v>
      </c>
    </row>
    <row r="167" spans="1:58">
      <c r="A167" s="1626" t="s">
        <v>1877</v>
      </c>
      <c r="B167" s="1482" t="s">
        <v>761</v>
      </c>
      <c r="C167" s="1488">
        <f t="shared" si="29"/>
        <v>601.07249999999999</v>
      </c>
      <c r="D167" s="1482" t="s">
        <v>965</v>
      </c>
      <c r="E167" s="1472"/>
      <c r="F167" s="1489"/>
      <c r="G167" s="1474"/>
      <c r="H167" s="1475"/>
      <c r="J167" s="1475"/>
      <c r="K167" s="1477"/>
      <c r="L167" s="1472"/>
      <c r="M167" s="1489"/>
      <c r="N167" s="1474"/>
      <c r="O167" s="1472"/>
      <c r="P167" s="1489"/>
      <c r="Q167" s="1474"/>
      <c r="S167" s="1627">
        <v>535</v>
      </c>
      <c r="T167" s="1478" t="e">
        <f t="shared" si="22"/>
        <v>#DIV/0!</v>
      </c>
      <c r="U167" s="1478">
        <f t="shared" si="31"/>
        <v>535</v>
      </c>
      <c r="W167" s="1467">
        <v>535</v>
      </c>
      <c r="X167" s="1491">
        <f t="shared" si="24"/>
        <v>561.75</v>
      </c>
      <c r="Y167" s="1491">
        <v>561.75</v>
      </c>
      <c r="Z167" s="1492" t="s">
        <v>1547</v>
      </c>
      <c r="AB167" s="1461"/>
      <c r="AC167" s="1461"/>
      <c r="AD167" s="1481" t="s">
        <v>1532</v>
      </c>
      <c r="AE167" s="1461"/>
      <c r="AF167" s="1461"/>
      <c r="AG167" s="1461"/>
      <c r="BD167" s="1482" t="s">
        <v>761</v>
      </c>
      <c r="BE167" s="1488">
        <f t="shared" si="30"/>
        <v>0</v>
      </c>
      <c r="BF167" s="1482" t="s">
        <v>965</v>
      </c>
    </row>
    <row r="168" spans="1:58">
      <c r="A168" s="1626" t="s">
        <v>1878</v>
      </c>
      <c r="B168" s="1482" t="s">
        <v>761</v>
      </c>
      <c r="C168" s="1488">
        <f t="shared" si="29"/>
        <v>646.01250000000005</v>
      </c>
      <c r="D168" s="1482" t="s">
        <v>965</v>
      </c>
      <c r="E168" s="1472"/>
      <c r="F168" s="1489"/>
      <c r="G168" s="1474"/>
      <c r="H168" s="1475"/>
      <c r="J168" s="1475"/>
      <c r="K168" s="1477"/>
      <c r="L168" s="1472"/>
      <c r="M168" s="1489"/>
      <c r="N168" s="1474"/>
      <c r="O168" s="1472"/>
      <c r="P168" s="1489"/>
      <c r="Q168" s="1474"/>
      <c r="S168" s="1627">
        <v>575</v>
      </c>
      <c r="T168" s="1478" t="e">
        <f t="shared" si="22"/>
        <v>#DIV/0!</v>
      </c>
      <c r="U168" s="1478">
        <f t="shared" si="31"/>
        <v>575</v>
      </c>
      <c r="W168" s="1467">
        <v>575</v>
      </c>
      <c r="X168" s="1491">
        <f t="shared" si="24"/>
        <v>603.75</v>
      </c>
      <c r="Y168" s="1491">
        <v>603.75</v>
      </c>
      <c r="Z168" s="1492" t="s">
        <v>1547</v>
      </c>
      <c r="AB168" s="1461"/>
      <c r="AC168" s="1461"/>
      <c r="AD168" s="1481" t="s">
        <v>1532</v>
      </c>
      <c r="AE168" s="1461"/>
      <c r="AF168" s="1461"/>
      <c r="AG168" s="1461"/>
      <c r="BD168" s="1482" t="s">
        <v>761</v>
      </c>
      <c r="BE168" s="1488">
        <f t="shared" si="30"/>
        <v>0</v>
      </c>
      <c r="BF168" s="1482" t="s">
        <v>965</v>
      </c>
    </row>
    <row r="169" spans="1:58">
      <c r="A169" s="1626" t="s">
        <v>1879</v>
      </c>
      <c r="B169" s="1482" t="s">
        <v>761</v>
      </c>
      <c r="C169" s="1488">
        <f t="shared" si="29"/>
        <v>690.95249999999999</v>
      </c>
      <c r="D169" s="1482" t="s">
        <v>965</v>
      </c>
      <c r="E169" s="1472"/>
      <c r="F169" s="1489"/>
      <c r="G169" s="1474"/>
      <c r="H169" s="1475"/>
      <c r="J169" s="1475"/>
      <c r="K169" s="1477"/>
      <c r="L169" s="1472"/>
      <c r="M169" s="1489"/>
      <c r="N169" s="1474"/>
      <c r="O169" s="1472"/>
      <c r="P169" s="1489"/>
      <c r="Q169" s="1474"/>
      <c r="S169" s="1627">
        <v>615</v>
      </c>
      <c r="T169" s="1478" t="e">
        <f t="shared" si="22"/>
        <v>#DIV/0!</v>
      </c>
      <c r="U169" s="1478">
        <f t="shared" si="31"/>
        <v>615</v>
      </c>
      <c r="W169" s="1467">
        <v>615</v>
      </c>
      <c r="X169" s="1491">
        <f t="shared" si="24"/>
        <v>645.75</v>
      </c>
      <c r="Y169" s="1491">
        <v>645.75</v>
      </c>
      <c r="Z169" s="1492" t="s">
        <v>1547</v>
      </c>
      <c r="AB169" s="1461"/>
      <c r="AC169" s="1461"/>
      <c r="AD169" s="1481" t="s">
        <v>1532</v>
      </c>
      <c r="AE169" s="1461"/>
      <c r="AF169" s="1461"/>
      <c r="AG169" s="1461"/>
      <c r="BD169" s="1482" t="s">
        <v>761</v>
      </c>
      <c r="BE169" s="1488">
        <f t="shared" si="30"/>
        <v>0</v>
      </c>
      <c r="BF169" s="1482" t="s">
        <v>965</v>
      </c>
    </row>
    <row r="170" spans="1:58">
      <c r="A170" s="1626" t="s">
        <v>1880</v>
      </c>
      <c r="B170" s="1482" t="s">
        <v>761</v>
      </c>
      <c r="C170" s="1488">
        <f t="shared" si="29"/>
        <v>730.27500000000009</v>
      </c>
      <c r="D170" s="1482" t="s">
        <v>965</v>
      </c>
      <c r="E170" s="1472"/>
      <c r="F170" s="1489"/>
      <c r="G170" s="1474"/>
      <c r="H170" s="1475"/>
      <c r="J170" s="1475"/>
      <c r="K170" s="1477"/>
      <c r="L170" s="1472"/>
      <c r="M170" s="1489"/>
      <c r="N170" s="1474"/>
      <c r="O170" s="1472"/>
      <c r="P170" s="1489"/>
      <c r="Q170" s="1474"/>
      <c r="S170" s="1627">
        <v>650</v>
      </c>
      <c r="T170" s="1478" t="e">
        <f t="shared" si="22"/>
        <v>#DIV/0!</v>
      </c>
      <c r="U170" s="1478">
        <f t="shared" si="31"/>
        <v>650</v>
      </c>
      <c r="W170" s="1467">
        <v>650</v>
      </c>
      <c r="X170" s="1491">
        <f t="shared" si="24"/>
        <v>682.5</v>
      </c>
      <c r="Y170" s="1491">
        <v>682.5</v>
      </c>
      <c r="Z170" s="1492" t="s">
        <v>1547</v>
      </c>
      <c r="AB170" s="1461"/>
      <c r="AC170" s="1461"/>
      <c r="AD170" s="1481" t="s">
        <v>1532</v>
      </c>
      <c r="AE170" s="1461"/>
      <c r="AF170" s="1461"/>
      <c r="AG170" s="1461"/>
      <c r="BD170" s="1482" t="s">
        <v>761</v>
      </c>
      <c r="BE170" s="1488">
        <f t="shared" si="30"/>
        <v>0</v>
      </c>
      <c r="BF170" s="1482" t="s">
        <v>965</v>
      </c>
    </row>
    <row r="171" spans="1:58">
      <c r="A171" s="1626" t="s">
        <v>1881</v>
      </c>
      <c r="B171" s="1482" t="s">
        <v>761</v>
      </c>
      <c r="C171" s="1488">
        <f t="shared" si="29"/>
        <v>775.21500000000003</v>
      </c>
      <c r="D171" s="1482" t="s">
        <v>965</v>
      </c>
      <c r="E171" s="1472"/>
      <c r="F171" s="1489"/>
      <c r="G171" s="1474"/>
      <c r="H171" s="1475"/>
      <c r="J171" s="1475"/>
      <c r="K171" s="1477"/>
      <c r="L171" s="1472"/>
      <c r="M171" s="1489"/>
      <c r="N171" s="1474"/>
      <c r="O171" s="1472"/>
      <c r="P171" s="1489"/>
      <c r="Q171" s="1474"/>
      <c r="S171" s="1627">
        <v>690</v>
      </c>
      <c r="T171" s="1478" t="e">
        <f t="shared" si="22"/>
        <v>#DIV/0!</v>
      </c>
      <c r="U171" s="1478">
        <f t="shared" si="31"/>
        <v>690</v>
      </c>
      <c r="W171" s="1467">
        <v>690</v>
      </c>
      <c r="X171" s="1491">
        <f t="shared" si="24"/>
        <v>724.5</v>
      </c>
      <c r="Y171" s="1491">
        <v>724.5</v>
      </c>
      <c r="Z171" s="1492" t="s">
        <v>1547</v>
      </c>
      <c r="AB171" s="1461"/>
      <c r="AC171" s="1461"/>
      <c r="AD171" s="1481" t="s">
        <v>1532</v>
      </c>
      <c r="AE171" s="1461"/>
      <c r="AF171" s="1461"/>
      <c r="AG171" s="1461"/>
      <c r="BD171" s="1482" t="s">
        <v>761</v>
      </c>
      <c r="BE171" s="1488">
        <f t="shared" si="30"/>
        <v>0</v>
      </c>
      <c r="BF171" s="1482" t="s">
        <v>965</v>
      </c>
    </row>
    <row r="172" spans="1:58">
      <c r="A172" s="1626" t="s">
        <v>1882</v>
      </c>
      <c r="B172" s="1482" t="s">
        <v>761</v>
      </c>
      <c r="C172" s="1488">
        <f t="shared" si="29"/>
        <v>814.53750000000002</v>
      </c>
      <c r="D172" s="1482" t="s">
        <v>965</v>
      </c>
      <c r="E172" s="1472"/>
      <c r="F172" s="1489"/>
      <c r="G172" s="1474"/>
      <c r="H172" s="1475"/>
      <c r="J172" s="1475"/>
      <c r="K172" s="1477"/>
      <c r="L172" s="1472"/>
      <c r="M172" s="1489"/>
      <c r="N172" s="1474"/>
      <c r="O172" s="1472"/>
      <c r="P172" s="1489"/>
      <c r="Q172" s="1474"/>
      <c r="S172" s="1627">
        <v>725</v>
      </c>
      <c r="T172" s="1478" t="e">
        <f t="shared" si="22"/>
        <v>#DIV/0!</v>
      </c>
      <c r="U172" s="1478">
        <f t="shared" si="31"/>
        <v>725</v>
      </c>
      <c r="W172" s="1467">
        <v>725</v>
      </c>
      <c r="X172" s="1491">
        <f t="shared" si="24"/>
        <v>761.25</v>
      </c>
      <c r="Y172" s="1491">
        <v>761.25</v>
      </c>
      <c r="Z172" s="1492" t="s">
        <v>1547</v>
      </c>
      <c r="AB172" s="1461"/>
      <c r="AC172" s="1461"/>
      <c r="AD172" s="1481" t="s">
        <v>1532</v>
      </c>
      <c r="AE172" s="1461"/>
      <c r="AF172" s="1461"/>
      <c r="AG172" s="1461"/>
      <c r="BD172" s="1482" t="s">
        <v>761</v>
      </c>
      <c r="BE172" s="1488">
        <f t="shared" si="30"/>
        <v>0</v>
      </c>
      <c r="BF172" s="1482" t="s">
        <v>965</v>
      </c>
    </row>
    <row r="173" spans="1:58">
      <c r="A173" s="1626" t="s">
        <v>1883</v>
      </c>
      <c r="B173" s="1482" t="s">
        <v>761</v>
      </c>
      <c r="C173" s="1488">
        <f t="shared" si="29"/>
        <v>679.71750000000009</v>
      </c>
      <c r="D173" s="1482" t="s">
        <v>965</v>
      </c>
      <c r="E173" s="1472"/>
      <c r="F173" s="1489"/>
      <c r="G173" s="1474"/>
      <c r="H173" s="1475"/>
      <c r="J173" s="1475"/>
      <c r="K173" s="1477"/>
      <c r="L173" s="1472"/>
      <c r="M173" s="1489"/>
      <c r="N173" s="1474"/>
      <c r="O173" s="1472"/>
      <c r="P173" s="1489"/>
      <c r="Q173" s="1474"/>
      <c r="S173" s="1627">
        <v>605</v>
      </c>
      <c r="T173" s="1478" t="e">
        <f t="shared" si="22"/>
        <v>#DIV/0!</v>
      </c>
      <c r="U173" s="1478">
        <f t="shared" si="31"/>
        <v>605</v>
      </c>
      <c r="W173" s="1467">
        <v>605</v>
      </c>
      <c r="X173" s="1491">
        <f t="shared" si="24"/>
        <v>635.25</v>
      </c>
      <c r="Y173" s="1491">
        <v>635.25</v>
      </c>
      <c r="Z173" s="1492" t="s">
        <v>1547</v>
      </c>
      <c r="AB173" s="1461"/>
      <c r="AC173" s="1461"/>
      <c r="AD173" s="1481" t="s">
        <v>1532</v>
      </c>
      <c r="AE173" s="1461"/>
      <c r="AF173" s="1461"/>
      <c r="AG173" s="1461"/>
      <c r="BD173" s="1482" t="s">
        <v>761</v>
      </c>
      <c r="BE173" s="1488">
        <f t="shared" si="30"/>
        <v>0</v>
      </c>
      <c r="BF173" s="1482" t="s">
        <v>965</v>
      </c>
    </row>
    <row r="174" spans="1:58">
      <c r="A174" s="1626" t="s">
        <v>1884</v>
      </c>
      <c r="B174" s="1482" t="s">
        <v>761</v>
      </c>
      <c r="C174" s="1488">
        <f t="shared" si="29"/>
        <v>730.27500000000009</v>
      </c>
      <c r="D174" s="1482" t="s">
        <v>965</v>
      </c>
      <c r="E174" s="1472"/>
      <c r="F174" s="1489"/>
      <c r="G174" s="1474"/>
      <c r="H174" s="1475"/>
      <c r="J174" s="1475"/>
      <c r="K174" s="1477"/>
      <c r="L174" s="1472"/>
      <c r="M174" s="1489"/>
      <c r="N174" s="1474"/>
      <c r="O174" s="1472"/>
      <c r="P174" s="1489"/>
      <c r="Q174" s="1474"/>
      <c r="S174" s="1627">
        <v>650</v>
      </c>
      <c r="T174" s="1478" t="e">
        <f t="shared" si="22"/>
        <v>#DIV/0!</v>
      </c>
      <c r="U174" s="1478">
        <f t="shared" si="31"/>
        <v>650</v>
      </c>
      <c r="W174" s="1467">
        <v>650</v>
      </c>
      <c r="X174" s="1491">
        <f t="shared" si="24"/>
        <v>682.5</v>
      </c>
      <c r="Y174" s="1491">
        <v>682.5</v>
      </c>
      <c r="Z174" s="1492" t="s">
        <v>1547</v>
      </c>
      <c r="AB174" s="1461"/>
      <c r="AC174" s="1461"/>
      <c r="AD174" s="1481" t="s">
        <v>1532</v>
      </c>
      <c r="AE174" s="1461"/>
      <c r="AF174" s="1461"/>
      <c r="AG174" s="1461"/>
      <c r="BD174" s="1482" t="s">
        <v>761</v>
      </c>
      <c r="BE174" s="1488">
        <f t="shared" si="30"/>
        <v>0</v>
      </c>
      <c r="BF174" s="1482" t="s">
        <v>965</v>
      </c>
    </row>
    <row r="175" spans="1:58">
      <c r="A175" s="1626" t="s">
        <v>1885</v>
      </c>
      <c r="B175" s="1482" t="s">
        <v>761</v>
      </c>
      <c r="C175" s="1488">
        <f t="shared" si="29"/>
        <v>780.8325000000001</v>
      </c>
      <c r="D175" s="1482" t="s">
        <v>965</v>
      </c>
      <c r="E175" s="1472"/>
      <c r="F175" s="1489"/>
      <c r="G175" s="1474"/>
      <c r="H175" s="1475"/>
      <c r="J175" s="1475"/>
      <c r="K175" s="1477"/>
      <c r="L175" s="1472"/>
      <c r="M175" s="1489"/>
      <c r="N175" s="1474"/>
      <c r="O175" s="1472"/>
      <c r="P175" s="1489"/>
      <c r="Q175" s="1474"/>
      <c r="S175" s="1627">
        <v>695</v>
      </c>
      <c r="T175" s="1478" t="e">
        <f t="shared" si="22"/>
        <v>#DIV/0!</v>
      </c>
      <c r="U175" s="1478">
        <f t="shared" si="31"/>
        <v>695</v>
      </c>
      <c r="W175" s="1467">
        <v>695</v>
      </c>
      <c r="X175" s="1491">
        <f t="shared" si="24"/>
        <v>729.75</v>
      </c>
      <c r="Y175" s="1491">
        <v>729.75</v>
      </c>
      <c r="Z175" s="1492" t="s">
        <v>1547</v>
      </c>
      <c r="AB175" s="1461"/>
      <c r="AC175" s="1461"/>
      <c r="AD175" s="1481" t="s">
        <v>1532</v>
      </c>
      <c r="AE175" s="1461"/>
      <c r="AF175" s="1461"/>
      <c r="AG175" s="1461"/>
      <c r="BD175" s="1482" t="s">
        <v>761</v>
      </c>
      <c r="BE175" s="1488">
        <f t="shared" si="30"/>
        <v>0</v>
      </c>
      <c r="BF175" s="1482" t="s">
        <v>965</v>
      </c>
    </row>
    <row r="176" spans="1:58">
      <c r="A176" s="1626" t="s">
        <v>1886</v>
      </c>
      <c r="B176" s="1482" t="s">
        <v>761</v>
      </c>
      <c r="C176" s="1488">
        <f t="shared" si="29"/>
        <v>820.15500000000009</v>
      </c>
      <c r="D176" s="1482" t="s">
        <v>965</v>
      </c>
      <c r="E176" s="1472"/>
      <c r="F176" s="1489"/>
      <c r="G176" s="1474"/>
      <c r="H176" s="1475"/>
      <c r="J176" s="1475"/>
      <c r="K176" s="1477"/>
      <c r="L176" s="1472"/>
      <c r="M176" s="1489"/>
      <c r="N176" s="1474"/>
      <c r="O176" s="1472"/>
      <c r="P176" s="1489"/>
      <c r="Q176" s="1474"/>
      <c r="S176" s="1627">
        <v>730</v>
      </c>
      <c r="T176" s="1478" t="e">
        <f t="shared" si="22"/>
        <v>#DIV/0!</v>
      </c>
      <c r="U176" s="1478">
        <f t="shared" si="31"/>
        <v>730</v>
      </c>
      <c r="W176" s="1467">
        <v>730</v>
      </c>
      <c r="X176" s="1491">
        <f t="shared" si="24"/>
        <v>766.5</v>
      </c>
      <c r="Y176" s="1491">
        <v>766.5</v>
      </c>
      <c r="Z176" s="1492" t="s">
        <v>1547</v>
      </c>
      <c r="AB176" s="1461"/>
      <c r="AC176" s="1461"/>
      <c r="AD176" s="1481" t="s">
        <v>1532</v>
      </c>
      <c r="AE176" s="1461"/>
      <c r="AF176" s="1461"/>
      <c r="AG176" s="1461"/>
      <c r="BD176" s="1482" t="s">
        <v>761</v>
      </c>
      <c r="BE176" s="1488">
        <f t="shared" si="30"/>
        <v>0</v>
      </c>
      <c r="BF176" s="1482" t="s">
        <v>965</v>
      </c>
    </row>
    <row r="177" spans="1:58">
      <c r="A177" s="1626" t="s">
        <v>1887</v>
      </c>
      <c r="B177" s="1482" t="s">
        <v>761</v>
      </c>
      <c r="C177" s="1488">
        <f t="shared" si="29"/>
        <v>870.71250000000009</v>
      </c>
      <c r="D177" s="1482" t="s">
        <v>965</v>
      </c>
      <c r="E177" s="1472"/>
      <c r="F177" s="1489"/>
      <c r="G177" s="1474"/>
      <c r="H177" s="1475"/>
      <c r="J177" s="1475"/>
      <c r="K177" s="1477"/>
      <c r="L177" s="1472"/>
      <c r="M177" s="1489"/>
      <c r="N177" s="1474"/>
      <c r="O177" s="1472"/>
      <c r="P177" s="1489"/>
      <c r="Q177" s="1474"/>
      <c r="S177" s="1627">
        <v>775</v>
      </c>
      <c r="T177" s="1478" t="e">
        <f t="shared" si="22"/>
        <v>#DIV/0!</v>
      </c>
      <c r="U177" s="1478">
        <f t="shared" si="31"/>
        <v>775</v>
      </c>
      <c r="W177" s="1467">
        <v>775</v>
      </c>
      <c r="X177" s="1491">
        <f t="shared" si="24"/>
        <v>813.75</v>
      </c>
      <c r="Y177" s="1491">
        <v>813.75</v>
      </c>
      <c r="Z177" s="1492" t="s">
        <v>1547</v>
      </c>
      <c r="AB177" s="1461"/>
      <c r="AC177" s="1461"/>
      <c r="AD177" s="1481" t="s">
        <v>1532</v>
      </c>
      <c r="AE177" s="1461"/>
      <c r="AF177" s="1461"/>
      <c r="AG177" s="1461"/>
      <c r="BD177" s="1482" t="s">
        <v>761</v>
      </c>
      <c r="BE177" s="1488">
        <f t="shared" si="30"/>
        <v>0</v>
      </c>
      <c r="BF177" s="1482" t="s">
        <v>965</v>
      </c>
    </row>
    <row r="178" spans="1:58">
      <c r="A178" s="1626" t="s">
        <v>1888</v>
      </c>
      <c r="B178" s="1482" t="s">
        <v>761</v>
      </c>
      <c r="C178" s="1488">
        <f t="shared" si="29"/>
        <v>921.2700000000001</v>
      </c>
      <c r="D178" s="1482" t="s">
        <v>965</v>
      </c>
      <c r="E178" s="1472"/>
      <c r="F178" s="1489"/>
      <c r="G178" s="1474"/>
      <c r="H178" s="1475"/>
      <c r="J178" s="1475"/>
      <c r="K178" s="1477"/>
      <c r="L178" s="1472"/>
      <c r="M178" s="1489"/>
      <c r="N178" s="1474"/>
      <c r="O178" s="1472"/>
      <c r="P178" s="1489"/>
      <c r="Q178" s="1474"/>
      <c r="S178" s="1627">
        <v>820</v>
      </c>
      <c r="T178" s="1478" t="e">
        <f t="shared" si="22"/>
        <v>#DIV/0!</v>
      </c>
      <c r="U178" s="1478">
        <f t="shared" si="31"/>
        <v>820</v>
      </c>
      <c r="W178" s="1467">
        <v>820</v>
      </c>
      <c r="X178" s="1491">
        <f t="shared" si="24"/>
        <v>861</v>
      </c>
      <c r="Y178" s="1491">
        <v>861</v>
      </c>
      <c r="Z178" s="1492" t="s">
        <v>1547</v>
      </c>
      <c r="AB178" s="1461"/>
      <c r="AC178" s="1461"/>
      <c r="AD178" s="1481" t="s">
        <v>1532</v>
      </c>
      <c r="AE178" s="1461"/>
      <c r="AF178" s="1461"/>
      <c r="AG178" s="1461"/>
      <c r="BD178" s="1482" t="s">
        <v>761</v>
      </c>
      <c r="BE178" s="1488">
        <f t="shared" si="30"/>
        <v>0</v>
      </c>
      <c r="BF178" s="1482" t="s">
        <v>965</v>
      </c>
    </row>
    <row r="179" spans="1:58">
      <c r="A179" s="1626" t="s">
        <v>1889</v>
      </c>
      <c r="B179" s="1482" t="s">
        <v>761</v>
      </c>
      <c r="C179" s="1488">
        <f t="shared" si="29"/>
        <v>556.13250000000005</v>
      </c>
      <c r="D179" s="1482" t="s">
        <v>965</v>
      </c>
      <c r="E179" s="1472"/>
      <c r="F179" s="1489"/>
      <c r="G179" s="1474"/>
      <c r="H179" s="1475"/>
      <c r="J179" s="1475"/>
      <c r="K179" s="1477"/>
      <c r="L179" s="1472"/>
      <c r="M179" s="1489"/>
      <c r="N179" s="1474"/>
      <c r="O179" s="1472"/>
      <c r="P179" s="1489"/>
      <c r="Q179" s="1474"/>
      <c r="S179" s="1627">
        <v>495</v>
      </c>
      <c r="T179" s="1478" t="e">
        <f t="shared" si="22"/>
        <v>#DIV/0!</v>
      </c>
      <c r="U179" s="1478">
        <f t="shared" si="31"/>
        <v>495</v>
      </c>
      <c r="W179" s="1467">
        <v>495</v>
      </c>
      <c r="X179" s="1491">
        <f t="shared" si="24"/>
        <v>519.75</v>
      </c>
      <c r="Y179" s="1491">
        <v>519.75</v>
      </c>
      <c r="Z179" s="1492" t="s">
        <v>1547</v>
      </c>
      <c r="AB179" s="1461"/>
      <c r="AC179" s="1461"/>
      <c r="AD179" s="1481" t="s">
        <v>1532</v>
      </c>
      <c r="AE179" s="1461"/>
      <c r="AF179" s="1461"/>
      <c r="AG179" s="1461"/>
      <c r="BD179" s="1482" t="s">
        <v>761</v>
      </c>
      <c r="BE179" s="1488">
        <f t="shared" si="30"/>
        <v>0</v>
      </c>
      <c r="BF179" s="1482" t="s">
        <v>965</v>
      </c>
    </row>
    <row r="180" spans="1:58">
      <c r="A180" s="1626" t="s">
        <v>1890</v>
      </c>
      <c r="B180" s="1482" t="s">
        <v>761</v>
      </c>
      <c r="C180" s="1488">
        <f t="shared" si="29"/>
        <v>584.22</v>
      </c>
      <c r="D180" s="1482" t="s">
        <v>965</v>
      </c>
      <c r="E180" s="1472"/>
      <c r="F180" s="1489"/>
      <c r="G180" s="1474"/>
      <c r="H180" s="1475"/>
      <c r="J180" s="1475"/>
      <c r="K180" s="1477"/>
      <c r="L180" s="1472"/>
      <c r="M180" s="1489"/>
      <c r="N180" s="1474"/>
      <c r="O180" s="1472"/>
      <c r="P180" s="1489"/>
      <c r="Q180" s="1474"/>
      <c r="S180" s="1627">
        <v>520</v>
      </c>
      <c r="T180" s="1478" t="e">
        <f t="shared" si="22"/>
        <v>#DIV/0!</v>
      </c>
      <c r="U180" s="1478">
        <f t="shared" si="31"/>
        <v>520</v>
      </c>
      <c r="W180" s="1467">
        <v>520</v>
      </c>
      <c r="X180" s="1491">
        <f t="shared" si="24"/>
        <v>546</v>
      </c>
      <c r="Y180" s="1491">
        <v>546</v>
      </c>
      <c r="Z180" s="1492" t="s">
        <v>1547</v>
      </c>
      <c r="AB180" s="1461"/>
      <c r="AC180" s="1461"/>
      <c r="AD180" s="1481" t="s">
        <v>1532</v>
      </c>
      <c r="AE180" s="1461"/>
      <c r="AF180" s="1461"/>
      <c r="AG180" s="1461"/>
      <c r="BD180" s="1482" t="s">
        <v>761</v>
      </c>
      <c r="BE180" s="1488">
        <f t="shared" si="30"/>
        <v>0</v>
      </c>
      <c r="BF180" s="1482" t="s">
        <v>965</v>
      </c>
    </row>
    <row r="181" spans="1:58">
      <c r="A181" s="1626" t="s">
        <v>1891</v>
      </c>
      <c r="B181" s="1482" t="s">
        <v>761</v>
      </c>
      <c r="C181" s="1488">
        <f t="shared" si="29"/>
        <v>612.3075</v>
      </c>
      <c r="D181" s="1482" t="s">
        <v>965</v>
      </c>
      <c r="E181" s="1472"/>
      <c r="F181" s="1489"/>
      <c r="G181" s="1474"/>
      <c r="H181" s="1475"/>
      <c r="J181" s="1475"/>
      <c r="K181" s="1477"/>
      <c r="L181" s="1472"/>
      <c r="M181" s="1489"/>
      <c r="N181" s="1474"/>
      <c r="O181" s="1472"/>
      <c r="P181" s="1489"/>
      <c r="Q181" s="1474"/>
      <c r="S181" s="1627">
        <v>545</v>
      </c>
      <c r="T181" s="1478" t="e">
        <f t="shared" si="22"/>
        <v>#DIV/0!</v>
      </c>
      <c r="U181" s="1478">
        <f t="shared" si="31"/>
        <v>545</v>
      </c>
      <c r="W181" s="1467">
        <v>545</v>
      </c>
      <c r="X181" s="1491">
        <f t="shared" si="24"/>
        <v>572.25</v>
      </c>
      <c r="Y181" s="1491">
        <v>572.25</v>
      </c>
      <c r="Z181" s="1492" t="s">
        <v>1547</v>
      </c>
      <c r="AB181" s="1461"/>
      <c r="AC181" s="1461"/>
      <c r="AD181" s="1481" t="s">
        <v>1532</v>
      </c>
      <c r="AE181" s="1461"/>
      <c r="AF181" s="1461"/>
      <c r="AG181" s="1461"/>
      <c r="BD181" s="1482" t="s">
        <v>761</v>
      </c>
      <c r="BE181" s="1488">
        <f t="shared" si="30"/>
        <v>0</v>
      </c>
      <c r="BF181" s="1482" t="s">
        <v>965</v>
      </c>
    </row>
    <row r="182" spans="1:58">
      <c r="A182" s="1626" t="s">
        <v>1892</v>
      </c>
      <c r="B182" s="1482" t="s">
        <v>761</v>
      </c>
      <c r="C182" s="1488">
        <f t="shared" si="29"/>
        <v>640.39499999999998</v>
      </c>
      <c r="D182" s="1482" t="s">
        <v>965</v>
      </c>
      <c r="E182" s="1472"/>
      <c r="F182" s="1489"/>
      <c r="G182" s="1474"/>
      <c r="H182" s="1475"/>
      <c r="J182" s="1475"/>
      <c r="K182" s="1477"/>
      <c r="L182" s="1472"/>
      <c r="M182" s="1489"/>
      <c r="N182" s="1474"/>
      <c r="O182" s="1472"/>
      <c r="P182" s="1489"/>
      <c r="Q182" s="1474"/>
      <c r="S182" s="1627">
        <v>570</v>
      </c>
      <c r="T182" s="1478" t="e">
        <f t="shared" si="22"/>
        <v>#DIV/0!</v>
      </c>
      <c r="U182" s="1478">
        <f t="shared" si="31"/>
        <v>570</v>
      </c>
      <c r="W182" s="1467">
        <v>570</v>
      </c>
      <c r="X182" s="1491">
        <f t="shared" si="24"/>
        <v>598.5</v>
      </c>
      <c r="Y182" s="1491">
        <v>598.5</v>
      </c>
      <c r="Z182" s="1492" t="s">
        <v>1547</v>
      </c>
      <c r="AB182" s="1461"/>
      <c r="AC182" s="1461"/>
      <c r="AD182" s="1481" t="s">
        <v>1532</v>
      </c>
      <c r="AE182" s="1461"/>
      <c r="AF182" s="1461"/>
      <c r="AG182" s="1461"/>
      <c r="BD182" s="1482" t="s">
        <v>761</v>
      </c>
      <c r="BE182" s="1488">
        <f t="shared" si="30"/>
        <v>0</v>
      </c>
      <c r="BF182" s="1482" t="s">
        <v>965</v>
      </c>
    </row>
    <row r="183" spans="1:58">
      <c r="A183" s="1626" t="s">
        <v>1893</v>
      </c>
      <c r="B183" s="1482" t="s">
        <v>761</v>
      </c>
      <c r="C183" s="1488">
        <f t="shared" si="29"/>
        <v>668.48250000000007</v>
      </c>
      <c r="D183" s="1482" t="s">
        <v>965</v>
      </c>
      <c r="E183" s="1472"/>
      <c r="F183" s="1489"/>
      <c r="G183" s="1474"/>
      <c r="H183" s="1475"/>
      <c r="J183" s="1475"/>
      <c r="K183" s="1477"/>
      <c r="L183" s="1472"/>
      <c r="M183" s="1489"/>
      <c r="N183" s="1474"/>
      <c r="O183" s="1472"/>
      <c r="P183" s="1489"/>
      <c r="Q183" s="1474"/>
      <c r="S183" s="1627">
        <v>595</v>
      </c>
      <c r="T183" s="1478" t="e">
        <f t="shared" si="22"/>
        <v>#DIV/0!</v>
      </c>
      <c r="U183" s="1478">
        <f t="shared" si="31"/>
        <v>595</v>
      </c>
      <c r="W183" s="1467">
        <v>595</v>
      </c>
      <c r="X183" s="1491">
        <f t="shared" si="24"/>
        <v>624.75</v>
      </c>
      <c r="Y183" s="1491">
        <v>624.75</v>
      </c>
      <c r="Z183" s="1492" t="s">
        <v>1547</v>
      </c>
      <c r="AB183" s="1461"/>
      <c r="AC183" s="1461"/>
      <c r="AD183" s="1481" t="s">
        <v>1532</v>
      </c>
      <c r="AE183" s="1461"/>
      <c r="AF183" s="1461"/>
      <c r="AG183" s="1461"/>
      <c r="BD183" s="1482" t="s">
        <v>761</v>
      </c>
      <c r="BE183" s="1488">
        <f t="shared" si="30"/>
        <v>0</v>
      </c>
      <c r="BF183" s="1482" t="s">
        <v>965</v>
      </c>
    </row>
    <row r="184" spans="1:58">
      <c r="A184" s="1626" t="s">
        <v>1894</v>
      </c>
      <c r="B184" s="1482" t="s">
        <v>761</v>
      </c>
      <c r="C184" s="1488">
        <f t="shared" si="29"/>
        <v>696.57</v>
      </c>
      <c r="D184" s="1482" t="s">
        <v>965</v>
      </c>
      <c r="E184" s="1472"/>
      <c r="F184" s="1489"/>
      <c r="G184" s="1474"/>
      <c r="H184" s="1475"/>
      <c r="J184" s="1475"/>
      <c r="K184" s="1477"/>
      <c r="L184" s="1472"/>
      <c r="M184" s="1489"/>
      <c r="N184" s="1474"/>
      <c r="O184" s="1472"/>
      <c r="P184" s="1489"/>
      <c r="Q184" s="1474"/>
      <c r="S184" s="1627">
        <v>620</v>
      </c>
      <c r="T184" s="1478" t="e">
        <f t="shared" si="22"/>
        <v>#DIV/0!</v>
      </c>
      <c r="U184" s="1478">
        <f t="shared" si="31"/>
        <v>620</v>
      </c>
      <c r="W184" s="1467">
        <v>620</v>
      </c>
      <c r="X184" s="1491">
        <f t="shared" si="24"/>
        <v>651</v>
      </c>
      <c r="Y184" s="1491">
        <v>651</v>
      </c>
      <c r="Z184" s="1492" t="s">
        <v>1547</v>
      </c>
      <c r="AB184" s="1461"/>
      <c r="AC184" s="1461"/>
      <c r="AD184" s="1481" t="s">
        <v>1532</v>
      </c>
      <c r="AE184" s="1461"/>
      <c r="AF184" s="1461"/>
      <c r="AG184" s="1461"/>
      <c r="BD184" s="1482" t="s">
        <v>761</v>
      </c>
      <c r="BE184" s="1488">
        <f t="shared" si="30"/>
        <v>0</v>
      </c>
      <c r="BF184" s="1482" t="s">
        <v>965</v>
      </c>
    </row>
    <row r="185" spans="1:58">
      <c r="A185" s="1626" t="s">
        <v>1895</v>
      </c>
      <c r="B185" s="1482" t="s">
        <v>761</v>
      </c>
      <c r="C185" s="1488">
        <f t="shared" si="29"/>
        <v>578.60250000000008</v>
      </c>
      <c r="D185" s="1482" t="s">
        <v>965</v>
      </c>
      <c r="E185" s="1472"/>
      <c r="F185" s="1489"/>
      <c r="G185" s="1474"/>
      <c r="H185" s="1475"/>
      <c r="J185" s="1475"/>
      <c r="K185" s="1477"/>
      <c r="L185" s="1472"/>
      <c r="M185" s="1489"/>
      <c r="N185" s="1474"/>
      <c r="O185" s="1472"/>
      <c r="P185" s="1489"/>
      <c r="Q185" s="1474"/>
      <c r="S185" s="1627">
        <v>515</v>
      </c>
      <c r="T185" s="1478" t="e">
        <f t="shared" si="22"/>
        <v>#DIV/0!</v>
      </c>
      <c r="U185" s="1478">
        <f t="shared" si="31"/>
        <v>515</v>
      </c>
      <c r="W185" s="1467">
        <v>515</v>
      </c>
      <c r="X185" s="1491">
        <f t="shared" si="24"/>
        <v>540.75</v>
      </c>
      <c r="Y185" s="1491">
        <v>540.75</v>
      </c>
      <c r="Z185" s="1492" t="s">
        <v>1547</v>
      </c>
      <c r="AB185" s="1461"/>
      <c r="AC185" s="1461"/>
      <c r="AD185" s="1481" t="s">
        <v>1532</v>
      </c>
      <c r="AE185" s="1461"/>
      <c r="AF185" s="1461"/>
      <c r="AG185" s="1461"/>
      <c r="BD185" s="1482" t="s">
        <v>761</v>
      </c>
      <c r="BE185" s="1488">
        <f t="shared" si="30"/>
        <v>0</v>
      </c>
      <c r="BF185" s="1482" t="s">
        <v>965</v>
      </c>
    </row>
    <row r="186" spans="1:58">
      <c r="A186" s="1626" t="s">
        <v>1896</v>
      </c>
      <c r="B186" s="1482" t="s">
        <v>761</v>
      </c>
      <c r="C186" s="1488">
        <f t="shared" si="29"/>
        <v>617.92500000000007</v>
      </c>
      <c r="D186" s="1482" t="s">
        <v>965</v>
      </c>
      <c r="E186" s="1472"/>
      <c r="F186" s="1489"/>
      <c r="G186" s="1474"/>
      <c r="H186" s="1475"/>
      <c r="J186" s="1475"/>
      <c r="K186" s="1477"/>
      <c r="L186" s="1472"/>
      <c r="M186" s="1489"/>
      <c r="N186" s="1474"/>
      <c r="O186" s="1472"/>
      <c r="P186" s="1489"/>
      <c r="Q186" s="1474"/>
      <c r="S186" s="1627">
        <v>550</v>
      </c>
      <c r="T186" s="1478" t="e">
        <f t="shared" si="22"/>
        <v>#DIV/0!</v>
      </c>
      <c r="U186" s="1478">
        <f t="shared" si="31"/>
        <v>550</v>
      </c>
      <c r="W186" s="1467">
        <v>550</v>
      </c>
      <c r="X186" s="1491">
        <f t="shared" si="24"/>
        <v>577.5</v>
      </c>
      <c r="Y186" s="1491">
        <v>577.5</v>
      </c>
      <c r="Z186" s="1492" t="s">
        <v>1547</v>
      </c>
      <c r="AB186" s="1461"/>
      <c r="AC186" s="1461"/>
      <c r="AD186" s="1481" t="s">
        <v>1532</v>
      </c>
      <c r="AE186" s="1461"/>
      <c r="AF186" s="1461"/>
      <c r="AG186" s="1461"/>
      <c r="BD186" s="1482" t="s">
        <v>761</v>
      </c>
      <c r="BE186" s="1488">
        <f t="shared" si="30"/>
        <v>0</v>
      </c>
      <c r="BF186" s="1482" t="s">
        <v>965</v>
      </c>
    </row>
    <row r="187" spans="1:58">
      <c r="A187" s="1626" t="s">
        <v>1897</v>
      </c>
      <c r="B187" s="1482" t="s">
        <v>761</v>
      </c>
      <c r="C187" s="1488">
        <f t="shared" si="29"/>
        <v>657.24750000000006</v>
      </c>
      <c r="D187" s="1482" t="s">
        <v>965</v>
      </c>
      <c r="E187" s="1472"/>
      <c r="F187" s="1489"/>
      <c r="G187" s="1474"/>
      <c r="H187" s="1475"/>
      <c r="J187" s="1475"/>
      <c r="K187" s="1477"/>
      <c r="L187" s="1472"/>
      <c r="M187" s="1489"/>
      <c r="N187" s="1474"/>
      <c r="O187" s="1472"/>
      <c r="P187" s="1489"/>
      <c r="Q187" s="1474"/>
      <c r="S187" s="1627">
        <v>585</v>
      </c>
      <c r="T187" s="1478" t="e">
        <f t="shared" si="22"/>
        <v>#DIV/0!</v>
      </c>
      <c r="U187" s="1478">
        <f t="shared" si="31"/>
        <v>585</v>
      </c>
      <c r="W187" s="1467">
        <v>585</v>
      </c>
      <c r="X187" s="1491">
        <f t="shared" si="24"/>
        <v>614.25</v>
      </c>
      <c r="Y187" s="1491">
        <v>614.25</v>
      </c>
      <c r="Z187" s="1492" t="s">
        <v>1547</v>
      </c>
      <c r="AB187" s="1461"/>
      <c r="AC187" s="1461"/>
      <c r="AD187" s="1481" t="s">
        <v>1532</v>
      </c>
      <c r="AE187" s="1461"/>
      <c r="AF187" s="1461"/>
      <c r="AG187" s="1461"/>
      <c r="BD187" s="1482" t="s">
        <v>761</v>
      </c>
      <c r="BE187" s="1488">
        <f t="shared" si="30"/>
        <v>0</v>
      </c>
      <c r="BF187" s="1482" t="s">
        <v>965</v>
      </c>
    </row>
    <row r="188" spans="1:58">
      <c r="A188" s="1626" t="s">
        <v>1898</v>
      </c>
      <c r="B188" s="1482" t="s">
        <v>761</v>
      </c>
      <c r="C188" s="1488">
        <f t="shared" si="29"/>
        <v>702.1875</v>
      </c>
      <c r="D188" s="1482" t="s">
        <v>965</v>
      </c>
      <c r="E188" s="1472"/>
      <c r="F188" s="1489"/>
      <c r="G188" s="1474"/>
      <c r="H188" s="1475"/>
      <c r="J188" s="1475"/>
      <c r="K188" s="1477"/>
      <c r="L188" s="1472"/>
      <c r="M188" s="1489"/>
      <c r="N188" s="1474"/>
      <c r="O188" s="1472"/>
      <c r="P188" s="1489"/>
      <c r="Q188" s="1474"/>
      <c r="S188" s="1627">
        <v>625</v>
      </c>
      <c r="T188" s="1478" t="e">
        <f t="shared" si="22"/>
        <v>#DIV/0!</v>
      </c>
      <c r="U188" s="1478">
        <f t="shared" si="31"/>
        <v>625</v>
      </c>
      <c r="W188" s="1467">
        <v>625</v>
      </c>
      <c r="X188" s="1491">
        <f t="shared" si="24"/>
        <v>656.25</v>
      </c>
      <c r="Y188" s="1491">
        <v>656.25</v>
      </c>
      <c r="Z188" s="1492" t="s">
        <v>1547</v>
      </c>
      <c r="AB188" s="1461"/>
      <c r="AC188" s="1461"/>
      <c r="AD188" s="1481" t="s">
        <v>1532</v>
      </c>
      <c r="AE188" s="1461"/>
      <c r="AF188" s="1461"/>
      <c r="AG188" s="1461"/>
      <c r="BD188" s="1482" t="s">
        <v>761</v>
      </c>
      <c r="BE188" s="1488">
        <f t="shared" si="30"/>
        <v>0</v>
      </c>
      <c r="BF188" s="1482" t="s">
        <v>965</v>
      </c>
    </row>
    <row r="189" spans="1:58">
      <c r="A189" s="1626" t="s">
        <v>1899</v>
      </c>
      <c r="B189" s="1482" t="s">
        <v>761</v>
      </c>
      <c r="C189" s="1488">
        <f t="shared" si="29"/>
        <v>747.12750000000005</v>
      </c>
      <c r="D189" s="1482" t="s">
        <v>965</v>
      </c>
      <c r="E189" s="1472"/>
      <c r="F189" s="1489"/>
      <c r="G189" s="1474"/>
      <c r="H189" s="1475"/>
      <c r="J189" s="1475"/>
      <c r="K189" s="1477"/>
      <c r="L189" s="1472"/>
      <c r="M189" s="1489"/>
      <c r="N189" s="1474"/>
      <c r="O189" s="1472"/>
      <c r="P189" s="1489"/>
      <c r="Q189" s="1474"/>
      <c r="S189" s="1627">
        <v>665</v>
      </c>
      <c r="T189" s="1478" t="e">
        <f t="shared" si="22"/>
        <v>#DIV/0!</v>
      </c>
      <c r="U189" s="1478">
        <f t="shared" si="31"/>
        <v>665</v>
      </c>
      <c r="W189" s="1467">
        <v>665</v>
      </c>
      <c r="X189" s="1491">
        <f t="shared" si="24"/>
        <v>698.25</v>
      </c>
      <c r="Y189" s="1491">
        <v>698.25</v>
      </c>
      <c r="Z189" s="1492" t="s">
        <v>1547</v>
      </c>
      <c r="AB189" s="1461"/>
      <c r="AC189" s="1461"/>
      <c r="AD189" s="1481" t="s">
        <v>1532</v>
      </c>
      <c r="AE189" s="1461"/>
      <c r="AF189" s="1461"/>
      <c r="AG189" s="1461"/>
      <c r="BD189" s="1482" t="s">
        <v>761</v>
      </c>
      <c r="BE189" s="1488">
        <f t="shared" si="30"/>
        <v>0</v>
      </c>
      <c r="BF189" s="1482" t="s">
        <v>965</v>
      </c>
    </row>
    <row r="190" spans="1:58">
      <c r="A190" s="1626" t="s">
        <v>1900</v>
      </c>
      <c r="B190" s="1482" t="s">
        <v>761</v>
      </c>
      <c r="C190" s="1488">
        <f t="shared" si="29"/>
        <v>786.45</v>
      </c>
      <c r="D190" s="1482" t="s">
        <v>965</v>
      </c>
      <c r="E190" s="1472"/>
      <c r="F190" s="1489"/>
      <c r="G190" s="1474"/>
      <c r="H190" s="1475"/>
      <c r="J190" s="1475"/>
      <c r="K190" s="1477"/>
      <c r="L190" s="1472"/>
      <c r="M190" s="1489"/>
      <c r="N190" s="1474"/>
      <c r="O190" s="1472"/>
      <c r="P190" s="1489"/>
      <c r="Q190" s="1474"/>
      <c r="S190" s="1627">
        <v>700</v>
      </c>
      <c r="T190" s="1478" t="e">
        <f t="shared" si="22"/>
        <v>#DIV/0!</v>
      </c>
      <c r="U190" s="1478">
        <f t="shared" si="31"/>
        <v>700</v>
      </c>
      <c r="W190" s="1467">
        <v>700</v>
      </c>
      <c r="X190" s="1491">
        <f t="shared" si="24"/>
        <v>735</v>
      </c>
      <c r="Y190" s="1491">
        <v>735</v>
      </c>
      <c r="Z190" s="1492" t="s">
        <v>1547</v>
      </c>
      <c r="AB190" s="1461"/>
      <c r="AC190" s="1461"/>
      <c r="AD190" s="1481" t="s">
        <v>1532</v>
      </c>
      <c r="AE190" s="1461"/>
      <c r="AF190" s="1461"/>
      <c r="AG190" s="1461"/>
      <c r="BD190" s="1482" t="s">
        <v>761</v>
      </c>
      <c r="BE190" s="1488">
        <f t="shared" si="30"/>
        <v>0</v>
      </c>
      <c r="BF190" s="1482" t="s">
        <v>965</v>
      </c>
    </row>
    <row r="191" spans="1:58">
      <c r="A191" s="1499" t="s">
        <v>1901</v>
      </c>
      <c r="B191" s="1524" t="s">
        <v>761</v>
      </c>
      <c r="C191" s="1488">
        <f t="shared" si="29"/>
        <v>73.027500000000003</v>
      </c>
      <c r="D191" s="1500" t="s">
        <v>965</v>
      </c>
      <c r="E191" s="1525" t="s">
        <v>761</v>
      </c>
      <c r="F191" s="1489"/>
      <c r="G191" s="1526"/>
      <c r="H191" s="1527" t="s">
        <v>761</v>
      </c>
      <c r="J191" s="1502" t="s">
        <v>965</v>
      </c>
      <c r="K191" s="1528"/>
      <c r="L191" s="1525" t="s">
        <v>761</v>
      </c>
      <c r="M191" s="1489"/>
      <c r="N191" s="1526"/>
      <c r="O191" s="1525" t="s">
        <v>761</v>
      </c>
      <c r="P191" s="1489"/>
      <c r="Q191" s="1526"/>
      <c r="S191" s="1490">
        <v>65</v>
      </c>
      <c r="T191" s="1478" t="e">
        <f t="shared" si="22"/>
        <v>#DIV/0!</v>
      </c>
      <c r="U191" s="1478">
        <f t="shared" si="31"/>
        <v>65</v>
      </c>
      <c r="W191" s="1467">
        <v>65</v>
      </c>
      <c r="X191" s="1491">
        <f t="shared" si="24"/>
        <v>68.25</v>
      </c>
      <c r="Y191" s="1491">
        <v>68.25</v>
      </c>
      <c r="Z191" s="1492" t="s">
        <v>1547</v>
      </c>
      <c r="AB191" s="1461"/>
      <c r="AC191" s="1461"/>
      <c r="AD191" s="1481" t="s">
        <v>1532</v>
      </c>
      <c r="AE191" s="1461"/>
      <c r="AF191" s="1461"/>
      <c r="AG191" s="1461"/>
      <c r="BD191" s="1524" t="s">
        <v>761</v>
      </c>
      <c r="BE191" s="1488">
        <f t="shared" si="30"/>
        <v>0</v>
      </c>
      <c r="BF191" s="1500" t="s">
        <v>965</v>
      </c>
    </row>
    <row r="192" spans="1:58">
      <c r="A192" s="1499" t="s">
        <v>1902</v>
      </c>
      <c r="B192" s="1524" t="s">
        <v>761</v>
      </c>
      <c r="C192" s="1488">
        <f t="shared" si="29"/>
        <v>95.497500000000002</v>
      </c>
      <c r="D192" s="1500" t="s">
        <v>965</v>
      </c>
      <c r="E192" s="1525" t="s">
        <v>761</v>
      </c>
      <c r="F192" s="1489"/>
      <c r="G192" s="1526"/>
      <c r="H192" s="1527" t="s">
        <v>761</v>
      </c>
      <c r="J192" s="1502" t="s">
        <v>965</v>
      </c>
      <c r="K192" s="1528"/>
      <c r="L192" s="1525" t="s">
        <v>761</v>
      </c>
      <c r="M192" s="1489"/>
      <c r="N192" s="1526"/>
      <c r="O192" s="1525" t="s">
        <v>761</v>
      </c>
      <c r="P192" s="1489"/>
      <c r="Q192" s="1526"/>
      <c r="S192" s="1490">
        <v>85</v>
      </c>
      <c r="T192" s="1478" t="e">
        <f t="shared" si="22"/>
        <v>#DIV/0!</v>
      </c>
      <c r="U192" s="1478">
        <f t="shared" si="31"/>
        <v>85</v>
      </c>
      <c r="W192" s="1467">
        <v>85</v>
      </c>
      <c r="X192" s="1491">
        <f t="shared" si="24"/>
        <v>89.25</v>
      </c>
      <c r="Y192" s="1491">
        <v>89.25</v>
      </c>
      <c r="Z192" s="1492" t="s">
        <v>1547</v>
      </c>
      <c r="AB192" s="1461"/>
      <c r="AC192" s="1461"/>
      <c r="AD192" s="1481" t="s">
        <v>1532</v>
      </c>
      <c r="AE192" s="1461"/>
      <c r="AF192" s="1461"/>
      <c r="AG192" s="1461"/>
      <c r="BD192" s="1524" t="s">
        <v>761</v>
      </c>
      <c r="BE192" s="1488">
        <f t="shared" si="30"/>
        <v>0</v>
      </c>
      <c r="BF192" s="1500" t="s">
        <v>965</v>
      </c>
    </row>
    <row r="193" spans="1:58">
      <c r="A193" s="1499" t="s">
        <v>1903</v>
      </c>
      <c r="B193" s="1524" t="s">
        <v>761</v>
      </c>
      <c r="C193" s="1488">
        <f t="shared" si="29"/>
        <v>123.58500000000001</v>
      </c>
      <c r="D193" s="1500" t="s">
        <v>965</v>
      </c>
      <c r="E193" s="1525" t="s">
        <v>761</v>
      </c>
      <c r="F193" s="1489"/>
      <c r="G193" s="1526"/>
      <c r="H193" s="1527" t="s">
        <v>761</v>
      </c>
      <c r="J193" s="1502" t="s">
        <v>965</v>
      </c>
      <c r="K193" s="1528"/>
      <c r="L193" s="1525" t="s">
        <v>761</v>
      </c>
      <c r="M193" s="1489"/>
      <c r="N193" s="1526"/>
      <c r="O193" s="1525" t="s">
        <v>761</v>
      </c>
      <c r="P193" s="1489"/>
      <c r="Q193" s="1526"/>
      <c r="S193" s="1490">
        <v>110</v>
      </c>
      <c r="T193" s="1478" t="e">
        <f t="shared" si="22"/>
        <v>#DIV/0!</v>
      </c>
      <c r="U193" s="1478">
        <f t="shared" si="31"/>
        <v>110</v>
      </c>
      <c r="W193" s="1467">
        <v>110</v>
      </c>
      <c r="X193" s="1491">
        <f t="shared" si="24"/>
        <v>115.5</v>
      </c>
      <c r="Y193" s="1491">
        <v>115.5</v>
      </c>
      <c r="Z193" s="1492" t="s">
        <v>1547</v>
      </c>
      <c r="AB193" s="1461"/>
      <c r="AC193" s="1461"/>
      <c r="AD193" s="1481" t="s">
        <v>1532</v>
      </c>
      <c r="AE193" s="1461"/>
      <c r="AF193" s="1461"/>
      <c r="AG193" s="1461"/>
      <c r="BD193" s="1524" t="s">
        <v>761</v>
      </c>
      <c r="BE193" s="1488">
        <f t="shared" si="30"/>
        <v>0</v>
      </c>
      <c r="BF193" s="1500" t="s">
        <v>965</v>
      </c>
    </row>
    <row r="194" spans="1:58">
      <c r="A194" s="1487" t="s">
        <v>1904</v>
      </c>
      <c r="B194" s="1482" t="s">
        <v>1619</v>
      </c>
      <c r="C194" s="1488">
        <f>+Y194*1.02</f>
        <v>2.1420000000000003</v>
      </c>
      <c r="D194" s="1482" t="s">
        <v>965</v>
      </c>
      <c r="E194" s="1472" t="s">
        <v>1619</v>
      </c>
      <c r="F194" s="1489"/>
      <c r="G194" s="1474"/>
      <c r="H194" s="1475" t="s">
        <v>1619</v>
      </c>
      <c r="J194" s="1475" t="s">
        <v>965</v>
      </c>
      <c r="K194" s="1477"/>
      <c r="L194" s="1472" t="s">
        <v>1619</v>
      </c>
      <c r="M194" s="1489"/>
      <c r="N194" s="1474"/>
      <c r="O194" s="1472" t="s">
        <v>1619</v>
      </c>
      <c r="P194" s="1489"/>
      <c r="Q194" s="1474"/>
      <c r="S194" s="1490">
        <v>2</v>
      </c>
      <c r="T194" s="1478" t="e">
        <f t="shared" si="22"/>
        <v>#DIV/0!</v>
      </c>
      <c r="U194" s="1478">
        <f t="shared" si="31"/>
        <v>2</v>
      </c>
      <c r="W194" s="1467">
        <v>2</v>
      </c>
      <c r="X194" s="1491">
        <f t="shared" si="24"/>
        <v>2.1</v>
      </c>
      <c r="Y194" s="1491">
        <v>2.1</v>
      </c>
      <c r="Z194" s="1480" t="s">
        <v>1653</v>
      </c>
      <c r="AB194" s="1461"/>
      <c r="AC194" s="1461"/>
      <c r="AD194" s="1481" t="s">
        <v>1532</v>
      </c>
      <c r="AE194" s="1461"/>
      <c r="AF194" s="1461"/>
      <c r="AG194" s="1461"/>
      <c r="BD194" s="1482" t="s">
        <v>1619</v>
      </c>
      <c r="BE194" s="1488">
        <f>+CA194*1.02</f>
        <v>0</v>
      </c>
      <c r="BF194" s="1482" t="s">
        <v>965</v>
      </c>
    </row>
    <row r="195" spans="1:58">
      <c r="A195" s="1487" t="s">
        <v>1905</v>
      </c>
      <c r="B195" s="1482" t="s">
        <v>1619</v>
      </c>
      <c r="C195" s="1628">
        <v>17.5</v>
      </c>
      <c r="D195" s="1482" t="s">
        <v>965</v>
      </c>
      <c r="E195" s="1472" t="s">
        <v>1619</v>
      </c>
      <c r="F195" s="1489"/>
      <c r="G195" s="1474"/>
      <c r="H195" s="1475" t="s">
        <v>1619</v>
      </c>
      <c r="J195" s="1475" t="s">
        <v>965</v>
      </c>
      <c r="K195" s="1477"/>
      <c r="L195" s="1472" t="s">
        <v>1619</v>
      </c>
      <c r="M195" s="1490">
        <v>1.24</v>
      </c>
      <c r="N195" s="1474" t="s">
        <v>1906</v>
      </c>
      <c r="O195" s="1472" t="s">
        <v>1619</v>
      </c>
      <c r="Q195" s="1474"/>
      <c r="S195" s="1490">
        <v>0.9</v>
      </c>
      <c r="T195" s="1478">
        <f t="shared" si="22"/>
        <v>1.24</v>
      </c>
      <c r="U195" s="1478">
        <f t="shared" si="31"/>
        <v>1.07</v>
      </c>
      <c r="W195" s="1467">
        <v>0.9</v>
      </c>
      <c r="X195" s="1491">
        <f t="shared" si="24"/>
        <v>0.94500000000000006</v>
      </c>
      <c r="Y195" s="1491">
        <v>0.94499999999999995</v>
      </c>
      <c r="Z195" s="1480" t="s">
        <v>1653</v>
      </c>
      <c r="AB195" s="1461"/>
      <c r="AC195" s="1461"/>
      <c r="AD195" s="1481" t="s">
        <v>1532</v>
      </c>
      <c r="AE195" s="1461"/>
      <c r="AF195" s="1461"/>
      <c r="AG195" s="1461"/>
      <c r="BD195" s="1482" t="s">
        <v>1619</v>
      </c>
      <c r="BE195" s="1628">
        <v>17.5</v>
      </c>
      <c r="BF195" s="1482" t="s">
        <v>965</v>
      </c>
    </row>
    <row r="196" spans="1:58">
      <c r="A196" s="1487" t="s">
        <v>1907</v>
      </c>
      <c r="B196" s="1482" t="s">
        <v>619</v>
      </c>
      <c r="C196" s="1488" t="s">
        <v>1576</v>
      </c>
      <c r="D196" s="1482" t="s">
        <v>965</v>
      </c>
      <c r="E196" s="1472" t="s">
        <v>619</v>
      </c>
      <c r="F196" s="1489"/>
      <c r="G196" s="1474"/>
      <c r="H196" s="1475" t="s">
        <v>619</v>
      </c>
      <c r="I196" s="1490">
        <v>150</v>
      </c>
      <c r="J196" s="1475" t="s">
        <v>965</v>
      </c>
      <c r="K196" s="1477" t="s">
        <v>1908</v>
      </c>
      <c r="L196" s="1472" t="s">
        <v>619</v>
      </c>
      <c r="M196" s="1489">
        <v>30</v>
      </c>
      <c r="N196" s="1938" t="s">
        <v>1909</v>
      </c>
      <c r="O196" s="1472" t="s">
        <v>619</v>
      </c>
      <c r="P196" s="1489"/>
      <c r="Q196" s="1938"/>
      <c r="S196" s="1490">
        <v>152</v>
      </c>
      <c r="T196" s="1478">
        <f t="shared" si="22"/>
        <v>90</v>
      </c>
      <c r="U196" s="1478">
        <f t="shared" si="31"/>
        <v>110.66666666666667</v>
      </c>
      <c r="W196" s="1467">
        <v>152</v>
      </c>
      <c r="X196" s="1491">
        <f t="shared" si="24"/>
        <v>159.6</v>
      </c>
      <c r="Y196" s="1491">
        <v>159.6</v>
      </c>
      <c r="Z196" s="1554" t="s">
        <v>1576</v>
      </c>
      <c r="AB196" s="1461"/>
      <c r="AC196" s="1461"/>
      <c r="AD196" s="1481" t="s">
        <v>1532</v>
      </c>
      <c r="AE196" s="1461"/>
      <c r="AF196" s="1461"/>
      <c r="AG196" s="1461"/>
      <c r="BD196" s="1482" t="s">
        <v>619</v>
      </c>
      <c r="BE196" s="1488" t="s">
        <v>1576</v>
      </c>
      <c r="BF196" s="1482" t="s">
        <v>965</v>
      </c>
    </row>
    <row r="197" spans="1:58">
      <c r="A197" s="1487" t="s">
        <v>1910</v>
      </c>
      <c r="B197" s="1482" t="s">
        <v>619</v>
      </c>
      <c r="C197" s="1488" t="s">
        <v>1576</v>
      </c>
      <c r="D197" s="1482" t="s">
        <v>965</v>
      </c>
      <c r="E197" s="1472" t="s">
        <v>619</v>
      </c>
      <c r="F197" s="1489"/>
      <c r="G197" s="1474"/>
      <c r="H197" s="1475" t="s">
        <v>619</v>
      </c>
      <c r="J197" s="1475" t="s">
        <v>965</v>
      </c>
      <c r="K197" s="1477"/>
      <c r="L197" s="1472" t="s">
        <v>619</v>
      </c>
      <c r="M197" s="1489"/>
      <c r="N197" s="1938"/>
      <c r="O197" s="1472" t="s">
        <v>619</v>
      </c>
      <c r="P197" s="1489"/>
      <c r="Q197" s="1938"/>
      <c r="S197" s="1490">
        <v>186</v>
      </c>
      <c r="T197" s="1478" t="e">
        <f t="shared" si="22"/>
        <v>#DIV/0!</v>
      </c>
      <c r="U197" s="1478">
        <f t="shared" si="31"/>
        <v>186</v>
      </c>
      <c r="W197" s="1467">
        <v>186</v>
      </c>
      <c r="X197" s="1491">
        <f t="shared" si="24"/>
        <v>195.3</v>
      </c>
      <c r="Y197" s="1491">
        <v>195.3</v>
      </c>
      <c r="Z197" s="1554" t="s">
        <v>1576</v>
      </c>
      <c r="AB197" s="1461"/>
      <c r="AC197" s="1461"/>
      <c r="AD197" s="1481" t="s">
        <v>1532</v>
      </c>
      <c r="AE197" s="1461"/>
      <c r="AF197" s="1461"/>
      <c r="AG197" s="1461"/>
      <c r="BD197" s="1482" t="s">
        <v>619</v>
      </c>
      <c r="BE197" s="1488" t="s">
        <v>1576</v>
      </c>
      <c r="BF197" s="1482" t="s">
        <v>965</v>
      </c>
    </row>
    <row r="198" spans="1:58">
      <c r="A198" s="1487" t="s">
        <v>1911</v>
      </c>
      <c r="B198" s="1482" t="s">
        <v>619</v>
      </c>
      <c r="C198" s="1488" t="s">
        <v>1576</v>
      </c>
      <c r="D198" s="1482" t="s">
        <v>965</v>
      </c>
      <c r="E198" s="1472" t="s">
        <v>619</v>
      </c>
      <c r="F198" s="1489"/>
      <c r="G198" s="1474"/>
      <c r="H198" s="1475" t="s">
        <v>619</v>
      </c>
      <c r="J198" s="1475" t="s">
        <v>965</v>
      </c>
      <c r="K198" s="1477"/>
      <c r="L198" s="1472" t="s">
        <v>619</v>
      </c>
      <c r="M198" s="1489"/>
      <c r="N198" s="1588"/>
      <c r="O198" s="1472" t="s">
        <v>619</v>
      </c>
      <c r="P198" s="1489"/>
      <c r="Q198" s="1588"/>
      <c r="S198" s="1490">
        <v>221</v>
      </c>
      <c r="T198" s="1478" t="e">
        <f t="shared" si="22"/>
        <v>#DIV/0!</v>
      </c>
      <c r="U198" s="1478">
        <f t="shared" si="31"/>
        <v>221</v>
      </c>
      <c r="W198" s="1467">
        <v>221</v>
      </c>
      <c r="X198" s="1491">
        <f t="shared" si="24"/>
        <v>232.05</v>
      </c>
      <c r="Y198" s="1491">
        <v>232.05</v>
      </c>
      <c r="Z198" s="1554" t="s">
        <v>1576</v>
      </c>
      <c r="AB198" s="1461"/>
      <c r="AC198" s="1461"/>
      <c r="AD198" s="1481" t="s">
        <v>1532</v>
      </c>
      <c r="AE198" s="1461"/>
      <c r="AF198" s="1461"/>
      <c r="AG198" s="1461"/>
      <c r="BD198" s="1482" t="s">
        <v>619</v>
      </c>
      <c r="BE198" s="1488" t="s">
        <v>1576</v>
      </c>
      <c r="BF198" s="1482" t="s">
        <v>965</v>
      </c>
    </row>
    <row r="199" spans="1:58">
      <c r="A199" s="1487" t="s">
        <v>1912</v>
      </c>
      <c r="B199" s="1482" t="s">
        <v>619</v>
      </c>
      <c r="C199" s="1488" t="s">
        <v>1576</v>
      </c>
      <c r="D199" s="1482" t="s">
        <v>965</v>
      </c>
      <c r="E199" s="1472" t="s">
        <v>619</v>
      </c>
      <c r="F199" s="1489"/>
      <c r="G199" s="1474"/>
      <c r="H199" s="1475" t="s">
        <v>619</v>
      </c>
      <c r="J199" s="1475" t="s">
        <v>965</v>
      </c>
      <c r="K199" s="1477"/>
      <c r="L199" s="1472" t="s">
        <v>619</v>
      </c>
      <c r="M199" s="1489"/>
      <c r="N199" s="1474"/>
      <c r="O199" s="1472" t="s">
        <v>619</v>
      </c>
      <c r="P199" s="1489"/>
      <c r="Q199" s="1474"/>
      <c r="S199" s="1490">
        <v>60</v>
      </c>
      <c r="T199" s="1478" t="e">
        <f t="shared" si="22"/>
        <v>#DIV/0!</v>
      </c>
      <c r="U199" s="1478">
        <f t="shared" si="31"/>
        <v>60</v>
      </c>
      <c r="W199" s="1467">
        <v>60</v>
      </c>
      <c r="X199" s="1491">
        <f t="shared" si="24"/>
        <v>63</v>
      </c>
      <c r="Y199" s="1491">
        <v>63</v>
      </c>
      <c r="Z199" s="1554" t="s">
        <v>1576</v>
      </c>
      <c r="AB199" s="1461"/>
      <c r="AC199" s="1461"/>
      <c r="AD199" s="1481" t="s">
        <v>1532</v>
      </c>
      <c r="AE199" s="1461"/>
      <c r="AF199" s="1461"/>
      <c r="AG199" s="1461"/>
      <c r="BD199" s="1482" t="s">
        <v>619</v>
      </c>
      <c r="BE199" s="1488" t="s">
        <v>1576</v>
      </c>
      <c r="BF199" s="1482" t="s">
        <v>965</v>
      </c>
    </row>
    <row r="200" spans="1:58">
      <c r="A200" s="1487" t="s">
        <v>1913</v>
      </c>
      <c r="B200" s="1482" t="s">
        <v>619</v>
      </c>
      <c r="C200" s="1488" t="s">
        <v>1576</v>
      </c>
      <c r="D200" s="1482" t="s">
        <v>965</v>
      </c>
      <c r="E200" s="1472" t="s">
        <v>619</v>
      </c>
      <c r="F200" s="1489"/>
      <c r="G200" s="1474"/>
      <c r="H200" s="1475" t="s">
        <v>619</v>
      </c>
      <c r="J200" s="1475" t="s">
        <v>965</v>
      </c>
      <c r="K200" s="1477"/>
      <c r="L200" s="1472" t="s">
        <v>619</v>
      </c>
      <c r="M200" s="1489"/>
      <c r="N200" s="1474"/>
      <c r="O200" s="1472" t="s">
        <v>619</v>
      </c>
      <c r="P200" s="1489">
        <v>237</v>
      </c>
      <c r="Q200" s="1474" t="s">
        <v>1914</v>
      </c>
      <c r="S200" s="1579">
        <v>193</v>
      </c>
      <c r="T200" s="1478" t="e">
        <f t="shared" si="22"/>
        <v>#DIV/0!</v>
      </c>
      <c r="U200" s="1478">
        <f t="shared" si="31"/>
        <v>193</v>
      </c>
      <c r="W200" s="1467">
        <v>193</v>
      </c>
      <c r="X200" s="1491">
        <v>237</v>
      </c>
      <c r="Y200" s="1491">
        <v>237</v>
      </c>
      <c r="Z200" s="1554" t="s">
        <v>1576</v>
      </c>
      <c r="AB200" s="1461" t="s">
        <v>1915</v>
      </c>
      <c r="AC200" s="1461"/>
      <c r="AD200" s="1481" t="s">
        <v>1532</v>
      </c>
      <c r="AE200" s="1461"/>
      <c r="AF200" s="1461"/>
      <c r="AG200" s="1461"/>
      <c r="BD200" s="1482" t="s">
        <v>619</v>
      </c>
      <c r="BE200" s="1488" t="s">
        <v>1576</v>
      </c>
      <c r="BF200" s="1482" t="s">
        <v>965</v>
      </c>
    </row>
    <row r="201" spans="1:58">
      <c r="A201" s="1487" t="s">
        <v>1916</v>
      </c>
      <c r="B201" s="1482" t="s">
        <v>1832</v>
      </c>
      <c r="C201" s="1488">
        <v>12</v>
      </c>
      <c r="D201" s="1482" t="s">
        <v>965</v>
      </c>
      <c r="E201" s="1472"/>
      <c r="F201" s="1489"/>
      <c r="G201" s="1474"/>
      <c r="H201" s="1475"/>
      <c r="J201" s="1475"/>
      <c r="K201" s="1477"/>
      <c r="L201" s="1472"/>
      <c r="M201" s="1489"/>
      <c r="N201" s="1474"/>
      <c r="O201" s="1472"/>
      <c r="P201" s="1489"/>
      <c r="Q201" s="1474"/>
      <c r="S201" s="1579"/>
      <c r="T201" s="1478"/>
      <c r="U201" s="1478"/>
      <c r="W201" s="1467"/>
      <c r="X201" s="1491"/>
      <c r="Y201" s="1491"/>
      <c r="Z201" s="1554" t="s">
        <v>1917</v>
      </c>
      <c r="AB201" s="1461"/>
      <c r="AC201" s="1461"/>
      <c r="AD201" s="1481" t="s">
        <v>1532</v>
      </c>
      <c r="AE201" s="1461"/>
      <c r="AF201" s="1461"/>
      <c r="AG201" s="1461"/>
      <c r="BD201" s="1482" t="s">
        <v>1832</v>
      </c>
      <c r="BE201" s="1488">
        <v>12</v>
      </c>
      <c r="BF201" s="1482" t="s">
        <v>965</v>
      </c>
    </row>
    <row r="202" spans="1:58">
      <c r="A202" s="1469" t="s">
        <v>1918</v>
      </c>
      <c r="B202" s="1629" t="s">
        <v>1750</v>
      </c>
      <c r="C202" s="1625">
        <f>+C203+C93+C320</f>
        <v>20.5625</v>
      </c>
      <c r="D202" s="1482" t="s">
        <v>965</v>
      </c>
      <c r="E202" s="1472"/>
      <c r="F202" s="1489"/>
      <c r="G202" s="1474"/>
      <c r="H202" s="1475"/>
      <c r="J202" s="1475"/>
      <c r="K202" s="1477"/>
      <c r="L202" s="1472"/>
      <c r="M202" s="1489"/>
      <c r="N202" s="1474"/>
      <c r="O202" s="1472"/>
      <c r="P202" s="1489"/>
      <c r="Q202" s="1474"/>
      <c r="S202" s="1579"/>
      <c r="T202" s="1478"/>
      <c r="U202" s="1478"/>
      <c r="W202" s="1467"/>
      <c r="X202" s="1479">
        <f>+X203+X93+X320</f>
        <v>21.5</v>
      </c>
      <c r="Y202" s="1479">
        <v>18.5</v>
      </c>
      <c r="Z202" s="1480" t="s">
        <v>1919</v>
      </c>
      <c r="AB202" s="1461" t="s">
        <v>1752</v>
      </c>
      <c r="AC202" s="1461"/>
      <c r="AD202" s="1481" t="s">
        <v>1532</v>
      </c>
      <c r="AE202" s="1461"/>
      <c r="AF202" s="1461"/>
      <c r="AG202" s="1461"/>
      <c r="BD202" s="1629" t="s">
        <v>1750</v>
      </c>
      <c r="BE202" s="1625">
        <f>+BE203+BE93+BE320</f>
        <v>5.5</v>
      </c>
      <c r="BF202" s="1482" t="s">
        <v>965</v>
      </c>
    </row>
    <row r="203" spans="1:58">
      <c r="A203" s="1469" t="s">
        <v>1920</v>
      </c>
      <c r="B203" s="1629" t="s">
        <v>1750</v>
      </c>
      <c r="C203" s="1625">
        <f>+AN31</f>
        <v>8.75</v>
      </c>
      <c r="D203" s="1482" t="s">
        <v>965</v>
      </c>
      <c r="E203" s="1472"/>
      <c r="F203" s="1489"/>
      <c r="G203" s="1474"/>
      <c r="H203" s="1475"/>
      <c r="J203" s="1475"/>
      <c r="K203" s="1477"/>
      <c r="L203" s="1472"/>
      <c r="M203" s="1489"/>
      <c r="N203" s="1474"/>
      <c r="O203" s="1472"/>
      <c r="P203" s="1489"/>
      <c r="Q203" s="1474"/>
      <c r="S203" s="1579"/>
      <c r="T203" s="1478"/>
      <c r="U203" s="1478"/>
      <c r="W203" s="1467"/>
      <c r="X203" s="1479">
        <f>+AK31</f>
        <v>10.5</v>
      </c>
      <c r="Y203" s="1479">
        <v>10</v>
      </c>
      <c r="Z203" s="1480" t="s">
        <v>1919</v>
      </c>
      <c r="AB203" s="1461" t="s">
        <v>1752</v>
      </c>
      <c r="AC203" s="1461"/>
      <c r="AD203" s="1481" t="s">
        <v>1532</v>
      </c>
      <c r="AE203" s="1461"/>
      <c r="AF203" s="1461"/>
      <c r="AG203" s="1461"/>
      <c r="BD203" s="1629" t="s">
        <v>1750</v>
      </c>
      <c r="BE203" s="1625">
        <f>+CP31</f>
        <v>0</v>
      </c>
      <c r="BF203" s="1482" t="s">
        <v>965</v>
      </c>
    </row>
    <row r="204" spans="1:58" s="1440" customFormat="1">
      <c r="A204" s="1487" t="s">
        <v>1921</v>
      </c>
      <c r="B204" s="1482" t="s">
        <v>761</v>
      </c>
      <c r="C204" s="1488">
        <v>20</v>
      </c>
      <c r="D204" s="1482" t="s">
        <v>965</v>
      </c>
      <c r="E204" s="1544"/>
      <c r="F204" s="1619"/>
      <c r="G204" s="1546"/>
      <c r="H204" s="1547"/>
      <c r="I204" s="1622"/>
      <c r="J204" s="1547"/>
      <c r="K204" s="1549"/>
      <c r="L204" s="1544"/>
      <c r="M204" s="1619"/>
      <c r="N204" s="1546"/>
      <c r="O204" s="1544"/>
      <c r="P204" s="1619"/>
      <c r="Q204" s="1546"/>
      <c r="S204" s="1622"/>
      <c r="T204" s="1550"/>
      <c r="U204" s="1550"/>
      <c r="V204" s="1551"/>
      <c r="W204" s="1552"/>
      <c r="X204" s="1553"/>
      <c r="Y204" s="1491">
        <v>20</v>
      </c>
      <c r="Z204" s="1554" t="s">
        <v>1610</v>
      </c>
      <c r="AA204" s="1440" t="s">
        <v>1922</v>
      </c>
      <c r="AD204" s="1481" t="s">
        <v>1532</v>
      </c>
      <c r="BD204" s="1482" t="s">
        <v>761</v>
      </c>
      <c r="BE204" s="1488">
        <v>20</v>
      </c>
      <c r="BF204" s="1482" t="s">
        <v>965</v>
      </c>
    </row>
    <row r="205" spans="1:58">
      <c r="A205" s="1630" t="s">
        <v>1923</v>
      </c>
      <c r="B205" s="1562" t="s">
        <v>1619</v>
      </c>
      <c r="C205" s="1488">
        <f>+Y205*1.07</f>
        <v>112.35000000000001</v>
      </c>
      <c r="D205" s="1482" t="s">
        <v>965</v>
      </c>
      <c r="E205" s="1614" t="s">
        <v>1619</v>
      </c>
      <c r="F205" s="1489"/>
      <c r="G205" s="1474"/>
      <c r="H205" s="1564" t="s">
        <v>1619</v>
      </c>
      <c r="J205" s="1475" t="s">
        <v>965</v>
      </c>
      <c r="K205" s="1477"/>
      <c r="L205" s="1614" t="s">
        <v>1619</v>
      </c>
      <c r="M205" s="1489"/>
      <c r="N205" s="1474"/>
      <c r="O205" s="1614" t="s">
        <v>1619</v>
      </c>
      <c r="P205" s="1555">
        <v>120</v>
      </c>
      <c r="Q205" s="1556" t="s">
        <v>1620</v>
      </c>
      <c r="S205" s="1490">
        <v>100</v>
      </c>
      <c r="T205" s="1478" t="e">
        <f t="shared" si="22"/>
        <v>#DIV/0!</v>
      </c>
      <c r="U205" s="1478">
        <f t="shared" si="31"/>
        <v>100</v>
      </c>
      <c r="W205" s="1467">
        <v>100</v>
      </c>
      <c r="X205" s="1491">
        <f t="shared" ref="X205:X277" si="32">+S205*1.05</f>
        <v>105</v>
      </c>
      <c r="Y205" s="1491">
        <v>105</v>
      </c>
      <c r="Z205" s="1492" t="s">
        <v>1547</v>
      </c>
      <c r="AB205" s="1461"/>
      <c r="AC205" s="1461"/>
      <c r="AD205" s="1481" t="s">
        <v>1532</v>
      </c>
      <c r="AE205" s="1461"/>
      <c r="AF205" s="1461"/>
      <c r="AG205" s="1461"/>
      <c r="BD205" s="1562" t="s">
        <v>1619</v>
      </c>
      <c r="BE205" s="1488">
        <f>+CA205*1.07</f>
        <v>0</v>
      </c>
      <c r="BF205" s="1482" t="s">
        <v>965</v>
      </c>
    </row>
    <row r="206" spans="1:58">
      <c r="A206" s="1499" t="s">
        <v>1924</v>
      </c>
      <c r="B206" s="1500" t="s">
        <v>1925</v>
      </c>
      <c r="C206" s="1488">
        <f t="shared" ref="C206:C215" si="33">+Y206*1.07</f>
        <v>13.482000000000001</v>
      </c>
      <c r="D206" s="1500" t="s">
        <v>965</v>
      </c>
      <c r="E206" s="1518" t="s">
        <v>1925</v>
      </c>
      <c r="F206" s="1519"/>
      <c r="G206" s="1520"/>
      <c r="H206" s="1500" t="s">
        <v>1925</v>
      </c>
      <c r="I206" s="1579"/>
      <c r="J206" s="1500" t="s">
        <v>965</v>
      </c>
      <c r="K206" s="1499"/>
      <c r="L206" s="1518" t="s">
        <v>1925</v>
      </c>
      <c r="M206" s="1519"/>
      <c r="N206" s="1520"/>
      <c r="O206" s="1518" t="s">
        <v>1925</v>
      </c>
      <c r="P206" s="1519"/>
      <c r="Q206" s="1520"/>
      <c r="S206" s="1579">
        <v>12</v>
      </c>
      <c r="T206" s="1478" t="e">
        <f t="shared" si="22"/>
        <v>#DIV/0!</v>
      </c>
      <c r="U206" s="1478">
        <f t="shared" si="31"/>
        <v>12</v>
      </c>
      <c r="W206" s="1467">
        <v>12</v>
      </c>
      <c r="X206" s="1491">
        <f t="shared" si="32"/>
        <v>12.600000000000001</v>
      </c>
      <c r="Y206" s="1491">
        <v>12.6</v>
      </c>
      <c r="Z206" s="1492" t="s">
        <v>1547</v>
      </c>
      <c r="AB206" s="1461"/>
      <c r="AC206" s="1461"/>
      <c r="AD206" s="1481" t="s">
        <v>1532</v>
      </c>
      <c r="AE206" s="1461"/>
      <c r="AF206" s="1461"/>
      <c r="AG206" s="1461"/>
      <c r="BD206" s="1500" t="s">
        <v>1925</v>
      </c>
      <c r="BE206" s="1488">
        <f t="shared" ref="BE206:BE215" si="34">+CA206*1.07</f>
        <v>0</v>
      </c>
      <c r="BF206" s="1500" t="s">
        <v>965</v>
      </c>
    </row>
    <row r="207" spans="1:58">
      <c r="A207" s="1499" t="s">
        <v>1926</v>
      </c>
      <c r="B207" s="1500" t="s">
        <v>1925</v>
      </c>
      <c r="C207" s="1488">
        <f t="shared" si="33"/>
        <v>4.7748750000000006</v>
      </c>
      <c r="D207" s="1500" t="s">
        <v>965</v>
      </c>
      <c r="E207" s="1518" t="s">
        <v>1925</v>
      </c>
      <c r="F207" s="1519"/>
      <c r="G207" s="1520"/>
      <c r="H207" s="1500" t="s">
        <v>1925</v>
      </c>
      <c r="I207" s="1579"/>
      <c r="J207" s="1500" t="s">
        <v>965</v>
      </c>
      <c r="K207" s="1499"/>
      <c r="L207" s="1518" t="s">
        <v>1925</v>
      </c>
      <c r="M207" s="1519"/>
      <c r="N207" s="1520"/>
      <c r="O207" s="1518" t="s">
        <v>1925</v>
      </c>
      <c r="P207" s="1519"/>
      <c r="Q207" s="1520"/>
      <c r="S207" s="1579">
        <v>4.25</v>
      </c>
      <c r="T207" s="1478" t="e">
        <f t="shared" si="22"/>
        <v>#DIV/0!</v>
      </c>
      <c r="U207" s="1478">
        <f t="shared" si="31"/>
        <v>4.25</v>
      </c>
      <c r="W207" s="1467">
        <v>4.25</v>
      </c>
      <c r="X207" s="1491">
        <f t="shared" si="32"/>
        <v>4.4625000000000004</v>
      </c>
      <c r="Y207" s="1491">
        <v>4.4625000000000004</v>
      </c>
      <c r="Z207" s="1492" t="s">
        <v>1547</v>
      </c>
      <c r="AB207" s="1461"/>
      <c r="AC207" s="1461"/>
      <c r="AD207" s="1481" t="s">
        <v>1532</v>
      </c>
      <c r="AE207" s="1461"/>
      <c r="AF207" s="1461"/>
      <c r="AG207" s="1461"/>
      <c r="BD207" s="1500" t="s">
        <v>1925</v>
      </c>
      <c r="BE207" s="1488">
        <f t="shared" si="34"/>
        <v>0</v>
      </c>
      <c r="BF207" s="1500" t="s">
        <v>965</v>
      </c>
    </row>
    <row r="208" spans="1:58">
      <c r="A208" s="1499" t="s">
        <v>1927</v>
      </c>
      <c r="B208" s="1500" t="s">
        <v>1925</v>
      </c>
      <c r="C208" s="1488">
        <f t="shared" si="33"/>
        <v>16.852500000000003</v>
      </c>
      <c r="D208" s="1500" t="s">
        <v>965</v>
      </c>
      <c r="E208" s="1518" t="s">
        <v>1925</v>
      </c>
      <c r="F208" s="1519"/>
      <c r="G208" s="1520"/>
      <c r="H208" s="1500" t="s">
        <v>1925</v>
      </c>
      <c r="I208" s="1579"/>
      <c r="J208" s="1500" t="s">
        <v>965</v>
      </c>
      <c r="K208" s="1499"/>
      <c r="L208" s="1518" t="s">
        <v>1925</v>
      </c>
      <c r="M208" s="1519"/>
      <c r="N208" s="1520"/>
      <c r="O208" s="1518" t="s">
        <v>1925</v>
      </c>
      <c r="P208" s="1519"/>
      <c r="Q208" s="1520"/>
      <c r="S208" s="1579">
        <v>15</v>
      </c>
      <c r="T208" s="1478" t="e">
        <f t="shared" si="22"/>
        <v>#DIV/0!</v>
      </c>
      <c r="U208" s="1478">
        <f t="shared" si="31"/>
        <v>15</v>
      </c>
      <c r="W208" s="1467">
        <v>15</v>
      </c>
      <c r="X208" s="1491">
        <f t="shared" si="32"/>
        <v>15.75</v>
      </c>
      <c r="Y208" s="1491">
        <v>15.75</v>
      </c>
      <c r="Z208" s="1492" t="s">
        <v>1547</v>
      </c>
      <c r="AB208" s="1461"/>
      <c r="AC208" s="1461"/>
      <c r="AD208" s="1481" t="s">
        <v>1532</v>
      </c>
      <c r="AE208" s="1461"/>
      <c r="AF208" s="1461"/>
      <c r="AG208" s="1461"/>
      <c r="BD208" s="1500" t="s">
        <v>1925</v>
      </c>
      <c r="BE208" s="1488">
        <f t="shared" si="34"/>
        <v>0</v>
      </c>
      <c r="BF208" s="1500" t="s">
        <v>965</v>
      </c>
    </row>
    <row r="209" spans="1:58">
      <c r="A209" s="1499" t="s">
        <v>1928</v>
      </c>
      <c r="B209" s="1500" t="s">
        <v>761</v>
      </c>
      <c r="C209" s="1488">
        <f t="shared" si="33"/>
        <v>119.14717500000002</v>
      </c>
      <c r="D209" s="1500" t="s">
        <v>965</v>
      </c>
      <c r="E209" s="1518" t="s">
        <v>761</v>
      </c>
      <c r="F209" s="1519"/>
      <c r="G209" s="1520"/>
      <c r="H209" s="1500" t="s">
        <v>761</v>
      </c>
      <c r="I209" s="1579"/>
      <c r="J209" s="1500" t="s">
        <v>965</v>
      </c>
      <c r="K209" s="1499"/>
      <c r="L209" s="1518" t="s">
        <v>761</v>
      </c>
      <c r="M209" s="1519"/>
      <c r="N209" s="1520"/>
      <c r="O209" s="1518" t="s">
        <v>761</v>
      </c>
      <c r="P209" s="1519"/>
      <c r="Q209" s="1520"/>
      <c r="S209" s="1579">
        <v>106.05</v>
      </c>
      <c r="T209" s="1478" t="e">
        <f t="shared" si="22"/>
        <v>#DIV/0!</v>
      </c>
      <c r="U209" s="1478">
        <f t="shared" si="31"/>
        <v>106.05</v>
      </c>
      <c r="W209" s="1467">
        <v>106.05</v>
      </c>
      <c r="X209" s="1491">
        <f t="shared" si="32"/>
        <v>111.35250000000001</v>
      </c>
      <c r="Y209" s="1491">
        <v>111.35250000000001</v>
      </c>
      <c r="Z209" s="1492" t="s">
        <v>1547</v>
      </c>
      <c r="AB209" s="1461"/>
      <c r="AC209" s="1461"/>
      <c r="AD209" s="1481" t="s">
        <v>1532</v>
      </c>
      <c r="AE209" s="1461"/>
      <c r="AF209" s="1461"/>
      <c r="AG209" s="1461"/>
      <c r="BD209" s="1500" t="s">
        <v>761</v>
      </c>
      <c r="BE209" s="1488">
        <f t="shared" si="34"/>
        <v>0</v>
      </c>
      <c r="BF209" s="1500" t="s">
        <v>965</v>
      </c>
    </row>
    <row r="210" spans="1:58">
      <c r="A210" s="1499" t="s">
        <v>1929</v>
      </c>
      <c r="B210" s="1500" t="s">
        <v>761</v>
      </c>
      <c r="C210" s="1488">
        <f t="shared" si="33"/>
        <v>148.30199999999999</v>
      </c>
      <c r="D210" s="1500" t="s">
        <v>965</v>
      </c>
      <c r="E210" s="1518" t="s">
        <v>761</v>
      </c>
      <c r="F210" s="1519">
        <v>140</v>
      </c>
      <c r="G210" s="1520" t="s">
        <v>1930</v>
      </c>
      <c r="H210" s="1500" t="s">
        <v>761</v>
      </c>
      <c r="I210" s="1579"/>
      <c r="J210" s="1500" t="s">
        <v>965</v>
      </c>
      <c r="K210" s="1499"/>
      <c r="L210" s="1518" t="s">
        <v>761</v>
      </c>
      <c r="M210" s="1519"/>
      <c r="N210" s="1520"/>
      <c r="O210" s="1518" t="s">
        <v>761</v>
      </c>
      <c r="P210" s="1519"/>
      <c r="Q210" s="1520"/>
      <c r="S210" s="1579">
        <v>132</v>
      </c>
      <c r="T210" s="1478">
        <f t="shared" si="22"/>
        <v>140</v>
      </c>
      <c r="U210" s="1478">
        <f t="shared" si="31"/>
        <v>136</v>
      </c>
      <c r="W210" s="1467">
        <v>132</v>
      </c>
      <c r="X210" s="1491">
        <f t="shared" si="32"/>
        <v>138.6</v>
      </c>
      <c r="Y210" s="1491">
        <v>138.6</v>
      </c>
      <c r="Z210" s="1492" t="s">
        <v>1547</v>
      </c>
      <c r="AB210" s="1461"/>
      <c r="AC210" s="1461"/>
      <c r="AD210" s="1481" t="s">
        <v>1532</v>
      </c>
      <c r="AE210" s="1461"/>
      <c r="AF210" s="1461"/>
      <c r="AG210" s="1461"/>
      <c r="BD210" s="1500" t="s">
        <v>761</v>
      </c>
      <c r="BE210" s="1488">
        <f t="shared" si="34"/>
        <v>0</v>
      </c>
      <c r="BF210" s="1500" t="s">
        <v>965</v>
      </c>
    </row>
    <row r="211" spans="1:58">
      <c r="A211" s="1499" t="s">
        <v>1931</v>
      </c>
      <c r="B211" s="1500" t="s">
        <v>761</v>
      </c>
      <c r="C211" s="1488">
        <f t="shared" si="33"/>
        <v>165.15450000000001</v>
      </c>
      <c r="D211" s="1500" t="s">
        <v>965</v>
      </c>
      <c r="E211" s="1518" t="s">
        <v>761</v>
      </c>
      <c r="F211" s="1519"/>
      <c r="G211" s="1520"/>
      <c r="H211" s="1500" t="s">
        <v>761</v>
      </c>
      <c r="I211" s="1579"/>
      <c r="J211" s="1500" t="s">
        <v>965</v>
      </c>
      <c r="K211" s="1499"/>
      <c r="L211" s="1518" t="s">
        <v>761</v>
      </c>
      <c r="M211" s="1519"/>
      <c r="N211" s="1520"/>
      <c r="O211" s="1518" t="s">
        <v>761</v>
      </c>
      <c r="P211" s="1519"/>
      <c r="Q211" s="1520"/>
      <c r="S211" s="1579">
        <v>147</v>
      </c>
      <c r="T211" s="1478" t="e">
        <f t="shared" ref="T211:T285" si="35">AVERAGE(F211,I211,M211)</f>
        <v>#DIV/0!</v>
      </c>
      <c r="U211" s="1478">
        <f t="shared" si="31"/>
        <v>147</v>
      </c>
      <c r="W211" s="1467">
        <v>147</v>
      </c>
      <c r="X211" s="1491">
        <f t="shared" si="32"/>
        <v>154.35</v>
      </c>
      <c r="Y211" s="1491">
        <v>154.35</v>
      </c>
      <c r="Z211" s="1492" t="s">
        <v>1547</v>
      </c>
      <c r="AB211" s="1461"/>
      <c r="AC211" s="1461"/>
      <c r="AD211" s="1481" t="s">
        <v>1532</v>
      </c>
      <c r="AE211" s="1461"/>
      <c r="AF211" s="1461"/>
      <c r="AG211" s="1461"/>
      <c r="BD211" s="1500" t="s">
        <v>761</v>
      </c>
      <c r="BE211" s="1488">
        <f t="shared" si="34"/>
        <v>0</v>
      </c>
      <c r="BF211" s="1500" t="s">
        <v>965</v>
      </c>
    </row>
    <row r="212" spans="1:58">
      <c r="A212" s="1499" t="s">
        <v>1932</v>
      </c>
      <c r="B212" s="1500" t="s">
        <v>761</v>
      </c>
      <c r="C212" s="1488">
        <f t="shared" si="33"/>
        <v>177.51300000000001</v>
      </c>
      <c r="D212" s="1500" t="s">
        <v>965</v>
      </c>
      <c r="E212" s="1518" t="s">
        <v>761</v>
      </c>
      <c r="F212" s="1519">
        <v>200</v>
      </c>
      <c r="G212" s="1520" t="s">
        <v>1930</v>
      </c>
      <c r="H212" s="1500" t="s">
        <v>761</v>
      </c>
      <c r="I212" s="1579"/>
      <c r="J212" s="1500" t="s">
        <v>965</v>
      </c>
      <c r="K212" s="1499"/>
      <c r="L212" s="1518" t="s">
        <v>761</v>
      </c>
      <c r="M212" s="1519"/>
      <c r="N212" s="1520"/>
      <c r="O212" s="1518" t="s">
        <v>761</v>
      </c>
      <c r="P212" s="1519"/>
      <c r="Q212" s="1520"/>
      <c r="S212" s="1579">
        <v>158</v>
      </c>
      <c r="T212" s="1478">
        <f t="shared" si="35"/>
        <v>200</v>
      </c>
      <c r="U212" s="1478">
        <f t="shared" si="31"/>
        <v>179</v>
      </c>
      <c r="W212" s="1467">
        <v>158</v>
      </c>
      <c r="X212" s="1491">
        <f t="shared" si="32"/>
        <v>165.9</v>
      </c>
      <c r="Y212" s="1491">
        <v>165.9</v>
      </c>
      <c r="Z212" s="1492" t="s">
        <v>1547</v>
      </c>
      <c r="AB212" s="1461"/>
      <c r="AC212" s="1461"/>
      <c r="AD212" s="1481" t="s">
        <v>1532</v>
      </c>
      <c r="AE212" s="1461"/>
      <c r="AF212" s="1461"/>
      <c r="AG212" s="1461"/>
      <c r="BD212" s="1500" t="s">
        <v>761</v>
      </c>
      <c r="BE212" s="1488">
        <f t="shared" si="34"/>
        <v>0</v>
      </c>
      <c r="BF212" s="1500" t="s">
        <v>965</v>
      </c>
    </row>
    <row r="213" spans="1:58">
      <c r="A213" s="1499" t="s">
        <v>1933</v>
      </c>
      <c r="B213" s="1500" t="s">
        <v>761</v>
      </c>
      <c r="C213" s="1488">
        <f t="shared" si="33"/>
        <v>230.31750000000002</v>
      </c>
      <c r="D213" s="1500" t="s">
        <v>965</v>
      </c>
      <c r="E213" s="1518" t="s">
        <v>761</v>
      </c>
      <c r="F213" s="1519"/>
      <c r="G213" s="1520"/>
      <c r="H213" s="1500" t="s">
        <v>761</v>
      </c>
      <c r="I213" s="1579"/>
      <c r="J213" s="1500" t="s">
        <v>965</v>
      </c>
      <c r="K213" s="1499"/>
      <c r="L213" s="1518" t="s">
        <v>761</v>
      </c>
      <c r="M213" s="1519"/>
      <c r="N213" s="1520"/>
      <c r="O213" s="1518" t="s">
        <v>761</v>
      </c>
      <c r="P213" s="1519"/>
      <c r="Q213" s="1520"/>
      <c r="S213" s="1579">
        <v>205</v>
      </c>
      <c r="T213" s="1478" t="e">
        <f t="shared" si="35"/>
        <v>#DIV/0!</v>
      </c>
      <c r="U213" s="1478">
        <f t="shared" si="31"/>
        <v>205</v>
      </c>
      <c r="W213" s="1467">
        <v>205</v>
      </c>
      <c r="X213" s="1491">
        <f t="shared" si="32"/>
        <v>215.25</v>
      </c>
      <c r="Y213" s="1491">
        <v>215.25</v>
      </c>
      <c r="Z213" s="1492" t="s">
        <v>1547</v>
      </c>
      <c r="AB213" s="1461"/>
      <c r="AC213" s="1461"/>
      <c r="AD213" s="1481" t="s">
        <v>1532</v>
      </c>
      <c r="AE213" s="1461"/>
      <c r="AF213" s="1461"/>
      <c r="AG213" s="1461"/>
      <c r="BD213" s="1500" t="s">
        <v>761</v>
      </c>
      <c r="BE213" s="1488">
        <f t="shared" si="34"/>
        <v>0</v>
      </c>
      <c r="BF213" s="1500" t="s">
        <v>965</v>
      </c>
    </row>
    <row r="214" spans="1:58">
      <c r="A214" s="1499" t="s">
        <v>1934</v>
      </c>
      <c r="B214" s="1500" t="s">
        <v>761</v>
      </c>
      <c r="C214" s="1488">
        <f t="shared" si="33"/>
        <v>277.50450000000006</v>
      </c>
      <c r="D214" s="1500" t="s">
        <v>965</v>
      </c>
      <c r="E214" s="1518" t="s">
        <v>761</v>
      </c>
      <c r="F214" s="1519"/>
      <c r="G214" s="1520"/>
      <c r="H214" s="1500" t="s">
        <v>761</v>
      </c>
      <c r="I214" s="1579"/>
      <c r="J214" s="1500" t="s">
        <v>965</v>
      </c>
      <c r="K214" s="1499"/>
      <c r="L214" s="1518" t="s">
        <v>761</v>
      </c>
      <c r="M214" s="1519"/>
      <c r="N214" s="1520"/>
      <c r="O214" s="1518" t="s">
        <v>761</v>
      </c>
      <c r="P214" s="1519"/>
      <c r="Q214" s="1520"/>
      <c r="S214" s="1579">
        <v>247</v>
      </c>
      <c r="T214" s="1478" t="e">
        <f t="shared" si="35"/>
        <v>#DIV/0!</v>
      </c>
      <c r="U214" s="1478">
        <f t="shared" si="31"/>
        <v>247</v>
      </c>
      <c r="W214" s="1467">
        <v>247</v>
      </c>
      <c r="X214" s="1491">
        <f t="shared" si="32"/>
        <v>259.35000000000002</v>
      </c>
      <c r="Y214" s="1491">
        <v>259.35000000000002</v>
      </c>
      <c r="Z214" s="1492" t="s">
        <v>1547</v>
      </c>
      <c r="AB214" s="1461"/>
      <c r="AC214" s="1461"/>
      <c r="AD214" s="1481" t="s">
        <v>1532</v>
      </c>
      <c r="AE214" s="1461"/>
      <c r="AF214" s="1461"/>
      <c r="AG214" s="1461"/>
      <c r="BD214" s="1500" t="s">
        <v>761</v>
      </c>
      <c r="BE214" s="1488">
        <f t="shared" si="34"/>
        <v>0</v>
      </c>
      <c r="BF214" s="1500" t="s">
        <v>965</v>
      </c>
    </row>
    <row r="215" spans="1:58">
      <c r="A215" s="1499" t="s">
        <v>1935</v>
      </c>
      <c r="B215" s="1500" t="s">
        <v>761</v>
      </c>
      <c r="C215" s="1488">
        <f t="shared" si="33"/>
        <v>332.55600000000004</v>
      </c>
      <c r="D215" s="1500" t="s">
        <v>965</v>
      </c>
      <c r="E215" s="1518" t="s">
        <v>761</v>
      </c>
      <c r="F215" s="1519"/>
      <c r="G215" s="1520"/>
      <c r="H215" s="1500" t="s">
        <v>761</v>
      </c>
      <c r="I215" s="1579"/>
      <c r="J215" s="1500" t="s">
        <v>965</v>
      </c>
      <c r="K215" s="1499"/>
      <c r="L215" s="1518" t="s">
        <v>761</v>
      </c>
      <c r="M215" s="1519"/>
      <c r="N215" s="1520"/>
      <c r="O215" s="1518" t="s">
        <v>761</v>
      </c>
      <c r="P215" s="1519"/>
      <c r="Q215" s="1520"/>
      <c r="S215" s="1579">
        <v>296</v>
      </c>
      <c r="T215" s="1478" t="e">
        <f t="shared" si="35"/>
        <v>#DIV/0!</v>
      </c>
      <c r="U215" s="1478">
        <f t="shared" si="31"/>
        <v>296</v>
      </c>
      <c r="W215" s="1467">
        <v>296</v>
      </c>
      <c r="X215" s="1491">
        <f t="shared" si="32"/>
        <v>310.8</v>
      </c>
      <c r="Y215" s="1491">
        <v>310.8</v>
      </c>
      <c r="Z215" s="1492" t="s">
        <v>1547</v>
      </c>
      <c r="AB215" s="1461"/>
      <c r="AC215" s="1461"/>
      <c r="AD215" s="1481" t="s">
        <v>1532</v>
      </c>
      <c r="AE215" s="1461"/>
      <c r="AF215" s="1461"/>
      <c r="AG215" s="1461"/>
      <c r="BD215" s="1500" t="s">
        <v>761</v>
      </c>
      <c r="BE215" s="1488">
        <f t="shared" si="34"/>
        <v>0</v>
      </c>
      <c r="BF215" s="1500" t="s">
        <v>965</v>
      </c>
    </row>
    <row r="216" spans="1:58">
      <c r="A216" s="1487" t="s">
        <v>1936</v>
      </c>
      <c r="B216" s="1482" t="s">
        <v>619</v>
      </c>
      <c r="C216" s="1488">
        <v>15.5</v>
      </c>
      <c r="D216" s="1500" t="s">
        <v>965</v>
      </c>
      <c r="E216" s="1472" t="s">
        <v>619</v>
      </c>
      <c r="F216" s="1489"/>
      <c r="G216" s="1474"/>
      <c r="H216" s="1475" t="s">
        <v>619</v>
      </c>
      <c r="J216" s="1475" t="s">
        <v>1764</v>
      </c>
      <c r="K216" s="1477"/>
      <c r="L216" s="1472" t="s">
        <v>619</v>
      </c>
      <c r="M216" s="1489"/>
      <c r="N216" s="1474"/>
      <c r="O216" s="1472" t="s">
        <v>619</v>
      </c>
      <c r="P216" s="1489"/>
      <c r="Q216" s="1474"/>
      <c r="S216" s="1490">
        <v>15</v>
      </c>
      <c r="T216" s="1478" t="e">
        <f t="shared" si="35"/>
        <v>#DIV/0!</v>
      </c>
      <c r="U216" s="1478">
        <f t="shared" si="31"/>
        <v>15</v>
      </c>
      <c r="W216" s="1467">
        <v>15</v>
      </c>
      <c r="X216" s="1491">
        <v>20</v>
      </c>
      <c r="Y216" s="1491">
        <v>13.04</v>
      </c>
      <c r="Z216" s="1554" t="s">
        <v>1613</v>
      </c>
      <c r="AA216" s="1440" t="s">
        <v>1937</v>
      </c>
      <c r="AB216" s="1461"/>
      <c r="AC216" s="1461"/>
      <c r="AD216" s="1481" t="s">
        <v>1532</v>
      </c>
      <c r="AE216" s="1461"/>
      <c r="AF216" s="1461"/>
      <c r="AG216" s="1461"/>
      <c r="BD216" s="1482" t="s">
        <v>619</v>
      </c>
      <c r="BE216" s="1488">
        <v>15.5</v>
      </c>
      <c r="BF216" s="1500" t="s">
        <v>965</v>
      </c>
    </row>
    <row r="217" spans="1:58">
      <c r="A217" s="1487" t="s">
        <v>1938</v>
      </c>
      <c r="B217" s="1482" t="s">
        <v>619</v>
      </c>
      <c r="C217" s="1488">
        <f>+Y217*1.05</f>
        <v>472.5</v>
      </c>
      <c r="D217" s="1482" t="s">
        <v>965</v>
      </c>
      <c r="E217" s="1472" t="s">
        <v>619</v>
      </c>
      <c r="F217" s="1473">
        <v>350</v>
      </c>
      <c r="G217" s="1474" t="s">
        <v>1939</v>
      </c>
      <c r="H217" s="1475" t="s">
        <v>619</v>
      </c>
      <c r="I217" s="1476">
        <v>871</v>
      </c>
      <c r="J217" s="1475" t="s">
        <v>965</v>
      </c>
      <c r="K217" s="1477" t="s">
        <v>1940</v>
      </c>
      <c r="L217" s="1472" t="s">
        <v>619</v>
      </c>
      <c r="M217" s="1473">
        <v>236.25</v>
      </c>
      <c r="N217" s="1474" t="s">
        <v>1941</v>
      </c>
      <c r="O217" s="1472" t="s">
        <v>619</v>
      </c>
      <c r="P217" s="1573" t="s">
        <v>1942</v>
      </c>
      <c r="Q217" s="1556" t="s">
        <v>1620</v>
      </c>
      <c r="S217" s="1476">
        <v>311.2</v>
      </c>
      <c r="T217" s="1478">
        <f t="shared" si="35"/>
        <v>485.75</v>
      </c>
      <c r="U217" s="1478">
        <f t="shared" si="31"/>
        <v>442.11250000000001</v>
      </c>
      <c r="W217" s="1467">
        <v>311.2</v>
      </c>
      <c r="X217" s="1491">
        <v>450</v>
      </c>
      <c r="Y217" s="1491">
        <v>450</v>
      </c>
      <c r="Z217" s="1554" t="s">
        <v>1808</v>
      </c>
      <c r="AB217" s="1461" t="s">
        <v>1815</v>
      </c>
      <c r="AC217" s="1461"/>
      <c r="AD217" s="1481" t="s">
        <v>1532</v>
      </c>
      <c r="AE217" s="1461"/>
      <c r="AF217" s="1461"/>
      <c r="AG217" s="1461"/>
      <c r="BD217" s="1482" t="s">
        <v>619</v>
      </c>
      <c r="BE217" s="1488">
        <f>+CA217*1.05</f>
        <v>0</v>
      </c>
      <c r="BF217" s="1482" t="s">
        <v>965</v>
      </c>
    </row>
    <row r="218" spans="1:58">
      <c r="A218" s="1487" t="s">
        <v>1943</v>
      </c>
      <c r="B218" s="1482" t="s">
        <v>619</v>
      </c>
      <c r="C218" s="1488" t="s">
        <v>1576</v>
      </c>
      <c r="D218" s="1482" t="s">
        <v>965</v>
      </c>
      <c r="E218" s="1587" t="s">
        <v>619</v>
      </c>
      <c r="F218" s="1519"/>
      <c r="G218" s="1588"/>
      <c r="H218" s="1482" t="s">
        <v>619</v>
      </c>
      <c r="I218" s="1579"/>
      <c r="J218" s="1482" t="s">
        <v>965</v>
      </c>
      <c r="K218" s="1487"/>
      <c r="L218" s="1587" t="s">
        <v>619</v>
      </c>
      <c r="M218" s="1519"/>
      <c r="N218" s="1588"/>
      <c r="O218" s="1587" t="s">
        <v>619</v>
      </c>
      <c r="P218" s="1519"/>
      <c r="Q218" s="1588"/>
      <c r="S218" s="1579">
        <v>140</v>
      </c>
      <c r="T218" s="1478" t="e">
        <f t="shared" si="35"/>
        <v>#DIV/0!</v>
      </c>
      <c r="U218" s="1478">
        <f t="shared" si="31"/>
        <v>140</v>
      </c>
      <c r="W218" s="1467">
        <v>140</v>
      </c>
      <c r="X218" s="1491">
        <f t="shared" si="32"/>
        <v>147</v>
      </c>
      <c r="Y218" s="1491">
        <v>147</v>
      </c>
      <c r="Z218" s="1554" t="s">
        <v>1576</v>
      </c>
      <c r="AB218" s="1461"/>
      <c r="AC218" s="1461"/>
      <c r="AD218" s="1481" t="s">
        <v>1532</v>
      </c>
      <c r="AE218" s="1461"/>
      <c r="AF218" s="1461"/>
      <c r="AG218" s="1461"/>
      <c r="BD218" s="1482" t="s">
        <v>619</v>
      </c>
      <c r="BE218" s="1488" t="s">
        <v>1576</v>
      </c>
      <c r="BF218" s="1482" t="s">
        <v>965</v>
      </c>
    </row>
    <row r="219" spans="1:58">
      <c r="A219" s="1487" t="s">
        <v>1944</v>
      </c>
      <c r="B219" s="1482" t="s">
        <v>619</v>
      </c>
      <c r="C219" s="1488" t="s">
        <v>1576</v>
      </c>
      <c r="D219" s="1482" t="s">
        <v>965</v>
      </c>
      <c r="E219" s="1587" t="s">
        <v>619</v>
      </c>
      <c r="F219" s="1519"/>
      <c r="G219" s="1588"/>
      <c r="H219" s="1482" t="s">
        <v>619</v>
      </c>
      <c r="I219" s="1579"/>
      <c r="J219" s="1482" t="s">
        <v>965</v>
      </c>
      <c r="K219" s="1487"/>
      <c r="L219" s="1587" t="s">
        <v>619</v>
      </c>
      <c r="M219" s="1519"/>
      <c r="N219" s="1588"/>
      <c r="O219" s="1587" t="s">
        <v>619</v>
      </c>
      <c r="P219" s="1519"/>
      <c r="Q219" s="1588"/>
      <c r="S219" s="1579">
        <v>174</v>
      </c>
      <c r="T219" s="1478" t="e">
        <f t="shared" si="35"/>
        <v>#DIV/0!</v>
      </c>
      <c r="U219" s="1478">
        <f t="shared" si="31"/>
        <v>174</v>
      </c>
      <c r="W219" s="1467">
        <v>174</v>
      </c>
      <c r="X219" s="1491">
        <f t="shared" si="32"/>
        <v>182.70000000000002</v>
      </c>
      <c r="Y219" s="1491">
        <v>182.7</v>
      </c>
      <c r="Z219" s="1554" t="s">
        <v>1576</v>
      </c>
      <c r="AB219" s="1461"/>
      <c r="AC219" s="1461"/>
      <c r="AD219" s="1481" t="s">
        <v>1532</v>
      </c>
      <c r="AE219" s="1461"/>
      <c r="AF219" s="1461"/>
      <c r="AG219" s="1461"/>
      <c r="BD219" s="1482" t="s">
        <v>619</v>
      </c>
      <c r="BE219" s="1488" t="s">
        <v>1576</v>
      </c>
      <c r="BF219" s="1482" t="s">
        <v>965</v>
      </c>
    </row>
    <row r="220" spans="1:58">
      <c r="A220" s="1487" t="s">
        <v>1945</v>
      </c>
      <c r="B220" s="1482" t="s">
        <v>619</v>
      </c>
      <c r="C220" s="1488" t="s">
        <v>1576</v>
      </c>
      <c r="D220" s="1482" t="s">
        <v>965</v>
      </c>
      <c r="E220" s="1587" t="s">
        <v>619</v>
      </c>
      <c r="F220" s="1519"/>
      <c r="G220" s="1588"/>
      <c r="H220" s="1482" t="s">
        <v>619</v>
      </c>
      <c r="I220" s="1579"/>
      <c r="J220" s="1482" t="s">
        <v>965</v>
      </c>
      <c r="K220" s="1487"/>
      <c r="L220" s="1587" t="s">
        <v>619</v>
      </c>
      <c r="M220" s="1519"/>
      <c r="N220" s="1588"/>
      <c r="O220" s="1587" t="s">
        <v>619</v>
      </c>
      <c r="P220" s="1519"/>
      <c r="Q220" s="1588"/>
      <c r="S220" s="1579">
        <v>209</v>
      </c>
      <c r="T220" s="1478" t="e">
        <f t="shared" si="35"/>
        <v>#DIV/0!</v>
      </c>
      <c r="U220" s="1478">
        <f t="shared" si="31"/>
        <v>209</v>
      </c>
      <c r="W220" s="1467">
        <v>209</v>
      </c>
      <c r="X220" s="1491">
        <f t="shared" si="32"/>
        <v>219.45000000000002</v>
      </c>
      <c r="Y220" s="1491">
        <v>219.45</v>
      </c>
      <c r="Z220" s="1554" t="s">
        <v>1576</v>
      </c>
      <c r="AB220" s="1461"/>
      <c r="AC220" s="1461"/>
      <c r="AD220" s="1481" t="s">
        <v>1532</v>
      </c>
      <c r="AE220" s="1461"/>
      <c r="AF220" s="1461"/>
      <c r="AG220" s="1461"/>
      <c r="BD220" s="1482" t="s">
        <v>619</v>
      </c>
      <c r="BE220" s="1488" t="s">
        <v>1576</v>
      </c>
      <c r="BF220" s="1482" t="s">
        <v>965</v>
      </c>
    </row>
    <row r="221" spans="1:58">
      <c r="A221" s="1487" t="s">
        <v>1946</v>
      </c>
      <c r="B221" s="1482" t="s">
        <v>619</v>
      </c>
      <c r="C221" s="1488" t="s">
        <v>1576</v>
      </c>
      <c r="D221" s="1482" t="s">
        <v>965</v>
      </c>
      <c r="E221" s="1587" t="s">
        <v>619</v>
      </c>
      <c r="F221" s="1631"/>
      <c r="G221" s="1588"/>
      <c r="H221" s="1482" t="s">
        <v>619</v>
      </c>
      <c r="I221" s="1488"/>
      <c r="J221" s="1482" t="s">
        <v>965</v>
      </c>
      <c r="K221" s="1487"/>
      <c r="L221" s="1587" t="s">
        <v>619</v>
      </c>
      <c r="M221" s="1631"/>
      <c r="N221" s="1588"/>
      <c r="O221" s="1587" t="s">
        <v>619</v>
      </c>
      <c r="P221" s="1631"/>
      <c r="Q221" s="1588"/>
      <c r="S221" s="1488">
        <v>166</v>
      </c>
      <c r="T221" s="1478" t="e">
        <f t="shared" si="35"/>
        <v>#DIV/0!</v>
      </c>
      <c r="U221" s="1478">
        <f t="shared" si="31"/>
        <v>166</v>
      </c>
      <c r="W221" s="1467">
        <v>166</v>
      </c>
      <c r="X221" s="1491">
        <f t="shared" si="32"/>
        <v>174.3</v>
      </c>
      <c r="Y221" s="1491">
        <v>174.3</v>
      </c>
      <c r="Z221" s="1554" t="s">
        <v>1576</v>
      </c>
      <c r="AB221" s="1461"/>
      <c r="AC221" s="1461"/>
      <c r="AD221" s="1481" t="s">
        <v>1532</v>
      </c>
      <c r="AE221" s="1461"/>
      <c r="AF221" s="1461"/>
      <c r="AG221" s="1461"/>
      <c r="BD221" s="1482" t="s">
        <v>619</v>
      </c>
      <c r="BE221" s="1488" t="s">
        <v>1576</v>
      </c>
      <c r="BF221" s="1482" t="s">
        <v>965</v>
      </c>
    </row>
    <row r="222" spans="1:58">
      <c r="A222" s="1487" t="s">
        <v>1947</v>
      </c>
      <c r="B222" s="1482" t="s">
        <v>619</v>
      </c>
      <c r="C222" s="1488" t="s">
        <v>1576</v>
      </c>
      <c r="D222" s="1482" t="s">
        <v>965</v>
      </c>
      <c r="E222" s="1587" t="s">
        <v>619</v>
      </c>
      <c r="F222" s="1631"/>
      <c r="G222" s="1588"/>
      <c r="H222" s="1482" t="s">
        <v>619</v>
      </c>
      <c r="I222" s="1488">
        <v>200</v>
      </c>
      <c r="J222" s="1482" t="s">
        <v>965</v>
      </c>
      <c r="K222" s="1487" t="s">
        <v>1908</v>
      </c>
      <c r="L222" s="1587" t="s">
        <v>619</v>
      </c>
      <c r="M222" s="1631">
        <v>187</v>
      </c>
      <c r="N222" s="1588" t="s">
        <v>1948</v>
      </c>
      <c r="O222" s="1587" t="s">
        <v>619</v>
      </c>
      <c r="P222" s="1631"/>
      <c r="Q222" s="1588"/>
      <c r="S222" s="1488">
        <v>201</v>
      </c>
      <c r="T222" s="1478">
        <f t="shared" si="35"/>
        <v>193.5</v>
      </c>
      <c r="U222" s="1478">
        <f t="shared" si="31"/>
        <v>196</v>
      </c>
      <c r="W222" s="1467">
        <v>201</v>
      </c>
      <c r="X222" s="1491">
        <f t="shared" si="32"/>
        <v>211.05</v>
      </c>
      <c r="Y222" s="1491">
        <v>211.05</v>
      </c>
      <c r="Z222" s="1554" t="s">
        <v>1576</v>
      </c>
      <c r="AB222" s="1461"/>
      <c r="AC222" s="1461"/>
      <c r="AD222" s="1481" t="s">
        <v>1532</v>
      </c>
      <c r="AE222" s="1461"/>
      <c r="AF222" s="1461"/>
      <c r="AG222" s="1461"/>
      <c r="BD222" s="1482" t="s">
        <v>619</v>
      </c>
      <c r="BE222" s="1488" t="s">
        <v>1576</v>
      </c>
      <c r="BF222" s="1482" t="s">
        <v>965</v>
      </c>
    </row>
    <row r="223" spans="1:58">
      <c r="A223" s="1487" t="s">
        <v>1949</v>
      </c>
      <c r="B223" s="1482" t="s">
        <v>619</v>
      </c>
      <c r="C223" s="1488" t="s">
        <v>1576</v>
      </c>
      <c r="D223" s="1482" t="s">
        <v>965</v>
      </c>
      <c r="E223" s="1587" t="s">
        <v>619</v>
      </c>
      <c r="F223" s="1631"/>
      <c r="G223" s="1588"/>
      <c r="H223" s="1482" t="s">
        <v>619</v>
      </c>
      <c r="I223" s="1488"/>
      <c r="J223" s="1482" t="s">
        <v>965</v>
      </c>
      <c r="K223" s="1487"/>
      <c r="L223" s="1587" t="s">
        <v>619</v>
      </c>
      <c r="M223" s="1631"/>
      <c r="N223" s="1588"/>
      <c r="O223" s="1587" t="s">
        <v>619</v>
      </c>
      <c r="P223" s="1631"/>
      <c r="Q223" s="1588"/>
      <c r="S223" s="1488">
        <v>236</v>
      </c>
      <c r="T223" s="1478" t="e">
        <f t="shared" si="35"/>
        <v>#DIV/0!</v>
      </c>
      <c r="U223" s="1478">
        <f t="shared" si="31"/>
        <v>236</v>
      </c>
      <c r="W223" s="1467">
        <v>236</v>
      </c>
      <c r="X223" s="1491">
        <f t="shared" si="32"/>
        <v>247.8</v>
      </c>
      <c r="Y223" s="1491">
        <v>247.8</v>
      </c>
      <c r="Z223" s="1554" t="s">
        <v>1576</v>
      </c>
      <c r="AB223" s="1461"/>
      <c r="AC223" s="1461"/>
      <c r="AD223" s="1481" t="s">
        <v>1532</v>
      </c>
      <c r="AE223" s="1461"/>
      <c r="AF223" s="1461"/>
      <c r="AG223" s="1461"/>
      <c r="BD223" s="1482" t="s">
        <v>619</v>
      </c>
      <c r="BE223" s="1488" t="s">
        <v>1576</v>
      </c>
      <c r="BF223" s="1482" t="s">
        <v>965</v>
      </c>
    </row>
    <row r="224" spans="1:58">
      <c r="A224" s="1487" t="s">
        <v>1950</v>
      </c>
      <c r="B224" s="1482" t="s">
        <v>619</v>
      </c>
      <c r="C224" s="1488" t="s">
        <v>1576</v>
      </c>
      <c r="D224" s="1482" t="s">
        <v>965</v>
      </c>
      <c r="E224" s="1587" t="s">
        <v>619</v>
      </c>
      <c r="F224" s="1519"/>
      <c r="G224" s="1588"/>
      <c r="H224" s="1482" t="s">
        <v>619</v>
      </c>
      <c r="I224" s="1579"/>
      <c r="J224" s="1482" t="s">
        <v>965</v>
      </c>
      <c r="K224" s="1487"/>
      <c r="L224" s="1587" t="s">
        <v>619</v>
      </c>
      <c r="M224" s="1519"/>
      <c r="N224" s="1588"/>
      <c r="O224" s="1587" t="s">
        <v>619</v>
      </c>
      <c r="P224" s="1519"/>
      <c r="Q224" s="1588"/>
      <c r="S224" s="1579">
        <v>119</v>
      </c>
      <c r="T224" s="1478" t="e">
        <f t="shared" si="35"/>
        <v>#DIV/0!</v>
      </c>
      <c r="U224" s="1478">
        <f t="shared" si="31"/>
        <v>119</v>
      </c>
      <c r="W224" s="1467">
        <v>119</v>
      </c>
      <c r="X224" s="1491">
        <f t="shared" si="32"/>
        <v>124.95</v>
      </c>
      <c r="Y224" s="1491">
        <v>124.95</v>
      </c>
      <c r="Z224" s="1554" t="s">
        <v>1576</v>
      </c>
      <c r="AB224" s="1461"/>
      <c r="AC224" s="1461"/>
      <c r="AD224" s="1481" t="s">
        <v>1532</v>
      </c>
      <c r="AE224" s="1461"/>
      <c r="AF224" s="1461"/>
      <c r="AG224" s="1461"/>
      <c r="BD224" s="1482" t="s">
        <v>619</v>
      </c>
      <c r="BE224" s="1488" t="s">
        <v>1576</v>
      </c>
      <c r="BF224" s="1482" t="s">
        <v>965</v>
      </c>
    </row>
    <row r="225" spans="1:58">
      <c r="A225" s="1487" t="s">
        <v>1951</v>
      </c>
      <c r="B225" s="1482" t="s">
        <v>619</v>
      </c>
      <c r="C225" s="1488" t="s">
        <v>1576</v>
      </c>
      <c r="D225" s="1482" t="s">
        <v>965</v>
      </c>
      <c r="E225" s="1587" t="s">
        <v>619</v>
      </c>
      <c r="F225" s="1519"/>
      <c r="G225" s="1588"/>
      <c r="H225" s="1482" t="s">
        <v>619</v>
      </c>
      <c r="I225" s="1579"/>
      <c r="J225" s="1482" t="s">
        <v>965</v>
      </c>
      <c r="K225" s="1487"/>
      <c r="L225" s="1587" t="s">
        <v>619</v>
      </c>
      <c r="M225" s="1519">
        <v>70</v>
      </c>
      <c r="N225" s="1588" t="s">
        <v>1948</v>
      </c>
      <c r="O225" s="1587" t="s">
        <v>619</v>
      </c>
      <c r="P225" s="1519"/>
      <c r="Q225" s="1588"/>
      <c r="S225" s="1579">
        <v>154</v>
      </c>
      <c r="T225" s="1478">
        <f t="shared" si="35"/>
        <v>70</v>
      </c>
      <c r="U225" s="1478">
        <f t="shared" si="31"/>
        <v>112</v>
      </c>
      <c r="W225" s="1467">
        <v>154</v>
      </c>
      <c r="X225" s="1491">
        <f t="shared" si="32"/>
        <v>161.70000000000002</v>
      </c>
      <c r="Y225" s="1491">
        <v>161.69999999999999</v>
      </c>
      <c r="Z225" s="1554" t="s">
        <v>1576</v>
      </c>
      <c r="AB225" s="1461"/>
      <c r="AC225" s="1461"/>
      <c r="AD225" s="1481" t="s">
        <v>1532</v>
      </c>
      <c r="AE225" s="1461"/>
      <c r="AF225" s="1461"/>
      <c r="AG225" s="1461"/>
      <c r="BD225" s="1482" t="s">
        <v>619</v>
      </c>
      <c r="BE225" s="1488" t="s">
        <v>1576</v>
      </c>
      <c r="BF225" s="1482" t="s">
        <v>965</v>
      </c>
    </row>
    <row r="226" spans="1:58">
      <c r="A226" s="1487" t="s">
        <v>1952</v>
      </c>
      <c r="B226" s="1482" t="s">
        <v>619</v>
      </c>
      <c r="C226" s="1488" t="s">
        <v>1576</v>
      </c>
      <c r="D226" s="1482" t="s">
        <v>965</v>
      </c>
      <c r="E226" s="1587" t="s">
        <v>619</v>
      </c>
      <c r="F226" s="1519"/>
      <c r="G226" s="1588"/>
      <c r="H226" s="1482" t="s">
        <v>619</v>
      </c>
      <c r="I226" s="1579">
        <v>200</v>
      </c>
      <c r="J226" s="1482" t="s">
        <v>965</v>
      </c>
      <c r="K226" s="1487" t="s">
        <v>1908</v>
      </c>
      <c r="L226" s="1587" t="s">
        <v>619</v>
      </c>
      <c r="M226" s="1519"/>
      <c r="N226" s="1588"/>
      <c r="O226" s="1587" t="s">
        <v>619</v>
      </c>
      <c r="P226" s="1519"/>
      <c r="Q226" s="1588"/>
      <c r="S226" s="1579">
        <v>189</v>
      </c>
      <c r="T226" s="1478">
        <f t="shared" si="35"/>
        <v>200</v>
      </c>
      <c r="U226" s="1478">
        <f t="shared" ref="U226:U335" si="36">AVERAGE(W226,F226,I226,M226)</f>
        <v>194.5</v>
      </c>
      <c r="W226" s="1467">
        <v>189</v>
      </c>
      <c r="X226" s="1491">
        <f t="shared" si="32"/>
        <v>198.45000000000002</v>
      </c>
      <c r="Y226" s="1491">
        <v>198.45</v>
      </c>
      <c r="Z226" s="1554" t="s">
        <v>1576</v>
      </c>
      <c r="AB226" s="1461"/>
      <c r="AC226" s="1461"/>
      <c r="AD226" s="1481" t="s">
        <v>1532</v>
      </c>
      <c r="AE226" s="1461"/>
      <c r="AF226" s="1461"/>
      <c r="AG226" s="1461"/>
      <c r="BD226" s="1482" t="s">
        <v>619</v>
      </c>
      <c r="BE226" s="1488" t="s">
        <v>1576</v>
      </c>
      <c r="BF226" s="1482" t="s">
        <v>965</v>
      </c>
    </row>
    <row r="227" spans="1:58">
      <c r="A227" s="1487" t="s">
        <v>1953</v>
      </c>
      <c r="B227" s="1482" t="s">
        <v>619</v>
      </c>
      <c r="C227" s="1488" t="s">
        <v>1576</v>
      </c>
      <c r="D227" s="1482" t="s">
        <v>965</v>
      </c>
      <c r="E227" s="1472" t="s">
        <v>619</v>
      </c>
      <c r="F227" s="1473"/>
      <c r="G227" s="1474"/>
      <c r="H227" s="1475" t="s">
        <v>619</v>
      </c>
      <c r="I227" s="1476"/>
      <c r="J227" s="1475" t="s">
        <v>965</v>
      </c>
      <c r="K227" s="1477"/>
      <c r="L227" s="1472" t="s">
        <v>619</v>
      </c>
      <c r="M227" s="1473"/>
      <c r="N227" s="1474" t="s">
        <v>1954</v>
      </c>
      <c r="O227" s="1472" t="s">
        <v>619</v>
      </c>
      <c r="P227" s="1473">
        <v>170</v>
      </c>
      <c r="Q227" s="1474" t="s">
        <v>1955</v>
      </c>
      <c r="S227" s="1488">
        <v>292</v>
      </c>
      <c r="T227" s="1478" t="e">
        <f t="shared" si="35"/>
        <v>#DIV/0!</v>
      </c>
      <c r="U227" s="1478">
        <f t="shared" si="36"/>
        <v>292</v>
      </c>
      <c r="W227" s="1467">
        <v>292</v>
      </c>
      <c r="X227" s="1491">
        <v>170</v>
      </c>
      <c r="Y227" s="1491">
        <v>170</v>
      </c>
      <c r="Z227" s="1554" t="s">
        <v>1576</v>
      </c>
      <c r="AB227" s="1461" t="s">
        <v>1915</v>
      </c>
      <c r="AC227" s="1461"/>
      <c r="AD227" s="1481" t="s">
        <v>1532</v>
      </c>
      <c r="AE227" s="1461"/>
      <c r="AF227" s="1461"/>
      <c r="AG227" s="1461"/>
      <c r="BD227" s="1482" t="s">
        <v>619</v>
      </c>
      <c r="BE227" s="1488" t="s">
        <v>1576</v>
      </c>
      <c r="BF227" s="1482" t="s">
        <v>965</v>
      </c>
    </row>
    <row r="228" spans="1:58">
      <c r="A228" s="1630" t="s">
        <v>1956</v>
      </c>
      <c r="B228" s="1562" t="s">
        <v>1957</v>
      </c>
      <c r="C228" s="1488">
        <f>+AP25</f>
        <v>0.82427536231884069</v>
      </c>
      <c r="D228" s="1632" t="s">
        <v>965</v>
      </c>
      <c r="E228" s="1472"/>
      <c r="F228" s="1473"/>
      <c r="G228" s="1474"/>
      <c r="H228" s="1475"/>
      <c r="I228" s="1476"/>
      <c r="J228" s="1475"/>
      <c r="K228" s="1477"/>
      <c r="L228" s="1472"/>
      <c r="M228" s="1473"/>
      <c r="N228" s="1474"/>
      <c r="O228" s="1472"/>
      <c r="P228" s="1473"/>
      <c r="Q228" s="1474"/>
      <c r="S228" s="1488"/>
      <c r="T228" s="1478"/>
      <c r="U228" s="1478"/>
      <c r="W228" s="1467"/>
      <c r="X228" s="1479">
        <f>+AP25</f>
        <v>0.82427536231884069</v>
      </c>
      <c r="Y228" s="1479">
        <v>0.17862500000000001</v>
      </c>
      <c r="Z228" s="1480" t="s">
        <v>1919</v>
      </c>
      <c r="AB228" s="1461" t="s">
        <v>1958</v>
      </c>
      <c r="AC228" s="1461"/>
      <c r="AD228" s="1481" t="s">
        <v>1532</v>
      </c>
      <c r="AE228" s="1461"/>
      <c r="AF228" s="1461"/>
      <c r="AG228" s="1461"/>
      <c r="BD228" s="1562" t="s">
        <v>1957</v>
      </c>
      <c r="BE228" s="1488">
        <f>+CR25</f>
        <v>0</v>
      </c>
      <c r="BF228" s="1632" t="s">
        <v>965</v>
      </c>
    </row>
    <row r="229" spans="1:58" s="1440" customFormat="1">
      <c r="A229" s="1487" t="s">
        <v>1959</v>
      </c>
      <c r="B229" s="1482" t="s">
        <v>1832</v>
      </c>
      <c r="C229" s="1488">
        <v>60</v>
      </c>
      <c r="D229" s="1482" t="s">
        <v>965</v>
      </c>
      <c r="E229" s="1544"/>
      <c r="F229" s="1619"/>
      <c r="G229" s="1546"/>
      <c r="H229" s="1547"/>
      <c r="I229" s="1622"/>
      <c r="J229" s="1547"/>
      <c r="K229" s="1549"/>
      <c r="L229" s="1544"/>
      <c r="M229" s="1619"/>
      <c r="N229" s="1546"/>
      <c r="O229" s="1544"/>
      <c r="P229" s="1619"/>
      <c r="Q229" s="1546"/>
      <c r="S229" s="1622"/>
      <c r="T229" s="1550"/>
      <c r="U229" s="1550"/>
      <c r="V229" s="1551"/>
      <c r="W229" s="1552"/>
      <c r="X229" s="1553"/>
      <c r="Y229" s="1491">
        <v>60</v>
      </c>
      <c r="Z229" s="1554" t="s">
        <v>1610</v>
      </c>
      <c r="AA229" s="1440" t="s">
        <v>1960</v>
      </c>
      <c r="AD229" s="1481" t="s">
        <v>1532</v>
      </c>
      <c r="BD229" s="1482" t="s">
        <v>1832</v>
      </c>
      <c r="BE229" s="1488">
        <v>60</v>
      </c>
      <c r="BF229" s="1482" t="s">
        <v>965</v>
      </c>
    </row>
    <row r="230" spans="1:58">
      <c r="A230" s="1626" t="s">
        <v>1961</v>
      </c>
      <c r="B230" s="1482" t="s">
        <v>619</v>
      </c>
      <c r="C230" s="1488" t="s">
        <v>1576</v>
      </c>
      <c r="D230" s="1482" t="s">
        <v>1764</v>
      </c>
      <c r="E230" s="1472" t="s">
        <v>619</v>
      </c>
      <c r="F230" s="1473"/>
      <c r="G230" s="1474"/>
      <c r="H230" s="1475" t="s">
        <v>619</v>
      </c>
      <c r="I230" s="1476">
        <v>5</v>
      </c>
      <c r="J230" s="1475" t="s">
        <v>1764</v>
      </c>
      <c r="K230" s="1477"/>
      <c r="L230" s="1472" t="s">
        <v>619</v>
      </c>
      <c r="M230" s="1473"/>
      <c r="N230" s="1474"/>
      <c r="O230" s="1472" t="s">
        <v>619</v>
      </c>
      <c r="P230" s="1473"/>
      <c r="Q230" s="1474"/>
      <c r="S230" s="1476">
        <v>25</v>
      </c>
      <c r="T230" s="1478">
        <f t="shared" si="35"/>
        <v>5</v>
      </c>
      <c r="U230" s="1478">
        <f t="shared" si="36"/>
        <v>15</v>
      </c>
      <c r="W230" s="1467">
        <v>25</v>
      </c>
      <c r="X230" s="1491">
        <v>25</v>
      </c>
      <c r="Y230" s="1491">
        <v>25</v>
      </c>
      <c r="Z230" s="1517" t="s">
        <v>1576</v>
      </c>
      <c r="AB230" s="1461" t="s">
        <v>1962</v>
      </c>
      <c r="AC230" s="1461"/>
      <c r="AD230" s="1481" t="s">
        <v>1532</v>
      </c>
      <c r="AE230" s="1461"/>
      <c r="AF230" s="1461"/>
      <c r="AG230" s="1461"/>
      <c r="BD230" s="1482" t="s">
        <v>619</v>
      </c>
      <c r="BE230" s="1488" t="s">
        <v>1576</v>
      </c>
      <c r="BF230" s="1482" t="s">
        <v>1764</v>
      </c>
    </row>
    <row r="231" spans="1:58">
      <c r="A231" s="1499" t="s">
        <v>1963</v>
      </c>
      <c r="B231" s="1524" t="s">
        <v>761</v>
      </c>
      <c r="C231" s="1488">
        <f>+X231</f>
        <v>115.5</v>
      </c>
      <c r="D231" s="1500" t="s">
        <v>965</v>
      </c>
      <c r="E231" s="1525" t="s">
        <v>761</v>
      </c>
      <c r="F231" s="1489"/>
      <c r="G231" s="1526"/>
      <c r="H231" s="1527" t="s">
        <v>761</v>
      </c>
      <c r="J231" s="1502" t="s">
        <v>965</v>
      </c>
      <c r="K231" s="1528"/>
      <c r="L231" s="1525" t="s">
        <v>761</v>
      </c>
      <c r="M231" s="1489"/>
      <c r="N231" s="1526"/>
      <c r="O231" s="1525" t="s">
        <v>761</v>
      </c>
      <c r="P231" s="1489"/>
      <c r="Q231" s="1526"/>
      <c r="S231" s="1490">
        <v>110</v>
      </c>
      <c r="T231" s="1478" t="e">
        <f t="shared" si="35"/>
        <v>#DIV/0!</v>
      </c>
      <c r="U231" s="1478">
        <f t="shared" si="36"/>
        <v>110</v>
      </c>
      <c r="W231" s="1467">
        <v>110</v>
      </c>
      <c r="X231" s="1491">
        <f t="shared" si="32"/>
        <v>115.5</v>
      </c>
      <c r="Y231" s="1491">
        <v>115.5</v>
      </c>
      <c r="Z231" s="1492" t="s">
        <v>1547</v>
      </c>
      <c r="AB231" s="1461"/>
      <c r="AC231" s="1461"/>
      <c r="AD231" s="1481" t="s">
        <v>1532</v>
      </c>
      <c r="AE231" s="1461"/>
      <c r="AF231" s="1461"/>
      <c r="AG231" s="1461"/>
      <c r="BD231" s="1524" t="s">
        <v>761</v>
      </c>
      <c r="BE231" s="1488">
        <f>+BZ231</f>
        <v>0</v>
      </c>
      <c r="BF231" s="1500" t="s">
        <v>965</v>
      </c>
    </row>
    <row r="232" spans="1:58">
      <c r="A232" s="1499" t="s">
        <v>1964</v>
      </c>
      <c r="B232" s="1524" t="s">
        <v>761</v>
      </c>
      <c r="C232" s="1488">
        <f>+X232</f>
        <v>131.25</v>
      </c>
      <c r="D232" s="1500" t="s">
        <v>965</v>
      </c>
      <c r="E232" s="1525" t="s">
        <v>761</v>
      </c>
      <c r="F232" s="1489"/>
      <c r="G232" s="1526"/>
      <c r="H232" s="1527" t="s">
        <v>761</v>
      </c>
      <c r="J232" s="1502" t="s">
        <v>965</v>
      </c>
      <c r="K232" s="1528"/>
      <c r="L232" s="1525" t="s">
        <v>761</v>
      </c>
      <c r="M232" s="1489"/>
      <c r="N232" s="1526"/>
      <c r="O232" s="1525" t="s">
        <v>761</v>
      </c>
      <c r="P232" s="1489"/>
      <c r="Q232" s="1526"/>
      <c r="S232" s="1490">
        <v>125</v>
      </c>
      <c r="T232" s="1478" t="e">
        <f t="shared" si="35"/>
        <v>#DIV/0!</v>
      </c>
      <c r="U232" s="1478">
        <f t="shared" si="36"/>
        <v>125</v>
      </c>
      <c r="W232" s="1467">
        <v>125</v>
      </c>
      <c r="X232" s="1491">
        <f t="shared" si="32"/>
        <v>131.25</v>
      </c>
      <c r="Y232" s="1491">
        <v>131.25</v>
      </c>
      <c r="Z232" s="1492" t="s">
        <v>1547</v>
      </c>
      <c r="AB232" s="1461"/>
      <c r="AC232" s="1461"/>
      <c r="AD232" s="1481" t="s">
        <v>1532</v>
      </c>
      <c r="AE232" s="1461"/>
      <c r="AF232" s="1461"/>
      <c r="AG232" s="1461"/>
      <c r="BD232" s="1524" t="s">
        <v>761</v>
      </c>
      <c r="BE232" s="1488">
        <f>+BZ232</f>
        <v>0</v>
      </c>
      <c r="BF232" s="1500" t="s">
        <v>965</v>
      </c>
    </row>
    <row r="233" spans="1:58">
      <c r="A233" s="1499" t="s">
        <v>1965</v>
      </c>
      <c r="B233" s="1524" t="s">
        <v>761</v>
      </c>
      <c r="C233" s="1488">
        <f>+X233</f>
        <v>147</v>
      </c>
      <c r="D233" s="1500" t="s">
        <v>965</v>
      </c>
      <c r="E233" s="1525" t="s">
        <v>761</v>
      </c>
      <c r="F233" s="1489"/>
      <c r="G233" s="1526"/>
      <c r="H233" s="1527" t="s">
        <v>761</v>
      </c>
      <c r="J233" s="1502" t="s">
        <v>965</v>
      </c>
      <c r="K233" s="1528"/>
      <c r="L233" s="1525" t="s">
        <v>761</v>
      </c>
      <c r="M233" s="1489"/>
      <c r="N233" s="1526"/>
      <c r="O233" s="1525" t="s">
        <v>761</v>
      </c>
      <c r="P233" s="1489"/>
      <c r="Q233" s="1526"/>
      <c r="S233" s="1490">
        <v>140</v>
      </c>
      <c r="T233" s="1478" t="e">
        <f t="shared" si="35"/>
        <v>#DIV/0!</v>
      </c>
      <c r="U233" s="1478">
        <f t="shared" si="36"/>
        <v>140</v>
      </c>
      <c r="W233" s="1467">
        <v>140</v>
      </c>
      <c r="X233" s="1491">
        <f t="shared" si="32"/>
        <v>147</v>
      </c>
      <c r="Y233" s="1491">
        <v>147</v>
      </c>
      <c r="Z233" s="1492" t="s">
        <v>1547</v>
      </c>
      <c r="AB233" s="1461"/>
      <c r="AC233" s="1461"/>
      <c r="AD233" s="1481" t="s">
        <v>1532</v>
      </c>
      <c r="AE233" s="1461"/>
      <c r="AF233" s="1461"/>
      <c r="AG233" s="1461"/>
      <c r="BD233" s="1524" t="s">
        <v>761</v>
      </c>
      <c r="BE233" s="1488">
        <f>+BZ233</f>
        <v>0</v>
      </c>
      <c r="BF233" s="1500" t="s">
        <v>965</v>
      </c>
    </row>
    <row r="234" spans="1:58">
      <c r="A234" s="1499" t="s">
        <v>1966</v>
      </c>
      <c r="B234" s="1524" t="s">
        <v>619</v>
      </c>
      <c r="C234" s="1488">
        <v>11</v>
      </c>
      <c r="D234" s="1500" t="s">
        <v>965</v>
      </c>
      <c r="E234" s="1525"/>
      <c r="F234" s="1489"/>
      <c r="G234" s="1526"/>
      <c r="H234" s="1527"/>
      <c r="J234" s="1502"/>
      <c r="K234" s="1528"/>
      <c r="L234" s="1525"/>
      <c r="M234" s="1489"/>
      <c r="N234" s="1526"/>
      <c r="O234" s="1525"/>
      <c r="P234" s="1489"/>
      <c r="Q234" s="1526"/>
      <c r="S234" s="1490">
        <v>10</v>
      </c>
      <c r="T234" s="1478" t="e">
        <f>AVERAGE(F234,I234,M234)</f>
        <v>#DIV/0!</v>
      </c>
      <c r="U234" s="1478">
        <f t="shared" si="36"/>
        <v>10</v>
      </c>
      <c r="W234" s="1467">
        <v>10</v>
      </c>
      <c r="X234" s="1491">
        <f>+S234*1.05</f>
        <v>10.5</v>
      </c>
      <c r="Y234" s="1491">
        <v>10.5</v>
      </c>
      <c r="Z234" s="1554" t="s">
        <v>1765</v>
      </c>
      <c r="AB234" s="1461"/>
      <c r="AC234" s="1461"/>
      <c r="AD234" s="1481" t="s">
        <v>1532</v>
      </c>
      <c r="AE234" s="1461"/>
      <c r="AF234" s="1461"/>
      <c r="AG234" s="1461"/>
      <c r="BD234" s="1524" t="s">
        <v>619</v>
      </c>
      <c r="BE234" s="1488">
        <v>11</v>
      </c>
      <c r="BF234" s="1500" t="s">
        <v>965</v>
      </c>
    </row>
    <row r="235" spans="1:58">
      <c r="A235" s="1630" t="s">
        <v>1967</v>
      </c>
      <c r="B235" s="1562" t="s">
        <v>1957</v>
      </c>
      <c r="C235" s="1488">
        <f>+AP26</f>
        <v>1.1702898550724636</v>
      </c>
      <c r="D235" s="1632" t="s">
        <v>965</v>
      </c>
      <c r="E235" s="1525"/>
      <c r="F235" s="1489"/>
      <c r="G235" s="1526"/>
      <c r="H235" s="1527"/>
      <c r="J235" s="1502"/>
      <c r="K235" s="1528"/>
      <c r="L235" s="1525"/>
      <c r="M235" s="1489"/>
      <c r="N235" s="1526"/>
      <c r="O235" s="1525"/>
      <c r="P235" s="1489"/>
      <c r="Q235" s="1526"/>
      <c r="T235" s="1478"/>
      <c r="U235" s="1478"/>
      <c r="W235" s="1467"/>
      <c r="X235" s="1479">
        <f>+AP26</f>
        <v>1.1702898550724636</v>
      </c>
      <c r="Y235" s="1479">
        <v>0.16625000000000001</v>
      </c>
      <c r="Z235" s="1480" t="s">
        <v>1968</v>
      </c>
      <c r="AB235" s="1461" t="s">
        <v>1969</v>
      </c>
      <c r="AC235" s="1461"/>
      <c r="AD235" s="1481" t="s">
        <v>1532</v>
      </c>
      <c r="AE235" s="1461"/>
      <c r="AF235" s="1461"/>
      <c r="AG235" s="1461"/>
      <c r="BD235" s="1562" t="s">
        <v>1957</v>
      </c>
      <c r="BE235" s="1488">
        <f>+CR26</f>
        <v>0</v>
      </c>
      <c r="BF235" s="1632" t="s">
        <v>965</v>
      </c>
    </row>
    <row r="236" spans="1:58">
      <c r="A236" s="1487" t="s">
        <v>1970</v>
      </c>
      <c r="B236" s="1482" t="s">
        <v>1569</v>
      </c>
      <c r="C236" s="1488">
        <v>0.9</v>
      </c>
      <c r="D236" s="1482" t="s">
        <v>965</v>
      </c>
      <c r="E236" s="1472" t="s">
        <v>1569</v>
      </c>
      <c r="F236" s="1489"/>
      <c r="G236" s="1474"/>
      <c r="H236" s="1475" t="s">
        <v>1569</v>
      </c>
      <c r="J236" s="1475" t="s">
        <v>965</v>
      </c>
      <c r="K236" s="1477"/>
      <c r="L236" s="1472" t="s">
        <v>1569</v>
      </c>
      <c r="M236" s="1489"/>
      <c r="N236" s="1474"/>
      <c r="O236" s="1472" t="s">
        <v>1569</v>
      </c>
      <c r="P236" s="1555">
        <v>2.1</v>
      </c>
      <c r="Q236" s="1556" t="s">
        <v>1971</v>
      </c>
      <c r="S236" s="1490">
        <v>1.64</v>
      </c>
      <c r="T236" s="1478" t="e">
        <f t="shared" si="35"/>
        <v>#DIV/0!</v>
      </c>
      <c r="U236" s="1478">
        <f t="shared" si="36"/>
        <v>1.64</v>
      </c>
      <c r="W236" s="1467">
        <v>1.64</v>
      </c>
      <c r="X236" s="1491">
        <v>2.1</v>
      </c>
      <c r="Y236" s="1491">
        <v>2.1</v>
      </c>
      <c r="Z236" s="1492" t="s">
        <v>1547</v>
      </c>
      <c r="AB236" s="1461" t="s">
        <v>1826</v>
      </c>
      <c r="AC236" s="1461"/>
      <c r="AD236" s="1481" t="s">
        <v>1532</v>
      </c>
      <c r="AE236" s="1461"/>
      <c r="AF236" s="1461"/>
      <c r="AG236" s="1461"/>
      <c r="BD236" s="1482" t="s">
        <v>1569</v>
      </c>
      <c r="BE236" s="1488">
        <v>0.9</v>
      </c>
      <c r="BF236" s="1482" t="s">
        <v>965</v>
      </c>
    </row>
    <row r="237" spans="1:58">
      <c r="A237" s="1499" t="s">
        <v>1972</v>
      </c>
      <c r="B237" s="1524" t="s">
        <v>761</v>
      </c>
      <c r="C237" s="1488">
        <f>+Y237*1.07</f>
        <v>39.322500000000005</v>
      </c>
      <c r="D237" s="1500" t="s">
        <v>965</v>
      </c>
      <c r="E237" s="1578" t="s">
        <v>761</v>
      </c>
      <c r="F237" s="1519"/>
      <c r="G237" s="1520"/>
      <c r="H237" s="1524" t="s">
        <v>761</v>
      </c>
      <c r="I237" s="1579"/>
      <c r="J237" s="1500" t="s">
        <v>965</v>
      </c>
      <c r="K237" s="1499"/>
      <c r="L237" s="1578" t="s">
        <v>761</v>
      </c>
      <c r="M237" s="1519"/>
      <c r="N237" s="1520"/>
      <c r="O237" s="1578" t="s">
        <v>761</v>
      </c>
      <c r="P237" s="1519">
        <v>29.91</v>
      </c>
      <c r="Q237" s="1526" t="s">
        <v>1973</v>
      </c>
      <c r="S237" s="1579">
        <v>35</v>
      </c>
      <c r="T237" s="1478" t="e">
        <f t="shared" si="35"/>
        <v>#DIV/0!</v>
      </c>
      <c r="U237" s="1478">
        <f t="shared" si="36"/>
        <v>35</v>
      </c>
      <c r="W237" s="1467">
        <v>35</v>
      </c>
      <c r="X237" s="1491">
        <f t="shared" si="32"/>
        <v>36.75</v>
      </c>
      <c r="Y237" s="1491">
        <v>36.75</v>
      </c>
      <c r="Z237" s="1492" t="s">
        <v>1547</v>
      </c>
      <c r="AB237" s="1461"/>
      <c r="AC237" s="1461"/>
      <c r="AD237" s="1481" t="s">
        <v>1532</v>
      </c>
      <c r="AE237" s="1461"/>
      <c r="AF237" s="1461"/>
      <c r="AG237" s="1461"/>
      <c r="BD237" s="1524" t="s">
        <v>761</v>
      </c>
      <c r="BE237" s="1488">
        <f>+CA237*1.07</f>
        <v>0</v>
      </c>
      <c r="BF237" s="1500" t="s">
        <v>965</v>
      </c>
    </row>
    <row r="238" spans="1:58">
      <c r="A238" s="1499" t="s">
        <v>1974</v>
      </c>
      <c r="B238" s="1524" t="s">
        <v>761</v>
      </c>
      <c r="C238" s="1488">
        <f>+Y238*1.07</f>
        <v>56.175000000000004</v>
      </c>
      <c r="D238" s="1500" t="s">
        <v>965</v>
      </c>
      <c r="E238" s="1578" t="s">
        <v>761</v>
      </c>
      <c r="F238" s="1519"/>
      <c r="G238" s="1520"/>
      <c r="H238" s="1524" t="s">
        <v>761</v>
      </c>
      <c r="I238" s="1579"/>
      <c r="J238" s="1500" t="s">
        <v>965</v>
      </c>
      <c r="K238" s="1499"/>
      <c r="L238" s="1578" t="s">
        <v>761</v>
      </c>
      <c r="M238" s="1519"/>
      <c r="N238" s="1520"/>
      <c r="O238" s="1578" t="s">
        <v>761</v>
      </c>
      <c r="P238" s="1555">
        <v>68.180000000000007</v>
      </c>
      <c r="Q238" s="1633" t="s">
        <v>1734</v>
      </c>
      <c r="S238" s="1579">
        <v>50</v>
      </c>
      <c r="T238" s="1478" t="e">
        <f t="shared" si="35"/>
        <v>#DIV/0!</v>
      </c>
      <c r="U238" s="1478">
        <f t="shared" si="36"/>
        <v>50</v>
      </c>
      <c r="W238" s="1467">
        <v>50</v>
      </c>
      <c r="X238" s="1491">
        <f t="shared" si="32"/>
        <v>52.5</v>
      </c>
      <c r="Y238" s="1491">
        <v>52.5</v>
      </c>
      <c r="Z238" s="1492" t="s">
        <v>1547</v>
      </c>
      <c r="AB238" s="1461"/>
      <c r="AC238" s="1461"/>
      <c r="AD238" s="1481" t="s">
        <v>1532</v>
      </c>
      <c r="AE238" s="1461"/>
      <c r="AF238" s="1461"/>
      <c r="AG238" s="1461"/>
      <c r="BD238" s="1524" t="s">
        <v>761</v>
      </c>
      <c r="BE238" s="1488">
        <f>+CA238*1.07</f>
        <v>0</v>
      </c>
      <c r="BF238" s="1500" t="s">
        <v>965</v>
      </c>
    </row>
    <row r="239" spans="1:58">
      <c r="A239" s="1499" t="s">
        <v>1975</v>
      </c>
      <c r="B239" s="1524" t="s">
        <v>761</v>
      </c>
      <c r="C239" s="1488">
        <f>+Y239*1.07</f>
        <v>78.64500000000001</v>
      </c>
      <c r="D239" s="1500" t="s">
        <v>965</v>
      </c>
      <c r="E239" s="1578" t="s">
        <v>761</v>
      </c>
      <c r="F239" s="1519"/>
      <c r="G239" s="1520"/>
      <c r="H239" s="1524" t="s">
        <v>761</v>
      </c>
      <c r="I239" s="1579"/>
      <c r="J239" s="1500" t="s">
        <v>965</v>
      </c>
      <c r="K239" s="1499"/>
      <c r="L239" s="1578" t="s">
        <v>761</v>
      </c>
      <c r="M239" s="1519"/>
      <c r="N239" s="1520"/>
      <c r="O239" s="1578" t="s">
        <v>761</v>
      </c>
      <c r="P239" s="1519"/>
      <c r="Q239" s="1520"/>
      <c r="S239" s="1579">
        <v>70</v>
      </c>
      <c r="T239" s="1478" t="e">
        <f t="shared" si="35"/>
        <v>#DIV/0!</v>
      </c>
      <c r="U239" s="1478">
        <f t="shared" si="36"/>
        <v>70</v>
      </c>
      <c r="W239" s="1467">
        <v>70</v>
      </c>
      <c r="X239" s="1491">
        <f t="shared" si="32"/>
        <v>73.5</v>
      </c>
      <c r="Y239" s="1491">
        <v>73.5</v>
      </c>
      <c r="Z239" s="1492" t="s">
        <v>1547</v>
      </c>
      <c r="AB239" s="1461"/>
      <c r="AC239" s="1461"/>
      <c r="AD239" s="1481" t="s">
        <v>1532</v>
      </c>
      <c r="AE239" s="1461"/>
      <c r="AF239" s="1461"/>
      <c r="AG239" s="1461"/>
      <c r="BD239" s="1524" t="s">
        <v>761</v>
      </c>
      <c r="BE239" s="1488">
        <f>+CA239*1.07</f>
        <v>0</v>
      </c>
      <c r="BF239" s="1500" t="s">
        <v>965</v>
      </c>
    </row>
    <row r="240" spans="1:58">
      <c r="A240" s="1499" t="s">
        <v>1976</v>
      </c>
      <c r="B240" s="1524" t="s">
        <v>761</v>
      </c>
      <c r="C240" s="1488">
        <f>+Y240*1.07</f>
        <v>101.11500000000001</v>
      </c>
      <c r="D240" s="1500" t="s">
        <v>965</v>
      </c>
      <c r="E240" s="1578" t="s">
        <v>761</v>
      </c>
      <c r="F240" s="1519"/>
      <c r="G240" s="1520"/>
      <c r="H240" s="1524" t="s">
        <v>761</v>
      </c>
      <c r="I240" s="1579"/>
      <c r="J240" s="1500" t="s">
        <v>965</v>
      </c>
      <c r="K240" s="1499"/>
      <c r="L240" s="1578" t="s">
        <v>761</v>
      </c>
      <c r="M240" s="1519"/>
      <c r="N240" s="1520"/>
      <c r="O240" s="1578" t="s">
        <v>761</v>
      </c>
      <c r="P240" s="1519"/>
      <c r="Q240" s="1520"/>
      <c r="S240" s="1579">
        <v>90</v>
      </c>
      <c r="T240" s="1478" t="e">
        <f t="shared" si="35"/>
        <v>#DIV/0!</v>
      </c>
      <c r="U240" s="1478">
        <f t="shared" si="36"/>
        <v>90</v>
      </c>
      <c r="W240" s="1467">
        <v>90</v>
      </c>
      <c r="X240" s="1491">
        <f t="shared" si="32"/>
        <v>94.5</v>
      </c>
      <c r="Y240" s="1491">
        <v>94.5</v>
      </c>
      <c r="Z240" s="1492" t="s">
        <v>1547</v>
      </c>
      <c r="AB240" s="1461"/>
      <c r="AC240" s="1461"/>
      <c r="AD240" s="1481" t="s">
        <v>1532</v>
      </c>
      <c r="AE240" s="1461"/>
      <c r="AF240" s="1461"/>
      <c r="AG240" s="1461"/>
      <c r="BD240" s="1524" t="s">
        <v>761</v>
      </c>
      <c r="BE240" s="1488">
        <f>+CA240*1.07</f>
        <v>0</v>
      </c>
      <c r="BF240" s="1500" t="s">
        <v>965</v>
      </c>
    </row>
    <row r="241" spans="1:58">
      <c r="A241" s="1561" t="s">
        <v>1977</v>
      </c>
      <c r="B241" s="1500" t="s">
        <v>1268</v>
      </c>
      <c r="C241" s="1488">
        <f>+Y241*1.07</f>
        <v>5.8983750000000006</v>
      </c>
      <c r="D241" s="1562" t="s">
        <v>965</v>
      </c>
      <c r="E241" s="1501" t="s">
        <v>1268</v>
      </c>
      <c r="F241" s="1489"/>
      <c r="G241" s="1563"/>
      <c r="H241" s="1502" t="s">
        <v>1268</v>
      </c>
      <c r="J241" s="1564" t="s">
        <v>965</v>
      </c>
      <c r="K241" s="1565"/>
      <c r="L241" s="1501" t="s">
        <v>1268</v>
      </c>
      <c r="M241" s="1489"/>
      <c r="N241" s="1563"/>
      <c r="O241" s="1501" t="s">
        <v>1268</v>
      </c>
      <c r="P241" s="1489"/>
      <c r="Q241" s="1563"/>
      <c r="S241" s="1490">
        <v>5.25</v>
      </c>
      <c r="T241" s="1478" t="e">
        <f t="shared" si="35"/>
        <v>#DIV/0!</v>
      </c>
      <c r="U241" s="1478">
        <f t="shared" si="36"/>
        <v>5.25</v>
      </c>
      <c r="W241" s="1467">
        <v>5.25</v>
      </c>
      <c r="X241" s="1491">
        <f t="shared" si="32"/>
        <v>5.5125000000000002</v>
      </c>
      <c r="Y241" s="1491">
        <v>5.5125000000000002</v>
      </c>
      <c r="Z241" s="1492" t="s">
        <v>1547</v>
      </c>
      <c r="AB241" s="1461"/>
      <c r="AC241" s="1461"/>
      <c r="AD241" s="1481" t="s">
        <v>1532</v>
      </c>
      <c r="AE241" s="1461"/>
      <c r="AF241" s="1461"/>
      <c r="AG241" s="1461"/>
      <c r="BD241" s="1500" t="s">
        <v>1268</v>
      </c>
      <c r="BE241" s="1488">
        <f>+CA241*1.07</f>
        <v>0</v>
      </c>
      <c r="BF241" s="1562" t="s">
        <v>965</v>
      </c>
    </row>
    <row r="242" spans="1:58">
      <c r="A242" s="1561" t="s">
        <v>1978</v>
      </c>
      <c r="B242" s="1500" t="s">
        <v>1569</v>
      </c>
      <c r="C242" s="1488">
        <f>+Y242*1.05</f>
        <v>2.1000000000000001E-2</v>
      </c>
      <c r="D242" s="1562" t="s">
        <v>965</v>
      </c>
      <c r="E242" s="1634"/>
      <c r="F242" s="1619"/>
      <c r="G242" s="1635"/>
      <c r="H242" s="1623"/>
      <c r="I242" s="1622"/>
      <c r="J242" s="1636"/>
      <c r="K242" s="1637"/>
      <c r="L242" s="1634"/>
      <c r="M242" s="1619"/>
      <c r="N242" s="1635"/>
      <c r="O242" s="1634"/>
      <c r="P242" s="1619"/>
      <c r="Q242" s="1635"/>
      <c r="R242" s="1440"/>
      <c r="S242" s="1622"/>
      <c r="T242" s="1550"/>
      <c r="U242" s="1550"/>
      <c r="V242" s="1551"/>
      <c r="W242" s="1552"/>
      <c r="X242" s="1553"/>
      <c r="Y242" s="1491">
        <v>0.02</v>
      </c>
      <c r="Z242" s="1554" t="s">
        <v>1808</v>
      </c>
      <c r="AB242" s="1461"/>
      <c r="AC242" s="1461"/>
      <c r="AD242" s="1481" t="s">
        <v>1532</v>
      </c>
      <c r="AE242" s="1461"/>
      <c r="AF242" s="1461"/>
      <c r="AG242" s="1461"/>
      <c r="BD242" s="1500" t="s">
        <v>1569</v>
      </c>
      <c r="BE242" s="1488">
        <f>+CA242*1.05</f>
        <v>0</v>
      </c>
      <c r="BF242" s="1562" t="s">
        <v>965</v>
      </c>
    </row>
    <row r="243" spans="1:58">
      <c r="A243" s="1561" t="s">
        <v>1979</v>
      </c>
      <c r="B243" s="1500" t="s">
        <v>1569</v>
      </c>
      <c r="C243" s="1488">
        <f>+Y243*1.05</f>
        <v>3.15E-2</v>
      </c>
      <c r="D243" s="1562" t="s">
        <v>965</v>
      </c>
      <c r="E243" s="1634"/>
      <c r="F243" s="1619"/>
      <c r="G243" s="1635"/>
      <c r="H243" s="1623"/>
      <c r="I243" s="1622"/>
      <c r="J243" s="1636"/>
      <c r="K243" s="1637"/>
      <c r="L243" s="1634"/>
      <c r="M243" s="1619"/>
      <c r="N243" s="1635"/>
      <c r="O243" s="1634"/>
      <c r="P243" s="1619"/>
      <c r="Q243" s="1635"/>
      <c r="R243" s="1440"/>
      <c r="S243" s="1622"/>
      <c r="T243" s="1550"/>
      <c r="U243" s="1550"/>
      <c r="V243" s="1551"/>
      <c r="W243" s="1552"/>
      <c r="X243" s="1553"/>
      <c r="Y243" s="1491">
        <v>0.03</v>
      </c>
      <c r="Z243" s="1554" t="s">
        <v>1808</v>
      </c>
      <c r="AB243" s="1461"/>
      <c r="AC243" s="1461"/>
      <c r="AD243" s="1481" t="s">
        <v>1532</v>
      </c>
      <c r="AE243" s="1461"/>
      <c r="AF243" s="1461"/>
      <c r="AG243" s="1461"/>
      <c r="BD243" s="1500" t="s">
        <v>1569</v>
      </c>
      <c r="BE243" s="1488">
        <f>+CA243*1.05</f>
        <v>0</v>
      </c>
      <c r="BF243" s="1562" t="s">
        <v>965</v>
      </c>
    </row>
    <row r="244" spans="1:58">
      <c r="A244" s="1499" t="s">
        <v>1980</v>
      </c>
      <c r="B244" s="1524" t="s">
        <v>1619</v>
      </c>
      <c r="C244" s="1488">
        <f>+Y244*1.07</f>
        <v>2.2470000000000003</v>
      </c>
      <c r="D244" s="1482" t="s">
        <v>965</v>
      </c>
      <c r="E244" s="1525" t="s">
        <v>1619</v>
      </c>
      <c r="F244" s="1489">
        <v>9.15</v>
      </c>
      <c r="G244" s="1474" t="s">
        <v>1981</v>
      </c>
      <c r="H244" s="1527" t="s">
        <v>1619</v>
      </c>
      <c r="I244" s="1490">
        <v>5</v>
      </c>
      <c r="J244" s="1475" t="s">
        <v>965</v>
      </c>
      <c r="K244" s="1477"/>
      <c r="L244" s="1525" t="s">
        <v>1619</v>
      </c>
      <c r="M244" s="1489"/>
      <c r="N244" s="1474"/>
      <c r="O244" s="1525" t="s">
        <v>1619</v>
      </c>
      <c r="P244" s="1489"/>
      <c r="Q244" s="1474"/>
      <c r="S244" s="1490">
        <v>2</v>
      </c>
      <c r="T244" s="1478">
        <f t="shared" si="35"/>
        <v>7.0750000000000002</v>
      </c>
      <c r="U244" s="1478">
        <f t="shared" si="36"/>
        <v>5.3833333333333329</v>
      </c>
      <c r="W244" s="1467">
        <v>2</v>
      </c>
      <c r="X244" s="1491">
        <f t="shared" si="32"/>
        <v>2.1</v>
      </c>
      <c r="Y244" s="1491">
        <v>2.1</v>
      </c>
      <c r="Z244" s="1492" t="s">
        <v>1547</v>
      </c>
      <c r="AB244" s="1461"/>
      <c r="AC244" s="1461"/>
      <c r="AD244" s="1481" t="s">
        <v>1532</v>
      </c>
      <c r="AE244" s="1461"/>
      <c r="AF244" s="1461"/>
      <c r="AG244" s="1461"/>
      <c r="BD244" s="1524" t="s">
        <v>1619</v>
      </c>
      <c r="BE244" s="1488">
        <f>+CA244*1.07</f>
        <v>0</v>
      </c>
      <c r="BF244" s="1482" t="s">
        <v>965</v>
      </c>
    </row>
    <row r="245" spans="1:58">
      <c r="A245" s="1499" t="s">
        <v>1982</v>
      </c>
      <c r="B245" s="1524" t="s">
        <v>1268</v>
      </c>
      <c r="C245" s="1488">
        <f>+Y245*1.07</f>
        <v>0.56175000000000008</v>
      </c>
      <c r="D245" s="1482" t="s">
        <v>965</v>
      </c>
      <c r="E245" s="1525" t="s">
        <v>1268</v>
      </c>
      <c r="F245" s="1489">
        <v>0.45</v>
      </c>
      <c r="G245" s="1474" t="s">
        <v>1983</v>
      </c>
      <c r="H245" s="1527" t="s">
        <v>1268</v>
      </c>
      <c r="J245" s="1475" t="s">
        <v>965</v>
      </c>
      <c r="K245" s="1477"/>
      <c r="L245" s="1525" t="s">
        <v>1268</v>
      </c>
      <c r="M245" s="1489"/>
      <c r="N245" s="1474"/>
      <c r="O245" s="1525" t="s">
        <v>1268</v>
      </c>
      <c r="P245" s="1489"/>
      <c r="Q245" s="1474"/>
      <c r="S245" s="1490">
        <v>0.5</v>
      </c>
      <c r="T245" s="1478">
        <f t="shared" si="35"/>
        <v>0.45</v>
      </c>
      <c r="U245" s="1478">
        <f t="shared" si="36"/>
        <v>0.47499999999999998</v>
      </c>
      <c r="W245" s="1467">
        <v>0.5</v>
      </c>
      <c r="X245" s="1491">
        <f t="shared" si="32"/>
        <v>0.52500000000000002</v>
      </c>
      <c r="Y245" s="1491">
        <v>0.52500000000000002</v>
      </c>
      <c r="Z245" s="1492" t="s">
        <v>1547</v>
      </c>
      <c r="AB245" s="1461"/>
      <c r="AC245" s="1461"/>
      <c r="AD245" s="1481" t="s">
        <v>1532</v>
      </c>
      <c r="AE245" s="1461"/>
      <c r="AF245" s="1461"/>
      <c r="AG245" s="1461"/>
      <c r="BD245" s="1524" t="s">
        <v>1268</v>
      </c>
      <c r="BE245" s="1488">
        <f>+CA245*1.07</f>
        <v>0</v>
      </c>
      <c r="BF245" s="1482" t="s">
        <v>965</v>
      </c>
    </row>
    <row r="246" spans="1:58">
      <c r="A246" s="1630" t="s">
        <v>1984</v>
      </c>
      <c r="B246" s="1562" t="s">
        <v>1957</v>
      </c>
      <c r="C246" s="1488">
        <f>+AP28</f>
        <v>0.58825136612021856</v>
      </c>
      <c r="D246" s="1510" t="s">
        <v>965</v>
      </c>
      <c r="E246" s="1525"/>
      <c r="F246" s="1489"/>
      <c r="G246" s="1474"/>
      <c r="H246" s="1527"/>
      <c r="J246" s="1475"/>
      <c r="K246" s="1477"/>
      <c r="L246" s="1525"/>
      <c r="M246" s="1489"/>
      <c r="N246" s="1474"/>
      <c r="O246" s="1525"/>
      <c r="P246" s="1489"/>
      <c r="Q246" s="1474"/>
      <c r="T246" s="1478"/>
      <c r="U246" s="1478"/>
      <c r="W246" s="1467"/>
      <c r="X246" s="1479">
        <f>+AP28</f>
        <v>0.58825136612021856</v>
      </c>
      <c r="Y246" s="1479">
        <v>0.13175000000000001</v>
      </c>
      <c r="Z246" s="1480" t="s">
        <v>1985</v>
      </c>
      <c r="AB246" s="1461" t="s">
        <v>1986</v>
      </c>
      <c r="AC246" s="1461"/>
      <c r="AD246" s="1481" t="s">
        <v>1532</v>
      </c>
      <c r="AE246" s="1461"/>
      <c r="AF246" s="1461"/>
      <c r="AG246" s="1461"/>
      <c r="BD246" s="1562" t="s">
        <v>1957</v>
      </c>
      <c r="BE246" s="1488">
        <f>+CR28</f>
        <v>0</v>
      </c>
      <c r="BF246" s="1510" t="s">
        <v>965</v>
      </c>
    </row>
    <row r="247" spans="1:58">
      <c r="A247" s="1630" t="s">
        <v>760</v>
      </c>
      <c r="B247" s="1562" t="s">
        <v>761</v>
      </c>
      <c r="C247" s="1488">
        <v>15</v>
      </c>
      <c r="D247" s="1510" t="s">
        <v>965</v>
      </c>
      <c r="E247" s="1525"/>
      <c r="F247" s="1489"/>
      <c r="G247" s="1474"/>
      <c r="H247" s="1527"/>
      <c r="J247" s="1475"/>
      <c r="K247" s="1477"/>
      <c r="L247" s="1525"/>
      <c r="M247" s="1489"/>
      <c r="N247" s="1474"/>
      <c r="O247" s="1525"/>
      <c r="P247" s="1489"/>
      <c r="Q247" s="1474"/>
      <c r="T247" s="1478"/>
      <c r="U247" s="1478"/>
      <c r="W247" s="1467"/>
      <c r="X247" s="1479"/>
      <c r="Y247" s="1479"/>
      <c r="Z247" s="1480" t="s">
        <v>1987</v>
      </c>
      <c r="AB247" s="1461"/>
      <c r="AC247" s="1461"/>
      <c r="AD247" s="1481"/>
      <c r="AE247" s="1461"/>
      <c r="AF247" s="1461"/>
      <c r="AG247" s="1461"/>
      <c r="BD247" s="1562" t="s">
        <v>761</v>
      </c>
      <c r="BE247" s="1488">
        <v>15</v>
      </c>
      <c r="BF247" s="1510" t="s">
        <v>965</v>
      </c>
    </row>
    <row r="248" spans="1:58">
      <c r="A248" s="1630" t="s">
        <v>1988</v>
      </c>
      <c r="B248" s="1562" t="s">
        <v>761</v>
      </c>
      <c r="C248" s="1488">
        <v>6</v>
      </c>
      <c r="D248" s="1510" t="s">
        <v>965</v>
      </c>
      <c r="E248" s="1525"/>
      <c r="F248" s="1489"/>
      <c r="G248" s="1474"/>
      <c r="H248" s="1527"/>
      <c r="J248" s="1475"/>
      <c r="K248" s="1477"/>
      <c r="L248" s="1525"/>
      <c r="M248" s="1489"/>
      <c r="N248" s="1474"/>
      <c r="O248" s="1525"/>
      <c r="P248" s="1489"/>
      <c r="Q248" s="1474"/>
      <c r="T248" s="1478"/>
      <c r="U248" s="1478"/>
      <c r="W248" s="1467"/>
      <c r="X248" s="1479"/>
      <c r="Y248" s="1479"/>
      <c r="Z248" s="1480" t="s">
        <v>1989</v>
      </c>
      <c r="AB248" s="1461"/>
      <c r="AC248" s="1461"/>
      <c r="AD248" s="1481"/>
      <c r="AE248" s="1461"/>
      <c r="AF248" s="1461"/>
      <c r="AG248" s="1461"/>
      <c r="BD248" s="1562" t="s">
        <v>761</v>
      </c>
      <c r="BE248" s="1488">
        <v>6</v>
      </c>
      <c r="BF248" s="1510" t="s">
        <v>965</v>
      </c>
    </row>
    <row r="249" spans="1:58">
      <c r="A249" s="1499" t="s">
        <v>1990</v>
      </c>
      <c r="B249" s="1500" t="s">
        <v>619</v>
      </c>
      <c r="C249" s="1488">
        <v>35</v>
      </c>
      <c r="D249" s="1482" t="s">
        <v>1764</v>
      </c>
      <c r="E249" s="1525"/>
      <c r="F249" s="1489"/>
      <c r="G249" s="1474"/>
      <c r="H249" s="1527"/>
      <c r="J249" s="1475"/>
      <c r="K249" s="1477"/>
      <c r="L249" s="1525"/>
      <c r="M249" s="1489"/>
      <c r="N249" s="1474"/>
      <c r="O249" s="1525"/>
      <c r="P249" s="1489"/>
      <c r="Q249" s="1474"/>
      <c r="T249" s="1478" t="e">
        <f>AVERAGE(F249,I249,M249)</f>
        <v>#DIV/0!</v>
      </c>
      <c r="U249" s="1478" t="e">
        <f>AVERAGE(W249,F249,I249,M249)</f>
        <v>#DIV/0!</v>
      </c>
      <c r="W249" s="1467" t="s">
        <v>1991</v>
      </c>
      <c r="X249" s="1491">
        <f>+S249*1.05</f>
        <v>0</v>
      </c>
      <c r="Y249" s="1491">
        <v>35</v>
      </c>
      <c r="Z249" s="1554" t="s">
        <v>1576</v>
      </c>
      <c r="AB249" s="1461"/>
      <c r="AC249" s="1461"/>
      <c r="AD249" s="1481" t="s">
        <v>1532</v>
      </c>
      <c r="AE249" s="1461"/>
      <c r="AF249" s="1461"/>
      <c r="AG249" s="1461"/>
      <c r="BD249" s="1500" t="s">
        <v>619</v>
      </c>
      <c r="BE249" s="1488">
        <v>35</v>
      </c>
      <c r="BF249" s="1482" t="s">
        <v>1764</v>
      </c>
    </row>
    <row r="250" spans="1:58">
      <c r="A250" s="1499" t="s">
        <v>1992</v>
      </c>
      <c r="B250" s="1524" t="s">
        <v>619</v>
      </c>
      <c r="C250" s="1488">
        <f>+X250</f>
        <v>21</v>
      </c>
      <c r="D250" s="1500" t="s">
        <v>1764</v>
      </c>
      <c r="E250" s="1525" t="s">
        <v>619</v>
      </c>
      <c r="F250" s="1489">
        <v>50</v>
      </c>
      <c r="G250" s="1526" t="s">
        <v>1993</v>
      </c>
      <c r="H250" s="1527" t="s">
        <v>619</v>
      </c>
      <c r="J250" s="1502" t="s">
        <v>1764</v>
      </c>
      <c r="K250" s="1528"/>
      <c r="L250" s="1525" t="s">
        <v>619</v>
      </c>
      <c r="M250" s="1489"/>
      <c r="N250" s="1526"/>
      <c r="O250" s="1525" t="s">
        <v>619</v>
      </c>
      <c r="P250" s="1489"/>
      <c r="Q250" s="1526"/>
      <c r="S250" s="1490">
        <v>20</v>
      </c>
      <c r="T250" s="1478">
        <f t="shared" si="35"/>
        <v>50</v>
      </c>
      <c r="U250" s="1478">
        <f t="shared" si="36"/>
        <v>35</v>
      </c>
      <c r="W250" s="1467">
        <v>20</v>
      </c>
      <c r="X250" s="1491">
        <f t="shared" si="32"/>
        <v>21</v>
      </c>
      <c r="Y250" s="1491">
        <v>21</v>
      </c>
      <c r="Z250" s="1554" t="s">
        <v>1576</v>
      </c>
      <c r="AB250" s="1461"/>
      <c r="AC250" s="1461"/>
      <c r="AD250" s="1481" t="s">
        <v>1532</v>
      </c>
      <c r="AE250" s="1461"/>
      <c r="AF250" s="1461"/>
      <c r="AG250" s="1461"/>
      <c r="BD250" s="1524" t="s">
        <v>619</v>
      </c>
      <c r="BE250" s="1488">
        <f>+BZ250</f>
        <v>0</v>
      </c>
      <c r="BF250" s="1500" t="s">
        <v>1764</v>
      </c>
    </row>
    <row r="251" spans="1:58">
      <c r="A251" s="1499" t="s">
        <v>1994</v>
      </c>
      <c r="B251" s="1524" t="s">
        <v>619</v>
      </c>
      <c r="C251" s="1488">
        <v>10</v>
      </c>
      <c r="D251" s="1500" t="s">
        <v>1764</v>
      </c>
      <c r="E251" s="1525"/>
      <c r="F251" s="1489"/>
      <c r="G251" s="1526"/>
      <c r="H251" s="1527"/>
      <c r="J251" s="1502"/>
      <c r="K251" s="1528"/>
      <c r="L251" s="1525"/>
      <c r="M251" s="1489"/>
      <c r="N251" s="1526"/>
      <c r="O251" s="1525"/>
      <c r="P251" s="1489"/>
      <c r="Q251" s="1526"/>
      <c r="T251" s="1478" t="e">
        <f>AVERAGE(F251,I251,M251)</f>
        <v>#DIV/0!</v>
      </c>
      <c r="U251" s="1478" t="e">
        <f t="shared" si="36"/>
        <v>#DIV/0!</v>
      </c>
      <c r="W251" s="1467" t="s">
        <v>1991</v>
      </c>
      <c r="X251" s="1491">
        <f>+S251*1.05</f>
        <v>0</v>
      </c>
      <c r="Y251" s="1491">
        <v>10</v>
      </c>
      <c r="Z251" s="1554" t="s">
        <v>1576</v>
      </c>
      <c r="AB251" s="1461"/>
      <c r="AC251" s="1461"/>
      <c r="AD251" s="1481" t="s">
        <v>1532</v>
      </c>
      <c r="AE251" s="1461"/>
      <c r="AF251" s="1461"/>
      <c r="AG251" s="1461"/>
      <c r="BD251" s="1524" t="s">
        <v>619</v>
      </c>
      <c r="BE251" s="1488">
        <v>10</v>
      </c>
      <c r="BF251" s="1500" t="s">
        <v>1764</v>
      </c>
    </row>
    <row r="252" spans="1:58">
      <c r="A252" s="1499" t="s">
        <v>1995</v>
      </c>
      <c r="B252" s="1524" t="s">
        <v>619</v>
      </c>
      <c r="C252" s="1488">
        <v>20</v>
      </c>
      <c r="D252" s="1500" t="s">
        <v>1764</v>
      </c>
      <c r="E252" s="1525"/>
      <c r="F252" s="1489"/>
      <c r="G252" s="1526"/>
      <c r="H252" s="1527"/>
      <c r="J252" s="1502"/>
      <c r="K252" s="1528"/>
      <c r="L252" s="1525"/>
      <c r="M252" s="1489"/>
      <c r="N252" s="1526"/>
      <c r="O252" s="1525"/>
      <c r="P252" s="1489"/>
      <c r="Q252" s="1526"/>
      <c r="T252" s="1478" t="e">
        <f>AVERAGE(F252,I252,M252)</f>
        <v>#DIV/0!</v>
      </c>
      <c r="U252" s="1478" t="e">
        <f t="shared" si="36"/>
        <v>#DIV/0!</v>
      </c>
      <c r="W252" s="1467" t="s">
        <v>1991</v>
      </c>
      <c r="X252" s="1491">
        <f>+S252*1.05</f>
        <v>0</v>
      </c>
      <c r="Y252" s="1491">
        <v>20</v>
      </c>
      <c r="Z252" s="1554" t="s">
        <v>1576</v>
      </c>
      <c r="AB252" s="1461"/>
      <c r="AC252" s="1461"/>
      <c r="AD252" s="1481" t="s">
        <v>1532</v>
      </c>
      <c r="AE252" s="1461"/>
      <c r="AF252" s="1461"/>
      <c r="AG252" s="1461"/>
      <c r="BD252" s="1524" t="s">
        <v>619</v>
      </c>
      <c r="BE252" s="1488">
        <v>20</v>
      </c>
      <c r="BF252" s="1500" t="s">
        <v>1764</v>
      </c>
    </row>
    <row r="253" spans="1:58">
      <c r="A253" s="1499" t="s">
        <v>1996</v>
      </c>
      <c r="B253" s="1524" t="s">
        <v>619</v>
      </c>
      <c r="C253" s="1488">
        <v>50</v>
      </c>
      <c r="D253" s="1500" t="s">
        <v>1764</v>
      </c>
      <c r="E253" s="1525"/>
      <c r="F253" s="1489"/>
      <c r="G253" s="1526"/>
      <c r="H253" s="1527"/>
      <c r="J253" s="1502"/>
      <c r="K253" s="1528"/>
      <c r="L253" s="1525"/>
      <c r="M253" s="1489"/>
      <c r="N253" s="1526"/>
      <c r="O253" s="1525"/>
      <c r="P253" s="1489"/>
      <c r="Q253" s="1526"/>
      <c r="T253" s="1478" t="e">
        <f>AVERAGE(F253,I253,M253)</f>
        <v>#DIV/0!</v>
      </c>
      <c r="U253" s="1478" t="e">
        <f t="shared" si="36"/>
        <v>#DIV/0!</v>
      </c>
      <c r="W253" s="1467" t="s">
        <v>1991</v>
      </c>
      <c r="X253" s="1491">
        <f>+S253*1.05</f>
        <v>0</v>
      </c>
      <c r="Y253" s="1491">
        <v>50</v>
      </c>
      <c r="Z253" s="1554" t="s">
        <v>1576</v>
      </c>
      <c r="AB253" s="1461"/>
      <c r="AC253" s="1461"/>
      <c r="AD253" s="1481" t="s">
        <v>1532</v>
      </c>
      <c r="AE253" s="1461"/>
      <c r="AF253" s="1461"/>
      <c r="AG253" s="1461"/>
      <c r="BD253" s="1524" t="s">
        <v>619</v>
      </c>
      <c r="BE253" s="1488">
        <v>50</v>
      </c>
      <c r="BF253" s="1500" t="s">
        <v>1764</v>
      </c>
    </row>
    <row r="254" spans="1:58">
      <c r="A254" s="1487" t="s">
        <v>1997</v>
      </c>
      <c r="B254" s="1482" t="s">
        <v>619</v>
      </c>
      <c r="C254" s="1488">
        <f>+Y254*1.02</f>
        <v>56.762999999999998</v>
      </c>
      <c r="D254" s="1482" t="s">
        <v>965</v>
      </c>
      <c r="E254" s="1472" t="s">
        <v>619</v>
      </c>
      <c r="F254" s="1473"/>
      <c r="G254" s="1474"/>
      <c r="H254" s="1475" t="s">
        <v>619</v>
      </c>
      <c r="I254" s="1476"/>
      <c r="J254" s="1475" t="s">
        <v>965</v>
      </c>
      <c r="K254" s="1477"/>
      <c r="L254" s="1472" t="s">
        <v>619</v>
      </c>
      <c r="M254" s="1473"/>
      <c r="N254" s="1474"/>
      <c r="O254" s="1472" t="s">
        <v>619</v>
      </c>
      <c r="P254" s="1473"/>
      <c r="Q254" s="1474"/>
      <c r="S254" s="1476">
        <v>53</v>
      </c>
      <c r="T254" s="1478" t="e">
        <f t="shared" si="35"/>
        <v>#DIV/0!</v>
      </c>
      <c r="U254" s="1478">
        <f t="shared" si="36"/>
        <v>24</v>
      </c>
      <c r="W254" s="1467">
        <v>24</v>
      </c>
      <c r="X254" s="1491">
        <f>+S254*1.05</f>
        <v>55.650000000000006</v>
      </c>
      <c r="Y254" s="1491">
        <v>55.65</v>
      </c>
      <c r="Z254" s="1492" t="s">
        <v>1653</v>
      </c>
      <c r="AB254" s="1461"/>
      <c r="AC254" s="1461"/>
      <c r="AD254" s="1481" t="s">
        <v>1532</v>
      </c>
      <c r="AE254" s="1461"/>
      <c r="AF254" s="1461"/>
      <c r="AG254" s="1461"/>
      <c r="BD254" s="1482" t="s">
        <v>619</v>
      </c>
      <c r="BE254" s="1488">
        <f>+CA254*1.02</f>
        <v>0</v>
      </c>
      <c r="BF254" s="1482" t="s">
        <v>965</v>
      </c>
    </row>
    <row r="255" spans="1:58">
      <c r="A255" s="1487" t="s">
        <v>1998</v>
      </c>
      <c r="B255" s="1482" t="s">
        <v>619</v>
      </c>
      <c r="C255" s="1488">
        <f>+Y255*1.02</f>
        <v>113.526</v>
      </c>
      <c r="D255" s="1482" t="s">
        <v>965</v>
      </c>
      <c r="E255" s="1472" t="s">
        <v>619</v>
      </c>
      <c r="F255" s="1473">
        <v>150</v>
      </c>
      <c r="G255" s="1474"/>
      <c r="H255" s="1475" t="s">
        <v>619</v>
      </c>
      <c r="I255" s="1476"/>
      <c r="J255" s="1475" t="s">
        <v>965</v>
      </c>
      <c r="K255" s="1477"/>
      <c r="L255" s="1472" t="s">
        <v>619</v>
      </c>
      <c r="M255" s="1473"/>
      <c r="N255" s="1474"/>
      <c r="O255" s="1472" t="s">
        <v>619</v>
      </c>
      <c r="P255" s="1473"/>
      <c r="Q255" s="1474"/>
      <c r="S255" s="1476">
        <v>106</v>
      </c>
      <c r="T255" s="1478">
        <f t="shared" si="35"/>
        <v>150</v>
      </c>
      <c r="U255" s="1478">
        <f t="shared" si="36"/>
        <v>128</v>
      </c>
      <c r="W255" s="1467">
        <v>106</v>
      </c>
      <c r="X255" s="1491">
        <f t="shared" si="32"/>
        <v>111.30000000000001</v>
      </c>
      <c r="Y255" s="1491">
        <v>111.3</v>
      </c>
      <c r="Z255" s="1492" t="s">
        <v>1653</v>
      </c>
      <c r="AB255" s="1461"/>
      <c r="AC255" s="1461"/>
      <c r="AD255" s="1481" t="s">
        <v>1532</v>
      </c>
      <c r="AE255" s="1461"/>
      <c r="AF255" s="1461"/>
      <c r="AG255" s="1461"/>
      <c r="BD255" s="1482" t="s">
        <v>619</v>
      </c>
      <c r="BE255" s="1488">
        <f>+CA255*1.02</f>
        <v>0</v>
      </c>
      <c r="BF255" s="1482" t="s">
        <v>965</v>
      </c>
    </row>
    <row r="256" spans="1:58">
      <c r="A256" s="1487" t="s">
        <v>1999</v>
      </c>
      <c r="B256" s="1482" t="s">
        <v>1569</v>
      </c>
      <c r="C256" s="1488">
        <f>+Y256*1.07</f>
        <v>2.5278749999999999</v>
      </c>
      <c r="D256" s="1482" t="s">
        <v>965</v>
      </c>
      <c r="E256" s="1587" t="s">
        <v>1569</v>
      </c>
      <c r="F256" s="1519"/>
      <c r="G256" s="1588"/>
      <c r="H256" s="1482" t="s">
        <v>1569</v>
      </c>
      <c r="I256" s="1579"/>
      <c r="J256" s="1482" t="s">
        <v>965</v>
      </c>
      <c r="K256" s="1487"/>
      <c r="L256" s="1587" t="s">
        <v>1569</v>
      </c>
      <c r="M256" s="1519">
        <v>2.29</v>
      </c>
      <c r="N256" s="1588"/>
      <c r="O256" s="1587" t="s">
        <v>1569</v>
      </c>
      <c r="P256" s="1519"/>
      <c r="Q256" s="1588"/>
      <c r="S256" s="1579">
        <v>2.25</v>
      </c>
      <c r="T256" s="1478">
        <f t="shared" si="35"/>
        <v>2.29</v>
      </c>
      <c r="U256" s="1478">
        <f t="shared" si="36"/>
        <v>2.27</v>
      </c>
      <c r="W256" s="1467">
        <v>2.25</v>
      </c>
      <c r="X256" s="1491">
        <f t="shared" si="32"/>
        <v>2.3625000000000003</v>
      </c>
      <c r="Y256" s="1491">
        <v>2.3624999999999998</v>
      </c>
      <c r="Z256" s="1492" t="s">
        <v>1547</v>
      </c>
      <c r="AB256" s="1461"/>
      <c r="AC256" s="1461"/>
      <c r="AD256" s="1481" t="s">
        <v>1532</v>
      </c>
      <c r="AE256" s="1461"/>
      <c r="AF256" s="1461"/>
      <c r="AG256" s="1461"/>
      <c r="BD256" s="1482" t="s">
        <v>1569</v>
      </c>
      <c r="BE256" s="1488">
        <f>+CA256*1.07</f>
        <v>0</v>
      </c>
      <c r="BF256" s="1482" t="s">
        <v>965</v>
      </c>
    </row>
    <row r="257" spans="1:58">
      <c r="A257" s="1487" t="s">
        <v>2000</v>
      </c>
      <c r="B257" s="1482" t="s">
        <v>1569</v>
      </c>
      <c r="C257" s="1488">
        <f t="shared" ref="C257:C275" si="37">+Y257*1.07</f>
        <v>4.5501750000000003</v>
      </c>
      <c r="D257" s="1482" t="s">
        <v>965</v>
      </c>
      <c r="E257" s="1587" t="s">
        <v>1569</v>
      </c>
      <c r="F257" s="1519"/>
      <c r="G257" s="1588"/>
      <c r="H257" s="1482" t="s">
        <v>1569</v>
      </c>
      <c r="I257" s="1579"/>
      <c r="J257" s="1482" t="s">
        <v>965</v>
      </c>
      <c r="K257" s="1487"/>
      <c r="L257" s="1587" t="s">
        <v>1569</v>
      </c>
      <c r="M257" s="1519">
        <v>3.39</v>
      </c>
      <c r="N257" s="1588"/>
      <c r="O257" s="1587" t="s">
        <v>1569</v>
      </c>
      <c r="P257" s="1519"/>
      <c r="Q257" s="1588"/>
      <c r="S257" s="1579">
        <v>4.05</v>
      </c>
      <c r="T257" s="1478">
        <f t="shared" si="35"/>
        <v>3.39</v>
      </c>
      <c r="U257" s="1478">
        <f t="shared" si="36"/>
        <v>3.7199999999999998</v>
      </c>
      <c r="W257" s="1467">
        <v>4.05</v>
      </c>
      <c r="X257" s="1491">
        <f t="shared" si="32"/>
        <v>4.2525000000000004</v>
      </c>
      <c r="Y257" s="1491">
        <v>4.2525000000000004</v>
      </c>
      <c r="Z257" s="1492" t="s">
        <v>1547</v>
      </c>
      <c r="AB257" s="1461"/>
      <c r="AC257" s="1461"/>
      <c r="AD257" s="1481" t="s">
        <v>1532</v>
      </c>
      <c r="AE257" s="1461"/>
      <c r="AF257" s="1461"/>
      <c r="AG257" s="1461"/>
      <c r="BD257" s="1482" t="s">
        <v>1569</v>
      </c>
      <c r="BE257" s="1488">
        <f t="shared" ref="BE257:BE275" si="38">+CA257*1.07</f>
        <v>0</v>
      </c>
      <c r="BF257" s="1482" t="s">
        <v>965</v>
      </c>
    </row>
    <row r="258" spans="1:58">
      <c r="A258" s="1487" t="s">
        <v>2001</v>
      </c>
      <c r="B258" s="1482" t="s">
        <v>1569</v>
      </c>
      <c r="C258" s="1488">
        <f t="shared" si="37"/>
        <v>6.7410000000000005</v>
      </c>
      <c r="D258" s="1482" t="s">
        <v>965</v>
      </c>
      <c r="E258" s="1587" t="s">
        <v>1569</v>
      </c>
      <c r="F258" s="1519"/>
      <c r="G258" s="1588"/>
      <c r="H258" s="1482" t="s">
        <v>1569</v>
      </c>
      <c r="I258" s="1579"/>
      <c r="J258" s="1482" t="s">
        <v>965</v>
      </c>
      <c r="K258" s="1487"/>
      <c r="L258" s="1587" t="s">
        <v>1569</v>
      </c>
      <c r="M258" s="1519">
        <v>5.67</v>
      </c>
      <c r="N258" s="1588"/>
      <c r="O258" s="1587" t="s">
        <v>1569</v>
      </c>
      <c r="P258" s="1519"/>
      <c r="Q258" s="1588"/>
      <c r="S258" s="1579">
        <v>6</v>
      </c>
      <c r="T258" s="1478">
        <f t="shared" si="35"/>
        <v>5.67</v>
      </c>
      <c r="U258" s="1478">
        <f t="shared" si="36"/>
        <v>5.835</v>
      </c>
      <c r="W258" s="1467">
        <v>6</v>
      </c>
      <c r="X258" s="1491">
        <f t="shared" si="32"/>
        <v>6.3000000000000007</v>
      </c>
      <c r="Y258" s="1491">
        <v>6.3</v>
      </c>
      <c r="Z258" s="1492" t="s">
        <v>1547</v>
      </c>
      <c r="AB258" s="1461"/>
      <c r="AC258" s="1461"/>
      <c r="AD258" s="1481" t="s">
        <v>1532</v>
      </c>
      <c r="AE258" s="1461"/>
      <c r="AF258" s="1461"/>
      <c r="AG258" s="1461"/>
      <c r="BD258" s="1482" t="s">
        <v>1569</v>
      </c>
      <c r="BE258" s="1488">
        <f t="shared" si="38"/>
        <v>0</v>
      </c>
      <c r="BF258" s="1482" t="s">
        <v>965</v>
      </c>
    </row>
    <row r="259" spans="1:58">
      <c r="A259" s="1487" t="s">
        <v>2002</v>
      </c>
      <c r="B259" s="1482" t="s">
        <v>1569</v>
      </c>
      <c r="C259" s="1488">
        <f t="shared" si="37"/>
        <v>9.6621000000000006</v>
      </c>
      <c r="D259" s="1482" t="s">
        <v>965</v>
      </c>
      <c r="E259" s="1587" t="s">
        <v>1569</v>
      </c>
      <c r="F259" s="1519"/>
      <c r="G259" s="1588"/>
      <c r="H259" s="1482" t="s">
        <v>1569</v>
      </c>
      <c r="I259" s="1579"/>
      <c r="J259" s="1482" t="s">
        <v>965</v>
      </c>
      <c r="K259" s="1487"/>
      <c r="L259" s="1587" t="s">
        <v>1569</v>
      </c>
      <c r="M259" s="1519">
        <v>7.57</v>
      </c>
      <c r="N259" s="1588"/>
      <c r="O259" s="1587" t="s">
        <v>1569</v>
      </c>
      <c r="P259" s="1519"/>
      <c r="Q259" s="1588"/>
      <c r="S259" s="1579">
        <v>8.6</v>
      </c>
      <c r="T259" s="1478">
        <f t="shared" si="35"/>
        <v>7.57</v>
      </c>
      <c r="U259" s="1478">
        <f t="shared" si="36"/>
        <v>8.0850000000000009</v>
      </c>
      <c r="W259" s="1467">
        <v>8.6</v>
      </c>
      <c r="X259" s="1491">
        <f t="shared" si="32"/>
        <v>9.0299999999999994</v>
      </c>
      <c r="Y259" s="1491">
        <v>9.0299999999999994</v>
      </c>
      <c r="Z259" s="1492" t="s">
        <v>1547</v>
      </c>
      <c r="AB259" s="1461"/>
      <c r="AC259" s="1461"/>
      <c r="AD259" s="1481" t="s">
        <v>1532</v>
      </c>
      <c r="AE259" s="1461"/>
      <c r="AF259" s="1461"/>
      <c r="AG259" s="1461"/>
      <c r="BD259" s="1482" t="s">
        <v>1569</v>
      </c>
      <c r="BE259" s="1488">
        <f t="shared" si="38"/>
        <v>0</v>
      </c>
      <c r="BF259" s="1482" t="s">
        <v>965</v>
      </c>
    </row>
    <row r="260" spans="1:58">
      <c r="A260" s="1487" t="s">
        <v>2003</v>
      </c>
      <c r="B260" s="1482" t="s">
        <v>1569</v>
      </c>
      <c r="C260" s="1488">
        <f t="shared" si="37"/>
        <v>13.313475000000002</v>
      </c>
      <c r="D260" s="1482" t="s">
        <v>965</v>
      </c>
      <c r="E260" s="1587" t="s">
        <v>1569</v>
      </c>
      <c r="F260" s="1519"/>
      <c r="G260" s="1588"/>
      <c r="H260" s="1482" t="s">
        <v>1569</v>
      </c>
      <c r="I260" s="1579"/>
      <c r="J260" s="1482" t="s">
        <v>965</v>
      </c>
      <c r="K260" s="1487"/>
      <c r="L260" s="1587" t="s">
        <v>1569</v>
      </c>
      <c r="M260" s="1519">
        <v>10.02</v>
      </c>
      <c r="N260" s="1588"/>
      <c r="O260" s="1587" t="s">
        <v>1569</v>
      </c>
      <c r="P260" s="1519"/>
      <c r="Q260" s="1588"/>
      <c r="S260" s="1579">
        <v>11.85</v>
      </c>
      <c r="T260" s="1478">
        <f t="shared" si="35"/>
        <v>10.02</v>
      </c>
      <c r="U260" s="1478">
        <f t="shared" si="36"/>
        <v>10.934999999999999</v>
      </c>
      <c r="W260" s="1467">
        <v>11.85</v>
      </c>
      <c r="X260" s="1491">
        <f t="shared" si="32"/>
        <v>12.442500000000001</v>
      </c>
      <c r="Y260" s="1491">
        <v>12.442500000000001</v>
      </c>
      <c r="Z260" s="1492" t="s">
        <v>1547</v>
      </c>
      <c r="AB260" s="1461"/>
      <c r="AC260" s="1461"/>
      <c r="AD260" s="1481" t="s">
        <v>1532</v>
      </c>
      <c r="AE260" s="1461"/>
      <c r="AF260" s="1461"/>
      <c r="AG260" s="1461"/>
      <c r="BD260" s="1482" t="s">
        <v>1569</v>
      </c>
      <c r="BE260" s="1488">
        <f t="shared" si="38"/>
        <v>0</v>
      </c>
      <c r="BF260" s="1482" t="s">
        <v>965</v>
      </c>
    </row>
    <row r="261" spans="1:58">
      <c r="A261" s="1499" t="s">
        <v>2004</v>
      </c>
      <c r="B261" s="1524" t="s">
        <v>1750</v>
      </c>
      <c r="C261" s="1488">
        <f t="shared" si="37"/>
        <v>29.425000000000001</v>
      </c>
      <c r="D261" s="1500" t="s">
        <v>965</v>
      </c>
      <c r="E261" s="1525" t="s">
        <v>1750</v>
      </c>
      <c r="F261" s="1489"/>
      <c r="G261" s="1526"/>
      <c r="H261" s="1527" t="s">
        <v>1750</v>
      </c>
      <c r="J261" s="1502" t="s">
        <v>965</v>
      </c>
      <c r="K261" s="1528"/>
      <c r="L261" s="1525" t="s">
        <v>1750</v>
      </c>
      <c r="M261" s="1489"/>
      <c r="N261" s="1526"/>
      <c r="O261" s="1525" t="s">
        <v>1750</v>
      </c>
      <c r="P261" s="1555">
        <f>+C261+5</f>
        <v>34.424999999999997</v>
      </c>
      <c r="Q261" s="1633" t="s">
        <v>1734</v>
      </c>
      <c r="S261" s="1490">
        <v>25</v>
      </c>
      <c r="T261" s="1478" t="e">
        <f t="shared" si="35"/>
        <v>#DIV/0!</v>
      </c>
      <c r="U261" s="1478">
        <f t="shared" si="36"/>
        <v>25</v>
      </c>
      <c r="W261" s="1467">
        <v>25</v>
      </c>
      <c r="X261" s="1491">
        <f>+S261*1.1</f>
        <v>27.500000000000004</v>
      </c>
      <c r="Y261" s="1491">
        <v>27.5</v>
      </c>
      <c r="Z261" s="1492" t="s">
        <v>1547</v>
      </c>
      <c r="AB261" s="1461" t="s">
        <v>2005</v>
      </c>
      <c r="AC261" s="1461"/>
      <c r="AD261" s="1481" t="s">
        <v>1532</v>
      </c>
      <c r="AE261" s="1461"/>
      <c r="AF261" s="1461"/>
      <c r="AG261" s="1461"/>
      <c r="BD261" s="1524" t="s">
        <v>1750</v>
      </c>
      <c r="BE261" s="1488">
        <f t="shared" si="38"/>
        <v>0</v>
      </c>
      <c r="BF261" s="1500" t="s">
        <v>965</v>
      </c>
    </row>
    <row r="262" spans="1:58">
      <c r="A262" s="1487" t="s">
        <v>2006</v>
      </c>
      <c r="B262" s="1482" t="s">
        <v>1750</v>
      </c>
      <c r="C262" s="1488">
        <f t="shared" si="37"/>
        <v>23.540000000000003</v>
      </c>
      <c r="D262" s="1482" t="s">
        <v>965</v>
      </c>
      <c r="E262" s="1472" t="s">
        <v>1750</v>
      </c>
      <c r="F262" s="1489">
        <v>40</v>
      </c>
      <c r="G262" s="1474"/>
      <c r="H262" s="1475" t="s">
        <v>1750</v>
      </c>
      <c r="I262" s="1490">
        <v>26.5</v>
      </c>
      <c r="J262" s="1475" t="s">
        <v>965</v>
      </c>
      <c r="K262" s="1477"/>
      <c r="L262" s="1472" t="s">
        <v>1750</v>
      </c>
      <c r="M262" s="1489">
        <v>19.489999999999998</v>
      </c>
      <c r="N262" s="1474"/>
      <c r="O262" s="1472" t="s">
        <v>1750</v>
      </c>
      <c r="P262" s="1555">
        <f>+C262+5</f>
        <v>28.540000000000003</v>
      </c>
      <c r="Q262" s="1633" t="s">
        <v>1734</v>
      </c>
      <c r="S262" s="1490">
        <v>20</v>
      </c>
      <c r="T262" s="1478">
        <f t="shared" si="35"/>
        <v>28.66333333333333</v>
      </c>
      <c r="U262" s="1478">
        <f t="shared" si="36"/>
        <v>26.497499999999999</v>
      </c>
      <c r="W262" s="1467">
        <v>20</v>
      </c>
      <c r="X262" s="1491">
        <f>+S262*1.1</f>
        <v>22</v>
      </c>
      <c r="Y262" s="1491">
        <v>22</v>
      </c>
      <c r="Z262" s="1492" t="s">
        <v>1547</v>
      </c>
      <c r="AB262" s="1461" t="s">
        <v>2005</v>
      </c>
      <c r="AC262" s="1461"/>
      <c r="AD262" s="1481" t="s">
        <v>1532</v>
      </c>
      <c r="AE262" s="1461"/>
      <c r="AF262" s="1461"/>
      <c r="AG262" s="1461"/>
      <c r="BD262" s="1482" t="s">
        <v>1750</v>
      </c>
      <c r="BE262" s="1488">
        <f t="shared" si="38"/>
        <v>0</v>
      </c>
      <c r="BF262" s="1482" t="s">
        <v>965</v>
      </c>
    </row>
    <row r="263" spans="1:58">
      <c r="A263" s="1499" t="s">
        <v>2007</v>
      </c>
      <c r="B263" s="1524" t="s">
        <v>1750</v>
      </c>
      <c r="C263" s="1488">
        <f t="shared" si="37"/>
        <v>41.195</v>
      </c>
      <c r="D263" s="1500" t="s">
        <v>965</v>
      </c>
      <c r="E263" s="1525" t="s">
        <v>1750</v>
      </c>
      <c r="F263" s="1489">
        <v>50</v>
      </c>
      <c r="G263" s="1526"/>
      <c r="H263" s="1527" t="s">
        <v>1750</v>
      </c>
      <c r="J263" s="1502" t="s">
        <v>965</v>
      </c>
      <c r="K263" s="1528"/>
      <c r="L263" s="1525" t="s">
        <v>1750</v>
      </c>
      <c r="M263" s="1489"/>
      <c r="N263" s="1526"/>
      <c r="O263" s="1525" t="s">
        <v>1750</v>
      </c>
      <c r="P263" s="1555">
        <f>+C263+5</f>
        <v>46.195</v>
      </c>
      <c r="Q263" s="1633" t="s">
        <v>1734</v>
      </c>
      <c r="S263" s="1490">
        <v>35</v>
      </c>
      <c r="T263" s="1478">
        <f t="shared" si="35"/>
        <v>50</v>
      </c>
      <c r="U263" s="1478">
        <f t="shared" si="36"/>
        <v>42.5</v>
      </c>
      <c r="W263" s="1467">
        <v>35</v>
      </c>
      <c r="X263" s="1491">
        <f>+S263*1.1</f>
        <v>38.5</v>
      </c>
      <c r="Y263" s="1491">
        <v>38.5</v>
      </c>
      <c r="Z263" s="1492" t="s">
        <v>1547</v>
      </c>
      <c r="AB263" s="1461" t="s">
        <v>2005</v>
      </c>
      <c r="AC263" s="1461"/>
      <c r="AD263" s="1481" t="s">
        <v>1532</v>
      </c>
      <c r="AE263" s="1461"/>
      <c r="AF263" s="1461"/>
      <c r="AG263" s="1461"/>
      <c r="BD263" s="1524" t="s">
        <v>1750</v>
      </c>
      <c r="BE263" s="1488">
        <f t="shared" si="38"/>
        <v>0</v>
      </c>
      <c r="BF263" s="1500" t="s">
        <v>965</v>
      </c>
    </row>
    <row r="264" spans="1:58">
      <c r="A264" s="1487" t="s">
        <v>2008</v>
      </c>
      <c r="B264" s="1482" t="s">
        <v>1750</v>
      </c>
      <c r="C264" s="1488">
        <f t="shared" si="37"/>
        <v>28.9542</v>
      </c>
      <c r="D264" s="1482" t="s">
        <v>965</v>
      </c>
      <c r="E264" s="1472" t="s">
        <v>1750</v>
      </c>
      <c r="F264" s="1489"/>
      <c r="G264" s="1474"/>
      <c r="H264" s="1475" t="s">
        <v>1750</v>
      </c>
      <c r="J264" s="1475" t="s">
        <v>965</v>
      </c>
      <c r="K264" s="1477"/>
      <c r="L264" s="1472" t="s">
        <v>1750</v>
      </c>
      <c r="M264" s="1489"/>
      <c r="N264" s="1474"/>
      <c r="O264" s="1472" t="s">
        <v>1750</v>
      </c>
      <c r="P264" s="1555">
        <f>+C264+5</f>
        <v>33.9542</v>
      </c>
      <c r="Q264" s="1633" t="s">
        <v>1734</v>
      </c>
      <c r="S264" s="1490">
        <v>24.6</v>
      </c>
      <c r="T264" s="1478" t="e">
        <f t="shared" si="35"/>
        <v>#DIV/0!</v>
      </c>
      <c r="U264" s="1478">
        <f t="shared" si="36"/>
        <v>24.6</v>
      </c>
      <c r="W264" s="1467">
        <v>24.6</v>
      </c>
      <c r="X264" s="1491">
        <f>+S264*1.1</f>
        <v>27.060000000000002</v>
      </c>
      <c r="Y264" s="1491">
        <v>27.06</v>
      </c>
      <c r="Z264" s="1492" t="s">
        <v>1547</v>
      </c>
      <c r="AB264" s="1461" t="s">
        <v>2005</v>
      </c>
      <c r="AC264" s="1461"/>
      <c r="AD264" s="1481" t="s">
        <v>1532</v>
      </c>
      <c r="AE264" s="1461"/>
      <c r="AF264" s="1461"/>
      <c r="AG264" s="1461"/>
      <c r="BD264" s="1482" t="s">
        <v>1750</v>
      </c>
      <c r="BE264" s="1488">
        <f t="shared" si="38"/>
        <v>0</v>
      </c>
      <c r="BF264" s="1482" t="s">
        <v>965</v>
      </c>
    </row>
    <row r="265" spans="1:58">
      <c r="A265" s="1499" t="s">
        <v>2009</v>
      </c>
      <c r="B265" s="1500" t="s">
        <v>1750</v>
      </c>
      <c r="C265" s="1488">
        <f t="shared" si="37"/>
        <v>40.312249999999999</v>
      </c>
      <c r="D265" s="1500" t="s">
        <v>965</v>
      </c>
      <c r="E265" s="1501" t="s">
        <v>1750</v>
      </c>
      <c r="F265" s="1489"/>
      <c r="G265" s="1526"/>
      <c r="H265" s="1502" t="s">
        <v>1750</v>
      </c>
      <c r="J265" s="1502" t="s">
        <v>965</v>
      </c>
      <c r="K265" s="1528"/>
      <c r="L265" s="1501" t="s">
        <v>1750</v>
      </c>
      <c r="M265" s="1489"/>
      <c r="N265" s="1526"/>
      <c r="O265" s="1501" t="s">
        <v>1750</v>
      </c>
      <c r="P265" s="1555">
        <f>+C265+5</f>
        <v>45.312249999999999</v>
      </c>
      <c r="Q265" s="1633" t="s">
        <v>1734</v>
      </c>
      <c r="S265" s="1490">
        <v>34.25</v>
      </c>
      <c r="T265" s="1478" t="e">
        <f t="shared" si="35"/>
        <v>#DIV/0!</v>
      </c>
      <c r="U265" s="1478">
        <f t="shared" si="36"/>
        <v>34.25</v>
      </c>
      <c r="W265" s="1467">
        <v>34.25</v>
      </c>
      <c r="X265" s="1491">
        <f>+S265*1.1</f>
        <v>37.675000000000004</v>
      </c>
      <c r="Y265" s="1491">
        <v>37.674999999999997</v>
      </c>
      <c r="Z265" s="1492" t="s">
        <v>1547</v>
      </c>
      <c r="AB265" s="1461" t="s">
        <v>2005</v>
      </c>
      <c r="AC265" s="1461"/>
      <c r="AD265" s="1481" t="s">
        <v>1532</v>
      </c>
      <c r="AE265" s="1461"/>
      <c r="AF265" s="1461"/>
      <c r="AG265" s="1461"/>
      <c r="BD265" s="1500" t="s">
        <v>1750</v>
      </c>
      <c r="BE265" s="1488">
        <f t="shared" si="38"/>
        <v>0</v>
      </c>
      <c r="BF265" s="1500" t="s">
        <v>965</v>
      </c>
    </row>
    <row r="266" spans="1:58">
      <c r="A266" s="1499" t="s">
        <v>2010</v>
      </c>
      <c r="B266" s="1500" t="s">
        <v>1268</v>
      </c>
      <c r="C266" s="1488">
        <f t="shared" si="37"/>
        <v>1.3482000000000001</v>
      </c>
      <c r="D266" s="1482" t="s">
        <v>965</v>
      </c>
      <c r="E266" s="1501" t="s">
        <v>1268</v>
      </c>
      <c r="F266" s="1489"/>
      <c r="G266" s="1474"/>
      <c r="H266" s="1502" t="s">
        <v>1268</v>
      </c>
      <c r="J266" s="1475" t="s">
        <v>965</v>
      </c>
      <c r="K266" s="1477" t="s">
        <v>2011</v>
      </c>
      <c r="L266" s="1501" t="s">
        <v>1268</v>
      </c>
      <c r="M266" s="1489"/>
      <c r="N266" s="1474"/>
      <c r="O266" s="1501" t="s">
        <v>1268</v>
      </c>
      <c r="P266" s="1489"/>
      <c r="Q266" s="1474"/>
      <c r="S266" s="1490">
        <v>1.2</v>
      </c>
      <c r="T266" s="1478" t="e">
        <f t="shared" si="35"/>
        <v>#DIV/0!</v>
      </c>
      <c r="U266" s="1478">
        <f t="shared" si="36"/>
        <v>1.2</v>
      </c>
      <c r="W266" s="1467">
        <v>1.2</v>
      </c>
      <c r="X266" s="1491">
        <f t="shared" si="32"/>
        <v>1.26</v>
      </c>
      <c r="Y266" s="1491">
        <v>1.26</v>
      </c>
      <c r="Z266" s="1492" t="s">
        <v>1547</v>
      </c>
      <c r="AB266" s="1461"/>
      <c r="AC266" s="1461"/>
      <c r="AD266" s="1481" t="s">
        <v>1532</v>
      </c>
      <c r="AE266" s="1461"/>
      <c r="AF266" s="1461"/>
      <c r="AG266" s="1461"/>
      <c r="BD266" s="1500" t="s">
        <v>1268</v>
      </c>
      <c r="BE266" s="1488">
        <f t="shared" si="38"/>
        <v>0</v>
      </c>
      <c r="BF266" s="1482" t="s">
        <v>965</v>
      </c>
    </row>
    <row r="267" spans="1:58">
      <c r="A267" s="1499" t="s">
        <v>2012</v>
      </c>
      <c r="B267" s="1500" t="s">
        <v>1750</v>
      </c>
      <c r="C267" s="1488">
        <f t="shared" si="37"/>
        <v>20.222999999999999</v>
      </c>
      <c r="D267" s="1482" t="s">
        <v>965</v>
      </c>
      <c r="E267" s="1501" t="s">
        <v>1750</v>
      </c>
      <c r="F267" s="1489"/>
      <c r="G267" s="1474"/>
      <c r="H267" s="1502" t="s">
        <v>1750</v>
      </c>
      <c r="J267" s="1475" t="s">
        <v>965</v>
      </c>
      <c r="K267" s="1477"/>
      <c r="L267" s="1501" t="s">
        <v>1750</v>
      </c>
      <c r="M267" s="1489"/>
      <c r="N267" s="1474"/>
      <c r="O267" s="1501" t="s">
        <v>1750</v>
      </c>
      <c r="P267" s="1489"/>
      <c r="Q267" s="1474"/>
      <c r="S267" s="1490">
        <v>18</v>
      </c>
      <c r="T267" s="1478" t="e">
        <f t="shared" si="35"/>
        <v>#DIV/0!</v>
      </c>
      <c r="U267" s="1478">
        <f t="shared" si="36"/>
        <v>18</v>
      </c>
      <c r="W267" s="1467">
        <v>18</v>
      </c>
      <c r="X267" s="1491">
        <f t="shared" si="32"/>
        <v>18.900000000000002</v>
      </c>
      <c r="Y267" s="1491">
        <v>18.899999999999999</v>
      </c>
      <c r="Z267" s="1492" t="s">
        <v>1547</v>
      </c>
      <c r="AB267" s="1461"/>
      <c r="AC267" s="1461"/>
      <c r="AD267" s="1481" t="s">
        <v>1532</v>
      </c>
      <c r="AE267" s="1461"/>
      <c r="AF267" s="1461"/>
      <c r="AG267" s="1461"/>
      <c r="BD267" s="1500" t="s">
        <v>1750</v>
      </c>
      <c r="BE267" s="1488">
        <f t="shared" si="38"/>
        <v>0</v>
      </c>
      <c r="BF267" s="1482" t="s">
        <v>965</v>
      </c>
    </row>
    <row r="268" spans="1:58">
      <c r="A268" s="1487" t="s">
        <v>2013</v>
      </c>
      <c r="B268" s="1482" t="s">
        <v>761</v>
      </c>
      <c r="C268" s="1488">
        <f t="shared" si="37"/>
        <v>15.672825000000001</v>
      </c>
      <c r="D268" s="1482" t="s">
        <v>965</v>
      </c>
      <c r="E268" s="1472" t="s">
        <v>761</v>
      </c>
      <c r="F268" s="1489"/>
      <c r="G268" s="1474"/>
      <c r="H268" s="1475" t="s">
        <v>761</v>
      </c>
      <c r="J268" s="1475" t="s">
        <v>965</v>
      </c>
      <c r="K268" s="1477"/>
      <c r="L268" s="1472" t="s">
        <v>761</v>
      </c>
      <c r="M268" s="1489">
        <v>11.16</v>
      </c>
      <c r="N268" s="1474" t="s">
        <v>2014</v>
      </c>
      <c r="O268" s="1472" t="s">
        <v>761</v>
      </c>
      <c r="P268" s="1489"/>
      <c r="Q268" s="1474"/>
      <c r="S268" s="1490">
        <v>13.95</v>
      </c>
      <c r="T268" s="1478">
        <f t="shared" si="35"/>
        <v>11.16</v>
      </c>
      <c r="U268" s="1478">
        <f t="shared" si="36"/>
        <v>12.555</v>
      </c>
      <c r="W268" s="1467">
        <v>13.95</v>
      </c>
      <c r="X268" s="1491">
        <f t="shared" si="32"/>
        <v>14.647499999999999</v>
      </c>
      <c r="Y268" s="1491">
        <v>14.647500000000001</v>
      </c>
      <c r="Z268" s="1492" t="s">
        <v>1547</v>
      </c>
      <c r="AB268" s="1461"/>
      <c r="AC268" s="1461"/>
      <c r="AD268" s="1481" t="s">
        <v>1532</v>
      </c>
      <c r="AE268" s="1461"/>
      <c r="AF268" s="1461"/>
      <c r="AG268" s="1461"/>
      <c r="BD268" s="1482" t="s">
        <v>761</v>
      </c>
      <c r="BE268" s="1488">
        <f t="shared" si="38"/>
        <v>0</v>
      </c>
      <c r="BF268" s="1482" t="s">
        <v>965</v>
      </c>
    </row>
    <row r="269" spans="1:58">
      <c r="A269" s="1487" t="s">
        <v>2015</v>
      </c>
      <c r="B269" s="1482" t="s">
        <v>761</v>
      </c>
      <c r="C269" s="1488">
        <f t="shared" si="37"/>
        <v>16.818795000000001</v>
      </c>
      <c r="D269" s="1482" t="s">
        <v>965</v>
      </c>
      <c r="E269" s="1472" t="s">
        <v>761</v>
      </c>
      <c r="F269" s="1489"/>
      <c r="G269" s="1474"/>
      <c r="H269" s="1475" t="s">
        <v>761</v>
      </c>
      <c r="J269" s="1475" t="s">
        <v>965</v>
      </c>
      <c r="K269" s="1477"/>
      <c r="L269" s="1472" t="s">
        <v>761</v>
      </c>
      <c r="M269" s="1489">
        <v>10.46</v>
      </c>
      <c r="N269" s="1474" t="s">
        <v>2014</v>
      </c>
      <c r="O269" s="1472" t="s">
        <v>761</v>
      </c>
      <c r="P269" s="1489"/>
      <c r="Q269" s="1474"/>
      <c r="S269" s="1490">
        <v>14.97</v>
      </c>
      <c r="T269" s="1478">
        <f t="shared" si="35"/>
        <v>10.46</v>
      </c>
      <c r="U269" s="1478">
        <f t="shared" si="36"/>
        <v>12.715</v>
      </c>
      <c r="W269" s="1467">
        <v>14.97</v>
      </c>
      <c r="X269" s="1491">
        <f t="shared" si="32"/>
        <v>15.718500000000001</v>
      </c>
      <c r="Y269" s="1491">
        <v>15.718500000000001</v>
      </c>
      <c r="Z269" s="1492" t="s">
        <v>1547</v>
      </c>
      <c r="AB269" s="1461"/>
      <c r="AC269" s="1461"/>
      <c r="AD269" s="1481" t="s">
        <v>1532</v>
      </c>
      <c r="AE269" s="1461"/>
      <c r="AF269" s="1461"/>
      <c r="AG269" s="1461"/>
      <c r="BD269" s="1482" t="s">
        <v>761</v>
      </c>
      <c r="BE269" s="1488">
        <f t="shared" si="38"/>
        <v>0</v>
      </c>
      <c r="BF269" s="1482" t="s">
        <v>965</v>
      </c>
    </row>
    <row r="270" spans="1:58">
      <c r="A270" s="1487" t="s">
        <v>2016</v>
      </c>
      <c r="B270" s="1482" t="s">
        <v>761</v>
      </c>
      <c r="C270" s="1488">
        <f t="shared" si="37"/>
        <v>20.065710000000003</v>
      </c>
      <c r="D270" s="1482" t="s">
        <v>965</v>
      </c>
      <c r="E270" s="1472" t="s">
        <v>761</v>
      </c>
      <c r="F270" s="1489"/>
      <c r="G270" s="1474"/>
      <c r="H270" s="1475" t="s">
        <v>761</v>
      </c>
      <c r="J270" s="1475" t="s">
        <v>965</v>
      </c>
      <c r="K270" s="1477"/>
      <c r="L270" s="1472" t="s">
        <v>761</v>
      </c>
      <c r="M270" s="1489">
        <v>14.6</v>
      </c>
      <c r="N270" s="1474" t="s">
        <v>2014</v>
      </c>
      <c r="O270" s="1472" t="s">
        <v>761</v>
      </c>
      <c r="P270" s="1489"/>
      <c r="Q270" s="1474"/>
      <c r="S270" s="1490">
        <v>17.86</v>
      </c>
      <c r="T270" s="1478">
        <f t="shared" si="35"/>
        <v>14.6</v>
      </c>
      <c r="U270" s="1478">
        <f t="shared" si="36"/>
        <v>16.23</v>
      </c>
      <c r="W270" s="1467">
        <v>17.86</v>
      </c>
      <c r="X270" s="1491">
        <f t="shared" si="32"/>
        <v>18.753</v>
      </c>
      <c r="Y270" s="1491">
        <v>18.753</v>
      </c>
      <c r="Z270" s="1492" t="s">
        <v>1547</v>
      </c>
      <c r="AB270" s="1461"/>
      <c r="AC270" s="1461"/>
      <c r="AD270" s="1481" t="s">
        <v>1532</v>
      </c>
      <c r="AE270" s="1461"/>
      <c r="AF270" s="1461"/>
      <c r="AG270" s="1461"/>
      <c r="BD270" s="1482" t="s">
        <v>761</v>
      </c>
      <c r="BE270" s="1488">
        <f t="shared" si="38"/>
        <v>0</v>
      </c>
      <c r="BF270" s="1482" t="s">
        <v>965</v>
      </c>
    </row>
    <row r="271" spans="1:58">
      <c r="A271" s="1487" t="s">
        <v>2017</v>
      </c>
      <c r="B271" s="1482" t="s">
        <v>761</v>
      </c>
      <c r="C271" s="1488">
        <f t="shared" si="37"/>
        <v>24.492300000000004</v>
      </c>
      <c r="D271" s="1482" t="s">
        <v>965</v>
      </c>
      <c r="E271" s="1472" t="s">
        <v>761</v>
      </c>
      <c r="F271" s="1489"/>
      <c r="G271" s="1474"/>
      <c r="H271" s="1475" t="s">
        <v>761</v>
      </c>
      <c r="J271" s="1475" t="s">
        <v>965</v>
      </c>
      <c r="K271" s="1477"/>
      <c r="L271" s="1472" t="s">
        <v>761</v>
      </c>
      <c r="M271" s="1489">
        <v>17.559999999999999</v>
      </c>
      <c r="N271" s="1474" t="s">
        <v>2014</v>
      </c>
      <c r="O271" s="1472" t="s">
        <v>761</v>
      </c>
      <c r="P271" s="1489"/>
      <c r="Q271" s="1474"/>
      <c r="S271" s="1490">
        <v>21.8</v>
      </c>
      <c r="T271" s="1478">
        <f t="shared" si="35"/>
        <v>17.559999999999999</v>
      </c>
      <c r="U271" s="1478">
        <f t="shared" si="36"/>
        <v>19.68</v>
      </c>
      <c r="W271" s="1467">
        <v>21.8</v>
      </c>
      <c r="X271" s="1491">
        <f t="shared" si="32"/>
        <v>22.89</v>
      </c>
      <c r="Y271" s="1491">
        <v>22.89</v>
      </c>
      <c r="Z271" s="1492" t="s">
        <v>1547</v>
      </c>
      <c r="AB271" s="1461"/>
      <c r="AC271" s="1461"/>
      <c r="AD271" s="1481" t="s">
        <v>1532</v>
      </c>
      <c r="AE271" s="1461"/>
      <c r="AF271" s="1461"/>
      <c r="AG271" s="1461"/>
      <c r="BD271" s="1482" t="s">
        <v>761</v>
      </c>
      <c r="BE271" s="1488">
        <f t="shared" si="38"/>
        <v>0</v>
      </c>
      <c r="BF271" s="1482" t="s">
        <v>965</v>
      </c>
    </row>
    <row r="272" spans="1:58">
      <c r="A272" s="1487" t="s">
        <v>2018</v>
      </c>
      <c r="B272" s="1482" t="s">
        <v>761</v>
      </c>
      <c r="C272" s="1488">
        <f t="shared" si="37"/>
        <v>35.232959999999999</v>
      </c>
      <c r="D272" s="1482" t="s">
        <v>965</v>
      </c>
      <c r="E272" s="1472" t="s">
        <v>761</v>
      </c>
      <c r="F272" s="1489"/>
      <c r="G272" s="1474"/>
      <c r="H272" s="1475" t="s">
        <v>761</v>
      </c>
      <c r="J272" s="1475" t="s">
        <v>965</v>
      </c>
      <c r="K272" s="1477"/>
      <c r="L272" s="1472" t="s">
        <v>761</v>
      </c>
      <c r="M272" s="1489">
        <v>27.63</v>
      </c>
      <c r="N272" s="1474" t="s">
        <v>2014</v>
      </c>
      <c r="O272" s="1472" t="s">
        <v>761</v>
      </c>
      <c r="P272" s="1489"/>
      <c r="Q272" s="1474"/>
      <c r="S272" s="1490">
        <v>31.36</v>
      </c>
      <c r="T272" s="1478">
        <f t="shared" si="35"/>
        <v>27.63</v>
      </c>
      <c r="U272" s="1478">
        <f t="shared" si="36"/>
        <v>29.494999999999997</v>
      </c>
      <c r="W272" s="1467">
        <v>31.36</v>
      </c>
      <c r="X272" s="1491">
        <f t="shared" si="32"/>
        <v>32.927999999999997</v>
      </c>
      <c r="Y272" s="1491">
        <v>32.927999999999997</v>
      </c>
      <c r="Z272" s="1492" t="s">
        <v>1547</v>
      </c>
      <c r="AB272" s="1461"/>
      <c r="AC272" s="1461"/>
      <c r="AD272" s="1481" t="s">
        <v>1532</v>
      </c>
      <c r="AE272" s="1461"/>
      <c r="AF272" s="1461"/>
      <c r="AG272" s="1461"/>
      <c r="BD272" s="1482" t="s">
        <v>761</v>
      </c>
      <c r="BE272" s="1488">
        <f t="shared" si="38"/>
        <v>0</v>
      </c>
      <c r="BF272" s="1482" t="s">
        <v>965</v>
      </c>
    </row>
    <row r="273" spans="1:58">
      <c r="A273" s="1487" t="s">
        <v>2019</v>
      </c>
      <c r="B273" s="1482" t="s">
        <v>761</v>
      </c>
      <c r="C273" s="1488">
        <f t="shared" si="37"/>
        <v>57.658020000000008</v>
      </c>
      <c r="D273" s="1482" t="s">
        <v>965</v>
      </c>
      <c r="E273" s="1472" t="s">
        <v>761</v>
      </c>
      <c r="F273" s="1489"/>
      <c r="G273" s="1474"/>
      <c r="H273" s="1475" t="s">
        <v>761</v>
      </c>
      <c r="J273" s="1475" t="s">
        <v>965</v>
      </c>
      <c r="K273" s="1477"/>
      <c r="L273" s="1472" t="s">
        <v>761</v>
      </c>
      <c r="M273" s="1489">
        <v>60</v>
      </c>
      <c r="N273" s="1474" t="s">
        <v>2014</v>
      </c>
      <c r="O273" s="1472" t="s">
        <v>761</v>
      </c>
      <c r="P273" s="1489"/>
      <c r="Q273" s="1474"/>
      <c r="S273" s="1490">
        <v>51.32</v>
      </c>
      <c r="T273" s="1478">
        <f t="shared" si="35"/>
        <v>60</v>
      </c>
      <c r="U273" s="1478">
        <f t="shared" si="36"/>
        <v>55.66</v>
      </c>
      <c r="W273" s="1467">
        <v>51.32</v>
      </c>
      <c r="X273" s="1491">
        <f t="shared" si="32"/>
        <v>53.886000000000003</v>
      </c>
      <c r="Y273" s="1491">
        <v>53.886000000000003</v>
      </c>
      <c r="Z273" s="1492" t="s">
        <v>1547</v>
      </c>
      <c r="AB273" s="1461"/>
      <c r="AC273" s="1461"/>
      <c r="AD273" s="1481" t="s">
        <v>1532</v>
      </c>
      <c r="AE273" s="1461"/>
      <c r="AF273" s="1461"/>
      <c r="AG273" s="1461"/>
      <c r="BD273" s="1482" t="s">
        <v>761</v>
      </c>
      <c r="BE273" s="1488">
        <f t="shared" si="38"/>
        <v>0</v>
      </c>
      <c r="BF273" s="1482" t="s">
        <v>965</v>
      </c>
    </row>
    <row r="274" spans="1:58">
      <c r="A274" s="1487" t="s">
        <v>2020</v>
      </c>
      <c r="B274" s="1482" t="s">
        <v>761</v>
      </c>
      <c r="C274" s="1488">
        <f t="shared" si="37"/>
        <v>61.006050000000002</v>
      </c>
      <c r="D274" s="1482" t="s">
        <v>965</v>
      </c>
      <c r="E274" s="1472" t="s">
        <v>761</v>
      </c>
      <c r="F274" s="1489"/>
      <c r="G274" s="1474"/>
      <c r="H274" s="1475" t="s">
        <v>761</v>
      </c>
      <c r="J274" s="1475" t="s">
        <v>965</v>
      </c>
      <c r="K274" s="1477"/>
      <c r="L274" s="1472" t="s">
        <v>761</v>
      </c>
      <c r="M274" s="1489"/>
      <c r="O274" s="1472" t="s">
        <v>761</v>
      </c>
      <c r="P274" s="1489"/>
      <c r="Q274" s="1474"/>
      <c r="S274" s="1490">
        <v>54.3</v>
      </c>
      <c r="T274" s="1478" t="e">
        <f t="shared" si="35"/>
        <v>#DIV/0!</v>
      </c>
      <c r="U274" s="1478">
        <f t="shared" si="36"/>
        <v>54.3</v>
      </c>
      <c r="W274" s="1467">
        <v>54.3</v>
      </c>
      <c r="X274" s="1491">
        <f t="shared" si="32"/>
        <v>57.015000000000001</v>
      </c>
      <c r="Y274" s="1491">
        <v>57.015000000000001</v>
      </c>
      <c r="Z274" s="1492" t="s">
        <v>1547</v>
      </c>
      <c r="AB274" s="1461"/>
      <c r="AC274" s="1461"/>
      <c r="AD274" s="1481" t="s">
        <v>1532</v>
      </c>
      <c r="AE274" s="1461"/>
      <c r="AF274" s="1461"/>
      <c r="AG274" s="1461"/>
      <c r="BD274" s="1482" t="s">
        <v>761</v>
      </c>
      <c r="BE274" s="1488">
        <f t="shared" si="38"/>
        <v>0</v>
      </c>
      <c r="BF274" s="1482" t="s">
        <v>965</v>
      </c>
    </row>
    <row r="275" spans="1:58">
      <c r="A275" s="1487" t="s">
        <v>2021</v>
      </c>
      <c r="B275" s="1482" t="s">
        <v>761</v>
      </c>
      <c r="C275" s="1488">
        <f t="shared" si="37"/>
        <v>75.117210000000014</v>
      </c>
      <c r="D275" s="1482" t="s">
        <v>965</v>
      </c>
      <c r="E275" s="1472" t="s">
        <v>761</v>
      </c>
      <c r="F275" s="1489"/>
      <c r="G275" s="1474"/>
      <c r="H275" s="1475" t="s">
        <v>761</v>
      </c>
      <c r="J275" s="1475" t="s">
        <v>965</v>
      </c>
      <c r="K275" s="1477"/>
      <c r="L275" s="1472" t="s">
        <v>761</v>
      </c>
      <c r="M275" s="1489">
        <v>83</v>
      </c>
      <c r="N275" s="1474" t="s">
        <v>2014</v>
      </c>
      <c r="O275" s="1472" t="s">
        <v>761</v>
      </c>
      <c r="P275" s="1489"/>
      <c r="Q275" s="1474"/>
      <c r="S275" s="1490">
        <v>66.86</v>
      </c>
      <c r="T275" s="1478">
        <f t="shared" si="35"/>
        <v>83</v>
      </c>
      <c r="U275" s="1478">
        <f t="shared" si="36"/>
        <v>74.930000000000007</v>
      </c>
      <c r="W275" s="1467">
        <v>66.86</v>
      </c>
      <c r="X275" s="1491">
        <f t="shared" si="32"/>
        <v>70.203000000000003</v>
      </c>
      <c r="Y275" s="1491">
        <v>70.203000000000003</v>
      </c>
      <c r="Z275" s="1492" t="s">
        <v>1547</v>
      </c>
      <c r="AB275" s="1461"/>
      <c r="AC275" s="1461"/>
      <c r="AD275" s="1481" t="s">
        <v>1532</v>
      </c>
      <c r="AE275" s="1461"/>
      <c r="AF275" s="1461"/>
      <c r="AG275" s="1461"/>
      <c r="BD275" s="1482" t="s">
        <v>761</v>
      </c>
      <c r="BE275" s="1488">
        <f t="shared" si="38"/>
        <v>0</v>
      </c>
      <c r="BF275" s="1482" t="s">
        <v>965</v>
      </c>
    </row>
    <row r="276" spans="1:58">
      <c r="A276" s="1487" t="s">
        <v>2022</v>
      </c>
      <c r="B276" s="1482" t="s">
        <v>1832</v>
      </c>
      <c r="C276" s="1488">
        <f>+Y276*1.02</f>
        <v>20.399999999999999</v>
      </c>
      <c r="D276" s="1482" t="s">
        <v>965</v>
      </c>
      <c r="E276" s="1472"/>
      <c r="F276" s="1489"/>
      <c r="G276" s="1474"/>
      <c r="H276" s="1475"/>
      <c r="J276" s="1475"/>
      <c r="K276" s="1477"/>
      <c r="L276" s="1472"/>
      <c r="M276" s="1489"/>
      <c r="N276" s="1474"/>
      <c r="O276" s="1472"/>
      <c r="P276" s="1489"/>
      <c r="Q276" s="1474"/>
      <c r="T276" s="1478"/>
      <c r="U276" s="1478"/>
      <c r="W276" s="1467"/>
      <c r="X276" s="1491"/>
      <c r="Y276" s="1491">
        <v>20</v>
      </c>
      <c r="Z276" s="1492" t="s">
        <v>1653</v>
      </c>
      <c r="AB276" s="1461"/>
      <c r="AC276" s="1461"/>
      <c r="AD276" s="1481" t="s">
        <v>1532</v>
      </c>
      <c r="AE276" s="1461"/>
      <c r="AF276" s="1461"/>
      <c r="AG276" s="1461"/>
      <c r="BD276" s="1482" t="s">
        <v>1832</v>
      </c>
      <c r="BE276" s="1488">
        <f>+CA276*1.02</f>
        <v>0</v>
      </c>
      <c r="BF276" s="1482" t="s">
        <v>965</v>
      </c>
    </row>
    <row r="277" spans="1:58">
      <c r="A277" s="1487" t="s">
        <v>2023</v>
      </c>
      <c r="B277" s="1482" t="s">
        <v>1569</v>
      </c>
      <c r="C277" s="1488">
        <f>+Y277*1.07</f>
        <v>1.8425400000000001</v>
      </c>
      <c r="D277" s="1482" t="s">
        <v>965</v>
      </c>
      <c r="E277" s="1472" t="s">
        <v>1569</v>
      </c>
      <c r="F277" s="1473">
        <v>1</v>
      </c>
      <c r="G277" s="1474"/>
      <c r="H277" s="1475" t="s">
        <v>1569</v>
      </c>
      <c r="I277" s="1476"/>
      <c r="J277" s="1475" t="s">
        <v>965</v>
      </c>
      <c r="K277" s="1477"/>
      <c r="L277" s="1472" t="s">
        <v>1569</v>
      </c>
      <c r="M277" s="1473"/>
      <c r="N277" s="1474"/>
      <c r="O277" s="1472" t="s">
        <v>1569</v>
      </c>
      <c r="P277" s="1473"/>
      <c r="Q277" s="1474"/>
      <c r="S277" s="1476">
        <v>1.64</v>
      </c>
      <c r="T277" s="1478">
        <f t="shared" si="35"/>
        <v>1</v>
      </c>
      <c r="U277" s="1478">
        <f t="shared" si="36"/>
        <v>1.3199999999999998</v>
      </c>
      <c r="W277" s="1467">
        <v>1.64</v>
      </c>
      <c r="X277" s="1491">
        <f t="shared" si="32"/>
        <v>1.722</v>
      </c>
      <c r="Y277" s="1491">
        <v>1.722</v>
      </c>
      <c r="Z277" s="1492" t="s">
        <v>1547</v>
      </c>
      <c r="AB277" s="1461"/>
      <c r="AC277" s="1461"/>
      <c r="AD277" s="1481" t="s">
        <v>1532</v>
      </c>
      <c r="AE277" s="1461"/>
      <c r="AF277" s="1461"/>
      <c r="AG277" s="1461"/>
      <c r="BD277" s="1482" t="s">
        <v>1569</v>
      </c>
      <c r="BE277" s="1488">
        <f>+CA277*1.07</f>
        <v>0</v>
      </c>
      <c r="BF277" s="1482" t="s">
        <v>965</v>
      </c>
    </row>
    <row r="278" spans="1:58">
      <c r="A278" s="1499" t="s">
        <v>2024</v>
      </c>
      <c r="B278" s="1500" t="s">
        <v>1569</v>
      </c>
      <c r="C278" s="1488">
        <f t="shared" ref="C278:C289" si="39">+Y278*1.07</f>
        <v>4.797345</v>
      </c>
      <c r="D278" s="1500" t="s">
        <v>965</v>
      </c>
      <c r="E278" s="1518" t="s">
        <v>1569</v>
      </c>
      <c r="F278" s="1519">
        <v>1.5</v>
      </c>
      <c r="G278" s="1520"/>
      <c r="H278" s="1500" t="s">
        <v>1569</v>
      </c>
      <c r="I278" s="1579"/>
      <c r="J278" s="1500" t="s">
        <v>965</v>
      </c>
      <c r="K278" s="1499"/>
      <c r="L278" s="1518" t="s">
        <v>1569</v>
      </c>
      <c r="M278" s="1519">
        <v>1.87</v>
      </c>
      <c r="N278" s="1520"/>
      <c r="O278" s="1518" t="s">
        <v>1569</v>
      </c>
      <c r="P278" s="1519"/>
      <c r="Q278" s="1520"/>
      <c r="S278" s="1579">
        <v>4.2699999999999996</v>
      </c>
      <c r="T278" s="1478">
        <f t="shared" si="35"/>
        <v>1.6850000000000001</v>
      </c>
      <c r="U278" s="1478">
        <f t="shared" si="36"/>
        <v>2.5466666666666664</v>
      </c>
      <c r="W278" s="1467">
        <v>4.2699999999999996</v>
      </c>
      <c r="X278" s="1491">
        <f t="shared" ref="X278:X289" si="40">+S278*1.05</f>
        <v>4.4834999999999994</v>
      </c>
      <c r="Y278" s="1491">
        <v>4.4834999999999994</v>
      </c>
      <c r="Z278" s="1492" t="s">
        <v>1547</v>
      </c>
      <c r="AB278" s="1461"/>
      <c r="AC278" s="1461"/>
      <c r="AD278" s="1481" t="s">
        <v>1532</v>
      </c>
      <c r="AE278" s="1461"/>
      <c r="AF278" s="1461"/>
      <c r="AG278" s="1461"/>
      <c r="BD278" s="1500" t="s">
        <v>1569</v>
      </c>
      <c r="BE278" s="1488">
        <f t="shared" ref="BE278:BE289" si="41">+CA278*1.07</f>
        <v>0</v>
      </c>
      <c r="BF278" s="1500" t="s">
        <v>965</v>
      </c>
    </row>
    <row r="279" spans="1:58">
      <c r="A279" s="1499" t="s">
        <v>2025</v>
      </c>
      <c r="B279" s="1524" t="s">
        <v>1569</v>
      </c>
      <c r="C279" s="1488">
        <f t="shared" si="39"/>
        <v>5.1681000000000008</v>
      </c>
      <c r="D279" s="1500" t="s">
        <v>965</v>
      </c>
      <c r="E279" s="1578" t="s">
        <v>1569</v>
      </c>
      <c r="F279" s="1519">
        <v>3.5</v>
      </c>
      <c r="G279" s="1520"/>
      <c r="H279" s="1524" t="s">
        <v>1569</v>
      </c>
      <c r="I279" s="1579"/>
      <c r="J279" s="1500" t="s">
        <v>965</v>
      </c>
      <c r="K279" s="1499"/>
      <c r="L279" s="1578" t="s">
        <v>1569</v>
      </c>
      <c r="M279" s="1519">
        <v>3.69</v>
      </c>
      <c r="N279" s="1520"/>
      <c r="O279" s="1578" t="s">
        <v>1569</v>
      </c>
      <c r="P279" s="1519"/>
      <c r="Q279" s="1520"/>
      <c r="S279" s="1579">
        <v>4.5999999999999996</v>
      </c>
      <c r="T279" s="1478">
        <f t="shared" si="35"/>
        <v>3.5949999999999998</v>
      </c>
      <c r="U279" s="1478">
        <f t="shared" si="36"/>
        <v>3.9299999999999997</v>
      </c>
      <c r="W279" s="1467">
        <v>4.5999999999999996</v>
      </c>
      <c r="X279" s="1491">
        <f t="shared" si="40"/>
        <v>4.83</v>
      </c>
      <c r="Y279" s="1491">
        <v>4.83</v>
      </c>
      <c r="Z279" s="1492" t="s">
        <v>1547</v>
      </c>
      <c r="AB279" s="1461"/>
      <c r="AC279" s="1461"/>
      <c r="AD279" s="1481" t="s">
        <v>1532</v>
      </c>
      <c r="AE279" s="1461"/>
      <c r="AF279" s="1461"/>
      <c r="AG279" s="1461"/>
      <c r="BD279" s="1524" t="s">
        <v>1569</v>
      </c>
      <c r="BE279" s="1488">
        <f t="shared" si="41"/>
        <v>0</v>
      </c>
      <c r="BF279" s="1500" t="s">
        <v>965</v>
      </c>
    </row>
    <row r="280" spans="1:58">
      <c r="A280" s="1499" t="s">
        <v>2026</v>
      </c>
      <c r="B280" s="1524" t="s">
        <v>1569</v>
      </c>
      <c r="C280" s="1488">
        <f t="shared" si="39"/>
        <v>7.4150999999999998</v>
      </c>
      <c r="D280" s="1500" t="s">
        <v>965</v>
      </c>
      <c r="E280" s="1578" t="s">
        <v>1569</v>
      </c>
      <c r="F280" s="1519">
        <v>5.5</v>
      </c>
      <c r="G280" s="1520"/>
      <c r="H280" s="1524" t="s">
        <v>1569</v>
      </c>
      <c r="I280" s="1579"/>
      <c r="J280" s="1500" t="s">
        <v>965</v>
      </c>
      <c r="K280" s="1499"/>
      <c r="L280" s="1578" t="s">
        <v>1569</v>
      </c>
      <c r="M280" s="1519">
        <v>5.43</v>
      </c>
      <c r="N280" s="1520"/>
      <c r="O280" s="1578" t="s">
        <v>1569</v>
      </c>
      <c r="P280" s="1519"/>
      <c r="Q280" s="1520"/>
      <c r="S280" s="1579">
        <v>6.6</v>
      </c>
      <c r="T280" s="1478">
        <f t="shared" si="35"/>
        <v>5.4649999999999999</v>
      </c>
      <c r="U280" s="1478">
        <f t="shared" si="36"/>
        <v>5.8433333333333337</v>
      </c>
      <c r="W280" s="1467">
        <v>6.6</v>
      </c>
      <c r="X280" s="1491">
        <f t="shared" si="40"/>
        <v>6.93</v>
      </c>
      <c r="Y280" s="1491">
        <v>6.93</v>
      </c>
      <c r="Z280" s="1492" t="s">
        <v>1547</v>
      </c>
      <c r="AB280" s="1461"/>
      <c r="AC280" s="1461"/>
      <c r="AD280" s="1481" t="s">
        <v>1532</v>
      </c>
      <c r="AE280" s="1461"/>
      <c r="AF280" s="1461"/>
      <c r="AG280" s="1461"/>
      <c r="BD280" s="1524" t="s">
        <v>1569</v>
      </c>
      <c r="BE280" s="1488">
        <f t="shared" si="41"/>
        <v>0</v>
      </c>
      <c r="BF280" s="1500" t="s">
        <v>965</v>
      </c>
    </row>
    <row r="281" spans="1:58">
      <c r="A281" s="1499" t="s">
        <v>2027</v>
      </c>
      <c r="B281" s="1524" t="s">
        <v>1569</v>
      </c>
      <c r="C281" s="1488">
        <f t="shared" si="39"/>
        <v>8.8419450000000008</v>
      </c>
      <c r="D281" s="1500" t="s">
        <v>965</v>
      </c>
      <c r="E281" s="1578" t="s">
        <v>1569</v>
      </c>
      <c r="F281" s="1519">
        <v>8.5</v>
      </c>
      <c r="G281" s="1520"/>
      <c r="H281" s="1524" t="s">
        <v>1569</v>
      </c>
      <c r="I281" s="1579"/>
      <c r="J281" s="1500" t="s">
        <v>965</v>
      </c>
      <c r="K281" s="1499"/>
      <c r="L281" s="1578" t="s">
        <v>1569</v>
      </c>
      <c r="M281" s="1519">
        <v>8.41</v>
      </c>
      <c r="N281" s="1520"/>
      <c r="O281" s="1578" t="s">
        <v>1569</v>
      </c>
      <c r="P281" s="1519"/>
      <c r="Q281" s="1520"/>
      <c r="S281" s="1579">
        <v>7.87</v>
      </c>
      <c r="T281" s="1478">
        <f t="shared" si="35"/>
        <v>8.4550000000000001</v>
      </c>
      <c r="U281" s="1478">
        <f t="shared" si="36"/>
        <v>8.26</v>
      </c>
      <c r="W281" s="1467">
        <v>7.87</v>
      </c>
      <c r="X281" s="1491">
        <f t="shared" si="40"/>
        <v>8.2635000000000005</v>
      </c>
      <c r="Y281" s="1491">
        <v>8.2635000000000005</v>
      </c>
      <c r="Z281" s="1492" t="s">
        <v>1547</v>
      </c>
      <c r="AB281" s="1461"/>
      <c r="AC281" s="1461"/>
      <c r="AD281" s="1481" t="s">
        <v>1532</v>
      </c>
      <c r="AE281" s="1461"/>
      <c r="AF281" s="1461"/>
      <c r="AG281" s="1461"/>
      <c r="BD281" s="1524" t="s">
        <v>1569</v>
      </c>
      <c r="BE281" s="1488">
        <f t="shared" si="41"/>
        <v>0</v>
      </c>
      <c r="BF281" s="1500" t="s">
        <v>965</v>
      </c>
    </row>
    <row r="282" spans="1:58">
      <c r="A282" s="1499" t="s">
        <v>2028</v>
      </c>
      <c r="B282" s="1524" t="s">
        <v>1569</v>
      </c>
      <c r="C282" s="1488">
        <f t="shared" si="39"/>
        <v>14.605500000000001</v>
      </c>
      <c r="D282" s="1500" t="s">
        <v>965</v>
      </c>
      <c r="E282" s="1578" t="s">
        <v>1569</v>
      </c>
      <c r="F282" s="1519">
        <v>12</v>
      </c>
      <c r="G282" s="1520"/>
      <c r="H282" s="1524" t="s">
        <v>1569</v>
      </c>
      <c r="I282" s="1579"/>
      <c r="J282" s="1500" t="s">
        <v>965</v>
      </c>
      <c r="K282" s="1499"/>
      <c r="L282" s="1578" t="s">
        <v>1569</v>
      </c>
      <c r="M282" s="1519">
        <v>11.62</v>
      </c>
      <c r="N282" s="1520"/>
      <c r="O282" s="1578" t="s">
        <v>1569</v>
      </c>
      <c r="P282" s="1519"/>
      <c r="Q282" s="1520"/>
      <c r="S282" s="1579">
        <v>13</v>
      </c>
      <c r="T282" s="1478">
        <f t="shared" si="35"/>
        <v>11.809999999999999</v>
      </c>
      <c r="U282" s="1478">
        <f t="shared" si="36"/>
        <v>12.206666666666665</v>
      </c>
      <c r="W282" s="1467">
        <v>13</v>
      </c>
      <c r="X282" s="1491">
        <f t="shared" si="40"/>
        <v>13.65</v>
      </c>
      <c r="Y282" s="1491">
        <v>13.65</v>
      </c>
      <c r="Z282" s="1492" t="s">
        <v>1547</v>
      </c>
      <c r="AB282" s="1461"/>
      <c r="AC282" s="1461"/>
      <c r="AD282" s="1481" t="s">
        <v>1532</v>
      </c>
      <c r="AE282" s="1461"/>
      <c r="AF282" s="1461"/>
      <c r="AG282" s="1461"/>
      <c r="BD282" s="1524" t="s">
        <v>1569</v>
      </c>
      <c r="BE282" s="1488">
        <f t="shared" si="41"/>
        <v>0</v>
      </c>
      <c r="BF282" s="1500" t="s">
        <v>965</v>
      </c>
    </row>
    <row r="283" spans="1:58">
      <c r="A283" s="1499" t="s">
        <v>2029</v>
      </c>
      <c r="B283" s="1524" t="s">
        <v>1569</v>
      </c>
      <c r="C283" s="1488">
        <f t="shared" si="39"/>
        <v>17.189550000000004</v>
      </c>
      <c r="D283" s="1500" t="s">
        <v>965</v>
      </c>
      <c r="E283" s="1525" t="s">
        <v>1569</v>
      </c>
      <c r="F283" s="1489"/>
      <c r="G283" s="1526"/>
      <c r="H283" s="1527" t="s">
        <v>1569</v>
      </c>
      <c r="J283" s="1502" t="s">
        <v>965</v>
      </c>
      <c r="K283" s="1528"/>
      <c r="L283" s="1525" t="s">
        <v>1569</v>
      </c>
      <c r="M283" s="1489">
        <v>19.04</v>
      </c>
      <c r="N283" s="1526"/>
      <c r="O283" s="1525" t="s">
        <v>1569</v>
      </c>
      <c r="P283" s="1489"/>
      <c r="Q283" s="1526"/>
      <c r="S283" s="1490">
        <v>15.3</v>
      </c>
      <c r="T283" s="1478">
        <f t="shared" si="35"/>
        <v>19.04</v>
      </c>
      <c r="U283" s="1478">
        <f t="shared" si="36"/>
        <v>17.170000000000002</v>
      </c>
      <c r="W283" s="1467">
        <v>15.3</v>
      </c>
      <c r="X283" s="1491">
        <f t="shared" si="40"/>
        <v>16.065000000000001</v>
      </c>
      <c r="Y283" s="1491">
        <v>16.065000000000001</v>
      </c>
      <c r="Z283" s="1492" t="s">
        <v>1547</v>
      </c>
      <c r="AB283" s="1461"/>
      <c r="AC283" s="1461"/>
      <c r="AD283" s="1481" t="s">
        <v>1532</v>
      </c>
      <c r="AE283" s="1461"/>
      <c r="AF283" s="1461"/>
      <c r="AG283" s="1461"/>
      <c r="BD283" s="1524" t="s">
        <v>1569</v>
      </c>
      <c r="BE283" s="1488">
        <f t="shared" si="41"/>
        <v>0</v>
      </c>
      <c r="BF283" s="1500" t="s">
        <v>965</v>
      </c>
    </row>
    <row r="284" spans="1:58">
      <c r="A284" s="1499" t="s">
        <v>2030</v>
      </c>
      <c r="B284" s="1524" t="s">
        <v>1569</v>
      </c>
      <c r="C284" s="1488">
        <f t="shared" si="39"/>
        <v>19.099500000000003</v>
      </c>
      <c r="D284" s="1500" t="s">
        <v>965</v>
      </c>
      <c r="E284" s="1525" t="s">
        <v>1569</v>
      </c>
      <c r="F284" s="1489">
        <v>19</v>
      </c>
      <c r="G284" s="1526"/>
      <c r="H284" s="1527" t="s">
        <v>1569</v>
      </c>
      <c r="J284" s="1502" t="s">
        <v>965</v>
      </c>
      <c r="K284" s="1528"/>
      <c r="L284" s="1525" t="s">
        <v>1569</v>
      </c>
      <c r="M284" s="1489">
        <v>19.23</v>
      </c>
      <c r="N284" s="1526"/>
      <c r="O284" s="1525" t="s">
        <v>1569</v>
      </c>
      <c r="P284" s="1489"/>
      <c r="Q284" s="1526"/>
      <c r="S284" s="1490">
        <v>17</v>
      </c>
      <c r="T284" s="1478">
        <f t="shared" si="35"/>
        <v>19.115000000000002</v>
      </c>
      <c r="U284" s="1478">
        <f t="shared" si="36"/>
        <v>18.41</v>
      </c>
      <c r="W284" s="1467">
        <v>17</v>
      </c>
      <c r="X284" s="1491">
        <f t="shared" si="40"/>
        <v>17.850000000000001</v>
      </c>
      <c r="Y284" s="1491">
        <v>17.850000000000001</v>
      </c>
      <c r="Z284" s="1492" t="s">
        <v>1547</v>
      </c>
      <c r="AD284" s="1481" t="s">
        <v>1532</v>
      </c>
      <c r="AE284" s="1461"/>
      <c r="AF284" s="1461"/>
      <c r="AG284" s="1461"/>
      <c r="BD284" s="1524" t="s">
        <v>1569</v>
      </c>
      <c r="BE284" s="1488">
        <f t="shared" si="41"/>
        <v>0</v>
      </c>
      <c r="BF284" s="1500" t="s">
        <v>965</v>
      </c>
    </row>
    <row r="285" spans="1:58">
      <c r="A285" s="1499" t="s">
        <v>2031</v>
      </c>
      <c r="B285" s="1524" t="s">
        <v>1569</v>
      </c>
      <c r="C285" s="1488">
        <f t="shared" si="39"/>
        <v>4.797345</v>
      </c>
      <c r="D285" s="1500" t="s">
        <v>965</v>
      </c>
      <c r="E285" s="1578" t="s">
        <v>1569</v>
      </c>
      <c r="F285" s="1519">
        <v>4.5</v>
      </c>
      <c r="G285" s="1520"/>
      <c r="H285" s="1524" t="s">
        <v>1569</v>
      </c>
      <c r="I285" s="1579"/>
      <c r="J285" s="1500" t="s">
        <v>965</v>
      </c>
      <c r="K285" s="1499"/>
      <c r="L285" s="1578" t="s">
        <v>1569</v>
      </c>
      <c r="M285" s="1519"/>
      <c r="N285" s="1520"/>
      <c r="O285" s="1578" t="s">
        <v>1569</v>
      </c>
      <c r="P285" s="1519"/>
      <c r="Q285" s="1520"/>
      <c r="S285" s="1579">
        <v>4.2699999999999996</v>
      </c>
      <c r="T285" s="1478">
        <f t="shared" si="35"/>
        <v>4.5</v>
      </c>
      <c r="U285" s="1478">
        <f t="shared" si="36"/>
        <v>4.3849999999999998</v>
      </c>
      <c r="W285" s="1467">
        <v>4.2699999999999996</v>
      </c>
      <c r="X285" s="1491">
        <f t="shared" si="40"/>
        <v>4.4834999999999994</v>
      </c>
      <c r="Y285" s="1491">
        <v>4.4834999999999994</v>
      </c>
      <c r="Z285" s="1492" t="s">
        <v>1547</v>
      </c>
      <c r="AD285" s="1481" t="s">
        <v>1532</v>
      </c>
      <c r="AE285" s="1461"/>
      <c r="AF285" s="1461"/>
      <c r="AG285" s="1461"/>
      <c r="BD285" s="1524" t="s">
        <v>1569</v>
      </c>
      <c r="BE285" s="1488">
        <f t="shared" si="41"/>
        <v>0</v>
      </c>
      <c r="BF285" s="1500" t="s">
        <v>965</v>
      </c>
    </row>
    <row r="286" spans="1:58">
      <c r="A286" s="1499" t="s">
        <v>2032</v>
      </c>
      <c r="B286" s="1524" t="s">
        <v>1569</v>
      </c>
      <c r="C286" s="1488">
        <f t="shared" si="39"/>
        <v>8.8756500000000003</v>
      </c>
      <c r="D286" s="1500" t="s">
        <v>965</v>
      </c>
      <c r="E286" s="1578" t="s">
        <v>1569</v>
      </c>
      <c r="F286" s="1519">
        <v>6.5</v>
      </c>
      <c r="G286" s="1520"/>
      <c r="H286" s="1524" t="s">
        <v>1569</v>
      </c>
      <c r="I286" s="1579"/>
      <c r="J286" s="1500" t="s">
        <v>965</v>
      </c>
      <c r="K286" s="1499"/>
      <c r="L286" s="1578" t="s">
        <v>1569</v>
      </c>
      <c r="M286" s="1519"/>
      <c r="N286" s="1520"/>
      <c r="O286" s="1578" t="s">
        <v>1569</v>
      </c>
      <c r="P286" s="1519"/>
      <c r="Q286" s="1520"/>
      <c r="S286" s="1579">
        <v>7.9</v>
      </c>
      <c r="T286" s="1478">
        <f>AVERAGE(F286,I286,M286)</f>
        <v>6.5</v>
      </c>
      <c r="U286" s="1478">
        <f t="shared" si="36"/>
        <v>7.2</v>
      </c>
      <c r="W286" s="1467">
        <v>7.9</v>
      </c>
      <c r="X286" s="1491">
        <f t="shared" si="40"/>
        <v>8.2949999999999999</v>
      </c>
      <c r="Y286" s="1491">
        <v>8.2949999999999999</v>
      </c>
      <c r="Z286" s="1492" t="s">
        <v>1547</v>
      </c>
      <c r="AD286" s="1481" t="s">
        <v>1532</v>
      </c>
      <c r="AE286" s="1461"/>
      <c r="AF286" s="1461"/>
      <c r="AG286" s="1461"/>
      <c r="BD286" s="1524" t="s">
        <v>1569</v>
      </c>
      <c r="BE286" s="1488">
        <f t="shared" si="41"/>
        <v>0</v>
      </c>
      <c r="BF286" s="1500" t="s">
        <v>965</v>
      </c>
    </row>
    <row r="287" spans="1:58">
      <c r="A287" s="1499" t="s">
        <v>2033</v>
      </c>
      <c r="B287" s="1524" t="s">
        <v>1569</v>
      </c>
      <c r="C287" s="1488">
        <f t="shared" si="39"/>
        <v>13.18989</v>
      </c>
      <c r="D287" s="1500" t="s">
        <v>965</v>
      </c>
      <c r="E287" s="1578" t="s">
        <v>1569</v>
      </c>
      <c r="F287" s="1519">
        <v>13</v>
      </c>
      <c r="G287" s="1520"/>
      <c r="H287" s="1524" t="s">
        <v>1569</v>
      </c>
      <c r="I287" s="1579"/>
      <c r="J287" s="1500" t="s">
        <v>965</v>
      </c>
      <c r="K287" s="1499"/>
      <c r="L287" s="1578" t="s">
        <v>1569</v>
      </c>
      <c r="M287" s="1519"/>
      <c r="N287" s="1520"/>
      <c r="O287" s="1578" t="s">
        <v>1569</v>
      </c>
      <c r="P287" s="1519"/>
      <c r="Q287" s="1520"/>
      <c r="S287" s="1579">
        <v>11.74</v>
      </c>
      <c r="T287" s="1478">
        <f>AVERAGE(F287,I287,M287)</f>
        <v>13</v>
      </c>
      <c r="U287" s="1478">
        <f t="shared" si="36"/>
        <v>12.370000000000001</v>
      </c>
      <c r="W287" s="1467">
        <v>11.74</v>
      </c>
      <c r="X287" s="1491">
        <f t="shared" si="40"/>
        <v>12.327</v>
      </c>
      <c r="Y287" s="1491">
        <v>12.327</v>
      </c>
      <c r="Z287" s="1492" t="s">
        <v>1547</v>
      </c>
      <c r="AD287" s="1481" t="s">
        <v>1532</v>
      </c>
      <c r="AE287" s="1461"/>
      <c r="AF287" s="1461"/>
      <c r="AG287" s="1461"/>
      <c r="BD287" s="1524" t="s">
        <v>1569</v>
      </c>
      <c r="BE287" s="1488">
        <f t="shared" si="41"/>
        <v>0</v>
      </c>
      <c r="BF287" s="1500" t="s">
        <v>965</v>
      </c>
    </row>
    <row r="288" spans="1:58">
      <c r="A288" s="1499" t="s">
        <v>2034</v>
      </c>
      <c r="B288" s="1524" t="s">
        <v>1569</v>
      </c>
      <c r="C288" s="1488">
        <f t="shared" si="39"/>
        <v>19.841010000000001</v>
      </c>
      <c r="D288" s="1500" t="s">
        <v>965</v>
      </c>
      <c r="E288" s="1578" t="s">
        <v>1569</v>
      </c>
      <c r="F288" s="1519">
        <v>7</v>
      </c>
      <c r="G288" s="1520"/>
      <c r="H288" s="1524" t="s">
        <v>1569</v>
      </c>
      <c r="I288" s="1579"/>
      <c r="J288" s="1500" t="s">
        <v>965</v>
      </c>
      <c r="K288" s="1499"/>
      <c r="L288" s="1578" t="s">
        <v>1569</v>
      </c>
      <c r="M288" s="1519"/>
      <c r="N288" s="1520"/>
      <c r="O288" s="1578" t="s">
        <v>1569</v>
      </c>
      <c r="P288" s="1519"/>
      <c r="Q288" s="1520"/>
      <c r="S288" s="1579">
        <v>17.66</v>
      </c>
      <c r="T288" s="1478">
        <f>AVERAGE(F288,I288,M288)</f>
        <v>7</v>
      </c>
      <c r="U288" s="1478">
        <f t="shared" si="36"/>
        <v>12.33</v>
      </c>
      <c r="W288" s="1467">
        <v>17.66</v>
      </c>
      <c r="X288" s="1491">
        <f t="shared" si="40"/>
        <v>18.542999999999999</v>
      </c>
      <c r="Y288" s="1491">
        <v>18.542999999999999</v>
      </c>
      <c r="Z288" s="1492" t="s">
        <v>1547</v>
      </c>
      <c r="AD288" s="1481" t="s">
        <v>1532</v>
      </c>
      <c r="AE288" s="1461"/>
      <c r="AF288" s="1461"/>
      <c r="AG288" s="1461"/>
      <c r="BD288" s="1524" t="s">
        <v>1569</v>
      </c>
      <c r="BE288" s="1488">
        <f t="shared" si="41"/>
        <v>0</v>
      </c>
      <c r="BF288" s="1500" t="s">
        <v>965</v>
      </c>
    </row>
    <row r="289" spans="1:58">
      <c r="A289" s="1499" t="s">
        <v>2035</v>
      </c>
      <c r="B289" s="1524" t="s">
        <v>1569</v>
      </c>
      <c r="C289" s="1488">
        <f t="shared" si="39"/>
        <v>26.098905000000002</v>
      </c>
      <c r="D289" s="1500" t="s">
        <v>965</v>
      </c>
      <c r="E289" s="1578" t="s">
        <v>1569</v>
      </c>
      <c r="F289" s="1519">
        <v>20</v>
      </c>
      <c r="G289" s="1520"/>
      <c r="H289" s="1524" t="s">
        <v>1569</v>
      </c>
      <c r="I289" s="1579"/>
      <c r="J289" s="1500" t="s">
        <v>965</v>
      </c>
      <c r="K289" s="1499"/>
      <c r="L289" s="1578" t="s">
        <v>1569</v>
      </c>
      <c r="M289" s="1519"/>
      <c r="N289" s="1520"/>
      <c r="O289" s="1578" t="s">
        <v>1569</v>
      </c>
      <c r="P289" s="1519"/>
      <c r="Q289" s="1520"/>
      <c r="S289" s="1579">
        <v>23.23</v>
      </c>
      <c r="T289" s="1478">
        <f>AVERAGE(F289,I289,M289)</f>
        <v>20</v>
      </c>
      <c r="U289" s="1478">
        <f t="shared" si="36"/>
        <v>21.615000000000002</v>
      </c>
      <c r="W289" s="1467">
        <v>23.23</v>
      </c>
      <c r="X289" s="1491">
        <f t="shared" si="40"/>
        <v>24.391500000000001</v>
      </c>
      <c r="Y289" s="1491">
        <v>24.391500000000001</v>
      </c>
      <c r="Z289" s="1492" t="s">
        <v>1547</v>
      </c>
      <c r="AD289" s="1481" t="s">
        <v>1532</v>
      </c>
      <c r="AE289" s="1461"/>
      <c r="AF289" s="1461"/>
      <c r="AG289" s="1461"/>
      <c r="BD289" s="1524" t="s">
        <v>1569</v>
      </c>
      <c r="BE289" s="1488">
        <f t="shared" si="41"/>
        <v>0</v>
      </c>
      <c r="BF289" s="1500" t="s">
        <v>965</v>
      </c>
    </row>
    <row r="290" spans="1:58">
      <c r="A290" s="1499" t="s">
        <v>2036</v>
      </c>
      <c r="B290" s="1500" t="s">
        <v>1957</v>
      </c>
      <c r="C290" s="1488">
        <f>109.17/2</f>
        <v>54.585000000000001</v>
      </c>
      <c r="D290" s="1500" t="s">
        <v>965</v>
      </c>
      <c r="E290" s="1578"/>
      <c r="F290" s="1519"/>
      <c r="G290" s="1520"/>
      <c r="H290" s="1524"/>
      <c r="I290" s="1579"/>
      <c r="J290" s="1500"/>
      <c r="K290" s="1499"/>
      <c r="L290" s="1578"/>
      <c r="M290" s="1519"/>
      <c r="N290" s="1520"/>
      <c r="O290" s="1578"/>
      <c r="P290" s="1519"/>
      <c r="Q290" s="1520"/>
      <c r="S290" s="1579"/>
      <c r="T290" s="1478"/>
      <c r="U290" s="1478"/>
      <c r="W290" s="1467"/>
      <c r="X290" s="1491"/>
      <c r="Y290" s="1638" t="s">
        <v>1576</v>
      </c>
      <c r="Z290" s="1480" t="s">
        <v>2037</v>
      </c>
      <c r="AD290" s="1481"/>
      <c r="AE290" s="1461"/>
      <c r="AF290" s="1461"/>
      <c r="AG290" s="1461"/>
      <c r="BD290" s="1500" t="s">
        <v>1957</v>
      </c>
      <c r="BE290" s="1639">
        <v>39.72</v>
      </c>
      <c r="BF290" s="1500" t="s">
        <v>965</v>
      </c>
    </row>
    <row r="291" spans="1:58">
      <c r="A291" s="1499" t="s">
        <v>2038</v>
      </c>
      <c r="B291" s="1500" t="s">
        <v>1957</v>
      </c>
      <c r="C291" s="1488">
        <f>100.85/2</f>
        <v>50.424999999999997</v>
      </c>
      <c r="D291" s="1500" t="s">
        <v>965</v>
      </c>
      <c r="E291" s="1578"/>
      <c r="F291" s="1519"/>
      <c r="G291" s="1520"/>
      <c r="H291" s="1524"/>
      <c r="I291" s="1579"/>
      <c r="J291" s="1500"/>
      <c r="K291" s="1499"/>
      <c r="L291" s="1578"/>
      <c r="M291" s="1519"/>
      <c r="N291" s="1520"/>
      <c r="O291" s="1578"/>
      <c r="P291" s="1519"/>
      <c r="Q291" s="1520"/>
      <c r="S291" s="1579"/>
      <c r="T291" s="1478"/>
      <c r="U291" s="1478"/>
      <c r="W291" s="1467"/>
      <c r="X291" s="1491"/>
      <c r="Y291" s="1491">
        <v>90.198250000000002</v>
      </c>
      <c r="Z291" s="1480" t="s">
        <v>2037</v>
      </c>
      <c r="AA291" s="1440" t="s">
        <v>2039</v>
      </c>
      <c r="AB291" s="1461"/>
      <c r="AC291" s="1461"/>
      <c r="AD291" s="1481" t="s">
        <v>1532</v>
      </c>
      <c r="AE291" s="1461"/>
      <c r="AF291" s="1461"/>
      <c r="AG291" s="1461"/>
      <c r="BD291" s="1500" t="s">
        <v>1957</v>
      </c>
      <c r="BE291" s="1640">
        <v>28.74</v>
      </c>
      <c r="BF291" s="1500" t="s">
        <v>965</v>
      </c>
    </row>
    <row r="292" spans="1:58">
      <c r="A292" s="1499" t="s">
        <v>2040</v>
      </c>
      <c r="B292" s="1500" t="s">
        <v>1957</v>
      </c>
      <c r="C292" s="1488">
        <v>12.291666666666666</v>
      </c>
      <c r="D292" s="1500" t="s">
        <v>965</v>
      </c>
      <c r="E292" s="1578"/>
      <c r="F292" s="1519"/>
      <c r="G292" s="1520"/>
      <c r="H292" s="1524"/>
      <c r="I292" s="1579"/>
      <c r="J292" s="1500"/>
      <c r="K292" s="1499"/>
      <c r="L292" s="1578"/>
      <c r="M292" s="1519"/>
      <c r="N292" s="1520"/>
      <c r="O292" s="1578"/>
      <c r="P292" s="1519"/>
      <c r="Q292" s="1520"/>
      <c r="S292" s="1579"/>
      <c r="T292" s="1478"/>
      <c r="U292" s="1478"/>
      <c r="W292" s="1467"/>
      <c r="X292" s="1491"/>
      <c r="Y292" s="1491">
        <v>11.458333333333334</v>
      </c>
      <c r="Z292" s="1480" t="s">
        <v>2037</v>
      </c>
      <c r="AA292" s="1440" t="s">
        <v>2039</v>
      </c>
      <c r="AB292" s="1461"/>
      <c r="AC292" s="1461"/>
      <c r="AD292" s="1481" t="s">
        <v>1532</v>
      </c>
      <c r="AE292" s="1461"/>
      <c r="AF292" s="1461"/>
      <c r="AG292" s="1461"/>
      <c r="BD292" s="1500" t="s">
        <v>1957</v>
      </c>
      <c r="BE292" s="1640">
        <v>8.5</v>
      </c>
      <c r="BF292" s="1500" t="s">
        <v>965</v>
      </c>
    </row>
    <row r="293" spans="1:58">
      <c r="A293" s="1499" t="s">
        <v>2041</v>
      </c>
      <c r="B293" s="1500" t="s">
        <v>1957</v>
      </c>
      <c r="C293" s="1488">
        <v>9.375</v>
      </c>
      <c r="D293" s="1500" t="s">
        <v>965</v>
      </c>
      <c r="E293" s="1578"/>
      <c r="F293" s="1519"/>
      <c r="G293" s="1520"/>
      <c r="H293" s="1524"/>
      <c r="I293" s="1579"/>
      <c r="J293" s="1500"/>
      <c r="K293" s="1499"/>
      <c r="L293" s="1578"/>
      <c r="M293" s="1519"/>
      <c r="N293" s="1520"/>
      <c r="O293" s="1578"/>
      <c r="P293" s="1519"/>
      <c r="Q293" s="1520"/>
      <c r="S293" s="1579"/>
      <c r="T293" s="1478"/>
      <c r="U293" s="1478"/>
      <c r="W293" s="1467"/>
      <c r="X293" s="1491"/>
      <c r="Y293" s="1491">
        <v>8.4083333333333332</v>
      </c>
      <c r="Z293" s="1480" t="s">
        <v>2037</v>
      </c>
      <c r="AA293" s="1440" t="s">
        <v>2039</v>
      </c>
      <c r="AB293" s="1461"/>
      <c r="AC293" s="1461"/>
      <c r="AD293" s="1481" t="s">
        <v>1532</v>
      </c>
      <c r="AE293" s="1461"/>
      <c r="AF293" s="1461"/>
      <c r="AG293" s="1461"/>
      <c r="BD293" s="1500" t="s">
        <v>1957</v>
      </c>
      <c r="BE293" s="1640">
        <v>8</v>
      </c>
      <c r="BF293" s="1500" t="s">
        <v>965</v>
      </c>
    </row>
    <row r="294" spans="1:58">
      <c r="A294" s="1499" t="s">
        <v>2042</v>
      </c>
      <c r="B294" s="1500" t="s">
        <v>1957</v>
      </c>
      <c r="C294" s="1488">
        <v>10.75</v>
      </c>
      <c r="D294" s="1500" t="s">
        <v>965</v>
      </c>
      <c r="E294" s="1578"/>
      <c r="F294" s="1519"/>
      <c r="G294" s="1520"/>
      <c r="H294" s="1524"/>
      <c r="I294" s="1579"/>
      <c r="J294" s="1500"/>
      <c r="K294" s="1499"/>
      <c r="L294" s="1578"/>
      <c r="M294" s="1519"/>
      <c r="N294" s="1520"/>
      <c r="O294" s="1578"/>
      <c r="P294" s="1519"/>
      <c r="Q294" s="1520"/>
      <c r="S294" s="1579"/>
      <c r="T294" s="1478"/>
      <c r="U294" s="1478"/>
      <c r="W294" s="1467"/>
      <c r="X294" s="1491"/>
      <c r="Y294" s="1491">
        <v>9.5833333333333339</v>
      </c>
      <c r="Z294" s="1480" t="s">
        <v>2037</v>
      </c>
      <c r="AA294" s="1440" t="s">
        <v>2039</v>
      </c>
      <c r="AB294" s="1461"/>
      <c r="AC294" s="1461"/>
      <c r="AD294" s="1481" t="s">
        <v>1532</v>
      </c>
      <c r="AE294" s="1461"/>
      <c r="AF294" s="1461"/>
      <c r="AG294" s="1461"/>
      <c r="BD294" s="1500" t="s">
        <v>1957</v>
      </c>
      <c r="BE294" s="1488">
        <v>10.75</v>
      </c>
      <c r="BF294" s="1500" t="s">
        <v>965</v>
      </c>
    </row>
    <row r="295" spans="1:58">
      <c r="A295" s="1499" t="s">
        <v>2043</v>
      </c>
      <c r="B295" s="1500" t="s">
        <v>1957</v>
      </c>
      <c r="C295" s="1488">
        <v>11.233333333333334</v>
      </c>
      <c r="D295" s="1500" t="s">
        <v>965</v>
      </c>
      <c r="E295" s="1578"/>
      <c r="F295" s="1519"/>
      <c r="G295" s="1520"/>
      <c r="H295" s="1524"/>
      <c r="I295" s="1579"/>
      <c r="J295" s="1500"/>
      <c r="K295" s="1499"/>
      <c r="L295" s="1578"/>
      <c r="M295" s="1519"/>
      <c r="N295" s="1520"/>
      <c r="O295" s="1578"/>
      <c r="P295" s="1519"/>
      <c r="Q295" s="1520"/>
      <c r="S295" s="1579"/>
      <c r="T295" s="1478"/>
      <c r="U295" s="1478"/>
      <c r="W295" s="1467"/>
      <c r="X295" s="1491"/>
      <c r="Y295" s="1491">
        <v>10.5</v>
      </c>
      <c r="Z295" s="1480" t="s">
        <v>2037</v>
      </c>
      <c r="AA295" s="1440" t="s">
        <v>2039</v>
      </c>
      <c r="AB295" s="1461"/>
      <c r="AC295" s="1461"/>
      <c r="AD295" s="1481" t="s">
        <v>1532</v>
      </c>
      <c r="AE295" s="1461"/>
      <c r="AF295" s="1461"/>
      <c r="AG295" s="1461"/>
      <c r="BD295" s="1500" t="s">
        <v>1957</v>
      </c>
      <c r="BE295" s="1640">
        <v>8.57</v>
      </c>
      <c r="BF295" s="1500" t="s">
        <v>965</v>
      </c>
    </row>
    <row r="296" spans="1:58">
      <c r="A296" s="1499" t="s">
        <v>2044</v>
      </c>
      <c r="B296" s="1500" t="s">
        <v>1957</v>
      </c>
      <c r="C296" s="1488">
        <v>10.375</v>
      </c>
      <c r="D296" s="1500" t="s">
        <v>965</v>
      </c>
      <c r="E296" s="1578"/>
      <c r="F296" s="1519"/>
      <c r="G296" s="1520"/>
      <c r="H296" s="1524"/>
      <c r="I296" s="1579"/>
      <c r="J296" s="1500"/>
      <c r="K296" s="1499"/>
      <c r="L296" s="1578"/>
      <c r="M296" s="1519"/>
      <c r="N296" s="1520"/>
      <c r="O296" s="1578"/>
      <c r="P296" s="1519"/>
      <c r="Q296" s="1520"/>
      <c r="S296" s="1579"/>
      <c r="T296" s="1478"/>
      <c r="U296" s="1478"/>
      <c r="W296" s="1467"/>
      <c r="X296" s="1491"/>
      <c r="Y296" s="1491">
        <v>10.324999999999999</v>
      </c>
      <c r="Z296" s="1480" t="s">
        <v>2037</v>
      </c>
      <c r="AA296" s="1440" t="s">
        <v>2039</v>
      </c>
      <c r="AB296" s="1461"/>
      <c r="AC296" s="1461"/>
      <c r="AD296" s="1481" t="s">
        <v>1532</v>
      </c>
      <c r="AE296" s="1461"/>
      <c r="AF296" s="1461"/>
      <c r="AG296" s="1461"/>
      <c r="BD296" s="1500" t="s">
        <v>1957</v>
      </c>
      <c r="BE296" s="1640">
        <v>10.54</v>
      </c>
      <c r="BF296" s="1500" t="s">
        <v>965</v>
      </c>
    </row>
    <row r="297" spans="1:58">
      <c r="A297" s="1499" t="s">
        <v>2045</v>
      </c>
      <c r="B297" s="1500" t="s">
        <v>1957</v>
      </c>
      <c r="C297" s="1488">
        <v>8.5</v>
      </c>
      <c r="D297" s="1500" t="s">
        <v>965</v>
      </c>
      <c r="E297" s="1578"/>
      <c r="F297" s="1519"/>
      <c r="G297" s="1520"/>
      <c r="H297" s="1524"/>
      <c r="I297" s="1579"/>
      <c r="J297" s="1500"/>
      <c r="K297" s="1499"/>
      <c r="L297" s="1578"/>
      <c r="M297" s="1519"/>
      <c r="N297" s="1520"/>
      <c r="O297" s="1578"/>
      <c r="P297" s="1519"/>
      <c r="Q297" s="1520"/>
      <c r="S297" s="1579"/>
      <c r="T297" s="1478"/>
      <c r="U297" s="1478"/>
      <c r="W297" s="1467"/>
      <c r="X297" s="1491"/>
      <c r="Y297" s="1491">
        <v>8.8333333333333339</v>
      </c>
      <c r="Z297" s="1480" t="s">
        <v>2037</v>
      </c>
      <c r="AA297" s="1440" t="s">
        <v>2039</v>
      </c>
      <c r="AB297" s="1461"/>
      <c r="AC297" s="1461"/>
      <c r="AD297" s="1481" t="s">
        <v>1532</v>
      </c>
      <c r="AE297" s="1461"/>
      <c r="AF297" s="1461"/>
      <c r="AG297" s="1461"/>
      <c r="BD297" s="1500" t="s">
        <v>1957</v>
      </c>
      <c r="BE297" s="1640">
        <v>7.1</v>
      </c>
      <c r="BF297" s="1500" t="s">
        <v>965</v>
      </c>
    </row>
    <row r="298" spans="1:58">
      <c r="A298" s="1499" t="s">
        <v>2046</v>
      </c>
      <c r="B298" s="1500" t="s">
        <v>1957</v>
      </c>
      <c r="C298" s="1488">
        <v>7.8583333333333334</v>
      </c>
      <c r="D298" s="1500" t="s">
        <v>965</v>
      </c>
      <c r="E298" s="1578"/>
      <c r="F298" s="1519"/>
      <c r="G298" s="1520"/>
      <c r="H298" s="1524"/>
      <c r="I298" s="1579"/>
      <c r="J298" s="1500"/>
      <c r="K298" s="1499"/>
      <c r="L298" s="1578"/>
      <c r="M298" s="1519"/>
      <c r="N298" s="1520"/>
      <c r="O298" s="1578"/>
      <c r="P298" s="1519"/>
      <c r="Q298" s="1520"/>
      <c r="S298" s="1579"/>
      <c r="T298" s="1478"/>
      <c r="U298" s="1478"/>
      <c r="W298" s="1467"/>
      <c r="X298" s="1491"/>
      <c r="Y298" s="1491">
        <v>7.2</v>
      </c>
      <c r="Z298" s="1480" t="s">
        <v>2037</v>
      </c>
      <c r="AA298" s="1440" t="s">
        <v>2039</v>
      </c>
      <c r="AB298" s="1461"/>
      <c r="AC298" s="1461"/>
      <c r="AD298" s="1481" t="s">
        <v>1532</v>
      </c>
      <c r="AE298" s="1461"/>
      <c r="AF298" s="1461"/>
      <c r="AG298" s="1461"/>
      <c r="BD298" s="1500" t="s">
        <v>1957</v>
      </c>
      <c r="BE298" s="1640">
        <v>7</v>
      </c>
      <c r="BF298" s="1500" t="s">
        <v>965</v>
      </c>
    </row>
    <row r="299" spans="1:58">
      <c r="A299" s="1499" t="s">
        <v>2047</v>
      </c>
      <c r="B299" s="1500" t="s">
        <v>1957</v>
      </c>
      <c r="C299" s="1488">
        <v>40.700000000000003</v>
      </c>
      <c r="D299" s="1500" t="s">
        <v>965</v>
      </c>
      <c r="E299" s="1578"/>
      <c r="F299" s="1519"/>
      <c r="G299" s="1520"/>
      <c r="H299" s="1524"/>
      <c r="I299" s="1579"/>
      <c r="J299" s="1500"/>
      <c r="K299" s="1499"/>
      <c r="L299" s="1578"/>
      <c r="M299" s="1519"/>
      <c r="N299" s="1520"/>
      <c r="O299" s="1578"/>
      <c r="P299" s="1519"/>
      <c r="Q299" s="1520"/>
      <c r="S299" s="1579"/>
      <c r="T299" s="1478"/>
      <c r="U299" s="1478"/>
      <c r="W299" s="1467"/>
      <c r="X299" s="1491"/>
      <c r="Y299" s="1491">
        <v>6.4</v>
      </c>
      <c r="Z299" s="1480" t="s">
        <v>2037</v>
      </c>
      <c r="AA299" s="1440" t="s">
        <v>2039</v>
      </c>
      <c r="AB299" s="1461"/>
      <c r="AC299" s="1461"/>
      <c r="AD299" s="1481" t="s">
        <v>1532</v>
      </c>
      <c r="AE299" s="1461"/>
      <c r="AF299" s="1461"/>
      <c r="AG299" s="1461"/>
      <c r="BD299" s="1500" t="s">
        <v>1957</v>
      </c>
      <c r="BE299" s="1641">
        <v>8.9</v>
      </c>
      <c r="BF299" s="1500" t="s">
        <v>965</v>
      </c>
    </row>
    <row r="300" spans="1:58">
      <c r="A300" s="1499" t="s">
        <v>2048</v>
      </c>
      <c r="B300" s="1500" t="s">
        <v>1957</v>
      </c>
      <c r="C300" s="1488">
        <v>8.875</v>
      </c>
      <c r="D300" s="1500" t="s">
        <v>965</v>
      </c>
      <c r="E300" s="1578"/>
      <c r="F300" s="1519"/>
      <c r="G300" s="1520"/>
      <c r="H300" s="1524"/>
      <c r="I300" s="1579"/>
      <c r="J300" s="1500"/>
      <c r="K300" s="1499"/>
      <c r="L300" s="1578"/>
      <c r="M300" s="1519"/>
      <c r="N300" s="1520"/>
      <c r="O300" s="1578"/>
      <c r="P300" s="1519"/>
      <c r="Q300" s="1520"/>
      <c r="S300" s="1579"/>
      <c r="T300" s="1478"/>
      <c r="U300" s="1478"/>
      <c r="W300" s="1467"/>
      <c r="X300" s="1491"/>
      <c r="Y300" s="1491">
        <v>8.6666666666666661</v>
      </c>
      <c r="Z300" s="1480" t="s">
        <v>2037</v>
      </c>
      <c r="AA300" s="1440" t="s">
        <v>2039</v>
      </c>
      <c r="AB300" s="1461"/>
      <c r="AC300" s="1461"/>
      <c r="AD300" s="1481" t="s">
        <v>1532</v>
      </c>
      <c r="AE300" s="1461"/>
      <c r="AF300" s="1461"/>
      <c r="AG300" s="1461"/>
      <c r="BD300" s="1500" t="s">
        <v>1957</v>
      </c>
      <c r="BE300" s="1640">
        <v>7.25</v>
      </c>
      <c r="BF300" s="1500" t="s">
        <v>965</v>
      </c>
    </row>
    <row r="301" spans="1:58" ht="13.5" thickBot="1">
      <c r="A301" s="1499" t="s">
        <v>2049</v>
      </c>
      <c r="B301" s="1500" t="s">
        <v>1957</v>
      </c>
      <c r="C301" s="1488">
        <v>15.333333333333334</v>
      </c>
      <c r="D301" s="1500" t="s">
        <v>965</v>
      </c>
      <c r="E301" s="1578"/>
      <c r="F301" s="1519"/>
      <c r="G301" s="1520"/>
      <c r="H301" s="1524"/>
      <c r="I301" s="1579"/>
      <c r="J301" s="1500"/>
      <c r="K301" s="1499"/>
      <c r="L301" s="1578"/>
      <c r="M301" s="1519"/>
      <c r="N301" s="1520"/>
      <c r="O301" s="1578"/>
      <c r="P301" s="1519"/>
      <c r="Q301" s="1520"/>
      <c r="S301" s="1579"/>
      <c r="T301" s="1478"/>
      <c r="U301" s="1478"/>
      <c r="W301" s="1467"/>
      <c r="X301" s="1491"/>
      <c r="Y301" s="1491">
        <v>11.033333333333333</v>
      </c>
      <c r="Z301" s="1480" t="s">
        <v>2037</v>
      </c>
      <c r="AA301" s="1440" t="s">
        <v>2039</v>
      </c>
      <c r="AB301" s="1461"/>
      <c r="AC301" s="1481" t="s">
        <v>1532</v>
      </c>
      <c r="AD301" s="1481" t="s">
        <v>1532</v>
      </c>
      <c r="AE301" s="1461"/>
      <c r="AF301" s="1461"/>
      <c r="AG301" s="1461"/>
      <c r="BD301" s="1500" t="s">
        <v>1957</v>
      </c>
      <c r="BE301" s="1640">
        <v>15</v>
      </c>
      <c r="BF301" s="1500" t="s">
        <v>965</v>
      </c>
    </row>
    <row r="302" spans="1:58" ht="13.5" thickBot="1">
      <c r="A302" s="1499" t="s">
        <v>2050</v>
      </c>
      <c r="B302" s="1500" t="s">
        <v>1957</v>
      </c>
      <c r="C302" s="1488">
        <v>13.75</v>
      </c>
      <c r="D302" s="1500" t="s">
        <v>965</v>
      </c>
      <c r="E302" s="1578"/>
      <c r="F302" s="1519"/>
      <c r="G302" s="1520"/>
      <c r="H302" s="1524"/>
      <c r="I302" s="1579"/>
      <c r="J302" s="1500"/>
      <c r="K302" s="1499"/>
      <c r="L302" s="1578"/>
      <c r="M302" s="1519"/>
      <c r="N302" s="1520"/>
      <c r="O302" s="1578"/>
      <c r="P302" s="1519"/>
      <c r="Q302" s="1520"/>
      <c r="S302" s="1579"/>
      <c r="T302" s="1478"/>
      <c r="U302" s="1478"/>
      <c r="W302" s="1467"/>
      <c r="X302" s="1491"/>
      <c r="Y302" s="1491">
        <v>8</v>
      </c>
      <c r="Z302" s="1480" t="s">
        <v>2037</v>
      </c>
      <c r="AA302" s="1440" t="s">
        <v>2039</v>
      </c>
      <c r="AB302" s="1461"/>
      <c r="AC302" s="1481" t="s">
        <v>1532</v>
      </c>
      <c r="AD302" s="1483"/>
      <c r="AE302" s="1484"/>
      <c r="AF302" s="1642" t="s">
        <v>2051</v>
      </c>
      <c r="AG302" s="1484"/>
      <c r="AH302" s="1557"/>
      <c r="BD302" s="1500" t="s">
        <v>1957</v>
      </c>
      <c r="BE302" s="1641">
        <v>13.75</v>
      </c>
      <c r="BF302" s="1500" t="s">
        <v>965</v>
      </c>
    </row>
    <row r="303" spans="1:58">
      <c r="A303" s="1499" t="s">
        <v>2052</v>
      </c>
      <c r="B303" s="1500" t="s">
        <v>1957</v>
      </c>
      <c r="C303" s="1488">
        <v>8.875</v>
      </c>
      <c r="D303" s="1500" t="s">
        <v>965</v>
      </c>
      <c r="E303" s="1578"/>
      <c r="F303" s="1519"/>
      <c r="G303" s="1520"/>
      <c r="H303" s="1524"/>
      <c r="I303" s="1579"/>
      <c r="J303" s="1500"/>
      <c r="K303" s="1499"/>
      <c r="L303" s="1578"/>
      <c r="M303" s="1519"/>
      <c r="N303" s="1520"/>
      <c r="O303" s="1578"/>
      <c r="P303" s="1519"/>
      <c r="Q303" s="1520"/>
      <c r="S303" s="1579"/>
      <c r="T303" s="1478"/>
      <c r="U303" s="1478"/>
      <c r="W303" s="1467"/>
      <c r="X303" s="1491"/>
      <c r="Y303" s="1491">
        <v>10.5</v>
      </c>
      <c r="Z303" s="1480" t="s">
        <v>2037</v>
      </c>
      <c r="AA303" s="1440" t="s">
        <v>2039</v>
      </c>
      <c r="AB303" s="1461"/>
      <c r="AC303" s="1481" t="s">
        <v>1532</v>
      </c>
      <c r="AD303" s="1493"/>
      <c r="AE303" s="1494"/>
      <c r="AF303" s="1494"/>
      <c r="AG303" s="1496"/>
      <c r="AH303" s="1643"/>
      <c r="BD303" s="1500" t="s">
        <v>1957</v>
      </c>
      <c r="BE303" s="1641">
        <v>12</v>
      </c>
      <c r="BF303" s="1500" t="s">
        <v>965</v>
      </c>
    </row>
    <row r="304" spans="1:58" ht="13.5" thickBot="1">
      <c r="A304" s="1499" t="s">
        <v>2053</v>
      </c>
      <c r="B304" s="1500" t="s">
        <v>1957</v>
      </c>
      <c r="C304" s="1488">
        <v>144.33333333333334</v>
      </c>
      <c r="D304" s="1500" t="s">
        <v>965</v>
      </c>
      <c r="E304" s="1578"/>
      <c r="F304" s="1519"/>
      <c r="G304" s="1520"/>
      <c r="H304" s="1524"/>
      <c r="I304" s="1579"/>
      <c r="J304" s="1500"/>
      <c r="K304" s="1499"/>
      <c r="L304" s="1578"/>
      <c r="M304" s="1519"/>
      <c r="N304" s="1520"/>
      <c r="O304" s="1578"/>
      <c r="P304" s="1519"/>
      <c r="Q304" s="1520"/>
      <c r="S304" s="1579"/>
      <c r="T304" s="1478"/>
      <c r="U304" s="1478"/>
      <c r="W304" s="1467"/>
      <c r="X304" s="1491"/>
      <c r="Y304" s="1491">
        <v>182.38</v>
      </c>
      <c r="Z304" s="1480" t="s">
        <v>2037</v>
      </c>
      <c r="AA304" s="1440" t="s">
        <v>2039</v>
      </c>
      <c r="AB304" s="1461"/>
      <c r="AC304" s="1481" t="s">
        <v>1532</v>
      </c>
      <c r="AD304" s="1503"/>
      <c r="AE304" s="1504"/>
      <c r="AF304" s="1504"/>
      <c r="AG304" s="1506"/>
      <c r="AH304" s="1584"/>
      <c r="BD304" s="1500" t="s">
        <v>1957</v>
      </c>
      <c r="BE304" s="1641">
        <v>165.75</v>
      </c>
      <c r="BF304" s="1500" t="s">
        <v>965</v>
      </c>
    </row>
    <row r="305" spans="1:58" ht="13.5" thickBot="1">
      <c r="A305" s="1499" t="s">
        <v>2054</v>
      </c>
      <c r="B305" s="1500" t="s">
        <v>1957</v>
      </c>
      <c r="C305" s="1488">
        <v>78.666666666666671</v>
      </c>
      <c r="D305" s="1500" t="s">
        <v>965</v>
      </c>
      <c r="E305" s="1578"/>
      <c r="F305" s="1519"/>
      <c r="G305" s="1520"/>
      <c r="H305" s="1524"/>
      <c r="I305" s="1579"/>
      <c r="J305" s="1500"/>
      <c r="K305" s="1499"/>
      <c r="L305" s="1578"/>
      <c r="M305" s="1519"/>
      <c r="N305" s="1520"/>
      <c r="O305" s="1578"/>
      <c r="P305" s="1519"/>
      <c r="Q305" s="1520"/>
      <c r="S305" s="1579"/>
      <c r="T305" s="1478"/>
      <c r="U305" s="1478"/>
      <c r="W305" s="1467"/>
      <c r="X305" s="1491"/>
      <c r="Y305" s="1491">
        <v>80</v>
      </c>
      <c r="Z305" s="1480" t="s">
        <v>2037</v>
      </c>
      <c r="AA305" s="1440" t="s">
        <v>2039</v>
      </c>
      <c r="AB305" s="1461"/>
      <c r="AC305" s="1481" t="s">
        <v>1532</v>
      </c>
      <c r="AD305" s="1508"/>
      <c r="AE305" s="1504"/>
      <c r="AF305" s="1644" t="s">
        <v>1683</v>
      </c>
      <c r="AG305" s="1644" t="s">
        <v>572</v>
      </c>
      <c r="AH305" s="1645" t="s">
        <v>2055</v>
      </c>
      <c r="AJ305" s="1493"/>
      <c r="AK305" s="1494"/>
      <c r="AL305" s="1494"/>
      <c r="AM305" s="1495" t="s">
        <v>2056</v>
      </c>
      <c r="AN305" s="1494"/>
      <c r="AO305" s="1494"/>
      <c r="AP305" s="1494"/>
      <c r="AQ305" s="1494"/>
      <c r="AR305" s="1494"/>
      <c r="AS305" s="1557"/>
      <c r="BD305" s="1500" t="s">
        <v>1957</v>
      </c>
      <c r="BE305" s="1641">
        <v>78.666666666666671</v>
      </c>
      <c r="BF305" s="1500" t="s">
        <v>965</v>
      </c>
    </row>
    <row r="306" spans="1:58" ht="13.5" thickBot="1">
      <c r="A306" s="1499" t="s">
        <v>2057</v>
      </c>
      <c r="B306" s="1500" t="s">
        <v>1957</v>
      </c>
      <c r="C306" s="1488">
        <f>AVERAGE(C292:C303)</f>
        <v>13.159722222222221</v>
      </c>
      <c r="D306" s="1500" t="s">
        <v>965</v>
      </c>
      <c r="E306" s="1578"/>
      <c r="F306" s="1519"/>
      <c r="G306" s="1520"/>
      <c r="H306" s="1524"/>
      <c r="I306" s="1579"/>
      <c r="J306" s="1500"/>
      <c r="K306" s="1499"/>
      <c r="L306" s="1578"/>
      <c r="M306" s="1519"/>
      <c r="N306" s="1520"/>
      <c r="O306" s="1578"/>
      <c r="P306" s="1519"/>
      <c r="Q306" s="1520"/>
      <c r="S306" s="1579"/>
      <c r="T306" s="1478"/>
      <c r="U306" s="1478"/>
      <c r="W306" s="1467"/>
      <c r="X306" s="1491"/>
      <c r="Y306" s="1491">
        <v>9.2423611111111121</v>
      </c>
      <c r="Z306" s="1480" t="s">
        <v>2037</v>
      </c>
      <c r="AA306" s="1440" t="s">
        <v>2058</v>
      </c>
      <c r="AB306" s="1461"/>
      <c r="AC306" s="1481" t="s">
        <v>1532</v>
      </c>
      <c r="AD306" s="1646" t="s">
        <v>2059</v>
      </c>
      <c r="AE306" s="1504"/>
      <c r="AF306" s="1568">
        <v>93.75</v>
      </c>
      <c r="AG306" s="1647">
        <v>50</v>
      </c>
      <c r="AH306" s="1648">
        <f>+AF306/AG306</f>
        <v>1.875</v>
      </c>
      <c r="AJ306" s="1483"/>
      <c r="AK306" s="1484"/>
      <c r="AL306" s="1484" t="s">
        <v>2060</v>
      </c>
      <c r="AM306" s="1484" t="s">
        <v>2059</v>
      </c>
      <c r="AN306" s="1484" t="s">
        <v>2061</v>
      </c>
      <c r="AO306" s="1484" t="s">
        <v>2062</v>
      </c>
      <c r="AP306" s="1484" t="s">
        <v>2063</v>
      </c>
      <c r="AQ306" s="1484" t="s">
        <v>2064</v>
      </c>
      <c r="AR306" s="1484" t="s">
        <v>2065</v>
      </c>
      <c r="AS306" s="1649" t="s">
        <v>2066</v>
      </c>
      <c r="BD306" s="1500" t="s">
        <v>1957</v>
      </c>
      <c r="BE306" s="1488">
        <v>8.57</v>
      </c>
      <c r="BF306" s="1500" t="s">
        <v>965</v>
      </c>
    </row>
    <row r="307" spans="1:58">
      <c r="A307" s="1499" t="s">
        <v>2067</v>
      </c>
      <c r="B307" s="1500" t="s">
        <v>1957</v>
      </c>
      <c r="C307" s="1488">
        <f>+AS307</f>
        <v>4.2816666666666663</v>
      </c>
      <c r="D307" s="1500" t="s">
        <v>965</v>
      </c>
      <c r="E307" s="1578"/>
      <c r="F307" s="1519"/>
      <c r="G307" s="1520"/>
      <c r="H307" s="1524"/>
      <c r="I307" s="1579"/>
      <c r="J307" s="1500"/>
      <c r="K307" s="1499"/>
      <c r="L307" s="1578"/>
      <c r="M307" s="1519"/>
      <c r="N307" s="1520"/>
      <c r="O307" s="1578"/>
      <c r="P307" s="1519"/>
      <c r="Q307" s="1520"/>
      <c r="S307" s="1579"/>
      <c r="T307" s="1478"/>
      <c r="U307" s="1478"/>
      <c r="W307" s="1467"/>
      <c r="X307" s="1491"/>
      <c r="Y307" s="1491">
        <v>2</v>
      </c>
      <c r="Z307" s="1480" t="s">
        <v>1751</v>
      </c>
      <c r="AA307" s="1440" t="s">
        <v>2068</v>
      </c>
      <c r="AB307" s="1461"/>
      <c r="AC307" s="1481" t="s">
        <v>1532</v>
      </c>
      <c r="AD307" s="1646" t="s">
        <v>2069</v>
      </c>
      <c r="AE307" s="1504"/>
      <c r="AF307" s="1533">
        <v>2.15</v>
      </c>
      <c r="AG307" s="1647">
        <v>1</v>
      </c>
      <c r="AH307" s="1648">
        <f>+AF307/AG307</f>
        <v>2.15</v>
      </c>
      <c r="AJ307" s="1650" t="s">
        <v>2070</v>
      </c>
      <c r="AK307" s="1504"/>
      <c r="AL307" s="1651">
        <f>42.95/10</f>
        <v>4.2949999999999999</v>
      </c>
      <c r="AM307" s="1651">
        <v>4.8</v>
      </c>
      <c r="AN307" s="1651">
        <v>3.75</v>
      </c>
      <c r="AO307" s="1651"/>
      <c r="AP307" s="1651"/>
      <c r="AQ307" s="1651"/>
      <c r="AR307" s="1651"/>
      <c r="AS307" s="1652">
        <f>AVERAGE(AL307:AR307)</f>
        <v>4.2816666666666663</v>
      </c>
      <c r="BD307" s="1500" t="s">
        <v>1957</v>
      </c>
      <c r="BE307" s="1640">
        <v>1.68</v>
      </c>
      <c r="BF307" s="1500" t="s">
        <v>965</v>
      </c>
    </row>
    <row r="308" spans="1:58">
      <c r="A308" s="1499" t="s">
        <v>2071</v>
      </c>
      <c r="B308" s="1500" t="s">
        <v>1957</v>
      </c>
      <c r="C308" s="1488">
        <f t="shared" ref="C308:C315" si="42">+AS308</f>
        <v>2.0975000000000001</v>
      </c>
      <c r="D308" s="1500" t="s">
        <v>965</v>
      </c>
      <c r="E308" s="1578"/>
      <c r="F308" s="1519"/>
      <c r="G308" s="1520"/>
      <c r="H308" s="1524"/>
      <c r="I308" s="1579"/>
      <c r="J308" s="1500"/>
      <c r="K308" s="1499"/>
      <c r="L308" s="1578"/>
      <c r="M308" s="1519"/>
      <c r="N308" s="1520"/>
      <c r="O308" s="1578"/>
      <c r="P308" s="1519"/>
      <c r="Q308" s="1520"/>
      <c r="S308" s="1579"/>
      <c r="T308" s="1478"/>
      <c r="U308" s="1478"/>
      <c r="W308" s="1467"/>
      <c r="X308" s="1491"/>
      <c r="Y308" s="1491">
        <v>1.3</v>
      </c>
      <c r="Z308" s="1480" t="s">
        <v>1751</v>
      </c>
      <c r="AA308" s="1440" t="s">
        <v>2068</v>
      </c>
      <c r="AB308" s="1461"/>
      <c r="AC308" s="1481" t="s">
        <v>1532</v>
      </c>
      <c r="AD308" s="1646" t="s">
        <v>2072</v>
      </c>
      <c r="AE308" s="1504"/>
      <c r="AF308" s="1533">
        <v>1.65</v>
      </c>
      <c r="AG308" s="1647">
        <v>1</v>
      </c>
      <c r="AH308" s="1648">
        <f>+AF308/AG308</f>
        <v>1.65</v>
      </c>
      <c r="AJ308" s="1650" t="s">
        <v>480</v>
      </c>
      <c r="AK308" s="1504"/>
      <c r="AL308" s="1651">
        <f>28.95/10</f>
        <v>2.895</v>
      </c>
      <c r="AM308" s="1651"/>
      <c r="AN308" s="1651">
        <v>1.3</v>
      </c>
      <c r="AO308" s="1651"/>
      <c r="AP308" s="1651"/>
      <c r="AQ308" s="1651"/>
      <c r="AR308" s="1651"/>
      <c r="AS308" s="1652">
        <f t="shared" ref="AS308:AS315" si="43">AVERAGE(AL308:AR308)</f>
        <v>2.0975000000000001</v>
      </c>
      <c r="BD308" s="1500" t="s">
        <v>1957</v>
      </c>
      <c r="BE308" s="1640">
        <v>1.61</v>
      </c>
      <c r="BF308" s="1500" t="s">
        <v>965</v>
      </c>
    </row>
    <row r="309" spans="1:58">
      <c r="A309" s="1499" t="s">
        <v>2073</v>
      </c>
      <c r="B309" s="1500" t="s">
        <v>1957</v>
      </c>
      <c r="C309" s="1488">
        <v>3.5</v>
      </c>
      <c r="D309" s="1500" t="s">
        <v>965</v>
      </c>
      <c r="E309" s="1578"/>
      <c r="F309" s="1519"/>
      <c r="G309" s="1520"/>
      <c r="H309" s="1524"/>
      <c r="I309" s="1579"/>
      <c r="J309" s="1500"/>
      <c r="K309" s="1499"/>
      <c r="L309" s="1578"/>
      <c r="M309" s="1519"/>
      <c r="N309" s="1520"/>
      <c r="O309" s="1578"/>
      <c r="P309" s="1519"/>
      <c r="Q309" s="1520"/>
      <c r="S309" s="1579"/>
      <c r="T309" s="1478"/>
      <c r="U309" s="1478"/>
      <c r="W309" s="1467"/>
      <c r="X309" s="1491"/>
      <c r="Y309" s="1491">
        <v>3</v>
      </c>
      <c r="Z309" s="1480" t="s">
        <v>1751</v>
      </c>
      <c r="AA309" s="1440" t="s">
        <v>2068</v>
      </c>
      <c r="AB309" s="1461"/>
      <c r="AC309" s="1481" t="s">
        <v>1532</v>
      </c>
      <c r="AD309" s="1566" t="s">
        <v>2074</v>
      </c>
      <c r="AE309" s="1504"/>
      <c r="AF309" s="1653">
        <v>69.97</v>
      </c>
      <c r="AG309" s="1647">
        <v>50</v>
      </c>
      <c r="AH309" s="1648">
        <f>+AF309/AG309</f>
        <v>1.3994</v>
      </c>
      <c r="AJ309" s="1650" t="s">
        <v>2075</v>
      </c>
      <c r="AK309" s="1504"/>
      <c r="AL309" s="1651">
        <v>11.95</v>
      </c>
      <c r="AM309" s="1651"/>
      <c r="AN309" s="1651"/>
      <c r="AO309" s="1651"/>
      <c r="AP309" s="1651">
        <f>158.5/50</f>
        <v>3.17</v>
      </c>
      <c r="AQ309" s="1651">
        <v>5.0999999999999996</v>
      </c>
      <c r="AR309" s="1651"/>
      <c r="AS309" s="1652">
        <f t="shared" si="43"/>
        <v>6.7399999999999993</v>
      </c>
      <c r="BD309" s="1500" t="s">
        <v>1957</v>
      </c>
      <c r="BE309" s="1640">
        <v>2.75</v>
      </c>
      <c r="BF309" s="1500" t="s">
        <v>965</v>
      </c>
    </row>
    <row r="310" spans="1:58" ht="13.5" thickBot="1">
      <c r="A310" s="1499" t="s">
        <v>2076</v>
      </c>
      <c r="B310" s="1500" t="s">
        <v>1957</v>
      </c>
      <c r="C310" s="1488">
        <f t="shared" si="42"/>
        <v>2.3449999999999998</v>
      </c>
      <c r="D310" s="1500" t="s">
        <v>965</v>
      </c>
      <c r="E310" s="1578"/>
      <c r="F310" s="1519"/>
      <c r="G310" s="1520"/>
      <c r="H310" s="1524"/>
      <c r="I310" s="1579"/>
      <c r="J310" s="1500"/>
      <c r="K310" s="1499"/>
      <c r="L310" s="1578"/>
      <c r="M310" s="1519"/>
      <c r="N310" s="1520"/>
      <c r="O310" s="1578"/>
      <c r="P310" s="1519"/>
      <c r="Q310" s="1520"/>
      <c r="S310" s="1579"/>
      <c r="T310" s="1478"/>
      <c r="U310" s="1478"/>
      <c r="W310" s="1467"/>
      <c r="X310" s="1491"/>
      <c r="Y310" s="1491">
        <v>1.7686000000000002</v>
      </c>
      <c r="Z310" s="1480" t="s">
        <v>1751</v>
      </c>
      <c r="AA310" s="1440" t="s">
        <v>2077</v>
      </c>
      <c r="AB310" s="1461"/>
      <c r="AC310" s="1481" t="s">
        <v>1532</v>
      </c>
      <c r="AD310" s="1535"/>
      <c r="AE310" s="1536"/>
      <c r="AF310" s="1536"/>
      <c r="AG310" s="1654" t="s">
        <v>1549</v>
      </c>
      <c r="AH310" s="1655">
        <f>AVERAGE(AH306:AH309)</f>
        <v>1.7686000000000002</v>
      </c>
      <c r="AJ310" s="1650" t="s">
        <v>2078</v>
      </c>
      <c r="AK310" s="1504"/>
      <c r="AL310" s="1651"/>
      <c r="AM310" s="1651">
        <f>15.95/5</f>
        <v>3.19</v>
      </c>
      <c r="AN310" s="1651">
        <v>1.5</v>
      </c>
      <c r="AO310" s="1651"/>
      <c r="AP310" s="1651"/>
      <c r="AQ310" s="1651"/>
      <c r="AR310" s="1651"/>
      <c r="AS310" s="1652">
        <f t="shared" si="43"/>
        <v>2.3449999999999998</v>
      </c>
      <c r="BD310" s="1500" t="s">
        <v>1957</v>
      </c>
      <c r="BE310" s="1488">
        <v>2.35</v>
      </c>
      <c r="BF310" s="1500" t="s">
        <v>965</v>
      </c>
    </row>
    <row r="311" spans="1:58">
      <c r="A311" s="1499" t="s">
        <v>2079</v>
      </c>
      <c r="B311" s="1500" t="s">
        <v>1957</v>
      </c>
      <c r="C311" s="1488">
        <f t="shared" si="42"/>
        <v>6.9975000000000005</v>
      </c>
      <c r="D311" s="1500" t="s">
        <v>965</v>
      </c>
      <c r="E311" s="1578"/>
      <c r="F311" s="1519"/>
      <c r="G311" s="1520"/>
      <c r="H311" s="1524"/>
      <c r="I311" s="1579"/>
      <c r="J311" s="1500"/>
      <c r="K311" s="1499"/>
      <c r="L311" s="1578"/>
      <c r="M311" s="1519"/>
      <c r="N311" s="1520"/>
      <c r="O311" s="1578"/>
      <c r="P311" s="1519"/>
      <c r="Q311" s="1520"/>
      <c r="S311" s="1579"/>
      <c r="T311" s="1478"/>
      <c r="U311" s="1478"/>
      <c r="W311" s="1467"/>
      <c r="X311" s="1491"/>
      <c r="Y311" s="1491">
        <v>6</v>
      </c>
      <c r="Z311" s="1480" t="s">
        <v>1751</v>
      </c>
      <c r="AA311" s="1440" t="s">
        <v>2080</v>
      </c>
      <c r="AB311" s="1461"/>
      <c r="AC311" s="1461"/>
      <c r="AD311" s="1481" t="s">
        <v>1532</v>
      </c>
      <c r="AE311" s="1504"/>
      <c r="AF311" s="1504"/>
      <c r="AG311" s="1497"/>
      <c r="AH311" s="1656"/>
      <c r="AJ311" s="1650" t="s">
        <v>2081</v>
      </c>
      <c r="AK311" s="1504"/>
      <c r="AL311" s="1651">
        <f>59.95/10</f>
        <v>5.9950000000000001</v>
      </c>
      <c r="AM311" s="1651"/>
      <c r="AN311" s="1651">
        <v>8</v>
      </c>
      <c r="AO311" s="1651"/>
      <c r="AP311" s="1651"/>
      <c r="AQ311" s="1651"/>
      <c r="AR311" s="1651"/>
      <c r="AS311" s="1652">
        <f t="shared" si="43"/>
        <v>6.9975000000000005</v>
      </c>
      <c r="BD311" s="1500" t="s">
        <v>1957</v>
      </c>
      <c r="BE311" s="1488">
        <v>7</v>
      </c>
      <c r="BF311" s="1500" t="s">
        <v>965</v>
      </c>
    </row>
    <row r="312" spans="1:58">
      <c r="A312" s="1499" t="s">
        <v>2082</v>
      </c>
      <c r="B312" s="1500" t="s">
        <v>1957</v>
      </c>
      <c r="C312" s="1488">
        <f t="shared" si="42"/>
        <v>0.30972222222222218</v>
      </c>
      <c r="D312" s="1500" t="s">
        <v>965</v>
      </c>
      <c r="E312" s="1578"/>
      <c r="F312" s="1519"/>
      <c r="G312" s="1520"/>
      <c r="H312" s="1524"/>
      <c r="I312" s="1579"/>
      <c r="J312" s="1500"/>
      <c r="K312" s="1499"/>
      <c r="L312" s="1578"/>
      <c r="M312" s="1519"/>
      <c r="N312" s="1520"/>
      <c r="O312" s="1578"/>
      <c r="P312" s="1519"/>
      <c r="Q312" s="1520"/>
      <c r="S312" s="1579"/>
      <c r="T312" s="1478"/>
      <c r="U312" s="1478"/>
      <c r="W312" s="1467"/>
      <c r="X312" s="1491"/>
      <c r="Y312" s="1491">
        <v>0.19166666666666668</v>
      </c>
      <c r="Z312" s="1480" t="s">
        <v>1751</v>
      </c>
      <c r="AA312" s="1440" t="s">
        <v>2083</v>
      </c>
      <c r="AB312" s="1461"/>
      <c r="AC312" s="1461"/>
      <c r="AD312" s="1481" t="s">
        <v>1532</v>
      </c>
      <c r="AE312" s="1504"/>
      <c r="AF312" s="1504"/>
      <c r="AG312" s="1497"/>
      <c r="AH312" s="1656"/>
      <c r="AJ312" s="1650" t="s">
        <v>2084</v>
      </c>
      <c r="AK312" s="1504"/>
      <c r="AL312" s="1651"/>
      <c r="AM312" s="1651"/>
      <c r="AN312" s="1651"/>
      <c r="AO312" s="1651"/>
      <c r="AP312" s="1651"/>
      <c r="AQ312" s="1651"/>
      <c r="AR312" s="1651">
        <f>(16.75/60+18/60+21/60)/3</f>
        <v>0.30972222222222218</v>
      </c>
      <c r="AS312" s="1652">
        <f t="shared" si="43"/>
        <v>0.30972222222222218</v>
      </c>
      <c r="BD312" s="1500" t="s">
        <v>1957</v>
      </c>
      <c r="BE312" s="1488">
        <v>0.31</v>
      </c>
      <c r="BF312" s="1500" t="s">
        <v>965</v>
      </c>
    </row>
    <row r="313" spans="1:58">
      <c r="A313" s="1499" t="s">
        <v>2085</v>
      </c>
      <c r="B313" s="1500" t="s">
        <v>1957</v>
      </c>
      <c r="C313" s="1488">
        <f t="shared" si="42"/>
        <v>1.1966666666666665</v>
      </c>
      <c r="D313" s="1500" t="s">
        <v>965</v>
      </c>
      <c r="E313" s="1578"/>
      <c r="F313" s="1519"/>
      <c r="G313" s="1520"/>
      <c r="H313" s="1524"/>
      <c r="I313" s="1579"/>
      <c r="J313" s="1500"/>
      <c r="K313" s="1499"/>
      <c r="L313" s="1578"/>
      <c r="M313" s="1519"/>
      <c r="N313" s="1520"/>
      <c r="O313" s="1578"/>
      <c r="P313" s="1519"/>
      <c r="Q313" s="1520"/>
      <c r="S313" s="1579"/>
      <c r="T313" s="1478"/>
      <c r="U313" s="1478"/>
      <c r="W313" s="1467"/>
      <c r="X313" s="1491"/>
      <c r="Y313" s="1491">
        <v>0.75</v>
      </c>
      <c r="Z313" s="1480" t="s">
        <v>1751</v>
      </c>
      <c r="AA313" s="1440" t="s">
        <v>2086</v>
      </c>
      <c r="AB313" s="1461"/>
      <c r="AC313" s="1461"/>
      <c r="AD313" s="1481" t="s">
        <v>1532</v>
      </c>
      <c r="AE313" s="1504"/>
      <c r="AF313" s="1504"/>
      <c r="AG313" s="1497"/>
      <c r="AH313" s="1656"/>
      <c r="AJ313" s="1650" t="s">
        <v>2087</v>
      </c>
      <c r="AK313" s="1504"/>
      <c r="AL313" s="1651">
        <f>16.95/10</f>
        <v>1.6949999999999998</v>
      </c>
      <c r="AM313" s="1651"/>
      <c r="AN313" s="1651"/>
      <c r="AO313" s="1651">
        <v>0.75</v>
      </c>
      <c r="AP313" s="1651">
        <f>57.25/50</f>
        <v>1.145</v>
      </c>
      <c r="AQ313" s="1657"/>
      <c r="AR313" s="1651"/>
      <c r="AS313" s="1652">
        <f t="shared" si="43"/>
        <v>1.1966666666666665</v>
      </c>
      <c r="BD313" s="1500" t="s">
        <v>1957</v>
      </c>
      <c r="BE313" s="1639">
        <v>0.31</v>
      </c>
      <c r="BF313" s="1500" t="s">
        <v>965</v>
      </c>
    </row>
    <row r="314" spans="1:58">
      <c r="A314" s="1499" t="s">
        <v>2088</v>
      </c>
      <c r="B314" s="1500" t="s">
        <v>1957</v>
      </c>
      <c r="C314" s="1488">
        <f t="shared" si="42"/>
        <v>2.66</v>
      </c>
      <c r="D314" s="1500" t="s">
        <v>965</v>
      </c>
      <c r="E314" s="1578"/>
      <c r="F314" s="1519"/>
      <c r="G314" s="1520"/>
      <c r="H314" s="1524"/>
      <c r="I314" s="1579"/>
      <c r="J314" s="1500"/>
      <c r="K314" s="1499"/>
      <c r="L314" s="1578"/>
      <c r="M314" s="1519"/>
      <c r="N314" s="1520"/>
      <c r="O314" s="1578"/>
      <c r="P314" s="1519"/>
      <c r="Q314" s="1520"/>
      <c r="S314" s="1579"/>
      <c r="T314" s="1478"/>
      <c r="U314" s="1478"/>
      <c r="W314" s="1467"/>
      <c r="X314" s="1491"/>
      <c r="Y314" s="1491">
        <v>2</v>
      </c>
      <c r="Z314" s="1480" t="s">
        <v>1751</v>
      </c>
      <c r="AA314" s="1440" t="s">
        <v>2089</v>
      </c>
      <c r="AB314" s="1461"/>
      <c r="AC314" s="1461"/>
      <c r="AD314" s="1481" t="s">
        <v>1532</v>
      </c>
      <c r="AE314" s="1504"/>
      <c r="AF314" s="1504"/>
      <c r="AG314" s="1497"/>
      <c r="AH314" s="1656"/>
      <c r="AJ314" s="1650" t="s">
        <v>2090</v>
      </c>
      <c r="AK314" s="1504"/>
      <c r="AL314" s="1651"/>
      <c r="AM314" s="1651">
        <f>127.5/50</f>
        <v>2.5499999999999998</v>
      </c>
      <c r="AN314" s="1651"/>
      <c r="AO314" s="1651"/>
      <c r="AP314" s="1651">
        <f>126.5/50</f>
        <v>2.5299999999999998</v>
      </c>
      <c r="AQ314" s="1651">
        <v>2.9</v>
      </c>
      <c r="AR314" s="1651"/>
      <c r="AS314" s="1652">
        <f t="shared" si="43"/>
        <v>2.66</v>
      </c>
      <c r="BD314" s="1500" t="s">
        <v>1957</v>
      </c>
      <c r="BE314" s="1488">
        <v>2.66</v>
      </c>
      <c r="BF314" s="1500" t="s">
        <v>965</v>
      </c>
    </row>
    <row r="315" spans="1:58" ht="13.5" thickBot="1">
      <c r="A315" s="1499" t="s">
        <v>2091</v>
      </c>
      <c r="B315" s="1500" t="s">
        <v>1957</v>
      </c>
      <c r="C315" s="1488">
        <f t="shared" si="42"/>
        <v>1.5</v>
      </c>
      <c r="D315" s="1500" t="s">
        <v>965</v>
      </c>
      <c r="E315" s="1578"/>
      <c r="F315" s="1519"/>
      <c r="G315" s="1520"/>
      <c r="H315" s="1524"/>
      <c r="I315" s="1579"/>
      <c r="J315" s="1500"/>
      <c r="K315" s="1499"/>
      <c r="L315" s="1578"/>
      <c r="M315" s="1519"/>
      <c r="N315" s="1520"/>
      <c r="O315" s="1578"/>
      <c r="P315" s="1519"/>
      <c r="Q315" s="1520"/>
      <c r="S315" s="1579"/>
      <c r="T315" s="1478"/>
      <c r="U315" s="1478"/>
      <c r="W315" s="1467"/>
      <c r="X315" s="1491"/>
      <c r="Y315" s="1491">
        <v>1.5</v>
      </c>
      <c r="Z315" s="1480" t="s">
        <v>1751</v>
      </c>
      <c r="AA315" s="1440" t="s">
        <v>2092</v>
      </c>
      <c r="AB315" s="1461"/>
      <c r="AC315" s="1461"/>
      <c r="AD315" s="1481" t="s">
        <v>1532</v>
      </c>
      <c r="AE315" s="1504"/>
      <c r="AF315" s="1504"/>
      <c r="AG315" s="1497"/>
      <c r="AH315" s="1656"/>
      <c r="AJ315" s="1658" t="s">
        <v>2093</v>
      </c>
      <c r="AK315" s="1536"/>
      <c r="AL315" s="1659"/>
      <c r="AM315" s="1659"/>
      <c r="AN315" s="1659"/>
      <c r="AO315" s="1659"/>
      <c r="AP315" s="1659"/>
      <c r="AQ315" s="1659">
        <v>1.5</v>
      </c>
      <c r="AR315" s="1659"/>
      <c r="AS315" s="1655">
        <f t="shared" si="43"/>
        <v>1.5</v>
      </c>
      <c r="BD315" s="1500" t="s">
        <v>1957</v>
      </c>
      <c r="BE315" s="1488">
        <v>1.5</v>
      </c>
      <c r="BF315" s="1500" t="s">
        <v>965</v>
      </c>
    </row>
    <row r="316" spans="1:58">
      <c r="A316" s="1499" t="s">
        <v>2094</v>
      </c>
      <c r="B316" s="1524" t="s">
        <v>1268</v>
      </c>
      <c r="C316" s="1488">
        <f>+Y316*1.07</f>
        <v>1.5729</v>
      </c>
      <c r="D316" s="1500" t="s">
        <v>965</v>
      </c>
      <c r="E316" s="1578" t="s">
        <v>1268</v>
      </c>
      <c r="F316" s="1519"/>
      <c r="G316" s="1520"/>
      <c r="H316" s="1524" t="s">
        <v>1268</v>
      </c>
      <c r="I316" s="1579"/>
      <c r="J316" s="1500" t="s">
        <v>965</v>
      </c>
      <c r="K316" s="1499"/>
      <c r="L316" s="1578" t="s">
        <v>1268</v>
      </c>
      <c r="M316" s="1519"/>
      <c r="N316" s="1520"/>
      <c r="O316" s="1578" t="s">
        <v>1268</v>
      </c>
      <c r="P316" s="1519"/>
      <c r="Q316" s="1520"/>
      <c r="S316" s="1579">
        <v>1.4</v>
      </c>
      <c r="T316" s="1478" t="e">
        <f>AVERAGE(F316,I316,M316)</f>
        <v>#DIV/0!</v>
      </c>
      <c r="U316" s="1478">
        <f t="shared" si="36"/>
        <v>1.4</v>
      </c>
      <c r="W316" s="1467">
        <v>1.4</v>
      </c>
      <c r="X316" s="1491">
        <f>+S316*1.05</f>
        <v>1.47</v>
      </c>
      <c r="Y316" s="1491">
        <v>1.47</v>
      </c>
      <c r="Z316" s="1492" t="s">
        <v>1547</v>
      </c>
      <c r="AB316" s="1461"/>
      <c r="AC316" s="1461"/>
      <c r="AD316" s="1481" t="s">
        <v>1532</v>
      </c>
      <c r="BD316" s="1524" t="s">
        <v>1268</v>
      </c>
      <c r="BE316" s="1488">
        <v>1.57</v>
      </c>
      <c r="BF316" s="1500" t="s">
        <v>965</v>
      </c>
    </row>
    <row r="317" spans="1:58">
      <c r="A317" s="1487" t="s">
        <v>2095</v>
      </c>
      <c r="B317" s="1482" t="s">
        <v>619</v>
      </c>
      <c r="C317" s="1488" t="s">
        <v>1576</v>
      </c>
      <c r="D317" s="1482" t="s">
        <v>965</v>
      </c>
      <c r="E317" s="1472" t="s">
        <v>619</v>
      </c>
      <c r="F317" s="1489"/>
      <c r="G317" s="1474"/>
      <c r="H317" s="1475" t="s">
        <v>619</v>
      </c>
      <c r="J317" s="1475" t="s">
        <v>965</v>
      </c>
      <c r="K317" s="1477"/>
      <c r="L317" s="1472" t="s">
        <v>619</v>
      </c>
      <c r="M317" s="1489"/>
      <c r="N317" s="1474"/>
      <c r="O317" s="1472" t="s">
        <v>619</v>
      </c>
      <c r="P317" s="1489"/>
      <c r="Q317" s="1474"/>
      <c r="S317" s="1490">
        <v>41</v>
      </c>
      <c r="T317" s="1478" t="e">
        <f>AVERAGE(F317,I317,M317)</f>
        <v>#DIV/0!</v>
      </c>
      <c r="U317" s="1478">
        <f t="shared" si="36"/>
        <v>41</v>
      </c>
      <c r="W317" s="1467">
        <v>41</v>
      </c>
      <c r="X317" s="1491">
        <f>+S317*1.05</f>
        <v>43.050000000000004</v>
      </c>
      <c r="Y317" s="1491">
        <v>43.05</v>
      </c>
      <c r="Z317" s="1554" t="s">
        <v>1576</v>
      </c>
      <c r="AB317" s="1461"/>
      <c r="AC317" s="1461"/>
      <c r="AD317" s="1481" t="s">
        <v>1532</v>
      </c>
      <c r="BD317" s="1482" t="s">
        <v>619</v>
      </c>
      <c r="BE317" s="1488" t="s">
        <v>1576</v>
      </c>
      <c r="BF317" s="1482" t="s">
        <v>965</v>
      </c>
    </row>
    <row r="318" spans="1:58" s="1440" customFormat="1" ht="12.75" customHeight="1">
      <c r="A318" s="1487" t="s">
        <v>2096</v>
      </c>
      <c r="B318" s="1482" t="s">
        <v>761</v>
      </c>
      <c r="C318" s="1488">
        <f>+Y318*1</f>
        <v>4</v>
      </c>
      <c r="D318" s="1482" t="s">
        <v>965</v>
      </c>
      <c r="E318" s="1544"/>
      <c r="F318" s="1619"/>
      <c r="G318" s="1546"/>
      <c r="H318" s="1547"/>
      <c r="I318" s="1622"/>
      <c r="J318" s="1547"/>
      <c r="K318" s="1549"/>
      <c r="L318" s="1544"/>
      <c r="M318" s="1619"/>
      <c r="N318" s="1546"/>
      <c r="O318" s="1544"/>
      <c r="P318" s="1619"/>
      <c r="Q318" s="1546"/>
      <c r="S318" s="1622"/>
      <c r="T318" s="1550"/>
      <c r="U318" s="1550"/>
      <c r="V318" s="1551"/>
      <c r="W318" s="1552"/>
      <c r="X318" s="1553"/>
      <c r="Y318" s="1491">
        <v>4</v>
      </c>
      <c r="Z318" s="1554" t="s">
        <v>1610</v>
      </c>
      <c r="AA318" s="1440" t="s">
        <v>1922</v>
      </c>
      <c r="AD318" s="1481" t="s">
        <v>1532</v>
      </c>
      <c r="BD318" s="1482" t="s">
        <v>761</v>
      </c>
      <c r="BE318" s="1488">
        <v>6</v>
      </c>
      <c r="BF318" s="1482" t="s">
        <v>965</v>
      </c>
    </row>
    <row r="319" spans="1:58">
      <c r="A319" s="1630" t="s">
        <v>2097</v>
      </c>
      <c r="B319" s="1562" t="s">
        <v>619</v>
      </c>
      <c r="C319" s="1660">
        <f>+AN33</f>
        <v>5.416666666666667</v>
      </c>
      <c r="D319" s="1482" t="s">
        <v>965</v>
      </c>
      <c r="E319" s="1472"/>
      <c r="F319" s="1489"/>
      <c r="G319" s="1474"/>
      <c r="H319" s="1475"/>
      <c r="J319" s="1475"/>
      <c r="K319" s="1477"/>
      <c r="L319" s="1472"/>
      <c r="M319" s="1489"/>
      <c r="N319" s="1474"/>
      <c r="O319" s="1472"/>
      <c r="P319" s="1489"/>
      <c r="Q319" s="1474"/>
      <c r="T319" s="1478"/>
      <c r="U319" s="1478"/>
      <c r="W319" s="1467"/>
      <c r="X319" s="1661">
        <f>+AK33</f>
        <v>6</v>
      </c>
      <c r="Y319" s="1661">
        <v>4.5</v>
      </c>
      <c r="Z319" s="1480" t="s">
        <v>1751</v>
      </c>
      <c r="AB319" s="1461" t="s">
        <v>1752</v>
      </c>
      <c r="AC319" s="1461"/>
      <c r="AD319" s="1481" t="s">
        <v>1532</v>
      </c>
      <c r="BD319" s="1562" t="s">
        <v>619</v>
      </c>
      <c r="BE319" s="1660">
        <v>5.42</v>
      </c>
      <c r="BF319" s="1482" t="s">
        <v>965</v>
      </c>
    </row>
    <row r="320" spans="1:58">
      <c r="A320" s="1630" t="s">
        <v>2098</v>
      </c>
      <c r="B320" s="1562" t="s">
        <v>1750</v>
      </c>
      <c r="C320" s="1660">
        <f>+AN34</f>
        <v>5.5</v>
      </c>
      <c r="D320" s="1482" t="s">
        <v>965</v>
      </c>
      <c r="E320" s="1472"/>
      <c r="F320" s="1489"/>
      <c r="G320" s="1474"/>
      <c r="H320" s="1475"/>
      <c r="J320" s="1475"/>
      <c r="K320" s="1477"/>
      <c r="L320" s="1472"/>
      <c r="M320" s="1489"/>
      <c r="N320" s="1474"/>
      <c r="O320" s="1472"/>
      <c r="P320" s="1489"/>
      <c r="Q320" s="1474"/>
      <c r="T320" s="1478"/>
      <c r="U320" s="1478"/>
      <c r="W320" s="1467"/>
      <c r="X320" s="1661">
        <f>+AK34</f>
        <v>7</v>
      </c>
      <c r="Y320" s="1661">
        <v>3.5</v>
      </c>
      <c r="Z320" s="1480" t="s">
        <v>1751</v>
      </c>
      <c r="AB320" s="1461" t="s">
        <v>1752</v>
      </c>
      <c r="AC320" s="1461"/>
      <c r="AD320" s="1481" t="s">
        <v>1532</v>
      </c>
      <c r="BD320" s="1562" t="s">
        <v>1750</v>
      </c>
      <c r="BE320" s="1660">
        <v>5.5</v>
      </c>
      <c r="BF320" s="1482" t="s">
        <v>965</v>
      </c>
    </row>
    <row r="321" spans="1:58">
      <c r="A321" s="1630" t="s">
        <v>2099</v>
      </c>
      <c r="B321" s="1562" t="s">
        <v>1750</v>
      </c>
      <c r="C321" s="1660">
        <f>+AL34</f>
        <v>5.5</v>
      </c>
      <c r="D321" s="1482" t="s">
        <v>965</v>
      </c>
      <c r="E321" s="1472"/>
      <c r="F321" s="1489"/>
      <c r="G321" s="1474"/>
      <c r="H321" s="1475"/>
      <c r="J321" s="1475"/>
      <c r="K321" s="1477"/>
      <c r="L321" s="1472"/>
      <c r="M321" s="1489"/>
      <c r="N321" s="1474"/>
      <c r="O321" s="1472"/>
      <c r="P321" s="1489"/>
      <c r="Q321" s="1474"/>
      <c r="T321" s="1478"/>
      <c r="U321" s="1478"/>
      <c r="W321" s="1467"/>
      <c r="X321" s="1661">
        <f>+AL34</f>
        <v>5.5</v>
      </c>
      <c r="Y321" s="1661">
        <v>5</v>
      </c>
      <c r="Z321" s="1480" t="s">
        <v>1751</v>
      </c>
      <c r="AB321" s="1461" t="s">
        <v>1752</v>
      </c>
      <c r="AC321" s="1461"/>
      <c r="AD321" s="1481" t="s">
        <v>1532</v>
      </c>
      <c r="BD321" s="1562" t="s">
        <v>1750</v>
      </c>
      <c r="BE321" s="1660">
        <v>5.5</v>
      </c>
      <c r="BF321" s="1482" t="s">
        <v>965</v>
      </c>
    </row>
    <row r="322" spans="1:58">
      <c r="A322" s="1499" t="s">
        <v>2100</v>
      </c>
      <c r="B322" s="1524" t="s">
        <v>761</v>
      </c>
      <c r="C322" s="1488">
        <f>+Y322*1.07</f>
        <v>185.3775</v>
      </c>
      <c r="D322" s="1500" t="s">
        <v>965</v>
      </c>
      <c r="E322" s="1525" t="s">
        <v>761</v>
      </c>
      <c r="F322" s="1489"/>
      <c r="G322" s="1526"/>
      <c r="H322" s="1527" t="s">
        <v>761</v>
      </c>
      <c r="J322" s="1502" t="s">
        <v>965</v>
      </c>
      <c r="K322" s="1528"/>
      <c r="L322" s="1525" t="s">
        <v>761</v>
      </c>
      <c r="M322" s="1489">
        <v>315.19</v>
      </c>
      <c r="N322" s="1526" t="s">
        <v>2101</v>
      </c>
      <c r="O322" s="1525" t="s">
        <v>761</v>
      </c>
      <c r="P322" s="1489"/>
      <c r="Q322" s="1526"/>
      <c r="S322" s="1490">
        <v>165</v>
      </c>
      <c r="T322" s="1478">
        <f t="shared" ref="T322:T331" si="44">AVERAGE(F322,I322,M322)</f>
        <v>315.19</v>
      </c>
      <c r="U322" s="1478">
        <f t="shared" si="36"/>
        <v>240.095</v>
      </c>
      <c r="W322" s="1467">
        <v>165</v>
      </c>
      <c r="X322" s="1491">
        <f t="shared" ref="X322:X331" si="45">+S322*1.05</f>
        <v>173.25</v>
      </c>
      <c r="Y322" s="1491">
        <v>173.25</v>
      </c>
      <c r="Z322" s="1492" t="s">
        <v>1547</v>
      </c>
      <c r="AB322" s="1461"/>
      <c r="AC322" s="1461"/>
      <c r="AD322" s="1481" t="s">
        <v>1532</v>
      </c>
      <c r="BD322" s="1524" t="s">
        <v>761</v>
      </c>
      <c r="BE322" s="1488">
        <f>+CA322*1.07</f>
        <v>0</v>
      </c>
      <c r="BF322" s="1500" t="s">
        <v>965</v>
      </c>
    </row>
    <row r="323" spans="1:58">
      <c r="A323" s="1499" t="s">
        <v>2102</v>
      </c>
      <c r="B323" s="1524" t="s">
        <v>761</v>
      </c>
      <c r="C323" s="1488">
        <f t="shared" ref="C323:C331" si="46">+Y323*1.07</f>
        <v>219.08250000000001</v>
      </c>
      <c r="D323" s="1500" t="s">
        <v>965</v>
      </c>
      <c r="E323" s="1525" t="s">
        <v>761</v>
      </c>
      <c r="F323" s="1489"/>
      <c r="G323" s="1526"/>
      <c r="H323" s="1527" t="s">
        <v>761</v>
      </c>
      <c r="J323" s="1502" t="s">
        <v>965</v>
      </c>
      <c r="K323" s="1528"/>
      <c r="L323" s="1525" t="s">
        <v>761</v>
      </c>
      <c r="M323" s="1489">
        <v>316.19</v>
      </c>
      <c r="N323" s="1526" t="s">
        <v>2101</v>
      </c>
      <c r="O323" s="1525" t="s">
        <v>761</v>
      </c>
      <c r="P323" s="1489"/>
      <c r="Q323" s="1526"/>
      <c r="S323" s="1490">
        <v>195</v>
      </c>
      <c r="T323" s="1478">
        <f t="shared" si="44"/>
        <v>316.19</v>
      </c>
      <c r="U323" s="1478">
        <f t="shared" si="36"/>
        <v>255.595</v>
      </c>
      <c r="W323" s="1467">
        <v>195</v>
      </c>
      <c r="X323" s="1491">
        <f t="shared" si="45"/>
        <v>204.75</v>
      </c>
      <c r="Y323" s="1491">
        <v>204.75</v>
      </c>
      <c r="Z323" s="1492" t="s">
        <v>1547</v>
      </c>
      <c r="AB323" s="1461"/>
      <c r="AC323" s="1461"/>
      <c r="AD323" s="1481" t="s">
        <v>1532</v>
      </c>
      <c r="BD323" s="1524" t="s">
        <v>761</v>
      </c>
      <c r="BE323" s="1488">
        <f t="shared" ref="BE323:BE331" si="47">+CA323*1.07</f>
        <v>0</v>
      </c>
      <c r="BF323" s="1500" t="s">
        <v>965</v>
      </c>
    </row>
    <row r="324" spans="1:58">
      <c r="A324" s="1499" t="s">
        <v>2103</v>
      </c>
      <c r="B324" s="1524" t="s">
        <v>1569</v>
      </c>
      <c r="C324" s="1488">
        <f t="shared" si="46"/>
        <v>11.235000000000001</v>
      </c>
      <c r="D324" s="1500" t="s">
        <v>965</v>
      </c>
      <c r="E324" s="1525" t="s">
        <v>1569</v>
      </c>
      <c r="F324" s="1489"/>
      <c r="G324" s="1526" t="s">
        <v>2104</v>
      </c>
      <c r="H324" s="1527" t="s">
        <v>1569</v>
      </c>
      <c r="J324" s="1502" t="s">
        <v>965</v>
      </c>
      <c r="K324" s="1528"/>
      <c r="L324" s="1525" t="s">
        <v>1569</v>
      </c>
      <c r="M324" s="1489">
        <v>20.36</v>
      </c>
      <c r="N324" s="1526"/>
      <c r="O324" s="1525" t="s">
        <v>1569</v>
      </c>
      <c r="P324" s="1489"/>
      <c r="Q324" s="1526"/>
      <c r="S324" s="1490">
        <v>10</v>
      </c>
      <c r="T324" s="1478">
        <f t="shared" si="44"/>
        <v>20.36</v>
      </c>
      <c r="U324" s="1478">
        <f t="shared" si="36"/>
        <v>15.18</v>
      </c>
      <c r="W324" s="1467">
        <v>10</v>
      </c>
      <c r="X324" s="1491">
        <f t="shared" si="45"/>
        <v>10.5</v>
      </c>
      <c r="Y324" s="1491">
        <v>10.5</v>
      </c>
      <c r="Z324" s="1492" t="s">
        <v>1547</v>
      </c>
      <c r="AB324" s="1461"/>
      <c r="AC324" s="1461"/>
      <c r="AD324" s="1481" t="s">
        <v>1532</v>
      </c>
      <c r="AE324" s="1461"/>
      <c r="AF324" s="1461"/>
      <c r="AG324" s="1461"/>
      <c r="BD324" s="1524" t="s">
        <v>1569</v>
      </c>
      <c r="BE324" s="1488">
        <f t="shared" si="47"/>
        <v>0</v>
      </c>
      <c r="BF324" s="1500" t="s">
        <v>965</v>
      </c>
    </row>
    <row r="325" spans="1:58">
      <c r="A325" s="1499" t="s">
        <v>2105</v>
      </c>
      <c r="B325" s="1524" t="s">
        <v>1569</v>
      </c>
      <c r="C325" s="1488">
        <f t="shared" si="46"/>
        <v>11.6844</v>
      </c>
      <c r="D325" s="1500" t="s">
        <v>965</v>
      </c>
      <c r="E325" s="1525" t="s">
        <v>1569</v>
      </c>
      <c r="F325" s="1489">
        <v>24</v>
      </c>
      <c r="G325" s="1526" t="s">
        <v>2104</v>
      </c>
      <c r="H325" s="1527" t="s">
        <v>1569</v>
      </c>
      <c r="J325" s="1502" t="s">
        <v>965</v>
      </c>
      <c r="K325" s="1528"/>
      <c r="L325" s="1525" t="s">
        <v>1569</v>
      </c>
      <c r="M325" s="1489">
        <v>21.66</v>
      </c>
      <c r="N325" s="1526"/>
      <c r="O325" s="1525" t="s">
        <v>1569</v>
      </c>
      <c r="P325" s="1489"/>
      <c r="Q325" s="1526"/>
      <c r="S325" s="1490">
        <v>10.4</v>
      </c>
      <c r="T325" s="1478">
        <f t="shared" si="44"/>
        <v>22.83</v>
      </c>
      <c r="U325" s="1478">
        <f t="shared" si="36"/>
        <v>18.686666666666667</v>
      </c>
      <c r="W325" s="1467">
        <v>10.4</v>
      </c>
      <c r="X325" s="1491">
        <f t="shared" si="45"/>
        <v>10.920000000000002</v>
      </c>
      <c r="Y325" s="1491">
        <v>10.92</v>
      </c>
      <c r="Z325" s="1492" t="s">
        <v>1547</v>
      </c>
      <c r="AB325" s="1461"/>
      <c r="AC325" s="1461"/>
      <c r="AD325" s="1481" t="s">
        <v>1532</v>
      </c>
      <c r="AE325" s="1461"/>
      <c r="AF325" s="1461"/>
      <c r="AG325" s="1461"/>
      <c r="BD325" s="1524" t="s">
        <v>1569</v>
      </c>
      <c r="BE325" s="1488">
        <f t="shared" si="47"/>
        <v>0</v>
      </c>
      <c r="BF325" s="1500" t="s">
        <v>965</v>
      </c>
    </row>
    <row r="326" spans="1:58">
      <c r="A326" s="1499" t="s">
        <v>2106</v>
      </c>
      <c r="B326" s="1524" t="s">
        <v>1569</v>
      </c>
      <c r="C326" s="1488">
        <f t="shared" si="46"/>
        <v>14.605500000000001</v>
      </c>
      <c r="D326" s="1500" t="s">
        <v>965</v>
      </c>
      <c r="E326" s="1525" t="s">
        <v>1569</v>
      </c>
      <c r="F326" s="1489"/>
      <c r="G326" s="1526" t="s">
        <v>2104</v>
      </c>
      <c r="H326" s="1527" t="s">
        <v>1569</v>
      </c>
      <c r="J326" s="1502" t="s">
        <v>965</v>
      </c>
      <c r="K326" s="1528"/>
      <c r="L326" s="1525" t="s">
        <v>1569</v>
      </c>
      <c r="M326" s="1489">
        <v>24.1</v>
      </c>
      <c r="N326" s="1526"/>
      <c r="O326" s="1525" t="s">
        <v>1569</v>
      </c>
      <c r="P326" s="1489"/>
      <c r="Q326" s="1526"/>
      <c r="S326" s="1490">
        <v>13</v>
      </c>
      <c r="T326" s="1478">
        <f t="shared" si="44"/>
        <v>24.1</v>
      </c>
      <c r="U326" s="1478">
        <f t="shared" si="36"/>
        <v>18.55</v>
      </c>
      <c r="W326" s="1467">
        <v>13</v>
      </c>
      <c r="X326" s="1491">
        <f t="shared" si="45"/>
        <v>13.65</v>
      </c>
      <c r="Y326" s="1491">
        <v>13.65</v>
      </c>
      <c r="Z326" s="1492" t="s">
        <v>1547</v>
      </c>
      <c r="AB326" s="1461"/>
      <c r="AC326" s="1461"/>
      <c r="AD326" s="1481" t="s">
        <v>1532</v>
      </c>
      <c r="AE326" s="1461"/>
      <c r="AF326" s="1461"/>
      <c r="AG326" s="1461"/>
      <c r="BD326" s="1524" t="s">
        <v>1569</v>
      </c>
      <c r="BE326" s="1488">
        <f t="shared" si="47"/>
        <v>0</v>
      </c>
      <c r="BF326" s="1500" t="s">
        <v>965</v>
      </c>
    </row>
    <row r="327" spans="1:58">
      <c r="A327" s="1499" t="s">
        <v>2107</v>
      </c>
      <c r="B327" s="1524" t="s">
        <v>1569</v>
      </c>
      <c r="C327" s="1488">
        <f t="shared" si="46"/>
        <v>16.066050000000001</v>
      </c>
      <c r="D327" s="1500" t="s">
        <v>965</v>
      </c>
      <c r="E327" s="1525" t="s">
        <v>1569</v>
      </c>
      <c r="F327" s="1489"/>
      <c r="G327" s="1526" t="s">
        <v>2104</v>
      </c>
      <c r="H327" s="1527" t="s">
        <v>1569</v>
      </c>
      <c r="J327" s="1502" t="s">
        <v>965</v>
      </c>
      <c r="K327" s="1528"/>
      <c r="L327" s="1525" t="s">
        <v>1569</v>
      </c>
      <c r="M327" s="1489">
        <v>24.72</v>
      </c>
      <c r="N327" s="1526"/>
      <c r="O327" s="1525" t="s">
        <v>1569</v>
      </c>
      <c r="P327" s="1489"/>
      <c r="Q327" s="1526"/>
      <c r="S327" s="1490">
        <v>14.3</v>
      </c>
      <c r="T327" s="1478">
        <f t="shared" si="44"/>
        <v>24.72</v>
      </c>
      <c r="U327" s="1478">
        <f t="shared" si="36"/>
        <v>19.509999999999998</v>
      </c>
      <c r="W327" s="1467">
        <v>14.3</v>
      </c>
      <c r="X327" s="1491">
        <f t="shared" si="45"/>
        <v>15.015000000000001</v>
      </c>
      <c r="Y327" s="1491">
        <v>15.015000000000001</v>
      </c>
      <c r="Z327" s="1492" t="s">
        <v>1547</v>
      </c>
      <c r="AB327" s="1461"/>
      <c r="AC327" s="1461"/>
      <c r="AD327" s="1481" t="s">
        <v>1532</v>
      </c>
      <c r="AE327" s="1461"/>
      <c r="AF327" s="1461"/>
      <c r="AG327" s="1461"/>
      <c r="BD327" s="1524" t="s">
        <v>1569</v>
      </c>
      <c r="BE327" s="1488">
        <f t="shared" si="47"/>
        <v>0</v>
      </c>
      <c r="BF327" s="1500" t="s">
        <v>965</v>
      </c>
    </row>
    <row r="328" spans="1:58">
      <c r="A328" s="1499" t="s">
        <v>2108</v>
      </c>
      <c r="B328" s="1524" t="s">
        <v>1569</v>
      </c>
      <c r="C328" s="1488">
        <f t="shared" si="46"/>
        <v>19.661250000000003</v>
      </c>
      <c r="D328" s="1500" t="s">
        <v>965</v>
      </c>
      <c r="E328" s="1525" t="s">
        <v>1569</v>
      </c>
      <c r="F328" s="1489">
        <v>29</v>
      </c>
      <c r="G328" s="1526" t="s">
        <v>2104</v>
      </c>
      <c r="H328" s="1527" t="s">
        <v>1569</v>
      </c>
      <c r="J328" s="1502" t="s">
        <v>965</v>
      </c>
      <c r="K328" s="1528"/>
      <c r="L328" s="1525" t="s">
        <v>1569</v>
      </c>
      <c r="M328" s="1489">
        <v>27.64</v>
      </c>
      <c r="N328" s="1526"/>
      <c r="O328" s="1525" t="s">
        <v>1569</v>
      </c>
      <c r="P328" s="1489"/>
      <c r="Q328" s="1526"/>
      <c r="S328" s="1490">
        <v>17.5</v>
      </c>
      <c r="T328" s="1478">
        <f t="shared" si="44"/>
        <v>28.32</v>
      </c>
      <c r="U328" s="1478">
        <f t="shared" si="36"/>
        <v>24.713333333333335</v>
      </c>
      <c r="W328" s="1467">
        <v>17.5</v>
      </c>
      <c r="X328" s="1491">
        <f t="shared" si="45"/>
        <v>18.375</v>
      </c>
      <c r="Y328" s="1491">
        <v>18.375</v>
      </c>
      <c r="Z328" s="1492" t="s">
        <v>1547</v>
      </c>
      <c r="AB328" s="1461"/>
      <c r="AC328" s="1461"/>
      <c r="AD328" s="1481" t="s">
        <v>1532</v>
      </c>
      <c r="AE328" s="1461"/>
      <c r="AF328" s="1461"/>
      <c r="AG328" s="1461"/>
      <c r="BD328" s="1524" t="s">
        <v>1569</v>
      </c>
      <c r="BE328" s="1488">
        <f t="shared" si="47"/>
        <v>0</v>
      </c>
      <c r="BF328" s="1500" t="s">
        <v>965</v>
      </c>
    </row>
    <row r="329" spans="1:58">
      <c r="A329" s="1499" t="s">
        <v>2109</v>
      </c>
      <c r="B329" s="1524" t="s">
        <v>1569</v>
      </c>
      <c r="C329" s="1488">
        <f t="shared" si="46"/>
        <v>22.470000000000002</v>
      </c>
      <c r="D329" s="1500" t="s">
        <v>965</v>
      </c>
      <c r="E329" s="1525" t="s">
        <v>1569</v>
      </c>
      <c r="F329" s="1489">
        <v>39</v>
      </c>
      <c r="G329" s="1526" t="s">
        <v>2104</v>
      </c>
      <c r="H329" s="1527" t="s">
        <v>1569</v>
      </c>
      <c r="J329" s="1502" t="s">
        <v>965</v>
      </c>
      <c r="K329" s="1528"/>
      <c r="L329" s="1525" t="s">
        <v>1569</v>
      </c>
      <c r="M329" s="1489">
        <v>41.94</v>
      </c>
      <c r="N329" s="1526"/>
      <c r="O329" s="1525" t="s">
        <v>1569</v>
      </c>
      <c r="P329" s="1489"/>
      <c r="Q329" s="1526"/>
      <c r="S329" s="1490">
        <v>20</v>
      </c>
      <c r="T329" s="1478">
        <f t="shared" si="44"/>
        <v>40.47</v>
      </c>
      <c r="U329" s="1478">
        <f t="shared" si="36"/>
        <v>33.646666666666668</v>
      </c>
      <c r="W329" s="1467">
        <v>20</v>
      </c>
      <c r="X329" s="1491">
        <f t="shared" si="45"/>
        <v>21</v>
      </c>
      <c r="Y329" s="1491">
        <v>21</v>
      </c>
      <c r="Z329" s="1492" t="s">
        <v>1547</v>
      </c>
      <c r="AB329" s="1461"/>
      <c r="AC329" s="1461"/>
      <c r="AD329" s="1481" t="s">
        <v>1532</v>
      </c>
      <c r="AE329" s="1461"/>
      <c r="AF329" s="1461"/>
      <c r="AG329" s="1461"/>
      <c r="BD329" s="1524" t="s">
        <v>1569</v>
      </c>
      <c r="BE329" s="1488">
        <f t="shared" si="47"/>
        <v>0</v>
      </c>
      <c r="BF329" s="1500" t="s">
        <v>965</v>
      </c>
    </row>
    <row r="330" spans="1:58">
      <c r="A330" s="1499" t="s">
        <v>2110</v>
      </c>
      <c r="B330" s="1500" t="s">
        <v>761</v>
      </c>
      <c r="C330" s="1488">
        <f t="shared" si="46"/>
        <v>595.45500000000004</v>
      </c>
      <c r="D330" s="1500" t="s">
        <v>965</v>
      </c>
      <c r="E330" s="1501" t="s">
        <v>761</v>
      </c>
      <c r="F330" s="1662"/>
      <c r="G330" s="1526"/>
      <c r="H330" s="1502" t="s">
        <v>761</v>
      </c>
      <c r="I330" s="1663"/>
      <c r="J330" s="1502" t="s">
        <v>965</v>
      </c>
      <c r="K330" s="1528"/>
      <c r="L330" s="1501" t="s">
        <v>761</v>
      </c>
      <c r="M330" s="1664">
        <v>1840</v>
      </c>
      <c r="N330" s="1526" t="s">
        <v>2111</v>
      </c>
      <c r="O330" s="1501" t="s">
        <v>761</v>
      </c>
      <c r="P330" s="1662"/>
      <c r="Q330" s="1526"/>
      <c r="S330" s="1663">
        <v>530</v>
      </c>
      <c r="T330" s="1478">
        <f t="shared" si="44"/>
        <v>1840</v>
      </c>
      <c r="U330" s="1478">
        <f t="shared" si="36"/>
        <v>1185</v>
      </c>
      <c r="W330" s="1467">
        <v>530</v>
      </c>
      <c r="X330" s="1491">
        <f t="shared" si="45"/>
        <v>556.5</v>
      </c>
      <c r="Y330" s="1491">
        <v>556.5</v>
      </c>
      <c r="Z330" s="1492" t="s">
        <v>1547</v>
      </c>
      <c r="AB330" s="1461"/>
      <c r="AC330" s="1461"/>
      <c r="AD330" s="1481" t="s">
        <v>1532</v>
      </c>
      <c r="AE330" s="1461"/>
      <c r="AF330" s="1461"/>
      <c r="AG330" s="1461"/>
      <c r="BD330" s="1500" t="s">
        <v>761</v>
      </c>
      <c r="BE330" s="1488">
        <f t="shared" si="47"/>
        <v>0</v>
      </c>
      <c r="BF330" s="1500" t="s">
        <v>965</v>
      </c>
    </row>
    <row r="331" spans="1:58">
      <c r="A331" s="1499" t="s">
        <v>2112</v>
      </c>
      <c r="B331" s="1500" t="s">
        <v>761</v>
      </c>
      <c r="C331" s="1488">
        <f t="shared" si="46"/>
        <v>808.92000000000007</v>
      </c>
      <c r="D331" s="1500" t="s">
        <v>965</v>
      </c>
      <c r="E331" s="1501" t="s">
        <v>761</v>
      </c>
      <c r="F331" s="1662"/>
      <c r="G331" s="1526"/>
      <c r="H331" s="1502" t="s">
        <v>761</v>
      </c>
      <c r="I331" s="1663"/>
      <c r="J331" s="1502" t="s">
        <v>965</v>
      </c>
      <c r="K331" s="1528"/>
      <c r="L331" s="1501" t="s">
        <v>761</v>
      </c>
      <c r="M331" s="1664">
        <f>1500*1.84</f>
        <v>2760</v>
      </c>
      <c r="N331" s="1526" t="s">
        <v>2111</v>
      </c>
      <c r="O331" s="1501" t="s">
        <v>761</v>
      </c>
      <c r="P331" s="1662"/>
      <c r="Q331" s="1526"/>
      <c r="S331" s="1663">
        <v>720</v>
      </c>
      <c r="T331" s="1478">
        <f t="shared" si="44"/>
        <v>2760</v>
      </c>
      <c r="U331" s="1478">
        <f t="shared" si="36"/>
        <v>1740</v>
      </c>
      <c r="W331" s="1467">
        <v>720</v>
      </c>
      <c r="X331" s="1491">
        <f t="shared" si="45"/>
        <v>756</v>
      </c>
      <c r="Y331" s="1491">
        <v>756</v>
      </c>
      <c r="Z331" s="1492" t="s">
        <v>1547</v>
      </c>
      <c r="AB331" s="1461"/>
      <c r="AC331" s="1461"/>
      <c r="AD331" s="1481" t="s">
        <v>1532</v>
      </c>
      <c r="AE331" s="1461"/>
      <c r="AF331" s="1461"/>
      <c r="AG331" s="1461"/>
      <c r="BD331" s="1500" t="s">
        <v>761</v>
      </c>
      <c r="BE331" s="1488">
        <f t="shared" si="47"/>
        <v>0</v>
      </c>
      <c r="BF331" s="1500" t="s">
        <v>965</v>
      </c>
    </row>
    <row r="332" spans="1:58" s="1440" customFormat="1">
      <c r="A332" s="1499" t="s">
        <v>2113</v>
      </c>
      <c r="B332" s="1500" t="s">
        <v>761</v>
      </c>
      <c r="C332" s="1488">
        <f>+Y332*1.05</f>
        <v>183.75</v>
      </c>
      <c r="D332" s="1500" t="s">
        <v>965</v>
      </c>
      <c r="E332" s="1634"/>
      <c r="F332" s="1665"/>
      <c r="G332" s="1620"/>
      <c r="H332" s="1623"/>
      <c r="I332" s="1666"/>
      <c r="J332" s="1623"/>
      <c r="K332" s="1624"/>
      <c r="L332" s="1634"/>
      <c r="M332" s="1667"/>
      <c r="N332" s="1620"/>
      <c r="O332" s="1634"/>
      <c r="P332" s="1665"/>
      <c r="Q332" s="1620"/>
      <c r="S332" s="1666"/>
      <c r="T332" s="1550"/>
      <c r="U332" s="1550"/>
      <c r="V332" s="1551"/>
      <c r="W332" s="1552"/>
      <c r="X332" s="1553"/>
      <c r="Y332" s="1491">
        <v>175</v>
      </c>
      <c r="Z332" s="1554" t="s">
        <v>1808</v>
      </c>
      <c r="AD332" s="1481" t="s">
        <v>1532</v>
      </c>
      <c r="BD332" s="1500" t="s">
        <v>761</v>
      </c>
      <c r="BE332" s="1488">
        <f>+CA332*1.05</f>
        <v>0</v>
      </c>
      <c r="BF332" s="1500" t="s">
        <v>965</v>
      </c>
    </row>
    <row r="333" spans="1:58">
      <c r="A333" s="1499" t="s">
        <v>2114</v>
      </c>
      <c r="B333" s="1524" t="s">
        <v>1569</v>
      </c>
      <c r="C333" s="1488">
        <f>+Y333*1.02</f>
        <v>0.74970000000000003</v>
      </c>
      <c r="D333" s="1500" t="s">
        <v>965</v>
      </c>
      <c r="E333" s="1501"/>
      <c r="F333" s="1662"/>
      <c r="G333" s="1526"/>
      <c r="H333" s="1502"/>
      <c r="I333" s="1663"/>
      <c r="J333" s="1502"/>
      <c r="K333" s="1528"/>
      <c r="L333" s="1501"/>
      <c r="M333" s="1662"/>
      <c r="N333" s="1526"/>
      <c r="O333" s="1501" t="s">
        <v>761</v>
      </c>
      <c r="P333" s="1662">
        <v>50</v>
      </c>
      <c r="Q333" s="1526" t="s">
        <v>2115</v>
      </c>
      <c r="S333" s="1663">
        <v>0.7</v>
      </c>
      <c r="T333" s="1478"/>
      <c r="U333" s="1478">
        <f t="shared" si="36"/>
        <v>0.7</v>
      </c>
      <c r="W333" s="1663">
        <v>0.7</v>
      </c>
      <c r="X333" s="1491">
        <f>+S333*1.05</f>
        <v>0.73499999999999999</v>
      </c>
      <c r="Y333" s="1491">
        <v>0.73499999999999999</v>
      </c>
      <c r="Z333" s="1492" t="s">
        <v>1653</v>
      </c>
      <c r="AB333" s="1461"/>
      <c r="AC333" s="1461"/>
      <c r="AD333" s="1481" t="s">
        <v>1532</v>
      </c>
      <c r="AE333" s="1461"/>
      <c r="AF333" s="1461"/>
      <c r="AG333" s="1461"/>
      <c r="BD333" s="1524" t="s">
        <v>1569</v>
      </c>
      <c r="BE333" s="1488">
        <f>+CA333*1.02</f>
        <v>0</v>
      </c>
      <c r="BF333" s="1500" t="s">
        <v>965</v>
      </c>
    </row>
    <row r="334" spans="1:58">
      <c r="A334" s="1499" t="s">
        <v>2116</v>
      </c>
      <c r="B334" s="1500" t="s">
        <v>761</v>
      </c>
      <c r="C334" s="1488">
        <f>+Y334*1.05</f>
        <v>1.8900000000000001</v>
      </c>
      <c r="D334" s="1500" t="s">
        <v>965</v>
      </c>
      <c r="E334" s="1668"/>
      <c r="F334" s="1665"/>
      <c r="G334" s="1669"/>
      <c r="H334" s="1670"/>
      <c r="I334" s="1666"/>
      <c r="J334" s="1670"/>
      <c r="K334" s="1671"/>
      <c r="L334" s="1668"/>
      <c r="M334" s="1665"/>
      <c r="N334" s="1669"/>
      <c r="O334" s="1668"/>
      <c r="P334" s="1665"/>
      <c r="Q334" s="1669"/>
      <c r="R334" s="1672"/>
      <c r="S334" s="1666"/>
      <c r="T334" s="1553"/>
      <c r="U334" s="1553"/>
      <c r="V334" s="1673"/>
      <c r="W334" s="1666"/>
      <c r="X334" s="1553"/>
      <c r="Y334" s="1491">
        <v>1.8</v>
      </c>
      <c r="Z334" s="1554" t="s">
        <v>1808</v>
      </c>
      <c r="AB334" s="1461"/>
      <c r="AC334" s="1461"/>
      <c r="AD334" s="1481" t="s">
        <v>1532</v>
      </c>
      <c r="AE334" s="1461"/>
      <c r="AF334" s="1461"/>
      <c r="AG334" s="1461"/>
      <c r="BD334" s="1500" t="s">
        <v>761</v>
      </c>
      <c r="BE334" s="1488">
        <f>+CA334*1.05</f>
        <v>0</v>
      </c>
      <c r="BF334" s="1500" t="s">
        <v>965</v>
      </c>
    </row>
    <row r="335" spans="1:58" s="1592" customFormat="1" ht="22.5">
      <c r="A335" s="1674" t="s">
        <v>2117</v>
      </c>
      <c r="B335" s="1675" t="s">
        <v>619</v>
      </c>
      <c r="C335" s="1676" t="s">
        <v>1576</v>
      </c>
      <c r="D335" s="1675" t="s">
        <v>965</v>
      </c>
      <c r="E335" s="1677" t="s">
        <v>619</v>
      </c>
      <c r="F335" s="1678">
        <v>130</v>
      </c>
      <c r="G335" s="1679" t="s">
        <v>2118</v>
      </c>
      <c r="H335" s="1680" t="s">
        <v>619</v>
      </c>
      <c r="I335" s="1681"/>
      <c r="J335" s="1680" t="s">
        <v>965</v>
      </c>
      <c r="K335" s="1682"/>
      <c r="L335" s="1677" t="s">
        <v>619</v>
      </c>
      <c r="M335" s="1678">
        <v>200</v>
      </c>
      <c r="N335" s="1679" t="s">
        <v>2119</v>
      </c>
      <c r="O335" s="1677" t="s">
        <v>619</v>
      </c>
      <c r="P335" s="1678"/>
      <c r="Q335" s="1679"/>
      <c r="S335" s="1681">
        <v>561</v>
      </c>
      <c r="T335" s="1683">
        <f t="shared" ref="T335:T349" si="48">AVERAGE(F335,I335,M335)</f>
        <v>165</v>
      </c>
      <c r="U335" s="1683">
        <f t="shared" si="36"/>
        <v>297</v>
      </c>
      <c r="V335" s="1684"/>
      <c r="W335" s="1685">
        <v>561</v>
      </c>
      <c r="X335" s="1686">
        <f>+S335*1.05</f>
        <v>589.05000000000007</v>
      </c>
      <c r="Y335" s="1686">
        <v>589.04999999999995</v>
      </c>
      <c r="Z335" s="1687" t="s">
        <v>1576</v>
      </c>
      <c r="AA335" s="1688"/>
      <c r="AB335" s="1689"/>
      <c r="AC335" s="1689"/>
      <c r="AD335" s="1481" t="s">
        <v>1532</v>
      </c>
      <c r="AE335" s="1689"/>
      <c r="AF335" s="1689"/>
      <c r="AG335" s="1689"/>
      <c r="BD335" s="1675" t="s">
        <v>619</v>
      </c>
      <c r="BE335" s="1676" t="s">
        <v>1576</v>
      </c>
      <c r="BF335" s="1675" t="s">
        <v>965</v>
      </c>
    </row>
    <row r="336" spans="1:58" s="1592" customFormat="1" ht="22.5">
      <c r="A336" s="1674" t="s">
        <v>2120</v>
      </c>
      <c r="B336" s="1675" t="s">
        <v>619</v>
      </c>
      <c r="C336" s="1676" t="s">
        <v>1576</v>
      </c>
      <c r="D336" s="1675" t="s">
        <v>965</v>
      </c>
      <c r="E336" s="1677" t="s">
        <v>619</v>
      </c>
      <c r="F336" s="1678">
        <v>130</v>
      </c>
      <c r="G336" s="1679" t="s">
        <v>2118</v>
      </c>
      <c r="H336" s="1680" t="s">
        <v>619</v>
      </c>
      <c r="I336" s="1681"/>
      <c r="J336" s="1680" t="s">
        <v>965</v>
      </c>
      <c r="K336" s="1682"/>
      <c r="L336" s="1677" t="s">
        <v>619</v>
      </c>
      <c r="M336" s="1678">
        <v>200</v>
      </c>
      <c r="N336" s="1679" t="s">
        <v>2119</v>
      </c>
      <c r="O336" s="1677" t="s">
        <v>619</v>
      </c>
      <c r="P336" s="1678"/>
      <c r="Q336" s="1679"/>
      <c r="S336" s="1681">
        <v>418</v>
      </c>
      <c r="T336" s="1683">
        <f t="shared" si="48"/>
        <v>165</v>
      </c>
      <c r="U336" s="1683">
        <f t="shared" ref="U336:U349" si="49">AVERAGE(W336,F336,I336,M336)</f>
        <v>249.33333333333334</v>
      </c>
      <c r="V336" s="1684"/>
      <c r="W336" s="1685">
        <v>418</v>
      </c>
      <c r="X336" s="1686">
        <f>+S336*1.05</f>
        <v>438.90000000000003</v>
      </c>
      <c r="Y336" s="1686">
        <v>438.9</v>
      </c>
      <c r="Z336" s="1687" t="s">
        <v>1576</v>
      </c>
      <c r="AA336" s="1688"/>
      <c r="AB336" s="1689"/>
      <c r="AC336" s="1689"/>
      <c r="AD336" s="1481" t="s">
        <v>1532</v>
      </c>
      <c r="AE336" s="1689"/>
      <c r="AF336" s="1689"/>
      <c r="AG336" s="1689"/>
      <c r="BD336" s="1675" t="s">
        <v>619</v>
      </c>
      <c r="BE336" s="1676" t="s">
        <v>1576</v>
      </c>
      <c r="BF336" s="1675" t="s">
        <v>965</v>
      </c>
    </row>
    <row r="337" spans="1:58" s="1688" customFormat="1">
      <c r="A337" s="1674" t="s">
        <v>2121</v>
      </c>
      <c r="B337" s="1675" t="s">
        <v>619</v>
      </c>
      <c r="C337" s="1676">
        <f>+Y337*1</f>
        <v>90</v>
      </c>
      <c r="D337" s="1675" t="s">
        <v>965</v>
      </c>
      <c r="E337" s="1690"/>
      <c r="F337" s="1691"/>
      <c r="G337" s="1692"/>
      <c r="H337" s="1693"/>
      <c r="I337" s="1694"/>
      <c r="J337" s="1693"/>
      <c r="K337" s="1695"/>
      <c r="L337" s="1690"/>
      <c r="M337" s="1691"/>
      <c r="N337" s="1692"/>
      <c r="O337" s="1690"/>
      <c r="P337" s="1691"/>
      <c r="Q337" s="1692"/>
      <c r="S337" s="1694"/>
      <c r="T337" s="1696"/>
      <c r="U337" s="1696"/>
      <c r="V337" s="1697"/>
      <c r="W337" s="1698"/>
      <c r="X337" s="1699"/>
      <c r="Y337" s="1686">
        <v>90</v>
      </c>
      <c r="Z337" s="1554" t="s">
        <v>1610</v>
      </c>
      <c r="AA337" s="1700" t="s">
        <v>2122</v>
      </c>
      <c r="AD337" s="1481" t="s">
        <v>1532</v>
      </c>
      <c r="BD337" s="1675" t="s">
        <v>619</v>
      </c>
      <c r="BE337" s="1676">
        <f>+CA337*1</f>
        <v>0</v>
      </c>
      <c r="BF337" s="1675" t="s">
        <v>965</v>
      </c>
    </row>
    <row r="338" spans="1:58" s="1592" customFormat="1" ht="22.5">
      <c r="A338" s="1674" t="s">
        <v>2123</v>
      </c>
      <c r="B338" s="1675" t="s">
        <v>619</v>
      </c>
      <c r="C338" s="1488" t="s">
        <v>1576</v>
      </c>
      <c r="D338" s="1675" t="s">
        <v>965</v>
      </c>
      <c r="E338" s="1677" t="s">
        <v>619</v>
      </c>
      <c r="F338" s="1678">
        <v>130</v>
      </c>
      <c r="G338" s="1679" t="s">
        <v>2118</v>
      </c>
      <c r="H338" s="1680" t="s">
        <v>619</v>
      </c>
      <c r="I338" s="1681"/>
      <c r="J338" s="1680" t="s">
        <v>965</v>
      </c>
      <c r="K338" s="1682"/>
      <c r="L338" s="1677" t="s">
        <v>619</v>
      </c>
      <c r="M338" s="1678"/>
      <c r="N338" s="1679"/>
      <c r="O338" s="1677" t="s">
        <v>619</v>
      </c>
      <c r="P338" s="1678"/>
      <c r="Q338" s="1679"/>
      <c r="S338" s="1681">
        <v>190</v>
      </c>
      <c r="T338" s="1683">
        <f t="shared" si="48"/>
        <v>130</v>
      </c>
      <c r="U338" s="1683">
        <f t="shared" si="49"/>
        <v>160</v>
      </c>
      <c r="V338" s="1684"/>
      <c r="W338" s="1685">
        <v>190</v>
      </c>
      <c r="X338" s="1686">
        <f>+S338*1.05</f>
        <v>199.5</v>
      </c>
      <c r="Y338" s="1686">
        <v>199.5</v>
      </c>
      <c r="Z338" s="1687" t="s">
        <v>1576</v>
      </c>
      <c r="AA338" s="1688"/>
      <c r="AB338" s="1689"/>
      <c r="AC338" s="1689"/>
      <c r="AD338" s="1481" t="s">
        <v>1532</v>
      </c>
      <c r="AE338" s="1689"/>
      <c r="AF338" s="1689"/>
      <c r="AG338" s="1689"/>
      <c r="BD338" s="1675" t="s">
        <v>619</v>
      </c>
      <c r="BE338" s="1488" t="s">
        <v>1576</v>
      </c>
      <c r="BF338" s="1675" t="s">
        <v>965</v>
      </c>
    </row>
    <row r="339" spans="1:58" s="1707" customFormat="1">
      <c r="A339" s="1674" t="s">
        <v>2124</v>
      </c>
      <c r="B339" s="1675" t="s">
        <v>761</v>
      </c>
      <c r="C339" s="1488">
        <v>0.5</v>
      </c>
      <c r="D339" s="1675" t="s">
        <v>965</v>
      </c>
      <c r="E339" s="1701"/>
      <c r="F339" s="1702"/>
      <c r="G339" s="1703"/>
      <c r="H339" s="1704"/>
      <c r="I339" s="1705"/>
      <c r="J339" s="1704"/>
      <c r="K339" s="1706"/>
      <c r="L339" s="1701"/>
      <c r="M339" s="1702"/>
      <c r="N339" s="1703"/>
      <c r="O339" s="1701"/>
      <c r="P339" s="1702"/>
      <c r="Q339" s="1703"/>
      <c r="S339" s="1705"/>
      <c r="T339" s="1699"/>
      <c r="U339" s="1699"/>
      <c r="V339" s="1708"/>
      <c r="W339" s="1709"/>
      <c r="X339" s="1699"/>
      <c r="Y339" s="1686">
        <v>0.6</v>
      </c>
      <c r="Z339" s="1710" t="s">
        <v>2122</v>
      </c>
      <c r="AD339" s="1481" t="s">
        <v>1532</v>
      </c>
      <c r="BD339" s="1675" t="s">
        <v>761</v>
      </c>
      <c r="BE339" s="1488">
        <v>0.5</v>
      </c>
      <c r="BF339" s="1675" t="s">
        <v>965</v>
      </c>
    </row>
    <row r="340" spans="1:58">
      <c r="A340" s="1499" t="s">
        <v>2125</v>
      </c>
      <c r="B340" s="1500" t="s">
        <v>1569</v>
      </c>
      <c r="C340" s="1488">
        <v>5.5</v>
      </c>
      <c r="D340" s="1482" t="s">
        <v>965</v>
      </c>
      <c r="E340" s="1501" t="s">
        <v>1569</v>
      </c>
      <c r="F340" s="1489"/>
      <c r="G340" s="1474"/>
      <c r="H340" s="1502" t="s">
        <v>1569</v>
      </c>
      <c r="I340" s="1490">
        <v>10</v>
      </c>
      <c r="J340" s="1475" t="s">
        <v>965</v>
      </c>
      <c r="K340" s="1477" t="s">
        <v>2126</v>
      </c>
      <c r="L340" s="1501" t="s">
        <v>1569</v>
      </c>
      <c r="M340" s="1489"/>
      <c r="N340" s="1474"/>
      <c r="O340" s="1501" t="s">
        <v>1569</v>
      </c>
      <c r="P340" s="1489"/>
      <c r="Q340" s="1474"/>
      <c r="S340" s="1490">
        <v>21</v>
      </c>
      <c r="T340" s="1478">
        <f t="shared" si="48"/>
        <v>10</v>
      </c>
      <c r="U340" s="1478">
        <f t="shared" si="49"/>
        <v>15.5</v>
      </c>
      <c r="W340" s="1467">
        <v>21</v>
      </c>
      <c r="X340" s="1491">
        <f t="shared" ref="X340:X346" si="50">+S340*1.05</f>
        <v>22.05</v>
      </c>
      <c r="Y340" s="1491">
        <v>22.05</v>
      </c>
      <c r="Z340" s="1492" t="s">
        <v>1653</v>
      </c>
      <c r="AB340" s="1461"/>
      <c r="AC340" s="1461"/>
      <c r="AD340" s="1481" t="s">
        <v>1532</v>
      </c>
      <c r="AE340" s="1461"/>
      <c r="AF340" s="1461"/>
      <c r="AG340" s="1461"/>
      <c r="BD340" s="1500" t="s">
        <v>1569</v>
      </c>
      <c r="BE340" s="1488">
        <v>5.5</v>
      </c>
      <c r="BF340" s="1482" t="s">
        <v>965</v>
      </c>
    </row>
    <row r="341" spans="1:58">
      <c r="A341" s="1499" t="s">
        <v>2127</v>
      </c>
      <c r="B341" s="1500" t="s">
        <v>1569</v>
      </c>
      <c r="C341" s="1488">
        <v>7.75</v>
      </c>
      <c r="D341" s="1482" t="s">
        <v>965</v>
      </c>
      <c r="E341" s="1501" t="s">
        <v>1569</v>
      </c>
      <c r="F341" s="1489"/>
      <c r="G341" s="1474"/>
      <c r="H341" s="1502" t="s">
        <v>1569</v>
      </c>
      <c r="I341" s="1490">
        <v>10</v>
      </c>
      <c r="J341" s="1475" t="s">
        <v>965</v>
      </c>
      <c r="K341" s="1477" t="s">
        <v>2126</v>
      </c>
      <c r="L341" s="1501" t="s">
        <v>1569</v>
      </c>
      <c r="M341" s="1489"/>
      <c r="N341" s="1474"/>
      <c r="O341" s="1501" t="s">
        <v>1569</v>
      </c>
      <c r="P341" s="1489"/>
      <c r="Q341" s="1474"/>
      <c r="S341" s="1490">
        <v>45</v>
      </c>
      <c r="T341" s="1478">
        <f t="shared" si="48"/>
        <v>10</v>
      </c>
      <c r="U341" s="1478">
        <f t="shared" si="49"/>
        <v>27.5</v>
      </c>
      <c r="W341" s="1467">
        <v>45</v>
      </c>
      <c r="X341" s="1491">
        <f t="shared" si="50"/>
        <v>47.25</v>
      </c>
      <c r="Y341" s="1491">
        <v>47.25</v>
      </c>
      <c r="Z341" s="1492" t="s">
        <v>1653</v>
      </c>
      <c r="AB341" s="1461"/>
      <c r="AC341" s="1461"/>
      <c r="AD341" s="1481" t="s">
        <v>1532</v>
      </c>
      <c r="AE341" s="1461"/>
      <c r="AF341" s="1461"/>
      <c r="AG341" s="1461"/>
      <c r="BD341" s="1500" t="s">
        <v>1569</v>
      </c>
      <c r="BE341" s="1488">
        <v>7.75</v>
      </c>
      <c r="BF341" s="1482" t="s">
        <v>965</v>
      </c>
    </row>
    <row r="342" spans="1:58">
      <c r="A342" s="1499" t="s">
        <v>2128</v>
      </c>
      <c r="B342" s="1524" t="s">
        <v>761</v>
      </c>
      <c r="C342" s="1488">
        <f>+Y342*1.05</f>
        <v>1163.1375</v>
      </c>
      <c r="D342" s="1482" t="s">
        <v>965</v>
      </c>
      <c r="E342" s="1525" t="s">
        <v>761</v>
      </c>
      <c r="F342" s="1489"/>
      <c r="G342" s="1474"/>
      <c r="H342" s="1527" t="s">
        <v>761</v>
      </c>
      <c r="J342" s="1475" t="s">
        <v>965</v>
      </c>
      <c r="K342" s="1477"/>
      <c r="L342" s="1525" t="s">
        <v>761</v>
      </c>
      <c r="M342" s="1489"/>
      <c r="N342" s="1474"/>
      <c r="O342" s="1525" t="s">
        <v>761</v>
      </c>
      <c r="P342" s="1489"/>
      <c r="Q342" s="1474"/>
      <c r="S342" s="1490">
        <v>1055</v>
      </c>
      <c r="T342" s="1478" t="e">
        <f t="shared" si="48"/>
        <v>#DIV/0!</v>
      </c>
      <c r="U342" s="1478">
        <f t="shared" si="49"/>
        <v>1055</v>
      </c>
      <c r="W342" s="1467">
        <v>1055</v>
      </c>
      <c r="X342" s="1491">
        <f t="shared" si="50"/>
        <v>1107.75</v>
      </c>
      <c r="Y342" s="1491">
        <v>1107.75</v>
      </c>
      <c r="Z342" s="1554" t="s">
        <v>1808</v>
      </c>
      <c r="AB342" s="1461"/>
      <c r="AC342" s="1461"/>
      <c r="AD342" s="1481" t="s">
        <v>1532</v>
      </c>
      <c r="AE342" s="1461"/>
      <c r="AF342" s="1461"/>
      <c r="AG342" s="1461"/>
      <c r="BD342" s="1524" t="s">
        <v>761</v>
      </c>
      <c r="BE342" s="1488">
        <f>+CA342*1.05</f>
        <v>0</v>
      </c>
      <c r="BF342" s="1482" t="s">
        <v>965</v>
      </c>
    </row>
    <row r="343" spans="1:58">
      <c r="A343" s="1499" t="s">
        <v>2129</v>
      </c>
      <c r="B343" s="1500" t="s">
        <v>619</v>
      </c>
      <c r="C343" s="1488">
        <f>+X343</f>
        <v>0</v>
      </c>
      <c r="D343" s="1482" t="s">
        <v>1764</v>
      </c>
      <c r="E343" s="1501" t="s">
        <v>619</v>
      </c>
      <c r="F343" s="1489">
        <v>50</v>
      </c>
      <c r="G343" s="1474" t="s">
        <v>2130</v>
      </c>
      <c r="H343" s="1502" t="s">
        <v>619</v>
      </c>
      <c r="J343" s="1475"/>
      <c r="K343" s="1477"/>
      <c r="L343" s="1525"/>
      <c r="M343" s="1489"/>
      <c r="N343" s="1474"/>
      <c r="O343" s="1525"/>
      <c r="P343" s="1489"/>
      <c r="Q343" s="1474"/>
      <c r="T343" s="1478">
        <f t="shared" si="48"/>
        <v>50</v>
      </c>
      <c r="U343" s="1478">
        <f t="shared" si="49"/>
        <v>50</v>
      </c>
      <c r="W343" s="1467"/>
      <c r="X343" s="1491">
        <f t="shared" si="50"/>
        <v>0</v>
      </c>
      <c r="Y343" s="1491">
        <v>0</v>
      </c>
      <c r="Z343" s="1554" t="s">
        <v>1576</v>
      </c>
      <c r="AB343" s="1461"/>
      <c r="AC343" s="1461"/>
      <c r="AD343" s="1481" t="s">
        <v>1532</v>
      </c>
      <c r="AE343" s="1461"/>
      <c r="AF343" s="1461"/>
      <c r="AG343" s="1461"/>
      <c r="BD343" s="1500" t="s">
        <v>619</v>
      </c>
      <c r="BE343" s="1488">
        <f>+BZ343</f>
        <v>0</v>
      </c>
      <c r="BF343" s="1482" t="s">
        <v>1764</v>
      </c>
    </row>
    <row r="344" spans="1:58">
      <c r="A344" s="1499" t="s">
        <v>2131</v>
      </c>
      <c r="B344" s="1524" t="s">
        <v>761</v>
      </c>
      <c r="C344" s="1488">
        <f>+Y344*0.105</f>
        <v>1.21275</v>
      </c>
      <c r="D344" s="1500" t="s">
        <v>965</v>
      </c>
      <c r="E344" s="1525" t="s">
        <v>761</v>
      </c>
      <c r="F344" s="1489"/>
      <c r="G344" s="1526"/>
      <c r="H344" s="1527" t="s">
        <v>761</v>
      </c>
      <c r="J344" s="1502" t="s">
        <v>965</v>
      </c>
      <c r="L344" s="1525" t="s">
        <v>761</v>
      </c>
      <c r="M344" s="1489"/>
      <c r="N344" s="1526"/>
      <c r="O344" s="1525" t="s">
        <v>761</v>
      </c>
      <c r="P344" s="1489"/>
      <c r="Q344" s="1526"/>
      <c r="S344" s="1490">
        <v>11</v>
      </c>
      <c r="T344" s="1478" t="e">
        <f t="shared" si="48"/>
        <v>#DIV/0!</v>
      </c>
      <c r="U344" s="1478">
        <f t="shared" si="49"/>
        <v>11</v>
      </c>
      <c r="W344" s="1467">
        <v>11</v>
      </c>
      <c r="X344" s="1491">
        <f t="shared" si="50"/>
        <v>11.55</v>
      </c>
      <c r="Y344" s="1491">
        <v>11.55</v>
      </c>
      <c r="Z344" s="1554" t="s">
        <v>1808</v>
      </c>
      <c r="AB344" s="1461"/>
      <c r="AC344" s="1461"/>
      <c r="AD344" s="1481" t="s">
        <v>1532</v>
      </c>
      <c r="AE344" s="1461"/>
      <c r="AF344" s="1461"/>
      <c r="AG344" s="1461"/>
      <c r="BD344" s="1524" t="s">
        <v>761</v>
      </c>
      <c r="BE344" s="1488">
        <f>+CA344*0.105</f>
        <v>0</v>
      </c>
      <c r="BF344" s="1500" t="s">
        <v>965</v>
      </c>
    </row>
    <row r="345" spans="1:58">
      <c r="A345" s="1499" t="s">
        <v>2132</v>
      </c>
      <c r="B345" s="1524" t="s">
        <v>1569</v>
      </c>
      <c r="C345" s="1488">
        <f>+Y345*0.107</f>
        <v>1.3481999999999998</v>
      </c>
      <c r="D345" s="1482" t="s">
        <v>965</v>
      </c>
      <c r="E345" s="1525" t="s">
        <v>1569</v>
      </c>
      <c r="F345" s="1489"/>
      <c r="G345" s="1474"/>
      <c r="H345" s="1527" t="s">
        <v>1569</v>
      </c>
      <c r="I345" s="1490">
        <v>24</v>
      </c>
      <c r="J345" s="1475" t="s">
        <v>965</v>
      </c>
      <c r="K345" s="1528" t="s">
        <v>2133</v>
      </c>
      <c r="L345" s="1525" t="s">
        <v>1569</v>
      </c>
      <c r="M345" s="1489">
        <v>13.51</v>
      </c>
      <c r="N345" s="1474"/>
      <c r="O345" s="1525" t="s">
        <v>1569</v>
      </c>
      <c r="P345" s="1489"/>
      <c r="Q345" s="1474"/>
      <c r="S345" s="1490">
        <v>12</v>
      </c>
      <c r="T345" s="1478">
        <f t="shared" si="48"/>
        <v>18.754999999999999</v>
      </c>
      <c r="U345" s="1478">
        <f t="shared" si="49"/>
        <v>16.503333333333334</v>
      </c>
      <c r="W345" s="1467">
        <v>12</v>
      </c>
      <c r="X345" s="1491">
        <f t="shared" si="50"/>
        <v>12.600000000000001</v>
      </c>
      <c r="Y345" s="1491">
        <v>12.6</v>
      </c>
      <c r="Z345" s="1492" t="s">
        <v>1547</v>
      </c>
      <c r="AB345" s="1461"/>
      <c r="AC345" s="1461"/>
      <c r="AD345" s="1481" t="s">
        <v>1532</v>
      </c>
      <c r="AE345" s="1461"/>
      <c r="AF345" s="1461"/>
      <c r="AG345" s="1461"/>
      <c r="BD345" s="1524" t="s">
        <v>1569</v>
      </c>
      <c r="BE345" s="1488">
        <f>+CA345*0.107</f>
        <v>0</v>
      </c>
      <c r="BF345" s="1482" t="s">
        <v>965</v>
      </c>
    </row>
    <row r="346" spans="1:58">
      <c r="A346" s="1561" t="s">
        <v>2134</v>
      </c>
      <c r="B346" s="1562" t="s">
        <v>761</v>
      </c>
      <c r="C346" s="1488">
        <f>+Y346*0.107</f>
        <v>266.83125000000001</v>
      </c>
      <c r="D346" s="1482" t="s">
        <v>965</v>
      </c>
      <c r="E346" s="1614" t="s">
        <v>761</v>
      </c>
      <c r="F346" s="1489"/>
      <c r="G346" s="1474"/>
      <c r="H346" s="1564" t="s">
        <v>761</v>
      </c>
      <c r="I346" s="1490">
        <f>24*75</f>
        <v>1800</v>
      </c>
      <c r="J346" s="1475" t="s">
        <v>965</v>
      </c>
      <c r="K346" s="1474" t="s">
        <v>2135</v>
      </c>
      <c r="L346" s="1614" t="s">
        <v>761</v>
      </c>
      <c r="M346" s="1711">
        <v>5678.25</v>
      </c>
      <c r="N346" s="1474" t="s">
        <v>2136</v>
      </c>
      <c r="O346" s="1614" t="s">
        <v>761</v>
      </c>
      <c r="P346" s="1489"/>
      <c r="Q346" s="1474"/>
      <c r="S346" s="1490">
        <v>2375</v>
      </c>
      <c r="T346" s="1478">
        <f t="shared" si="48"/>
        <v>3739.125</v>
      </c>
      <c r="U346" s="1478">
        <f t="shared" si="49"/>
        <v>3284.4166666666665</v>
      </c>
      <c r="W346" s="1467">
        <v>2375</v>
      </c>
      <c r="X346" s="1491">
        <f t="shared" si="50"/>
        <v>2493.75</v>
      </c>
      <c r="Y346" s="1491">
        <v>2493.75</v>
      </c>
      <c r="Z346" s="1492" t="s">
        <v>1547</v>
      </c>
      <c r="AB346" s="1461"/>
      <c r="AC346" s="1461"/>
      <c r="AD346" s="1481" t="s">
        <v>1532</v>
      </c>
      <c r="AE346" s="1461"/>
      <c r="AF346" s="1461"/>
      <c r="AG346" s="1461"/>
      <c r="BD346" s="1562" t="s">
        <v>761</v>
      </c>
      <c r="BE346" s="1488">
        <f>+CA346*0.107</f>
        <v>0</v>
      </c>
      <c r="BF346" s="1482" t="s">
        <v>965</v>
      </c>
    </row>
    <row r="347" spans="1:58">
      <c r="A347" s="1626" t="s">
        <v>2137</v>
      </c>
      <c r="B347" s="1482" t="s">
        <v>761</v>
      </c>
      <c r="C347" s="1488">
        <f>+Y347*1.02</f>
        <v>798.66</v>
      </c>
      <c r="D347" s="1482" t="s">
        <v>965</v>
      </c>
      <c r="E347" s="1472" t="s">
        <v>761</v>
      </c>
      <c r="F347" s="1473"/>
      <c r="G347" s="1712"/>
      <c r="H347" s="1475" t="s">
        <v>761</v>
      </c>
      <c r="I347" s="1476"/>
      <c r="J347" s="1713" t="s">
        <v>1764</v>
      </c>
      <c r="K347" s="1714"/>
      <c r="L347" s="1472" t="s">
        <v>761</v>
      </c>
      <c r="M347" s="1473">
        <v>466.16</v>
      </c>
      <c r="N347" s="1712"/>
      <c r="O347" s="1472" t="s">
        <v>761</v>
      </c>
      <c r="P347" s="1473"/>
      <c r="Q347" s="1712"/>
      <c r="S347" s="1476">
        <v>500</v>
      </c>
      <c r="T347" s="1478">
        <f t="shared" si="48"/>
        <v>466.16</v>
      </c>
      <c r="U347" s="1478">
        <f t="shared" si="49"/>
        <v>483.08000000000004</v>
      </c>
      <c r="W347" s="1467">
        <v>500</v>
      </c>
      <c r="X347" s="1491">
        <v>783</v>
      </c>
      <c r="Y347" s="1491">
        <v>783</v>
      </c>
      <c r="Z347" s="1492" t="s">
        <v>1653</v>
      </c>
      <c r="AB347" s="1461" t="s">
        <v>2138</v>
      </c>
      <c r="AC347" s="1461"/>
      <c r="AD347" s="1481" t="s">
        <v>1532</v>
      </c>
      <c r="AE347" s="1461"/>
      <c r="AF347" s="1461"/>
      <c r="AG347" s="1461"/>
      <c r="BD347" s="1482" t="s">
        <v>761</v>
      </c>
      <c r="BE347" s="1488">
        <f>+CA347*1.02</f>
        <v>0</v>
      </c>
      <c r="BF347" s="1482" t="s">
        <v>965</v>
      </c>
    </row>
    <row r="348" spans="1:58" ht="13.5" thickBot="1">
      <c r="A348" s="1558" t="s">
        <v>2139</v>
      </c>
      <c r="B348" s="1500" t="s">
        <v>1569</v>
      </c>
      <c r="C348" s="1488">
        <f>+Y348*1.07</f>
        <v>26.964000000000002</v>
      </c>
      <c r="D348" s="1482" t="s">
        <v>965</v>
      </c>
      <c r="E348" s="1501" t="s">
        <v>1569</v>
      </c>
      <c r="F348" s="1489"/>
      <c r="G348" s="1474"/>
      <c r="H348" s="1502" t="s">
        <v>1569</v>
      </c>
      <c r="J348" s="1475" t="s">
        <v>965</v>
      </c>
      <c r="K348" s="1477"/>
      <c r="L348" s="1501" t="s">
        <v>1569</v>
      </c>
      <c r="M348" s="1489"/>
      <c r="N348" s="1474"/>
      <c r="O348" s="1501" t="s">
        <v>1569</v>
      </c>
      <c r="P348" s="1489"/>
      <c r="Q348" s="1474"/>
      <c r="S348" s="1490">
        <v>24</v>
      </c>
      <c r="T348" s="1478" t="e">
        <f t="shared" si="48"/>
        <v>#DIV/0!</v>
      </c>
      <c r="U348" s="1478">
        <f t="shared" si="49"/>
        <v>24</v>
      </c>
      <c r="W348" s="1467">
        <v>24</v>
      </c>
      <c r="X348" s="1491">
        <f>+S348*1.05</f>
        <v>25.200000000000003</v>
      </c>
      <c r="Y348" s="1491">
        <v>25.2</v>
      </c>
      <c r="Z348" s="1492" t="s">
        <v>1547</v>
      </c>
      <c r="AF348" s="1480" t="s">
        <v>2140</v>
      </c>
      <c r="AG348" s="1480"/>
      <c r="AH348" s="1480"/>
      <c r="AI348" s="1480"/>
      <c r="BD348" s="1500" t="s">
        <v>1569</v>
      </c>
      <c r="BE348" s="1488">
        <f>+CA348*1.07</f>
        <v>0</v>
      </c>
      <c r="BF348" s="1482" t="s">
        <v>965</v>
      </c>
    </row>
    <row r="349" spans="1:58">
      <c r="A349" s="1715" t="s">
        <v>2141</v>
      </c>
      <c r="B349" s="1716" t="s">
        <v>1569</v>
      </c>
      <c r="C349" s="1628">
        <v>0.85</v>
      </c>
      <c r="D349" s="1482" t="s">
        <v>965</v>
      </c>
      <c r="E349" s="1472" t="s">
        <v>1569</v>
      </c>
      <c r="F349" s="1473">
        <v>1</v>
      </c>
      <c r="G349" s="1474"/>
      <c r="H349" s="1475" t="s">
        <v>1569</v>
      </c>
      <c r="I349" s="1476"/>
      <c r="J349" s="1475" t="s">
        <v>965</v>
      </c>
      <c r="K349" s="1477"/>
      <c r="L349" s="1472" t="s">
        <v>1569</v>
      </c>
      <c r="M349" s="1473"/>
      <c r="N349" s="1474"/>
      <c r="O349" s="1472" t="s">
        <v>1569</v>
      </c>
      <c r="P349" s="1473"/>
      <c r="Q349" s="1474"/>
      <c r="S349" s="1476">
        <v>1.64</v>
      </c>
      <c r="T349" s="1478">
        <f t="shared" si="48"/>
        <v>1</v>
      </c>
      <c r="U349" s="1478">
        <f t="shared" si="49"/>
        <v>1</v>
      </c>
      <c r="W349" s="1467"/>
      <c r="X349" s="1491"/>
      <c r="Y349" s="1491"/>
      <c r="AF349" s="1939" t="s">
        <v>2142</v>
      </c>
      <c r="AG349" s="1941" t="s">
        <v>2143</v>
      </c>
      <c r="AH349" s="1717" t="s">
        <v>2144</v>
      </c>
      <c r="AI349" s="1718" t="s">
        <v>2144</v>
      </c>
      <c r="BD349" s="1482" t="s">
        <v>1569</v>
      </c>
      <c r="BE349" s="1488">
        <v>0.85</v>
      </c>
      <c r="BF349" s="1482" t="s">
        <v>965</v>
      </c>
    </row>
    <row r="350" spans="1:58" ht="15" customHeight="1">
      <c r="A350" s="1719" t="s">
        <v>2145</v>
      </c>
      <c r="B350" s="1716" t="s">
        <v>1268</v>
      </c>
      <c r="C350" s="1720">
        <v>31</v>
      </c>
      <c r="D350" s="1716" t="s">
        <v>965</v>
      </c>
      <c r="G350" s="1565"/>
      <c r="AF350" s="1940"/>
      <c r="AG350" s="1942"/>
      <c r="AH350" s="1721" t="s">
        <v>2146</v>
      </c>
      <c r="AI350" s="1722" t="s">
        <v>2147</v>
      </c>
      <c r="BD350" s="1482" t="s">
        <v>1268</v>
      </c>
      <c r="BE350" s="1579">
        <v>31</v>
      </c>
      <c r="BF350" s="1482" t="s">
        <v>965</v>
      </c>
    </row>
    <row r="351" spans="1:58">
      <c r="A351" s="1723" t="s">
        <v>2148</v>
      </c>
      <c r="B351" s="1724" t="s">
        <v>1957</v>
      </c>
      <c r="C351" s="1628">
        <v>2.5</v>
      </c>
      <c r="D351" s="1724" t="s">
        <v>965</v>
      </c>
      <c r="G351" s="1565"/>
      <c r="AF351" s="1725"/>
      <c r="AG351" s="1726"/>
      <c r="AH351" s="1726"/>
      <c r="AI351" s="1727"/>
      <c r="BD351" s="1500" t="s">
        <v>1957</v>
      </c>
      <c r="BE351" s="1488">
        <v>2.5</v>
      </c>
      <c r="BF351" s="1500" t="s">
        <v>965</v>
      </c>
    </row>
    <row r="352" spans="1:58">
      <c r="A352" s="1728" t="s">
        <v>2149</v>
      </c>
      <c r="B352" s="1724" t="s">
        <v>1957</v>
      </c>
      <c r="C352" s="1628">
        <v>2.74</v>
      </c>
      <c r="D352" s="1724" t="s">
        <v>965</v>
      </c>
      <c r="G352" s="1565"/>
      <c r="AF352" s="1729" t="s">
        <v>2150</v>
      </c>
      <c r="AG352" s="1730">
        <v>19</v>
      </c>
      <c r="AH352" s="1731">
        <v>30</v>
      </c>
      <c r="AI352" s="1732">
        <v>22</v>
      </c>
      <c r="BD352" s="1500" t="s">
        <v>1957</v>
      </c>
      <c r="BE352" s="1488">
        <v>2.74</v>
      </c>
      <c r="BF352" s="1500" t="s">
        <v>965</v>
      </c>
    </row>
    <row r="353" spans="1:58">
      <c r="A353" s="1728" t="s">
        <v>2151</v>
      </c>
      <c r="B353" s="1724" t="s">
        <v>1957</v>
      </c>
      <c r="C353" s="1628">
        <v>0.6</v>
      </c>
      <c r="D353" s="1724" t="s">
        <v>965</v>
      </c>
      <c r="G353" s="1565"/>
      <c r="AF353" s="1733" t="s">
        <v>2152</v>
      </c>
      <c r="AG353" s="1734">
        <v>19</v>
      </c>
      <c r="AH353" s="1735">
        <v>25</v>
      </c>
      <c r="AI353" s="1736">
        <v>22</v>
      </c>
      <c r="BD353" s="1500" t="s">
        <v>1957</v>
      </c>
      <c r="BE353" s="1488">
        <v>0.6</v>
      </c>
      <c r="BF353" s="1500" t="s">
        <v>965</v>
      </c>
    </row>
    <row r="354" spans="1:58">
      <c r="A354" s="1728" t="s">
        <v>2153</v>
      </c>
      <c r="B354" s="1724" t="s">
        <v>1957</v>
      </c>
      <c r="C354" s="1628">
        <v>7.5</v>
      </c>
      <c r="D354" s="1724" t="s">
        <v>965</v>
      </c>
      <c r="G354" s="1565"/>
      <c r="AF354" s="1733" t="s">
        <v>2154</v>
      </c>
      <c r="AG354" s="1737">
        <v>19</v>
      </c>
      <c r="AH354" s="1738">
        <v>25</v>
      </c>
      <c r="AI354" s="1739">
        <v>22</v>
      </c>
      <c r="BD354" s="1500" t="s">
        <v>1957</v>
      </c>
      <c r="BE354" s="1488">
        <v>7.5</v>
      </c>
      <c r="BF354" s="1500" t="s">
        <v>965</v>
      </c>
    </row>
    <row r="355" spans="1:58">
      <c r="A355" s="1728" t="s">
        <v>2155</v>
      </c>
      <c r="B355" s="1724" t="s">
        <v>1957</v>
      </c>
      <c r="C355" s="1628">
        <v>4</v>
      </c>
      <c r="D355" s="1724" t="s">
        <v>965</v>
      </c>
      <c r="G355" s="1565"/>
      <c r="AF355" s="1733" t="s">
        <v>2156</v>
      </c>
      <c r="AG355" s="1740">
        <v>19</v>
      </c>
      <c r="AH355" s="1741">
        <v>25</v>
      </c>
      <c r="AI355" s="1742">
        <v>22</v>
      </c>
      <c r="BD355" s="1500" t="s">
        <v>1957</v>
      </c>
      <c r="BE355" s="1488">
        <v>4</v>
      </c>
      <c r="BF355" s="1500" t="s">
        <v>965</v>
      </c>
    </row>
    <row r="356" spans="1:58">
      <c r="A356" s="1728" t="s">
        <v>2157</v>
      </c>
      <c r="B356" s="1724" t="s">
        <v>1957</v>
      </c>
      <c r="C356" s="1628">
        <v>6</v>
      </c>
      <c r="D356" s="1724" t="s">
        <v>965</v>
      </c>
      <c r="G356" s="1565"/>
      <c r="AF356" s="1729" t="s">
        <v>2158</v>
      </c>
      <c r="AG356" s="1730">
        <v>19</v>
      </c>
      <c r="AH356" s="1731">
        <v>30</v>
      </c>
      <c r="AI356" s="1732">
        <v>22</v>
      </c>
      <c r="BD356" s="1500" t="s">
        <v>1957</v>
      </c>
      <c r="BE356" s="1488">
        <v>6</v>
      </c>
      <c r="BF356" s="1500" t="s">
        <v>965</v>
      </c>
    </row>
    <row r="357" spans="1:58">
      <c r="A357" s="1728" t="s">
        <v>2159</v>
      </c>
      <c r="B357" s="1724" t="s">
        <v>1957</v>
      </c>
      <c r="C357" s="1628">
        <v>7</v>
      </c>
      <c r="D357" s="1724" t="s">
        <v>965</v>
      </c>
      <c r="E357" s="1561"/>
      <c r="F357" s="1579"/>
      <c r="G357" s="1630"/>
      <c r="H357" s="1561"/>
      <c r="AF357" s="1743"/>
      <c r="AG357" s="1744"/>
      <c r="AH357" s="1745"/>
      <c r="AI357" s="1746"/>
      <c r="BD357" s="1500" t="s">
        <v>1957</v>
      </c>
      <c r="BE357" s="1488">
        <v>7</v>
      </c>
      <c r="BF357" s="1500" t="s">
        <v>965</v>
      </c>
    </row>
    <row r="358" spans="1:58">
      <c r="A358" s="1728" t="s">
        <v>2160</v>
      </c>
      <c r="B358" s="1724" t="s">
        <v>1957</v>
      </c>
      <c r="C358" s="1628">
        <v>4.17</v>
      </c>
      <c r="D358" s="1724" t="s">
        <v>965</v>
      </c>
      <c r="E358" s="1561"/>
      <c r="F358" s="1579"/>
      <c r="G358" s="1630"/>
      <c r="H358" s="1561"/>
      <c r="AF358" s="1729" t="s">
        <v>2161</v>
      </c>
      <c r="AG358" s="1730">
        <v>19</v>
      </c>
      <c r="AH358" s="1747">
        <v>30</v>
      </c>
      <c r="AI358" s="1732">
        <v>22</v>
      </c>
      <c r="BD358" s="1500" t="s">
        <v>1957</v>
      </c>
      <c r="BE358" s="1488">
        <v>4.17</v>
      </c>
      <c r="BF358" s="1500" t="s">
        <v>965</v>
      </c>
    </row>
    <row r="359" spans="1:58">
      <c r="A359" s="1728" t="s">
        <v>2162</v>
      </c>
      <c r="B359" s="1724" t="s">
        <v>1957</v>
      </c>
      <c r="C359" s="1628">
        <v>1.21</v>
      </c>
      <c r="D359" s="1724" t="s">
        <v>965</v>
      </c>
      <c r="E359" s="1561"/>
      <c r="F359" s="1579"/>
      <c r="G359" s="1630"/>
      <c r="H359" s="1561"/>
      <c r="AF359" s="1748" t="s">
        <v>2163</v>
      </c>
      <c r="AG359" s="1730">
        <v>19</v>
      </c>
      <c r="AH359" s="1747">
        <v>30</v>
      </c>
      <c r="AI359" s="1732">
        <v>22</v>
      </c>
      <c r="BD359" s="1500" t="s">
        <v>1957</v>
      </c>
      <c r="BE359" s="1488">
        <v>1.21</v>
      </c>
      <c r="BF359" s="1500" t="s">
        <v>965</v>
      </c>
    </row>
    <row r="360" spans="1:58">
      <c r="A360" s="1715" t="s">
        <v>2164</v>
      </c>
      <c r="B360" s="1724" t="s">
        <v>1957</v>
      </c>
      <c r="C360" s="1628">
        <v>1.26</v>
      </c>
      <c r="D360" s="1724" t="s">
        <v>965</v>
      </c>
      <c r="E360" s="1749"/>
      <c r="F360" s="1750"/>
      <c r="G360" s="1751"/>
      <c r="H360" s="1752"/>
      <c r="I360" s="191"/>
      <c r="J360" s="191"/>
      <c r="K360" s="191"/>
      <c r="L360" s="191"/>
      <c r="M360" s="191"/>
      <c r="N360" s="191"/>
      <c r="O360" s="191"/>
      <c r="P360" s="191"/>
      <c r="Q360" s="191"/>
      <c r="S360" s="191"/>
      <c r="AF360" s="1748" t="s">
        <v>2165</v>
      </c>
      <c r="AG360" s="1730">
        <v>19</v>
      </c>
      <c r="AH360" s="1747">
        <v>30</v>
      </c>
      <c r="AI360" s="1732">
        <v>22</v>
      </c>
      <c r="BD360" s="1500" t="s">
        <v>1957</v>
      </c>
      <c r="BE360" s="1488">
        <v>1.26</v>
      </c>
      <c r="BF360" s="1500" t="s">
        <v>965</v>
      </c>
    </row>
    <row r="361" spans="1:58">
      <c r="A361" s="1715" t="s">
        <v>2166</v>
      </c>
      <c r="B361" s="1716" t="s">
        <v>619</v>
      </c>
      <c r="C361" s="1628">
        <v>16</v>
      </c>
      <c r="D361" s="1724" t="s">
        <v>965</v>
      </c>
      <c r="E361" s="1753"/>
      <c r="F361" s="1754"/>
      <c r="G361" s="1755"/>
      <c r="H361" s="1753"/>
      <c r="I361" s="191"/>
      <c r="S361" s="191"/>
      <c r="AF361" s="1748" t="s">
        <v>2167</v>
      </c>
      <c r="AG361" s="1730">
        <v>19</v>
      </c>
      <c r="AH361" s="1747">
        <v>30</v>
      </c>
      <c r="AI361" s="1732">
        <v>22</v>
      </c>
      <c r="BD361" s="1482" t="s">
        <v>619</v>
      </c>
      <c r="BE361" s="1488">
        <v>16</v>
      </c>
      <c r="BF361" s="1500" t="s">
        <v>965</v>
      </c>
    </row>
    <row r="362" spans="1:58">
      <c r="A362" s="1715" t="s">
        <v>2168</v>
      </c>
      <c r="B362" s="1716" t="s">
        <v>1957</v>
      </c>
      <c r="C362" s="1628">
        <v>1.64</v>
      </c>
      <c r="D362" s="1724" t="s">
        <v>965</v>
      </c>
      <c r="E362" s="1753"/>
      <c r="F362" s="1754"/>
      <c r="G362" s="1755"/>
      <c r="H362" s="1753"/>
      <c r="I362" s="191"/>
      <c r="S362" s="191"/>
      <c r="AF362" s="1748" t="s">
        <v>2169</v>
      </c>
      <c r="AG362" s="1730">
        <v>19</v>
      </c>
      <c r="AH362" s="1747">
        <v>30</v>
      </c>
      <c r="AI362" s="1732">
        <v>22</v>
      </c>
      <c r="BD362" s="1482" t="s">
        <v>1957</v>
      </c>
      <c r="BE362" s="1488">
        <v>1.64</v>
      </c>
      <c r="BF362" s="1500" t="s">
        <v>965</v>
      </c>
    </row>
    <row r="363" spans="1:58">
      <c r="A363" s="1715" t="s">
        <v>2170</v>
      </c>
      <c r="B363" s="1716" t="s">
        <v>1957</v>
      </c>
      <c r="C363" s="1628">
        <v>2.34</v>
      </c>
      <c r="D363" s="1724" t="s">
        <v>965</v>
      </c>
      <c r="E363" s="1753"/>
      <c r="F363" s="1754"/>
      <c r="G363" s="1755"/>
      <c r="H363" s="1753"/>
      <c r="I363" s="191"/>
      <c r="S363" s="191"/>
      <c r="AF363" s="1748" t="s">
        <v>2171</v>
      </c>
      <c r="AG363" s="1730">
        <v>19</v>
      </c>
      <c r="AH363" s="1747">
        <v>30</v>
      </c>
      <c r="AI363" s="1732">
        <v>22</v>
      </c>
      <c r="BD363" s="1482" t="s">
        <v>1957</v>
      </c>
      <c r="BE363" s="1488">
        <v>2.34</v>
      </c>
      <c r="BF363" s="1500" t="s">
        <v>965</v>
      </c>
    </row>
    <row r="364" spans="1:58">
      <c r="A364" s="1715" t="s">
        <v>2172</v>
      </c>
      <c r="B364" s="1716" t="s">
        <v>1957</v>
      </c>
      <c r="C364" s="1628">
        <v>1.2</v>
      </c>
      <c r="D364" s="1724" t="s">
        <v>965</v>
      </c>
      <c r="E364" s="1753"/>
      <c r="F364" s="1754"/>
      <c r="G364" s="1755"/>
      <c r="H364" s="1753"/>
      <c r="I364" s="191"/>
      <c r="S364" s="191"/>
      <c r="AF364" s="1743"/>
      <c r="AG364" s="1744"/>
      <c r="AH364" s="1745"/>
      <c r="AI364" s="1746"/>
      <c r="BD364" s="1482" t="s">
        <v>1957</v>
      </c>
      <c r="BE364" s="1488">
        <v>1.2</v>
      </c>
      <c r="BF364" s="1500" t="s">
        <v>965</v>
      </c>
    </row>
    <row r="365" spans="1:58">
      <c r="A365" s="1756" t="s">
        <v>2173</v>
      </c>
      <c r="B365" s="1561"/>
      <c r="C365" s="1579"/>
      <c r="D365" s="1561"/>
      <c r="E365" s="1753"/>
      <c r="F365" s="1754"/>
      <c r="G365" s="1755"/>
      <c r="H365" s="1753"/>
      <c r="I365" s="191"/>
      <c r="S365" s="191"/>
      <c r="AF365" s="1748" t="s">
        <v>2174</v>
      </c>
      <c r="AG365" s="1730">
        <v>19</v>
      </c>
      <c r="AH365" s="1731">
        <v>30</v>
      </c>
      <c r="AI365" s="1757">
        <v>22</v>
      </c>
      <c r="BD365" s="1561" t="s">
        <v>1957</v>
      </c>
      <c r="BE365" s="1579">
        <v>53.8</v>
      </c>
      <c r="BF365" s="1500" t="s">
        <v>965</v>
      </c>
    </row>
    <row r="366" spans="1:58">
      <c r="A366" s="1630" t="s">
        <v>2175</v>
      </c>
      <c r="B366" s="1500" t="s">
        <v>1957</v>
      </c>
      <c r="C366" s="1579"/>
      <c r="D366" s="1561"/>
      <c r="E366" s="1753"/>
      <c r="F366" s="1754"/>
      <c r="G366" s="1755"/>
      <c r="H366" s="1753"/>
      <c r="I366" s="191"/>
      <c r="S366" s="191"/>
      <c r="AF366" s="1748" t="s">
        <v>2176</v>
      </c>
      <c r="AG366" s="1730">
        <v>19</v>
      </c>
      <c r="AH366" s="1731">
        <v>30</v>
      </c>
      <c r="AI366" s="1757">
        <v>22</v>
      </c>
      <c r="BD366" s="1561"/>
      <c r="BE366" s="1579">
        <v>1.5</v>
      </c>
      <c r="BF366" s="1561"/>
    </row>
    <row r="367" spans="1:58">
      <c r="A367" s="1630" t="s">
        <v>2177</v>
      </c>
      <c r="B367" s="1500" t="s">
        <v>1957</v>
      </c>
      <c r="C367" s="1579"/>
      <c r="D367" s="1561"/>
      <c r="E367" s="1758"/>
      <c r="F367" s="1754"/>
      <c r="G367" s="1755"/>
      <c r="H367" s="1753"/>
      <c r="I367" s="191"/>
      <c r="S367" s="191"/>
      <c r="AF367" s="1748" t="s">
        <v>2178</v>
      </c>
      <c r="AG367" s="1730">
        <v>19</v>
      </c>
      <c r="AH367" s="1731">
        <v>30</v>
      </c>
      <c r="AI367" s="1757">
        <v>22</v>
      </c>
      <c r="BD367" s="1561"/>
      <c r="BE367" s="1579">
        <v>2.5499999999999998</v>
      </c>
      <c r="BF367" s="1561"/>
    </row>
    <row r="368" spans="1:58">
      <c r="A368" s="1630" t="s">
        <v>2179</v>
      </c>
      <c r="B368" s="1500" t="s">
        <v>1957</v>
      </c>
      <c r="C368" s="1579"/>
      <c r="D368" s="1561"/>
      <c r="E368" s="1758"/>
      <c r="F368" s="1754"/>
      <c r="G368" s="1755"/>
      <c r="H368" s="1753"/>
      <c r="I368" s="191"/>
      <c r="S368" s="191"/>
      <c r="AF368" s="1743"/>
      <c r="AG368" s="1744"/>
      <c r="AH368" s="1745"/>
      <c r="AI368" s="1746"/>
      <c r="BD368" s="1561"/>
      <c r="BE368" s="1579">
        <v>1.25</v>
      </c>
      <c r="BF368" s="1561"/>
    </row>
    <row r="369" spans="1:58">
      <c r="A369" s="1630" t="s">
        <v>2180</v>
      </c>
      <c r="B369" s="1500" t="s">
        <v>1957</v>
      </c>
      <c r="C369" s="1579"/>
      <c r="D369" s="1561"/>
      <c r="E369" s="1758"/>
      <c r="F369" s="1754"/>
      <c r="G369" s="1755"/>
      <c r="H369" s="1753"/>
      <c r="I369" s="191"/>
      <c r="S369" s="191"/>
      <c r="AF369" s="1748" t="s">
        <v>2181</v>
      </c>
      <c r="AG369" s="1730">
        <v>19</v>
      </c>
      <c r="AH369" s="1731">
        <v>30</v>
      </c>
      <c r="AI369" s="1757">
        <v>22</v>
      </c>
      <c r="BD369" s="1561"/>
      <c r="BE369" s="1579">
        <v>3.1</v>
      </c>
      <c r="BF369" s="1561"/>
    </row>
    <row r="370" spans="1:58">
      <c r="A370" s="1630" t="s">
        <v>2182</v>
      </c>
      <c r="B370" s="1759" t="s">
        <v>619</v>
      </c>
      <c r="C370" s="1760"/>
      <c r="D370" s="1759"/>
      <c r="E370" s="1761"/>
      <c r="F370" s="1762"/>
      <c r="G370" s="1763"/>
      <c r="H370" s="1752"/>
      <c r="I370" s="1764"/>
      <c r="J370" s="1765"/>
      <c r="K370" s="1766"/>
      <c r="L370" s="1766"/>
      <c r="M370" s="1765"/>
      <c r="N370" s="1766"/>
      <c r="O370" s="1766"/>
      <c r="P370" s="1765"/>
      <c r="Q370" s="1766"/>
      <c r="R370" s="1764"/>
      <c r="S370" s="1764"/>
      <c r="T370" s="1764"/>
      <c r="U370" s="1764"/>
      <c r="V370" s="1767"/>
      <c r="W370" s="1766"/>
      <c r="X370" s="1768"/>
      <c r="Y370" s="1768"/>
      <c r="Z370" s="1769"/>
      <c r="AA370" s="1770"/>
      <c r="AB370" s="1764"/>
      <c r="AC370" s="1764"/>
      <c r="AD370" s="1764"/>
      <c r="AE370" s="1764"/>
      <c r="AF370" s="1771" t="s">
        <v>2183</v>
      </c>
      <c r="AG370" s="1747">
        <v>19</v>
      </c>
      <c r="AH370" s="1731">
        <v>30</v>
      </c>
      <c r="AI370" s="1757">
        <v>22</v>
      </c>
      <c r="AJ370" s="1764"/>
      <c r="AK370" s="1764"/>
      <c r="AL370" s="1764"/>
      <c r="AM370" s="1764"/>
      <c r="AN370" s="1764"/>
      <c r="AO370" s="1764"/>
      <c r="AP370" s="1764"/>
      <c r="AQ370" s="1764"/>
      <c r="AR370" s="1764"/>
      <c r="AS370" s="1764"/>
      <c r="AT370" s="1764"/>
      <c r="AU370" s="1764"/>
      <c r="AV370" s="1764"/>
      <c r="AW370" s="1764"/>
      <c r="AX370" s="1764"/>
      <c r="AY370" s="1764"/>
      <c r="AZ370" s="1764"/>
      <c r="BA370" s="1764"/>
      <c r="BB370" s="1764"/>
      <c r="BC370" s="1764"/>
      <c r="BD370" s="1759" t="s">
        <v>619</v>
      </c>
      <c r="BE370" s="1579">
        <v>15.5</v>
      </c>
      <c r="BF370" s="1561"/>
    </row>
    <row r="371" spans="1:58">
      <c r="A371" s="1772" t="s">
        <v>2184</v>
      </c>
      <c r="B371" s="1773" t="s">
        <v>761</v>
      </c>
      <c r="C371" s="1774">
        <v>425</v>
      </c>
      <c r="D371" s="1773" t="s">
        <v>965</v>
      </c>
      <c r="E371" s="1758"/>
      <c r="F371" s="1754"/>
      <c r="G371" s="1755"/>
      <c r="H371" s="238"/>
      <c r="I371" s="191"/>
      <c r="S371" s="191"/>
      <c r="AF371" s="1748" t="s">
        <v>2185</v>
      </c>
      <c r="AG371" s="1730">
        <v>19</v>
      </c>
      <c r="AH371" s="1731">
        <v>30</v>
      </c>
      <c r="AI371" s="1757">
        <v>22</v>
      </c>
      <c r="BD371" s="1561"/>
      <c r="BE371" s="1579"/>
      <c r="BF371" s="1561"/>
    </row>
    <row r="372" spans="1:58">
      <c r="A372" s="1775" t="s">
        <v>2186</v>
      </c>
      <c r="B372" s="1776" t="s">
        <v>619</v>
      </c>
      <c r="C372" s="1774">
        <v>7.25</v>
      </c>
      <c r="D372" s="1773" t="s">
        <v>965</v>
      </c>
      <c r="E372" s="1777"/>
      <c r="F372" s="1778"/>
      <c r="G372" s="1755"/>
      <c r="H372" s="1777"/>
      <c r="I372" s="191"/>
      <c r="S372" s="191"/>
      <c r="AF372" s="1748" t="s">
        <v>2187</v>
      </c>
      <c r="AG372" s="1730">
        <v>19</v>
      </c>
      <c r="AH372" s="1731">
        <v>30</v>
      </c>
      <c r="AI372" s="1757">
        <v>22</v>
      </c>
      <c r="BD372" s="1561"/>
      <c r="BE372" s="1779"/>
      <c r="BF372" s="1562"/>
    </row>
    <row r="373" spans="1:58">
      <c r="A373" s="1772" t="s">
        <v>2188</v>
      </c>
      <c r="B373" s="1776" t="s">
        <v>619</v>
      </c>
      <c r="C373" s="1774">
        <v>6.5</v>
      </c>
      <c r="D373" s="1773" t="s">
        <v>965</v>
      </c>
      <c r="E373" s="1777"/>
      <c r="F373" s="1778"/>
      <c r="G373" s="1755"/>
      <c r="H373" s="1777"/>
      <c r="I373" s="191"/>
      <c r="S373" s="191"/>
      <c r="AF373" s="1780" t="s">
        <v>2189</v>
      </c>
      <c r="AG373" s="1781">
        <v>36</v>
      </c>
      <c r="AH373" s="1782">
        <v>47</v>
      </c>
      <c r="AI373" s="1783">
        <v>39</v>
      </c>
      <c r="BD373" s="1561"/>
      <c r="BE373" s="1779"/>
      <c r="BF373" s="1562"/>
    </row>
    <row r="374" spans="1:58">
      <c r="A374" s="1775" t="s">
        <v>2190</v>
      </c>
      <c r="B374" s="1776" t="s">
        <v>619</v>
      </c>
      <c r="C374" s="1774">
        <v>6</v>
      </c>
      <c r="D374" s="1773" t="s">
        <v>965</v>
      </c>
      <c r="E374" s="1777"/>
      <c r="F374" s="1778"/>
      <c r="G374" s="1755"/>
      <c r="H374" s="1777"/>
      <c r="I374" s="191"/>
      <c r="J374" s="191"/>
      <c r="K374" s="191"/>
      <c r="L374" s="191"/>
      <c r="M374" s="191"/>
      <c r="N374" s="191"/>
      <c r="O374" s="191"/>
      <c r="P374" s="191"/>
      <c r="Q374" s="191"/>
      <c r="S374" s="191"/>
      <c r="AF374" s="1748" t="s">
        <v>2191</v>
      </c>
      <c r="AG374" s="1730">
        <v>19</v>
      </c>
      <c r="AH374" s="1731">
        <v>30</v>
      </c>
      <c r="AI374" s="1757">
        <v>22</v>
      </c>
      <c r="BD374" s="1561"/>
      <c r="BE374" s="1779"/>
      <c r="BF374" s="1562"/>
    </row>
    <row r="375" spans="1:58">
      <c r="A375" s="1775" t="s">
        <v>2192</v>
      </c>
      <c r="B375" s="1776" t="s">
        <v>619</v>
      </c>
      <c r="C375" s="1774">
        <v>8</v>
      </c>
      <c r="D375" s="1773" t="s">
        <v>965</v>
      </c>
      <c r="E375" s="1758"/>
      <c r="F375" s="1754"/>
      <c r="G375" s="1755"/>
      <c r="H375" s="238"/>
      <c r="I375" s="191"/>
      <c r="J375" s="191"/>
      <c r="K375" s="191"/>
      <c r="L375" s="191"/>
      <c r="M375" s="191"/>
      <c r="N375" s="191"/>
      <c r="O375" s="191"/>
      <c r="P375" s="191"/>
      <c r="Q375" s="191"/>
      <c r="S375" s="191"/>
      <c r="AF375" s="1784" t="s">
        <v>2193</v>
      </c>
      <c r="AG375" s="1785">
        <v>29</v>
      </c>
      <c r="AH375" s="1786">
        <v>40</v>
      </c>
      <c r="AI375" s="1787">
        <v>32</v>
      </c>
      <c r="BD375" s="1561"/>
      <c r="BE375" s="1779"/>
      <c r="BF375" s="1562"/>
    </row>
    <row r="376" spans="1:58">
      <c r="A376" s="1775" t="s">
        <v>2194</v>
      </c>
      <c r="B376" s="1776" t="s">
        <v>619</v>
      </c>
      <c r="C376" s="1774">
        <v>5</v>
      </c>
      <c r="D376" s="1773" t="s">
        <v>965</v>
      </c>
      <c r="E376" s="1758"/>
      <c r="F376" s="1754"/>
      <c r="G376" s="1755"/>
      <c r="H376" s="238"/>
      <c r="I376" s="191"/>
      <c r="J376" s="191"/>
      <c r="K376" s="191"/>
      <c r="L376" s="191"/>
      <c r="M376" s="191"/>
      <c r="N376" s="191"/>
      <c r="O376" s="191"/>
      <c r="P376" s="191"/>
      <c r="Q376" s="191"/>
      <c r="S376" s="191"/>
      <c r="AF376" s="1748" t="s">
        <v>2195</v>
      </c>
      <c r="AG376" s="1730">
        <v>19</v>
      </c>
      <c r="AH376" s="1731">
        <v>30</v>
      </c>
      <c r="AI376" s="1757">
        <v>22</v>
      </c>
      <c r="BD376" s="1561"/>
      <c r="BE376" s="1779"/>
      <c r="BF376" s="1562"/>
    </row>
    <row r="377" spans="1:58" s="1789" customFormat="1">
      <c r="A377" s="1775" t="s">
        <v>2196</v>
      </c>
      <c r="B377" s="1470"/>
      <c r="C377" s="1788"/>
      <c r="D377" s="1482"/>
      <c r="E377" s="1758"/>
      <c r="F377" s="1754"/>
      <c r="G377" s="1755"/>
      <c r="H377" s="238"/>
      <c r="V377" s="1790"/>
      <c r="W377" s="1561"/>
      <c r="X377" s="239"/>
      <c r="Y377" s="239"/>
      <c r="Z377" s="1468"/>
      <c r="AA377" s="1672"/>
      <c r="AF377" s="1748" t="s">
        <v>2197</v>
      </c>
      <c r="AG377" s="1730">
        <v>19</v>
      </c>
      <c r="AH377" s="1731">
        <v>30</v>
      </c>
      <c r="AI377" s="1757">
        <v>22</v>
      </c>
      <c r="BD377" s="1470" t="s">
        <v>761</v>
      </c>
      <c r="BE377" s="1788">
        <v>200</v>
      </c>
      <c r="BF377" s="1482" t="s">
        <v>965</v>
      </c>
    </row>
    <row r="378" spans="1:58">
      <c r="A378" s="1775" t="s">
        <v>2198</v>
      </c>
      <c r="B378" s="1482"/>
      <c r="C378" s="1791"/>
      <c r="D378" s="1482"/>
      <c r="E378" s="1792"/>
      <c r="F378" s="1793"/>
      <c r="G378" s="1562"/>
      <c r="H378" s="1789"/>
      <c r="I378" s="191"/>
      <c r="J378" s="191"/>
      <c r="K378" s="191"/>
      <c r="L378" s="191"/>
      <c r="M378" s="191"/>
      <c r="N378" s="191"/>
      <c r="O378" s="191"/>
      <c r="P378" s="191"/>
      <c r="Q378" s="191"/>
      <c r="S378" s="191"/>
      <c r="AF378" s="1784" t="s">
        <v>2199</v>
      </c>
      <c r="AG378" s="1785">
        <v>29</v>
      </c>
      <c r="AH378" s="1786">
        <v>40</v>
      </c>
      <c r="AI378" s="1787">
        <v>32</v>
      </c>
      <c r="BD378" s="1482" t="s">
        <v>619</v>
      </c>
      <c r="BE378" s="1788">
        <v>15</v>
      </c>
      <c r="BF378" s="1482" t="s">
        <v>965</v>
      </c>
    </row>
    <row r="379" spans="1:58">
      <c r="A379" s="1794"/>
      <c r="B379" s="1482"/>
      <c r="C379" s="1791"/>
      <c r="D379" s="1482"/>
      <c r="E379" s="1792"/>
      <c r="F379" s="1793"/>
      <c r="G379" s="1562"/>
      <c r="H379" s="1789"/>
      <c r="I379" s="191"/>
      <c r="J379" s="191"/>
      <c r="K379" s="191"/>
      <c r="L379" s="191"/>
      <c r="M379" s="191"/>
      <c r="N379" s="191"/>
      <c r="O379" s="191"/>
      <c r="P379" s="191"/>
      <c r="Q379" s="191"/>
      <c r="S379" s="191"/>
      <c r="AF379" s="1748" t="s">
        <v>2200</v>
      </c>
      <c r="AG379" s="1730">
        <v>19</v>
      </c>
      <c r="AH379" s="1731">
        <v>30</v>
      </c>
      <c r="AI379" s="1757">
        <v>22</v>
      </c>
      <c r="BD379" s="1482"/>
      <c r="BE379" s="1791"/>
      <c r="BF379" s="1482"/>
    </row>
    <row r="380" spans="1:58">
      <c r="A380" s="1795"/>
      <c r="B380" s="1482"/>
      <c r="C380" s="1796"/>
      <c r="D380" s="1482"/>
      <c r="E380" s="1792"/>
      <c r="F380" s="1793"/>
      <c r="G380" s="1562"/>
      <c r="H380" s="1789"/>
      <c r="I380" s="191"/>
      <c r="J380" s="191"/>
      <c r="K380" s="191"/>
      <c r="L380" s="191"/>
      <c r="M380" s="191"/>
      <c r="N380" s="191"/>
      <c r="O380" s="191"/>
      <c r="P380" s="191"/>
      <c r="Q380" s="191"/>
      <c r="S380" s="191"/>
      <c r="AF380" s="1748" t="s">
        <v>2201</v>
      </c>
      <c r="AG380" s="1730">
        <v>19</v>
      </c>
      <c r="AH380" s="1731">
        <v>30</v>
      </c>
      <c r="AI380" s="1757">
        <v>22</v>
      </c>
      <c r="BD380" s="1482"/>
      <c r="BE380" s="1796"/>
      <c r="BF380" s="1482"/>
    </row>
    <row r="381" spans="1:58">
      <c r="A381" s="1630"/>
      <c r="B381" s="1561"/>
      <c r="C381" s="1579"/>
      <c r="D381" s="1561"/>
      <c r="E381" s="1561"/>
      <c r="F381" s="1579"/>
      <c r="G381" s="1630"/>
      <c r="H381" s="1561"/>
      <c r="AF381" s="1784" t="s">
        <v>2202</v>
      </c>
      <c r="AG381" s="1785">
        <v>29</v>
      </c>
      <c r="AH381" s="1786">
        <v>40</v>
      </c>
      <c r="AI381" s="1787">
        <v>32</v>
      </c>
      <c r="BD381" s="1561"/>
      <c r="BE381" s="1579"/>
      <c r="BF381" s="1561"/>
    </row>
    <row r="382" spans="1:58">
      <c r="G382" s="1565"/>
      <c r="AF382" s="1748" t="s">
        <v>2203</v>
      </c>
      <c r="AG382" s="1730">
        <v>19</v>
      </c>
      <c r="AH382" s="1731">
        <v>30</v>
      </c>
      <c r="AI382" s="1757">
        <v>22</v>
      </c>
    </row>
    <row r="383" spans="1:58">
      <c r="G383" s="1565"/>
      <c r="AF383" s="1784" t="s">
        <v>2204</v>
      </c>
      <c r="AG383" s="1785">
        <v>29</v>
      </c>
      <c r="AH383" s="1786">
        <v>40</v>
      </c>
      <c r="AI383" s="1787">
        <v>32</v>
      </c>
    </row>
    <row r="384" spans="1:58">
      <c r="G384" s="1565"/>
      <c r="AF384" s="1748" t="s">
        <v>2205</v>
      </c>
      <c r="AG384" s="1730">
        <v>19</v>
      </c>
      <c r="AH384" s="1731">
        <v>30</v>
      </c>
      <c r="AI384" s="1757">
        <v>22</v>
      </c>
    </row>
    <row r="385" spans="7:35">
      <c r="G385" s="1565"/>
      <c r="AF385" s="1748" t="s">
        <v>2206</v>
      </c>
      <c r="AG385" s="1730">
        <v>19</v>
      </c>
      <c r="AH385" s="1731">
        <v>30</v>
      </c>
      <c r="AI385" s="1757">
        <v>22</v>
      </c>
    </row>
    <row r="386" spans="7:35">
      <c r="G386" s="1565"/>
      <c r="AF386" s="1784" t="s">
        <v>2207</v>
      </c>
      <c r="AG386" s="1785">
        <v>29</v>
      </c>
      <c r="AH386" s="1786">
        <v>40</v>
      </c>
      <c r="AI386" s="1787">
        <v>32</v>
      </c>
    </row>
    <row r="387" spans="7:35">
      <c r="G387" s="1565"/>
      <c r="AF387" s="1748" t="s">
        <v>2208</v>
      </c>
      <c r="AG387" s="1730">
        <v>19</v>
      </c>
      <c r="AH387" s="1731">
        <v>30</v>
      </c>
      <c r="AI387" s="1757">
        <v>22</v>
      </c>
    </row>
    <row r="388" spans="7:35">
      <c r="G388" s="1565"/>
      <c r="AF388" s="1748" t="s">
        <v>2209</v>
      </c>
      <c r="AG388" s="1730">
        <v>19</v>
      </c>
      <c r="AH388" s="1731">
        <v>30</v>
      </c>
      <c r="AI388" s="1757">
        <v>22</v>
      </c>
    </row>
    <row r="389" spans="7:35">
      <c r="G389" s="1565"/>
      <c r="AF389" s="1784" t="s">
        <v>2210</v>
      </c>
      <c r="AG389" s="1785">
        <v>29</v>
      </c>
      <c r="AH389" s="1786">
        <v>40</v>
      </c>
      <c r="AI389" s="1787">
        <v>32</v>
      </c>
    </row>
    <row r="390" spans="7:35">
      <c r="G390" s="1565"/>
      <c r="AF390" s="1748" t="s">
        <v>2211</v>
      </c>
      <c r="AG390" s="1730">
        <v>19</v>
      </c>
      <c r="AH390" s="1731">
        <v>30</v>
      </c>
      <c r="AI390" s="1757">
        <v>22</v>
      </c>
    </row>
    <row r="391" spans="7:35">
      <c r="G391" s="1565"/>
      <c r="AF391" s="1748" t="s">
        <v>2212</v>
      </c>
      <c r="AG391" s="1730">
        <v>19</v>
      </c>
      <c r="AH391" s="1731">
        <v>30</v>
      </c>
      <c r="AI391" s="1757">
        <v>22</v>
      </c>
    </row>
    <row r="392" spans="7:35">
      <c r="G392" s="1565"/>
      <c r="AF392" s="1784" t="s">
        <v>2213</v>
      </c>
      <c r="AG392" s="1785">
        <v>29</v>
      </c>
      <c r="AH392" s="1786">
        <v>40</v>
      </c>
      <c r="AI392" s="1787">
        <v>32</v>
      </c>
    </row>
    <row r="393" spans="7:35">
      <c r="G393" s="1565"/>
      <c r="AF393" s="1748" t="s">
        <v>2214</v>
      </c>
      <c r="AG393" s="1730">
        <v>19</v>
      </c>
      <c r="AH393" s="1731">
        <v>30</v>
      </c>
      <c r="AI393" s="1757">
        <v>22</v>
      </c>
    </row>
    <row r="394" spans="7:35">
      <c r="G394" s="1565"/>
      <c r="AF394" s="1743"/>
      <c r="AG394" s="1744"/>
      <c r="AH394" s="1745"/>
      <c r="AI394" s="1746"/>
    </row>
    <row r="395" spans="7:35">
      <c r="G395" s="1565"/>
      <c r="AF395" s="1748" t="s">
        <v>2215</v>
      </c>
      <c r="AG395" s="1730">
        <v>19</v>
      </c>
      <c r="AH395" s="1731">
        <v>30</v>
      </c>
      <c r="AI395" s="1757">
        <v>22</v>
      </c>
    </row>
    <row r="396" spans="7:35">
      <c r="G396" s="1565"/>
      <c r="AF396" s="1748" t="s">
        <v>2216</v>
      </c>
      <c r="AG396" s="1730">
        <v>19</v>
      </c>
      <c r="AH396" s="1731">
        <v>30</v>
      </c>
      <c r="AI396" s="1757">
        <v>22</v>
      </c>
    </row>
    <row r="397" spans="7:35">
      <c r="G397" s="1565"/>
      <c r="AF397" s="1748" t="s">
        <v>2217</v>
      </c>
      <c r="AG397" s="1730">
        <v>19</v>
      </c>
      <c r="AH397" s="1731">
        <v>30</v>
      </c>
      <c r="AI397" s="1757">
        <v>22</v>
      </c>
    </row>
    <row r="398" spans="7:35">
      <c r="G398" s="1565"/>
      <c r="AF398" s="1748" t="s">
        <v>2218</v>
      </c>
      <c r="AG398" s="1730">
        <v>19</v>
      </c>
      <c r="AH398" s="1731">
        <v>30</v>
      </c>
      <c r="AI398" s="1757">
        <v>22</v>
      </c>
    </row>
    <row r="399" spans="7:35">
      <c r="G399" s="1565"/>
      <c r="AF399" s="1748" t="s">
        <v>2219</v>
      </c>
      <c r="AG399" s="1730">
        <v>19</v>
      </c>
      <c r="AH399" s="1731">
        <v>30</v>
      </c>
      <c r="AI399" s="1757">
        <v>22</v>
      </c>
    </row>
    <row r="400" spans="7:35" ht="13.5" thickBot="1">
      <c r="G400" s="1565"/>
      <c r="AF400" s="1797" t="s">
        <v>2220</v>
      </c>
      <c r="AG400" s="1798">
        <v>19</v>
      </c>
      <c r="AH400" s="1799">
        <v>30</v>
      </c>
      <c r="AI400" s="1800">
        <v>22</v>
      </c>
    </row>
    <row r="401" spans="7:35">
      <c r="G401" s="1565"/>
      <c r="AG401" s="1801"/>
      <c r="AH401" s="1480"/>
      <c r="AI401" s="1480"/>
    </row>
    <row r="402" spans="7:35">
      <c r="G402" s="1565"/>
      <c r="AF402" s="1802"/>
      <c r="AG402" s="1803" t="s">
        <v>2221</v>
      </c>
      <c r="AH402" s="1804">
        <f>(AVERAGE(AH352,AH358:AH372,AH374:AH400)+15)/100</f>
        <v>0.46750000000000003</v>
      </c>
      <c r="AI402" s="1804">
        <f>AVERAGE(AI352,AI358:AI372,AI374:AI400)/100</f>
        <v>0.23749999999999999</v>
      </c>
    </row>
    <row r="403" spans="7:35">
      <c r="G403" s="1565"/>
      <c r="AG403" s="1805"/>
      <c r="AH403" s="1480"/>
      <c r="AI403" s="1480"/>
    </row>
    <row r="404" spans="7:35">
      <c r="G404" s="1565"/>
      <c r="AG404" s="1803" t="s">
        <v>2222</v>
      </c>
      <c r="AH404" s="1804">
        <f>(AVERAGE(AH398,AH369:AH371,AH392:AH393)+15)/100</f>
        <v>0.46666666666666673</v>
      </c>
    </row>
    <row r="405" spans="7:35">
      <c r="G405" s="1565"/>
    </row>
    <row r="406" spans="7:35">
      <c r="G406" s="1565"/>
    </row>
    <row r="407" spans="7:35">
      <c r="G407" s="1565"/>
    </row>
    <row r="408" spans="7:35">
      <c r="G408" s="1565"/>
    </row>
    <row r="409" spans="7:35">
      <c r="G409" s="1565"/>
    </row>
    <row r="410" spans="7:35">
      <c r="G410" s="1565"/>
    </row>
    <row r="411" spans="7:35">
      <c r="G411" s="1565"/>
    </row>
    <row r="412" spans="7:35">
      <c r="G412" s="1565"/>
    </row>
    <row r="413" spans="7:35">
      <c r="G413" s="1565"/>
    </row>
    <row r="414" spans="7:35">
      <c r="G414" s="1565"/>
    </row>
    <row r="415" spans="7:35">
      <c r="G415" s="1565"/>
    </row>
    <row r="416" spans="7:35">
      <c r="G416" s="1565"/>
    </row>
    <row r="417" spans="7:7">
      <c r="G417" s="1565"/>
    </row>
    <row r="418" spans="7:7">
      <c r="G418" s="1565"/>
    </row>
    <row r="419" spans="7:7">
      <c r="G419" s="1565"/>
    </row>
    <row r="420" spans="7:7">
      <c r="G420" s="1565"/>
    </row>
    <row r="421" spans="7:7">
      <c r="G421" s="1565"/>
    </row>
    <row r="422" spans="7:7">
      <c r="G422" s="1565"/>
    </row>
    <row r="423" spans="7:7">
      <c r="G423" s="1565"/>
    </row>
    <row r="424" spans="7:7">
      <c r="G424" s="1565"/>
    </row>
    <row r="425" spans="7:7">
      <c r="G425" s="1565"/>
    </row>
    <row r="426" spans="7:7">
      <c r="G426" s="1565"/>
    </row>
    <row r="427" spans="7:7">
      <c r="G427" s="1565"/>
    </row>
    <row r="428" spans="7:7">
      <c r="G428" s="1565"/>
    </row>
    <row r="429" spans="7:7">
      <c r="G429" s="1565"/>
    </row>
    <row r="430" spans="7:7">
      <c r="G430" s="1565"/>
    </row>
    <row r="431" spans="7:7">
      <c r="G431" s="1565"/>
    </row>
    <row r="432" spans="7:7">
      <c r="G432" s="1565"/>
    </row>
    <row r="433" spans="7:7">
      <c r="G433" s="1565"/>
    </row>
    <row r="434" spans="7:7">
      <c r="G434" s="1565"/>
    </row>
    <row r="435" spans="7:7">
      <c r="G435" s="1565"/>
    </row>
    <row r="436" spans="7:7">
      <c r="G436" s="1565"/>
    </row>
    <row r="437" spans="7:7">
      <c r="G437" s="1565"/>
    </row>
    <row r="438" spans="7:7">
      <c r="G438" s="1565"/>
    </row>
    <row r="439" spans="7:7">
      <c r="G439" s="1565"/>
    </row>
    <row r="440" spans="7:7">
      <c r="G440" s="1565"/>
    </row>
    <row r="441" spans="7:7">
      <c r="G441" s="1565"/>
    </row>
    <row r="442" spans="7:7">
      <c r="G442" s="1565"/>
    </row>
    <row r="443" spans="7:7">
      <c r="G443" s="1565"/>
    </row>
    <row r="444" spans="7:7">
      <c r="G444" s="1565"/>
    </row>
    <row r="445" spans="7:7">
      <c r="G445" s="1565"/>
    </row>
    <row r="446" spans="7:7">
      <c r="G446" s="1565"/>
    </row>
    <row r="447" spans="7:7">
      <c r="G447" s="1565"/>
    </row>
    <row r="448" spans="7:7">
      <c r="G448" s="1565"/>
    </row>
    <row r="449" spans="7:7">
      <c r="G449" s="1565"/>
    </row>
    <row r="450" spans="7:7">
      <c r="G450" s="1565"/>
    </row>
    <row r="451" spans="7:7">
      <c r="G451" s="1565"/>
    </row>
    <row r="452" spans="7:7">
      <c r="G452" s="1565"/>
    </row>
    <row r="453" spans="7:7">
      <c r="G453" s="1565"/>
    </row>
    <row r="454" spans="7:7">
      <c r="G454" s="1565"/>
    </row>
    <row r="455" spans="7:7">
      <c r="G455" s="1565"/>
    </row>
    <row r="456" spans="7:7">
      <c r="G456" s="1565"/>
    </row>
    <row r="457" spans="7:7">
      <c r="G457" s="1565"/>
    </row>
    <row r="458" spans="7:7">
      <c r="G458" s="1565"/>
    </row>
    <row r="459" spans="7:7">
      <c r="G459" s="1565"/>
    </row>
    <row r="460" spans="7:7">
      <c r="G460" s="1565"/>
    </row>
    <row r="461" spans="7:7">
      <c r="G461" s="1565"/>
    </row>
    <row r="462" spans="7:7">
      <c r="G462" s="1565"/>
    </row>
    <row r="463" spans="7:7">
      <c r="G463" s="1565"/>
    </row>
    <row r="464" spans="7:7">
      <c r="G464" s="1565"/>
    </row>
    <row r="465" spans="7:7">
      <c r="G465" s="1565"/>
    </row>
    <row r="466" spans="7:7">
      <c r="G466" s="1565"/>
    </row>
    <row r="467" spans="7:7">
      <c r="G467" s="1565"/>
    </row>
    <row r="468" spans="7:7">
      <c r="G468" s="1565"/>
    </row>
    <row r="469" spans="7:7">
      <c r="G469" s="1565"/>
    </row>
    <row r="470" spans="7:7">
      <c r="G470" s="1565"/>
    </row>
    <row r="471" spans="7:7">
      <c r="G471" s="1565"/>
    </row>
    <row r="472" spans="7:7">
      <c r="G472" s="1565"/>
    </row>
    <row r="473" spans="7:7">
      <c r="G473" s="1565"/>
    </row>
    <row r="474" spans="7:7">
      <c r="G474" s="1565"/>
    </row>
    <row r="475" spans="7:7">
      <c r="G475" s="1565"/>
    </row>
    <row r="476" spans="7:7">
      <c r="G476" s="1565"/>
    </row>
    <row r="477" spans="7:7">
      <c r="G477" s="1565"/>
    </row>
  </sheetData>
  <mergeCells count="22">
    <mergeCell ref="AJ61:AJ65"/>
    <mergeCell ref="AS61:AS65"/>
    <mergeCell ref="N196:N197"/>
    <mergeCell ref="Q196:Q197"/>
    <mergeCell ref="AF349:AF350"/>
    <mergeCell ref="AG349:AG350"/>
    <mergeCell ref="T1:T4"/>
    <mergeCell ref="U1:U4"/>
    <mergeCell ref="X1:X4"/>
    <mergeCell ref="BD1:BD3"/>
    <mergeCell ref="BE1:BF2"/>
    <mergeCell ref="W2:W3"/>
    <mergeCell ref="Y2:Y3"/>
    <mergeCell ref="Z3:Z4"/>
    <mergeCell ref="AA3:AA4"/>
    <mergeCell ref="AB3:AB4"/>
    <mergeCell ref="O1:O3"/>
    <mergeCell ref="B1:B3"/>
    <mergeCell ref="C1:D2"/>
    <mergeCell ref="E1:E3"/>
    <mergeCell ref="H1:H3"/>
    <mergeCell ref="L1:L3"/>
  </mergeCells>
  <printOptions gridLines="1"/>
  <pageMargins left="0.1" right="0.1" top="0.41" bottom="0.21" header="0.31" footer="0.16"/>
  <pageSetup fitToHeight="4"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dimension ref="B1:P108"/>
  <sheetViews>
    <sheetView zoomScaleNormal="100" workbookViewId="0">
      <selection activeCell="E6" sqref="E6"/>
    </sheetView>
  </sheetViews>
  <sheetFormatPr defaultRowHeight="12.75"/>
  <cols>
    <col min="1" max="1" width="2.85546875" style="2" customWidth="1"/>
    <col min="2" max="2" width="11.5703125" style="2" customWidth="1"/>
    <col min="3" max="3" width="18.7109375" style="2" customWidth="1"/>
    <col min="4" max="4" width="23.5703125" style="2" customWidth="1"/>
    <col min="5" max="5" width="20.5703125" style="2" customWidth="1"/>
    <col min="6" max="6" width="10.85546875" style="2" customWidth="1"/>
    <col min="7" max="7" width="10.42578125" style="2" customWidth="1"/>
    <col min="8" max="8" width="9.140625" style="2" bestFit="1" customWidth="1"/>
    <col min="9" max="9" width="9.85546875" style="2" customWidth="1"/>
    <col min="10" max="10" width="2.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5.5">
      <c r="B2" s="113" t="s">
        <v>42</v>
      </c>
      <c r="C2" s="79">
        <v>104</v>
      </c>
      <c r="D2" s="79" t="s">
        <v>50</v>
      </c>
      <c r="E2" s="107" t="s">
        <v>67</v>
      </c>
    </row>
    <row r="3" spans="2:10" ht="15.75">
      <c r="B3" s="1" t="s">
        <v>17</v>
      </c>
      <c r="E3" s="100"/>
    </row>
    <row r="4" spans="2:10">
      <c r="B4" s="68" t="s">
        <v>1</v>
      </c>
      <c r="C4" s="69" t="s">
        <v>21</v>
      </c>
      <c r="D4" s="70"/>
      <c r="E4" s="108"/>
      <c r="F4" s="70"/>
      <c r="G4" s="83" t="s">
        <v>12</v>
      </c>
      <c r="H4" s="87"/>
      <c r="I4" s="87"/>
      <c r="J4"/>
    </row>
    <row r="5" spans="2:10" ht="25.5">
      <c r="B5" s="71" t="s">
        <v>13</v>
      </c>
      <c r="C5" s="72" t="s">
        <v>22</v>
      </c>
      <c r="D5" s="72" t="s">
        <v>29</v>
      </c>
      <c r="E5" s="109" t="s">
        <v>30</v>
      </c>
      <c r="F5" s="72" t="s">
        <v>23</v>
      </c>
      <c r="G5" s="84" t="s">
        <v>14</v>
      </c>
      <c r="H5" s="88"/>
      <c r="I5" s="88"/>
      <c r="J5"/>
    </row>
    <row r="6" spans="2:10" ht="23.25" customHeight="1">
      <c r="B6" s="54">
        <v>104</v>
      </c>
      <c r="C6" s="7" t="str">
        <f>+E10</f>
        <v>EQIP</v>
      </c>
      <c r="D6" s="53" t="s">
        <v>50</v>
      </c>
      <c r="E6" s="110" t="s">
        <v>68</v>
      </c>
      <c r="F6" s="7" t="s">
        <v>38</v>
      </c>
      <c r="G6" s="85">
        <f>G23</f>
        <v>1890</v>
      </c>
      <c r="H6" s="89"/>
      <c r="I6" s="89"/>
      <c r="J6"/>
    </row>
    <row r="7" spans="2:10" ht="25.5">
      <c r="B7" s="8">
        <v>104</v>
      </c>
      <c r="C7" s="10" t="s">
        <v>15</v>
      </c>
      <c r="D7" s="9" t="s">
        <v>50</v>
      </c>
      <c r="E7" s="111" t="s">
        <v>69</v>
      </c>
      <c r="F7" s="10" t="s">
        <v>38</v>
      </c>
      <c r="G7" s="86">
        <f>$H$23</f>
        <v>2268</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20" t="s">
        <v>16</v>
      </c>
      <c r="C13" s="16"/>
      <c r="D13" s="21" t="s">
        <v>6</v>
      </c>
      <c r="E13" s="22" t="s">
        <v>24</v>
      </c>
      <c r="F13" s="22" t="s">
        <v>24</v>
      </c>
      <c r="G13" s="22" t="s">
        <v>14</v>
      </c>
      <c r="H13" s="23" t="s">
        <v>14</v>
      </c>
    </row>
    <row r="14" spans="2:10">
      <c r="B14" s="15" t="s">
        <v>0</v>
      </c>
      <c r="C14" s="16"/>
      <c r="D14" s="24">
        <v>0</v>
      </c>
      <c r="E14" s="25">
        <v>0</v>
      </c>
      <c r="F14" s="25">
        <v>0</v>
      </c>
      <c r="G14" s="73">
        <f>+$D14*E14</f>
        <v>0</v>
      </c>
      <c r="H14" s="74">
        <f>+$D14*F14</f>
        <v>0</v>
      </c>
    </row>
    <row r="15" spans="2:10">
      <c r="B15" s="15" t="s">
        <v>2</v>
      </c>
      <c r="C15" s="16"/>
      <c r="D15" s="24">
        <v>0</v>
      </c>
      <c r="E15" s="25">
        <v>0</v>
      </c>
      <c r="F15" s="25">
        <v>0</v>
      </c>
      <c r="G15" s="73">
        <f t="shared" ref="G15:H22" si="0">+$D15*E15</f>
        <v>0</v>
      </c>
      <c r="H15" s="74">
        <f t="shared" si="0"/>
        <v>0</v>
      </c>
    </row>
    <row r="16" spans="2:10">
      <c r="B16" s="15" t="s">
        <v>3</v>
      </c>
      <c r="C16" s="16"/>
      <c r="D16" s="24">
        <f>I49</f>
        <v>2520</v>
      </c>
      <c r="E16" s="25">
        <v>0.75</v>
      </c>
      <c r="F16" s="25">
        <v>0.9</v>
      </c>
      <c r="G16" s="73">
        <f t="shared" si="0"/>
        <v>1890</v>
      </c>
      <c r="H16" s="74">
        <f t="shared" si="0"/>
        <v>2268</v>
      </c>
    </row>
    <row r="17" spans="2:16">
      <c r="B17" s="15" t="s">
        <v>4</v>
      </c>
      <c r="C17" s="16"/>
      <c r="D17" s="24">
        <v>0</v>
      </c>
      <c r="E17" s="25">
        <v>0</v>
      </c>
      <c r="F17" s="25">
        <v>0</v>
      </c>
      <c r="G17" s="73">
        <f t="shared" si="0"/>
        <v>0</v>
      </c>
      <c r="H17" s="74">
        <f t="shared" si="0"/>
        <v>0</v>
      </c>
    </row>
    <row r="18" spans="2:16">
      <c r="B18" s="15" t="s">
        <v>26</v>
      </c>
      <c r="C18" s="16"/>
      <c r="D18" s="24">
        <v>0</v>
      </c>
      <c r="E18" s="25">
        <v>0</v>
      </c>
      <c r="F18" s="25">
        <v>0</v>
      </c>
      <c r="G18" s="73">
        <f t="shared" si="0"/>
        <v>0</v>
      </c>
      <c r="H18" s="74">
        <f t="shared" si="0"/>
        <v>0</v>
      </c>
    </row>
    <row r="19" spans="2:16">
      <c r="B19" s="15" t="s">
        <v>7</v>
      </c>
      <c r="C19" s="16"/>
      <c r="D19" s="24">
        <f>I61</f>
        <v>0</v>
      </c>
      <c r="E19" s="25">
        <v>0.75</v>
      </c>
      <c r="F19" s="25">
        <v>0.9</v>
      </c>
      <c r="G19" s="73">
        <f t="shared" si="0"/>
        <v>0</v>
      </c>
      <c r="H19" s="74">
        <f t="shared" si="0"/>
        <v>0</v>
      </c>
    </row>
    <row r="20" spans="2:16">
      <c r="B20" s="15" t="s">
        <v>27</v>
      </c>
      <c r="C20" s="16"/>
      <c r="D20" s="24">
        <v>0</v>
      </c>
      <c r="E20" s="25">
        <v>0</v>
      </c>
      <c r="F20" s="25">
        <v>0</v>
      </c>
      <c r="G20" s="73">
        <f t="shared" si="0"/>
        <v>0</v>
      </c>
      <c r="H20" s="74">
        <f t="shared" si="0"/>
        <v>0</v>
      </c>
    </row>
    <row r="21" spans="2:16">
      <c r="B21" s="15" t="s">
        <v>5</v>
      </c>
      <c r="C21" s="16"/>
      <c r="D21" s="24">
        <v>0</v>
      </c>
      <c r="E21" s="25">
        <v>0</v>
      </c>
      <c r="F21" s="25">
        <v>0</v>
      </c>
      <c r="G21" s="73">
        <f t="shared" si="0"/>
        <v>0</v>
      </c>
      <c r="H21" s="74">
        <f t="shared" si="0"/>
        <v>0</v>
      </c>
    </row>
    <row r="22" spans="2:16">
      <c r="B22" s="15" t="s">
        <v>20</v>
      </c>
      <c r="C22" s="16"/>
      <c r="D22" s="24">
        <v>0</v>
      </c>
      <c r="E22" s="25">
        <v>0</v>
      </c>
      <c r="F22" s="25">
        <v>0</v>
      </c>
      <c r="G22" s="75">
        <f t="shared" si="0"/>
        <v>0</v>
      </c>
      <c r="H22" s="76">
        <f t="shared" si="0"/>
        <v>0</v>
      </c>
    </row>
    <row r="23" spans="2:16">
      <c r="B23" s="26" t="s">
        <v>19</v>
      </c>
      <c r="C23" s="27"/>
      <c r="D23" s="51">
        <f>SUM(D14:D22)</f>
        <v>2520</v>
      </c>
      <c r="E23" s="28"/>
      <c r="F23" s="28"/>
      <c r="G23" s="51">
        <f t="shared" ref="G23:H23" si="1">SUM(G14:G22)</f>
        <v>1890</v>
      </c>
      <c r="H23" s="77">
        <f t="shared" si="1"/>
        <v>2268</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70</v>
      </c>
      <c r="E28" s="1955"/>
      <c r="F28" s="1955"/>
      <c r="G28" s="1955"/>
      <c r="H28" s="1955"/>
      <c r="I28" s="36"/>
    </row>
    <row r="29" spans="2:16">
      <c r="B29" s="42"/>
      <c r="C29" s="34"/>
      <c r="D29" s="99"/>
      <c r="E29" s="97"/>
      <c r="F29" s="97"/>
      <c r="G29" s="97"/>
      <c r="H29" s="97"/>
      <c r="I29" s="36"/>
    </row>
    <row r="30" spans="2:16">
      <c r="B30" s="37" t="s">
        <v>41</v>
      </c>
      <c r="C30" s="34"/>
      <c r="D30" s="1956" t="s">
        <v>52</v>
      </c>
      <c r="E30" s="1957"/>
      <c r="F30" s="1957"/>
      <c r="G30" s="1957"/>
      <c r="H30" s="1957"/>
      <c r="I30" s="36"/>
    </row>
    <row r="31" spans="2:16" ht="15" customHeight="1">
      <c r="B31" s="91" t="s">
        <v>40</v>
      </c>
      <c r="C31" s="34"/>
      <c r="D31" s="1956" t="s">
        <v>51</v>
      </c>
      <c r="E31" s="1957"/>
      <c r="F31" s="1957"/>
      <c r="G31" s="1957"/>
      <c r="H31" s="1957"/>
      <c r="I31" s="36"/>
    </row>
    <row r="32" spans="2:16" ht="55.5" customHeight="1">
      <c r="B32" s="91" t="s">
        <v>33</v>
      </c>
      <c r="C32" s="90"/>
      <c r="D32" s="1956" t="s">
        <v>54</v>
      </c>
      <c r="E32" s="1957"/>
      <c r="F32" s="1957"/>
      <c r="G32" s="1957"/>
      <c r="H32" s="1957"/>
      <c r="I32" s="36"/>
    </row>
    <row r="33" spans="2:15" ht="78.75" customHeight="1">
      <c r="B33" s="91" t="s">
        <v>35</v>
      </c>
      <c r="C33" s="90"/>
      <c r="D33" s="1956" t="s">
        <v>56</v>
      </c>
      <c r="E33" s="1957"/>
      <c r="F33" s="1957"/>
      <c r="G33" s="1957"/>
      <c r="H33" s="1957"/>
      <c r="I33" s="36"/>
    </row>
    <row r="34" spans="2:15" ht="36" customHeight="1">
      <c r="B34" s="91" t="s">
        <v>34</v>
      </c>
      <c r="C34" s="90"/>
      <c r="D34" s="1956" t="s">
        <v>53</v>
      </c>
      <c r="E34" s="1957"/>
      <c r="F34" s="1957"/>
      <c r="G34" s="1957"/>
      <c r="H34" s="1957"/>
      <c r="I34" s="36"/>
    </row>
    <row r="35" spans="2:15">
      <c r="B35" s="37"/>
      <c r="C35" s="34"/>
      <c r="D35" s="34"/>
      <c r="E35" s="35"/>
      <c r="F35" s="35"/>
      <c r="G35" s="35"/>
      <c r="H35" s="35"/>
      <c r="I35" s="36"/>
    </row>
    <row r="36" spans="2:15">
      <c r="B36" s="38" t="s">
        <v>25</v>
      </c>
      <c r="C36" s="34"/>
      <c r="D36" s="1958" t="s">
        <v>42</v>
      </c>
      <c r="E36" s="1952"/>
      <c r="F36" s="1952"/>
      <c r="G36" s="1952"/>
      <c r="H36" s="1952"/>
      <c r="I36" s="36"/>
      <c r="J36" s="49"/>
    </row>
    <row r="37" spans="2:15">
      <c r="B37" s="37"/>
      <c r="C37" s="34"/>
      <c r="D37" s="35"/>
      <c r="E37" s="35"/>
      <c r="F37" s="35"/>
      <c r="G37" s="35"/>
      <c r="H37" s="35"/>
      <c r="I37" s="36"/>
    </row>
    <row r="38" spans="2:15">
      <c r="B38" s="38" t="s">
        <v>8</v>
      </c>
      <c r="C38" s="34"/>
      <c r="D38" s="39" t="s">
        <v>38</v>
      </c>
      <c r="E38" s="35"/>
      <c r="F38" s="35"/>
      <c r="G38" s="35"/>
      <c r="H38" s="35"/>
      <c r="I38" s="36"/>
    </row>
    <row r="39" spans="2:15">
      <c r="B39" s="38" t="s">
        <v>9</v>
      </c>
      <c r="C39" s="34"/>
      <c r="D39" s="92">
        <v>1</v>
      </c>
      <c r="E39" s="35"/>
      <c r="F39" s="35"/>
      <c r="G39" s="35"/>
      <c r="H39" s="35"/>
      <c r="I39" s="36"/>
    </row>
    <row r="40" spans="2:15">
      <c r="B40" s="38" t="s">
        <v>10</v>
      </c>
      <c r="C40" s="35"/>
      <c r="D40" s="93">
        <v>0</v>
      </c>
      <c r="E40" s="35"/>
      <c r="F40" s="35"/>
      <c r="G40" s="35"/>
      <c r="H40" s="35"/>
      <c r="I40" s="96" t="s">
        <v>6</v>
      </c>
    </row>
    <row r="41" spans="2:15">
      <c r="B41" s="40"/>
      <c r="C41" s="35"/>
      <c r="D41" s="35"/>
      <c r="E41" s="41"/>
      <c r="F41" s="35"/>
      <c r="G41" s="35"/>
      <c r="H41" s="35"/>
      <c r="I41" s="45"/>
      <c r="L41" s="64"/>
      <c r="M41" s="64"/>
      <c r="N41" s="61"/>
      <c r="O41" s="61"/>
    </row>
    <row r="42" spans="2:15">
      <c r="B42" s="42" t="s">
        <v>0</v>
      </c>
      <c r="C42" s="35"/>
      <c r="D42" s="35"/>
      <c r="E42" s="35"/>
      <c r="F42" s="35"/>
      <c r="G42" s="35"/>
      <c r="H42" s="35"/>
      <c r="I42" s="46">
        <v>0</v>
      </c>
      <c r="L42" s="64"/>
      <c r="M42" s="64"/>
      <c r="N42" s="61"/>
      <c r="O42" s="61"/>
    </row>
    <row r="43" spans="2:15" ht="14.25" customHeight="1">
      <c r="B43" s="37" t="s">
        <v>39</v>
      </c>
      <c r="C43" s="35"/>
      <c r="D43" s="78"/>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0</v>
      </c>
      <c r="L45" s="64"/>
      <c r="M45" s="61"/>
    </row>
    <row r="46" spans="2:15" ht="12.75" customHeight="1">
      <c r="B46" s="1959" t="s">
        <v>39</v>
      </c>
      <c r="C46" s="1955"/>
      <c r="D46" s="1955"/>
      <c r="E46" s="1955"/>
      <c r="F46" s="1955"/>
      <c r="G46" s="1955"/>
      <c r="H46" s="1955"/>
      <c r="I46" s="46"/>
      <c r="L46" s="64"/>
      <c r="M46" s="61"/>
    </row>
    <row r="47" spans="2:15" ht="6" customHeight="1">
      <c r="B47" s="33"/>
      <c r="C47" s="35"/>
      <c r="D47" s="35"/>
      <c r="E47" s="60"/>
      <c r="F47" s="60"/>
      <c r="G47" s="60"/>
      <c r="H47" s="35"/>
      <c r="I47" s="46"/>
      <c r="L47" s="64"/>
      <c r="M47" s="61"/>
    </row>
    <row r="48" spans="2:15" ht="4.5" customHeight="1">
      <c r="B48" s="42"/>
      <c r="C48" s="35"/>
      <c r="D48" s="35"/>
      <c r="E48" s="35"/>
      <c r="F48" s="35"/>
      <c r="G48" s="58"/>
      <c r="H48" s="59"/>
      <c r="I48" s="46"/>
      <c r="L48" s="64"/>
      <c r="M48" s="61"/>
    </row>
    <row r="49" spans="2:15">
      <c r="B49" s="42" t="s">
        <v>3</v>
      </c>
      <c r="C49" s="35"/>
      <c r="D49" s="35"/>
      <c r="E49" s="35"/>
      <c r="F49" s="35"/>
      <c r="G49" s="35"/>
      <c r="H49" s="35"/>
      <c r="I49" s="46">
        <f>$H$52</f>
        <v>2520</v>
      </c>
      <c r="L49" s="64"/>
      <c r="M49" s="61"/>
    </row>
    <row r="50" spans="2:15" ht="12.75" customHeight="1">
      <c r="B50" s="1959" t="s">
        <v>44</v>
      </c>
      <c r="C50" s="1955"/>
      <c r="D50" s="1955"/>
      <c r="E50" s="1955"/>
      <c r="F50" s="1955"/>
      <c r="G50" s="1955"/>
      <c r="H50" s="1955"/>
      <c r="I50" s="46"/>
      <c r="L50" s="64"/>
      <c r="M50" s="61"/>
    </row>
    <row r="51" spans="2:15" ht="12.75" customHeight="1">
      <c r="B51" s="101"/>
      <c r="C51" s="102"/>
      <c r="D51" s="103" t="s">
        <v>45</v>
      </c>
      <c r="E51" s="104" t="s">
        <v>46</v>
      </c>
      <c r="F51" s="104" t="s">
        <v>6</v>
      </c>
      <c r="G51" s="104" t="s">
        <v>47</v>
      </c>
      <c r="H51" s="104" t="s">
        <v>48</v>
      </c>
      <c r="I51" s="46"/>
      <c r="L51" s="64"/>
      <c r="M51" s="61"/>
    </row>
    <row r="52" spans="2:15" ht="12.75" customHeight="1">
      <c r="B52" s="101"/>
      <c r="C52" s="97"/>
      <c r="D52" s="97" t="s">
        <v>3</v>
      </c>
      <c r="E52" s="105" t="s">
        <v>49</v>
      </c>
      <c r="F52" s="106">
        <v>56</v>
      </c>
      <c r="G52" s="97">
        <v>45</v>
      </c>
      <c r="H52" s="106">
        <f>F52*G52</f>
        <v>2520</v>
      </c>
      <c r="I52" s="46"/>
      <c r="L52" s="64"/>
      <c r="M52" s="61"/>
    </row>
    <row r="53" spans="2:15" ht="11.25" customHeight="1">
      <c r="B53" s="33"/>
      <c r="C53" s="35"/>
      <c r="D53" s="35"/>
      <c r="E53" s="35"/>
      <c r="F53" s="35"/>
      <c r="G53" s="35"/>
      <c r="H53" s="35"/>
      <c r="I53" s="48"/>
      <c r="L53" s="64"/>
      <c r="M53" s="61"/>
    </row>
    <row r="54" spans="2:15">
      <c r="B54" s="42" t="s">
        <v>4</v>
      </c>
      <c r="C54" s="35"/>
      <c r="D54" s="35"/>
      <c r="E54" s="35"/>
      <c r="F54" s="35"/>
      <c r="G54" s="35"/>
      <c r="H54" s="35"/>
      <c r="I54" s="48">
        <v>0</v>
      </c>
      <c r="L54" s="64"/>
      <c r="M54" s="61"/>
    </row>
    <row r="55" spans="2:15" ht="12" customHeight="1">
      <c r="B55" s="37" t="s">
        <v>39</v>
      </c>
      <c r="C55" s="35"/>
      <c r="D55" s="35"/>
      <c r="E55" s="35"/>
      <c r="F55" s="35"/>
      <c r="G55" s="35"/>
      <c r="H55" s="35"/>
      <c r="I55" s="36"/>
      <c r="L55" s="64"/>
      <c r="M55" s="61"/>
    </row>
    <row r="56" spans="2:15" ht="5.25" customHeight="1">
      <c r="B56" s="37"/>
      <c r="C56" s="35"/>
      <c r="D56" s="35"/>
      <c r="E56" s="35"/>
      <c r="F56" s="35"/>
      <c r="G56" s="35"/>
      <c r="H56" s="35"/>
      <c r="I56" s="36"/>
      <c r="L56" s="64"/>
      <c r="M56" s="61"/>
    </row>
    <row r="57" spans="2:15">
      <c r="B57" s="42" t="s">
        <v>26</v>
      </c>
      <c r="C57" s="35"/>
      <c r="D57" s="35"/>
      <c r="E57" s="35"/>
      <c r="F57" s="35"/>
      <c r="G57" s="35"/>
      <c r="H57" s="35"/>
      <c r="I57" s="46">
        <v>0</v>
      </c>
      <c r="L57" s="64"/>
      <c r="M57" s="61"/>
    </row>
    <row r="58" spans="2:15" ht="14.25" customHeight="1">
      <c r="B58" s="1959" t="s">
        <v>39</v>
      </c>
      <c r="C58" s="1960"/>
      <c r="D58" s="1960"/>
      <c r="E58" s="1960"/>
      <c r="F58" s="1960"/>
      <c r="G58" s="1960"/>
      <c r="H58" s="1960"/>
      <c r="I58" s="48"/>
      <c r="L58" s="64"/>
      <c r="M58" s="61"/>
    </row>
    <row r="59" spans="2:15" ht="12" customHeight="1">
      <c r="B59" s="1943"/>
      <c r="C59" s="1944"/>
      <c r="D59" s="1944"/>
      <c r="E59" s="1944"/>
      <c r="F59" s="1944"/>
      <c r="G59" s="1944"/>
      <c r="H59" s="35"/>
      <c r="I59" s="48"/>
      <c r="L59" s="64"/>
      <c r="M59" s="61"/>
    </row>
    <row r="60" spans="2:15" ht="9.75" customHeight="1">
      <c r="B60" s="37"/>
      <c r="C60" s="35"/>
      <c r="D60" s="35"/>
      <c r="E60" s="35"/>
      <c r="F60" s="35"/>
      <c r="G60" s="35"/>
      <c r="H60" s="35"/>
      <c r="I60" s="36"/>
      <c r="L60" s="64"/>
      <c r="M60" s="64"/>
    </row>
    <row r="61" spans="2:15">
      <c r="B61" s="42" t="s">
        <v>7</v>
      </c>
      <c r="C61" s="35"/>
      <c r="D61" s="35"/>
      <c r="E61" s="35"/>
      <c r="F61" s="35"/>
      <c r="G61" s="35"/>
      <c r="H61" s="35"/>
      <c r="I61" s="46">
        <v>0</v>
      </c>
      <c r="L61" s="64"/>
      <c r="M61" s="64"/>
      <c r="N61" s="64"/>
      <c r="O61" s="64"/>
    </row>
    <row r="62" spans="2:15" ht="12" customHeight="1">
      <c r="B62" s="33"/>
      <c r="C62" s="35"/>
      <c r="D62" s="35"/>
      <c r="E62" s="35"/>
      <c r="F62" s="35"/>
      <c r="G62" s="35"/>
      <c r="H62" s="35"/>
      <c r="I62" s="36"/>
      <c r="L62" s="64"/>
      <c r="M62" s="64"/>
      <c r="N62" s="61"/>
      <c r="O62" s="61"/>
    </row>
    <row r="63" spans="2:15" ht="6" customHeight="1">
      <c r="B63" s="37"/>
      <c r="C63" s="35"/>
      <c r="D63" s="35"/>
      <c r="E63" s="35"/>
      <c r="F63" s="35"/>
      <c r="G63" s="35"/>
      <c r="H63" s="35"/>
      <c r="I63" s="36"/>
      <c r="L63" s="64"/>
      <c r="M63" s="64"/>
      <c r="N63" s="65"/>
      <c r="O63" s="65"/>
    </row>
    <row r="64" spans="2:15">
      <c r="B64" s="42" t="s">
        <v>27</v>
      </c>
      <c r="C64" s="35"/>
      <c r="D64" s="35"/>
      <c r="E64" s="35"/>
      <c r="F64" s="35"/>
      <c r="G64" s="35"/>
      <c r="H64" s="35"/>
      <c r="I64" s="46">
        <v>0</v>
      </c>
      <c r="L64" s="64"/>
      <c r="M64" s="64"/>
      <c r="N64" s="61"/>
      <c r="O64" s="61"/>
    </row>
    <row r="65" spans="2:15" ht="13.5" customHeight="1">
      <c r="B65" s="37" t="s">
        <v>39</v>
      </c>
      <c r="C65" s="35"/>
      <c r="D65" s="35"/>
      <c r="E65" s="35"/>
      <c r="F65" s="35"/>
      <c r="G65" s="35"/>
      <c r="H65" s="35"/>
      <c r="I65" s="47"/>
      <c r="L65" s="64"/>
      <c r="M65" s="64"/>
      <c r="N65" s="65"/>
      <c r="O65" s="65"/>
    </row>
    <row r="66" spans="2:15" ht="3.75" customHeight="1">
      <c r="B66" s="37"/>
      <c r="C66" s="35"/>
      <c r="D66" s="35"/>
      <c r="E66" s="35"/>
      <c r="F66" s="35"/>
      <c r="G66" s="35"/>
      <c r="H66" s="35"/>
      <c r="I66" s="36"/>
      <c r="L66" s="64"/>
      <c r="M66" s="64"/>
      <c r="N66" s="61"/>
      <c r="O66" s="61"/>
    </row>
    <row r="67" spans="2:15">
      <c r="B67" s="42" t="s">
        <v>5</v>
      </c>
      <c r="C67" s="35"/>
      <c r="D67" s="35"/>
      <c r="E67" s="35"/>
      <c r="F67" s="35"/>
      <c r="G67" s="35"/>
      <c r="H67" s="35"/>
      <c r="I67" s="46">
        <v>0</v>
      </c>
      <c r="L67" s="64"/>
      <c r="M67" s="64"/>
      <c r="N67" s="61"/>
      <c r="O67" s="61"/>
    </row>
    <row r="68" spans="2:15" ht="11.25" customHeight="1">
      <c r="B68" s="37" t="s">
        <v>39</v>
      </c>
      <c r="C68" s="35"/>
      <c r="D68" s="35"/>
      <c r="E68" s="35"/>
      <c r="F68" s="35"/>
      <c r="G68" s="35"/>
      <c r="H68" s="35"/>
      <c r="I68" s="47"/>
      <c r="L68" s="64"/>
      <c r="M68" s="64"/>
      <c r="N68" s="64"/>
      <c r="O68" s="64"/>
    </row>
    <row r="69" spans="2:15" ht="4.5" customHeight="1">
      <c r="B69" s="37"/>
      <c r="C69" s="35"/>
      <c r="D69" s="35"/>
      <c r="E69" s="35"/>
      <c r="F69" s="35"/>
      <c r="G69" s="35"/>
      <c r="H69" s="35"/>
      <c r="I69" s="36"/>
      <c r="L69" s="64"/>
      <c r="M69" s="64"/>
      <c r="N69" s="64"/>
      <c r="O69" s="64"/>
    </row>
    <row r="70" spans="2:15">
      <c r="B70" s="42" t="s">
        <v>20</v>
      </c>
      <c r="C70" s="35"/>
      <c r="D70" s="35"/>
      <c r="E70" s="35"/>
      <c r="F70" s="35"/>
      <c r="G70" s="35"/>
      <c r="H70" s="35"/>
      <c r="I70" s="46">
        <v>0</v>
      </c>
      <c r="L70" s="64"/>
      <c r="M70" s="64"/>
      <c r="N70" s="61"/>
      <c r="O70" s="61"/>
    </row>
    <row r="71" spans="2:15" ht="12" customHeight="1">
      <c r="B71" s="37" t="s">
        <v>39</v>
      </c>
      <c r="C71" s="35"/>
      <c r="D71" s="35"/>
      <c r="E71" s="35"/>
      <c r="F71" s="35"/>
      <c r="G71" s="35"/>
      <c r="H71" s="35"/>
      <c r="I71" s="46"/>
      <c r="L71" s="64"/>
      <c r="M71" s="64"/>
      <c r="N71" s="61"/>
      <c r="O71" s="61"/>
    </row>
    <row r="72" spans="2:15" ht="6.75" customHeight="1">
      <c r="B72" s="42"/>
      <c r="C72" s="35"/>
      <c r="D72" s="35"/>
      <c r="E72" s="35"/>
      <c r="F72" s="35"/>
      <c r="G72" s="35"/>
      <c r="H72" s="35"/>
      <c r="I72" s="46"/>
      <c r="L72" s="64"/>
      <c r="M72" s="64"/>
      <c r="N72" s="61"/>
      <c r="O72" s="61"/>
    </row>
    <row r="73" spans="2:15" ht="5.25" customHeight="1">
      <c r="B73" s="40"/>
      <c r="C73" s="35"/>
      <c r="D73" s="35"/>
      <c r="E73" s="35"/>
      <c r="F73" s="35"/>
      <c r="G73" s="35"/>
      <c r="H73" s="35"/>
      <c r="I73" s="36"/>
      <c r="L73" s="64"/>
      <c r="M73" s="64"/>
      <c r="N73" s="64"/>
      <c r="O73" s="64"/>
    </row>
    <row r="74" spans="2:15">
      <c r="B74" s="43" t="s">
        <v>11</v>
      </c>
      <c r="C74" s="44"/>
      <c r="D74" s="44"/>
      <c r="E74" s="44"/>
      <c r="F74" s="44"/>
      <c r="G74" s="44"/>
      <c r="H74" s="44"/>
      <c r="I74" s="52">
        <f>+I70+I67+I64+I61+I57+I54+I49+I45+I42</f>
        <v>2520</v>
      </c>
      <c r="L74" s="64"/>
      <c r="M74" s="64"/>
      <c r="N74" s="64"/>
      <c r="O74" s="64"/>
    </row>
    <row r="97" spans="5:5">
      <c r="E97" s="57"/>
    </row>
    <row r="98" spans="5:5">
      <c r="E98" s="57"/>
    </row>
    <row r="99" spans="5:5">
      <c r="E99" s="57"/>
    </row>
    <row r="100" spans="5:5">
      <c r="E100" s="57"/>
    </row>
    <row r="101" spans="5:5">
      <c r="E101" s="57"/>
    </row>
    <row r="102" spans="5:5">
      <c r="E102" s="57"/>
    </row>
    <row r="104" spans="5:5">
      <c r="E104" s="57"/>
    </row>
    <row r="106" spans="5:5">
      <c r="E106" s="56"/>
    </row>
    <row r="108" spans="5:5">
      <c r="E108" s="57"/>
    </row>
  </sheetData>
  <mergeCells count="11">
    <mergeCell ref="D36:H36"/>
    <mergeCell ref="B46:H46"/>
    <mergeCell ref="B50:H50"/>
    <mergeCell ref="B58:H58"/>
    <mergeCell ref="B59:G59"/>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100.xml><?xml version="1.0" encoding="utf-8"?>
<worksheet xmlns="http://schemas.openxmlformats.org/spreadsheetml/2006/main" xmlns:r="http://schemas.openxmlformats.org/officeDocument/2006/relationships">
  <sheetPr>
    <pageSetUpPr fitToPage="1"/>
  </sheetPr>
  <dimension ref="A1:L101"/>
  <sheetViews>
    <sheetView zoomScale="75" zoomScaleNormal="75" workbookViewId="0">
      <selection activeCell="E11" sqref="E11"/>
    </sheetView>
  </sheetViews>
  <sheetFormatPr defaultRowHeight="12.75"/>
  <cols>
    <col min="1" max="1" width="1.85546875" customWidth="1"/>
    <col min="2" max="2" width="9.28515625" bestFit="1" customWidth="1"/>
    <col min="3" max="3" width="24.140625" customWidth="1"/>
    <col min="4" max="4" width="23.140625" customWidth="1"/>
    <col min="5" max="5" width="54" customWidth="1"/>
    <col min="6" max="6" width="10.42578125" customWidth="1"/>
    <col min="7" max="7" width="12.85546875" bestFit="1" customWidth="1"/>
    <col min="8" max="8" width="9.28515625" bestFit="1" customWidth="1"/>
    <col min="9" max="9" width="12.140625" bestFit="1" customWidth="1"/>
    <col min="10" max="10" width="11.42578125" bestFit="1" customWidth="1"/>
    <col min="11" max="11" width="9.28515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359</v>
      </c>
      <c r="C6" s="7" t="str">
        <f>+E12</f>
        <v>EQIP</v>
      </c>
      <c r="D6" s="53" t="s">
        <v>1365</v>
      </c>
      <c r="E6" s="53" t="s">
        <v>1366</v>
      </c>
      <c r="F6" s="7" t="s">
        <v>38</v>
      </c>
      <c r="G6" s="85">
        <f>+I25</f>
        <v>45759.827687038138</v>
      </c>
    </row>
    <row r="7" spans="1:12">
      <c r="A7" s="2"/>
      <c r="B7" s="54">
        <f>+B6</f>
        <v>359</v>
      </c>
      <c r="C7" s="7" t="str">
        <f>+C6</f>
        <v>EQIP</v>
      </c>
      <c r="D7" s="53" t="s">
        <v>1365</v>
      </c>
      <c r="E7" s="53" t="str">
        <f>CONCATENATE(E6, "-HU")</f>
        <v>Waste Treatment Lagoon for up to 312 swine AU-HU</v>
      </c>
      <c r="F7" s="7" t="s">
        <v>38</v>
      </c>
      <c r="G7" s="85">
        <f>+J25</f>
        <v>54911.79322444577</v>
      </c>
    </row>
    <row r="8" spans="1:12">
      <c r="A8" s="2"/>
      <c r="B8" s="54">
        <v>359</v>
      </c>
      <c r="C8" s="7" t="str">
        <f>+G12</f>
        <v>WHIP</v>
      </c>
      <c r="D8" s="53" t="s">
        <v>1365</v>
      </c>
      <c r="E8" s="53" t="s">
        <v>1366</v>
      </c>
      <c r="F8" s="7" t="s">
        <v>38</v>
      </c>
      <c r="G8" s="85">
        <f>+K25</f>
        <v>0</v>
      </c>
    </row>
    <row r="9" spans="1:12">
      <c r="A9" s="2"/>
      <c r="B9" s="8">
        <f>+B8</f>
        <v>359</v>
      </c>
      <c r="C9" s="10" t="str">
        <f>+C8</f>
        <v>WHIP</v>
      </c>
      <c r="D9" s="9" t="s">
        <v>1365</v>
      </c>
      <c r="E9" s="9" t="str">
        <f>CONCATENATE(E6, "-HU")</f>
        <v>Waste Treatment Lagoon for up to 312 swine AU-HU</v>
      </c>
      <c r="F9" s="7" t="s">
        <v>38</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264.14082917557619</v>
      </c>
      <c r="E16" s="160">
        <f>+'[10]Payment Factors'!D46</f>
        <v>0.75</v>
      </c>
      <c r="F16" s="160">
        <f>+'[10]Payment Factors'!E46</f>
        <v>0.9</v>
      </c>
      <c r="G16" s="160">
        <f>+'[10]Payment Factors'!F19</f>
        <v>0</v>
      </c>
      <c r="H16" s="160">
        <f>+'[10]Payment Factors'!G19</f>
        <v>0</v>
      </c>
      <c r="I16" s="1154">
        <f t="shared" ref="I16:L24" si="0">+$D16*E16</f>
        <v>198.10562188168214</v>
      </c>
      <c r="J16" s="1154">
        <f t="shared" si="0"/>
        <v>237.72674625801858</v>
      </c>
      <c r="K16" s="1154">
        <f t="shared" si="0"/>
        <v>0</v>
      </c>
      <c r="L16" s="1155">
        <f t="shared" si="0"/>
        <v>0</v>
      </c>
    </row>
    <row r="17" spans="1:12">
      <c r="A17" s="2"/>
      <c r="B17" s="15" t="s">
        <v>2</v>
      </c>
      <c r="C17" s="16"/>
      <c r="D17" s="24">
        <f>+I54</f>
        <v>50246.587256666673</v>
      </c>
      <c r="E17" s="160">
        <f t="shared" ref="E17:H19" si="1">+E16</f>
        <v>0.75</v>
      </c>
      <c r="F17" s="160">
        <f t="shared" si="1"/>
        <v>0.9</v>
      </c>
      <c r="G17" s="160">
        <f t="shared" si="1"/>
        <v>0</v>
      </c>
      <c r="H17" s="160">
        <f t="shared" si="1"/>
        <v>0</v>
      </c>
      <c r="I17" s="1154">
        <f t="shared" si="0"/>
        <v>37684.940442500003</v>
      </c>
      <c r="J17" s="1154">
        <f t="shared" si="0"/>
        <v>45221.928531000005</v>
      </c>
      <c r="K17" s="1154">
        <f t="shared" si="0"/>
        <v>0</v>
      </c>
      <c r="L17" s="1155">
        <f t="shared" si="0"/>
        <v>0</v>
      </c>
    </row>
    <row r="18" spans="1:12">
      <c r="A18" s="2"/>
      <c r="B18" s="15" t="s">
        <v>3</v>
      </c>
      <c r="C18" s="16"/>
      <c r="D18" s="24">
        <f>+I73</f>
        <v>8725.2948100000012</v>
      </c>
      <c r="E18" s="160">
        <f t="shared" si="1"/>
        <v>0.75</v>
      </c>
      <c r="F18" s="160">
        <f t="shared" si="1"/>
        <v>0.9</v>
      </c>
      <c r="G18" s="160">
        <f t="shared" si="1"/>
        <v>0</v>
      </c>
      <c r="H18" s="160">
        <f t="shared" si="1"/>
        <v>0</v>
      </c>
      <c r="I18" s="1154">
        <f t="shared" si="0"/>
        <v>6543.9711075000014</v>
      </c>
      <c r="J18" s="1154">
        <f t="shared" si="0"/>
        <v>7852.7653290000017</v>
      </c>
      <c r="K18" s="1154">
        <f t="shared" si="0"/>
        <v>0</v>
      </c>
      <c r="L18" s="1155">
        <f t="shared" si="0"/>
        <v>0</v>
      </c>
    </row>
    <row r="19" spans="1:12">
      <c r="A19" s="2"/>
      <c r="B19" s="15" t="s">
        <v>4</v>
      </c>
      <c r="C19" s="16"/>
      <c r="D19" s="24">
        <f>+I79</f>
        <v>1777.0806868752675</v>
      </c>
      <c r="E19" s="160">
        <f t="shared" si="1"/>
        <v>0.75</v>
      </c>
      <c r="F19" s="160">
        <f t="shared" si="1"/>
        <v>0.9</v>
      </c>
      <c r="G19" s="160">
        <f t="shared" si="1"/>
        <v>0</v>
      </c>
      <c r="H19" s="160">
        <f t="shared" si="1"/>
        <v>0</v>
      </c>
      <c r="I19" s="1154">
        <f t="shared" si="0"/>
        <v>1332.8105151564505</v>
      </c>
      <c r="J19" s="1154">
        <f t="shared" si="0"/>
        <v>1599.3726181877407</v>
      </c>
      <c r="K19" s="1154">
        <f t="shared" si="0"/>
        <v>0</v>
      </c>
      <c r="L19" s="1155">
        <f t="shared" si="0"/>
        <v>0</v>
      </c>
    </row>
    <row r="20" spans="1:12">
      <c r="A20" s="2"/>
      <c r="B20" s="15" t="s">
        <v>26</v>
      </c>
      <c r="C20" s="16"/>
      <c r="D20" s="24">
        <f>+I82</f>
        <v>592.36022895842257</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+I85</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+I88</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+I92</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+I95</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61605.463811675945</v>
      </c>
      <c r="E25" s="1158"/>
      <c r="F25" s="1158"/>
      <c r="G25" s="28"/>
      <c r="H25" s="28"/>
      <c r="I25" s="1159">
        <f>SUM(I16:I24)</f>
        <v>45759.827687038138</v>
      </c>
      <c r="J25" s="1159">
        <f>SUM(J16:J24)</f>
        <v>54911.79322444577</v>
      </c>
      <c r="K25" s="1159">
        <f>SUM(K16:K24)</f>
        <v>0</v>
      </c>
      <c r="L25" s="1160">
        <f>SUM(L16:L24)</f>
        <v>0</v>
      </c>
    </row>
    <row r="27" spans="1:12" ht="15.75">
      <c r="A27" s="2"/>
      <c r="B27" s="50" t="s">
        <v>28</v>
      </c>
      <c r="C27" s="2"/>
      <c r="D27" s="2"/>
      <c r="E27" s="2"/>
      <c r="F27" s="2"/>
      <c r="G27" s="2"/>
      <c r="H27" s="2"/>
      <c r="I27" s="5"/>
    </row>
    <row r="28" spans="1:12">
      <c r="A28" s="2"/>
      <c r="B28" s="29" t="s">
        <v>1367</v>
      </c>
      <c r="C28" s="30"/>
      <c r="D28" s="30"/>
      <c r="E28" s="31"/>
      <c r="F28" s="31"/>
      <c r="G28" s="31"/>
      <c r="H28" s="31"/>
      <c r="I28" s="32"/>
    </row>
    <row r="29" spans="1:12">
      <c r="A29" s="2"/>
      <c r="B29" s="1161" t="s">
        <v>1368</v>
      </c>
      <c r="C29" s="34"/>
      <c r="D29" s="34"/>
      <c r="E29" s="35"/>
      <c r="F29" s="35"/>
      <c r="G29" s="35"/>
      <c r="H29" s="35"/>
      <c r="I29" s="36"/>
    </row>
    <row r="30" spans="1:12">
      <c r="A30" s="2"/>
      <c r="B30" s="1161" t="s">
        <v>1369</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c r="E36" s="6"/>
      <c r="F36" s="35"/>
      <c r="G36" s="35"/>
      <c r="H36" s="35"/>
      <c r="I36" s="36"/>
    </row>
    <row r="37" spans="1:9">
      <c r="A37" s="2"/>
      <c r="B37" s="38" t="s">
        <v>9</v>
      </c>
      <c r="C37" s="34"/>
      <c r="D37" s="1164">
        <f>+'[10]Payment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264.14082917557619</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+'[22]Core Rates'!C203</f>
        <v>8.75</v>
      </c>
      <c r="F43" s="1170">
        <v>2</v>
      </c>
      <c r="G43" s="1171">
        <f t="shared" si="2"/>
        <v>17.5</v>
      </c>
      <c r="H43" s="35"/>
      <c r="I43" s="36"/>
    </row>
    <row r="44" spans="1:9">
      <c r="A44" s="2"/>
      <c r="B44" s="1184" t="s">
        <v>453</v>
      </c>
      <c r="C44" s="6"/>
      <c r="D44" s="1185" t="s">
        <v>454</v>
      </c>
      <c r="E44" s="1169">
        <f>+'[22]Core Rates'!C228</f>
        <v>0.82427536231884069</v>
      </c>
      <c r="F44" s="1170">
        <v>50</v>
      </c>
      <c r="G44" s="1171">
        <f t="shared" si="2"/>
        <v>41.213768115942031</v>
      </c>
      <c r="H44" s="35"/>
      <c r="I44" s="36"/>
    </row>
    <row r="45" spans="1:9">
      <c r="A45" s="2"/>
      <c r="B45" s="1186" t="s">
        <v>455</v>
      </c>
      <c r="C45" s="1187"/>
      <c r="D45" s="1185" t="s">
        <v>454</v>
      </c>
      <c r="E45" s="1169">
        <f>+'[22]Core Rates'!C235</f>
        <v>1.1702898550724636</v>
      </c>
      <c r="F45" s="1170">
        <v>50</v>
      </c>
      <c r="G45" s="1171">
        <f t="shared" si="2"/>
        <v>58.51449275362318</v>
      </c>
      <c r="H45" s="35"/>
      <c r="I45" s="36"/>
    </row>
    <row r="46" spans="1:9">
      <c r="A46" s="2"/>
      <c r="B46" s="1186" t="s">
        <v>456</v>
      </c>
      <c r="C46" s="1187"/>
      <c r="D46" s="1168" t="s">
        <v>454</v>
      </c>
      <c r="E46" s="1169">
        <f>+'[22]Core Rates'!C246</f>
        <v>0.58825136612021856</v>
      </c>
      <c r="F46" s="1170">
        <v>50</v>
      </c>
      <c r="G46" s="1171">
        <f t="shared" si="2"/>
        <v>29.412568306010929</v>
      </c>
      <c r="H46" s="35"/>
      <c r="I46" s="36"/>
    </row>
    <row r="47" spans="1:9">
      <c r="A47" s="2"/>
      <c r="B47" s="1186" t="str">
        <f>+'[22]Core Rates'!A313</f>
        <v>Seed (Tall Fescue KY-31)</v>
      </c>
      <c r="C47" s="1187"/>
      <c r="D47" s="1185" t="s">
        <v>454</v>
      </c>
      <c r="E47" s="1169">
        <f>+'[22]Core Rates 2011'!BE310</f>
        <v>2.35</v>
      </c>
      <c r="F47" s="1170">
        <v>50</v>
      </c>
      <c r="G47" s="1171">
        <f t="shared" si="2"/>
        <v>117.5</v>
      </c>
      <c r="H47" s="35"/>
      <c r="I47" s="36"/>
    </row>
    <row r="48" spans="1:9">
      <c r="A48" s="2"/>
      <c r="B48" s="1186" t="s">
        <v>480</v>
      </c>
      <c r="C48" s="1187"/>
      <c r="D48" s="1185" t="s">
        <v>454</v>
      </c>
      <c r="E48" s="1169">
        <f>+'[22]Core Rates 2011'!BE308</f>
        <v>1.61</v>
      </c>
      <c r="F48" s="1170">
        <v>0</v>
      </c>
      <c r="G48" s="1171">
        <f t="shared" si="2"/>
        <v>0</v>
      </c>
      <c r="H48" s="35"/>
      <c r="I48" s="36"/>
    </row>
    <row r="49" spans="1:9">
      <c r="A49" s="2"/>
      <c r="B49" s="1186" t="s">
        <v>481</v>
      </c>
      <c r="C49" s="1187"/>
      <c r="D49" s="1185" t="s">
        <v>454</v>
      </c>
      <c r="E49" s="1169">
        <f>+'[22]Core Rates 2011'!BE309</f>
        <v>2.75</v>
      </c>
      <c r="F49" s="1170">
        <v>0</v>
      </c>
      <c r="G49" s="1171">
        <f t="shared" si="2"/>
        <v>0</v>
      </c>
      <c r="H49" s="35"/>
      <c r="I49" s="36"/>
    </row>
    <row r="50" spans="1:9">
      <c r="A50" s="2"/>
      <c r="B50" s="1184"/>
      <c r="C50" s="6"/>
      <c r="D50" s="1173"/>
      <c r="E50" s="1190"/>
      <c r="F50" s="35"/>
      <c r="G50" s="35"/>
      <c r="H50" s="35"/>
      <c r="I50" s="36"/>
    </row>
    <row r="51" spans="1:9">
      <c r="A51" s="2"/>
      <c r="B51" s="37" t="s">
        <v>43</v>
      </c>
      <c r="C51" s="35"/>
      <c r="D51" s="35"/>
      <c r="E51" s="60"/>
      <c r="F51" s="60"/>
      <c r="G51" s="60"/>
      <c r="H51" s="35"/>
      <c r="I51" s="46"/>
    </row>
    <row r="52" spans="1:9">
      <c r="A52" s="2"/>
      <c r="B52" s="40" t="s">
        <v>457</v>
      </c>
      <c r="C52" s="35"/>
      <c r="D52" s="35"/>
      <c r="E52" s="60"/>
      <c r="F52" s="60"/>
      <c r="G52" s="60"/>
      <c r="H52" s="35"/>
      <c r="I52" s="46"/>
    </row>
    <row r="53" spans="1:9">
      <c r="A53" s="2"/>
      <c r="B53" s="1172"/>
      <c r="C53" s="6"/>
      <c r="D53" s="1173"/>
      <c r="E53" s="35"/>
      <c r="F53" s="35"/>
      <c r="G53" s="35"/>
      <c r="H53" s="35"/>
      <c r="I53" s="36"/>
    </row>
    <row r="54" spans="1:9">
      <c r="A54" s="2"/>
      <c r="B54" s="42" t="s">
        <v>2</v>
      </c>
      <c r="C54" s="35"/>
      <c r="D54" s="35"/>
      <c r="E54" s="2003" t="s">
        <v>459</v>
      </c>
      <c r="F54" s="2003"/>
      <c r="G54" s="2003"/>
      <c r="H54" s="2003"/>
      <c r="I54" s="46">
        <f>(SUM(G56:G66)*0.85)</f>
        <v>50246.587256666673</v>
      </c>
    </row>
    <row r="55" spans="1:9">
      <c r="A55" s="2"/>
      <c r="B55" s="1174"/>
      <c r="C55" s="35"/>
      <c r="D55" s="1167" t="s">
        <v>447</v>
      </c>
      <c r="E55" s="1167" t="s">
        <v>448</v>
      </c>
      <c r="F55" s="1167" t="s">
        <v>449</v>
      </c>
      <c r="G55" s="1167" t="s">
        <v>450</v>
      </c>
      <c r="H55" s="35"/>
      <c r="I55" s="46"/>
    </row>
    <row r="56" spans="1:9">
      <c r="A56" s="2"/>
      <c r="B56" s="1186" t="str">
        <f>+'[22]Core Rates'!A56</f>
        <v>Construction Site Prep - Medium</v>
      </c>
      <c r="C56" s="6"/>
      <c r="D56" s="1168" t="s">
        <v>408</v>
      </c>
      <c r="E56" s="1169">
        <f>+'[22]Core Rates'!C56</f>
        <v>573.81119999999999</v>
      </c>
      <c r="F56" s="1170">
        <v>2</v>
      </c>
      <c r="G56" s="1171">
        <f t="shared" ref="G56:G66" si="3">+F56*E56</f>
        <v>1147.6224</v>
      </c>
      <c r="H56" s="35"/>
      <c r="I56" s="47"/>
    </row>
    <row r="57" spans="1:9">
      <c r="A57" s="2"/>
      <c r="B57" s="1186" t="str">
        <f>+'[22]Core Rates'!A138</f>
        <v>Geologic Investigation (Equipment &amp; Operator)</v>
      </c>
      <c r="C57" s="1376"/>
      <c r="D57" s="1382" t="str">
        <f>+'[22]Core Rates'!B138</f>
        <v>Ea</v>
      </c>
      <c r="E57" s="1383">
        <f>+'[22]Core Rates'!C138</f>
        <v>321.3</v>
      </c>
      <c r="F57" s="1170">
        <v>1</v>
      </c>
      <c r="G57" s="1171">
        <f t="shared" si="3"/>
        <v>321.3</v>
      </c>
      <c r="H57" s="35"/>
      <c r="I57" s="47"/>
    </row>
    <row r="58" spans="1:9">
      <c r="A58" s="2"/>
      <c r="B58" s="1188" t="str">
        <f>+'[22]Core Rates'!A106</f>
        <v>Earthmoving: Design Storage Volume, Normal Conditions</v>
      </c>
      <c r="C58" s="6"/>
      <c r="D58" s="1384" t="str">
        <f>+'[22]Core Rates'!B106</f>
        <v>Cu Ft</v>
      </c>
      <c r="E58" s="1383">
        <f>+'[22]Core Rates'!C106</f>
        <v>7.6499999999999999E-2</v>
      </c>
      <c r="F58" s="1170">
        <v>642452</v>
      </c>
      <c r="G58" s="1171">
        <f t="shared" si="3"/>
        <v>49147.578000000001</v>
      </c>
      <c r="H58" s="35"/>
      <c r="I58" s="47"/>
    </row>
    <row r="59" spans="1:9">
      <c r="A59" s="2"/>
      <c r="B59" s="1186" t="str">
        <f>+'[22]Core Rates'!A244</f>
        <v>Pond Liner: Compacted Clay (Installed)</v>
      </c>
      <c r="C59" s="6"/>
      <c r="D59" s="1382" t="str">
        <f>+'[22]Core Rates'!B244</f>
        <v>Cu Yd</v>
      </c>
      <c r="E59" s="1383">
        <f>+'[22]Core Rates'!C244</f>
        <v>2.2470000000000003</v>
      </c>
      <c r="F59" s="1170">
        <v>3007</v>
      </c>
      <c r="G59" s="1171">
        <f t="shared" si="3"/>
        <v>6756.7290000000012</v>
      </c>
      <c r="H59" s="35"/>
      <c r="I59" s="47"/>
    </row>
    <row r="60" spans="1:9">
      <c r="A60" s="2"/>
      <c r="B60" s="1186" t="str">
        <f>+'[22]Core Rates'!A347</f>
        <v>Waste Structure Warning Sign: 12" x 10" Alum (Inst)</v>
      </c>
      <c r="C60" s="6"/>
      <c r="D60" s="1382" t="str">
        <f>+'[22]Core Rates'!B347</f>
        <v>Ea</v>
      </c>
      <c r="E60" s="1385">
        <f>+'[22]Core Rates'!C347</f>
        <v>1.21275</v>
      </c>
      <c r="F60" s="1170">
        <v>4</v>
      </c>
      <c r="G60" s="1171">
        <f t="shared" si="3"/>
        <v>4.851</v>
      </c>
      <c r="H60" s="35"/>
      <c r="I60" s="47"/>
    </row>
    <row r="61" spans="1:9">
      <c r="A61" s="2"/>
      <c r="B61" s="1186" t="str">
        <f>+'[22]Core Rates'!A280</f>
        <v>Schd 40 PVC Pipe: 8" (Installed)</v>
      </c>
      <c r="C61" s="6"/>
      <c r="D61" s="1382" t="str">
        <f>+'[22]Core Rates'!B280</f>
        <v>Lin Ft</v>
      </c>
      <c r="E61" s="1385">
        <f>+'[22]Core Rates'!C280</f>
        <v>7.4150999999999998</v>
      </c>
      <c r="F61" s="1170">
        <v>100</v>
      </c>
      <c r="G61" s="1171">
        <f t="shared" si="3"/>
        <v>741.51</v>
      </c>
      <c r="H61" s="35"/>
      <c r="I61" s="47"/>
    </row>
    <row r="62" spans="1:9">
      <c r="A62" s="2"/>
      <c r="B62" s="40" t="s">
        <v>461</v>
      </c>
      <c r="C62" s="6"/>
      <c r="D62" s="1168" t="s">
        <v>408</v>
      </c>
      <c r="E62" s="1169">
        <f>+'[22]Core Rates'!C104</f>
        <v>20</v>
      </c>
      <c r="F62" s="1170">
        <v>1</v>
      </c>
      <c r="G62" s="1171">
        <f t="shared" si="3"/>
        <v>20</v>
      </c>
      <c r="H62" s="35"/>
      <c r="I62" s="47"/>
    </row>
    <row r="63" spans="1:9">
      <c r="A63" s="2"/>
      <c r="B63" s="40" t="s">
        <v>462</v>
      </c>
      <c r="C63" s="6"/>
      <c r="D63" s="1168" t="s">
        <v>408</v>
      </c>
      <c r="E63" s="1169">
        <f>+'[22]Core Rates'!AN33</f>
        <v>5.416666666666667</v>
      </c>
      <c r="F63" s="1170">
        <v>1</v>
      </c>
      <c r="G63" s="1171">
        <f t="shared" si="3"/>
        <v>5.416666666666667</v>
      </c>
      <c r="H63" s="35"/>
      <c r="I63" s="47"/>
    </row>
    <row r="64" spans="1:9">
      <c r="A64" s="2"/>
      <c r="B64" s="40" t="s">
        <v>463</v>
      </c>
      <c r="C64" s="6"/>
      <c r="D64" s="1168" t="s">
        <v>452</v>
      </c>
      <c r="E64" s="1169">
        <f>+'[22]Core Rates'!AN34</f>
        <v>5.5</v>
      </c>
      <c r="F64" s="1170">
        <v>2</v>
      </c>
      <c r="G64" s="1171">
        <f t="shared" si="3"/>
        <v>11</v>
      </c>
      <c r="H64" s="35"/>
      <c r="I64" s="47"/>
    </row>
    <row r="65" spans="1:9">
      <c r="A65" s="2"/>
      <c r="B65" s="40" t="s">
        <v>464</v>
      </c>
      <c r="C65" s="6"/>
      <c r="D65" s="1168" t="s">
        <v>452</v>
      </c>
      <c r="E65" s="1169">
        <f>+'[22]Core Rates'!AN32</f>
        <v>6.3125</v>
      </c>
      <c r="F65" s="1170">
        <v>2</v>
      </c>
      <c r="G65" s="1171">
        <f t="shared" si="3"/>
        <v>12.625</v>
      </c>
      <c r="H65" s="35"/>
      <c r="I65" s="47"/>
    </row>
    <row r="66" spans="1:9">
      <c r="A66" s="2"/>
      <c r="B66" s="40" t="s">
        <v>1280</v>
      </c>
      <c r="C66" s="6"/>
      <c r="D66" s="1168" t="s">
        <v>619</v>
      </c>
      <c r="E66" s="1169">
        <f>+'[22]Core Rates'!C217</f>
        <v>472.5</v>
      </c>
      <c r="F66" s="1170">
        <v>2</v>
      </c>
      <c r="G66" s="1171">
        <f t="shared" si="3"/>
        <v>945</v>
      </c>
      <c r="H66" s="35"/>
      <c r="I66" s="47"/>
    </row>
    <row r="67" spans="1:9">
      <c r="A67" s="2"/>
      <c r="B67" s="40"/>
      <c r="C67" s="6"/>
      <c r="D67" s="63"/>
      <c r="E67" s="150"/>
      <c r="F67" s="150"/>
      <c r="G67" s="1169"/>
      <c r="H67" s="35"/>
      <c r="I67" s="47"/>
    </row>
    <row r="68" spans="1:9">
      <c r="A68" s="2"/>
      <c r="B68" s="37" t="s">
        <v>43</v>
      </c>
      <c r="C68" s="35"/>
      <c r="D68" s="35"/>
      <c r="E68" s="60"/>
      <c r="F68" s="60"/>
      <c r="G68" s="60"/>
      <c r="H68" s="35"/>
      <c r="I68" s="46"/>
    </row>
    <row r="69" spans="1:9" ht="12.75" customHeight="1">
      <c r="A69" s="2"/>
      <c r="B69" s="2004" t="s">
        <v>457</v>
      </c>
      <c r="C69" s="2005"/>
      <c r="D69" s="2005"/>
      <c r="E69" s="2005"/>
      <c r="F69" s="2005"/>
      <c r="G69" s="2005"/>
      <c r="H69" s="2005"/>
      <c r="I69" s="2006"/>
    </row>
    <row r="70" spans="1:9">
      <c r="A70" s="2"/>
      <c r="B70" s="2004"/>
      <c r="C70" s="2005"/>
      <c r="D70" s="2005"/>
      <c r="E70" s="2005"/>
      <c r="F70" s="2005"/>
      <c r="G70" s="2005"/>
      <c r="H70" s="2005"/>
      <c r="I70" s="2006"/>
    </row>
    <row r="71" spans="1:9">
      <c r="A71" s="2"/>
      <c r="B71" s="1177"/>
      <c r="C71" s="1178"/>
      <c r="D71" s="1178"/>
      <c r="E71" s="1178"/>
      <c r="F71" s="1178"/>
      <c r="G71" s="1178"/>
      <c r="H71" s="1178"/>
      <c r="I71" s="1179"/>
    </row>
    <row r="72" spans="1:9">
      <c r="A72" s="2"/>
      <c r="B72" s="1177"/>
      <c r="C72" s="1178"/>
      <c r="D72" s="1178"/>
      <c r="E72" s="1178"/>
      <c r="F72" s="1178"/>
      <c r="G72" s="1178"/>
      <c r="H72" s="1178"/>
      <c r="I72" s="1179"/>
    </row>
    <row r="73" spans="1:9">
      <c r="A73" s="2"/>
      <c r="B73" s="42" t="s">
        <v>3</v>
      </c>
      <c r="C73" s="35"/>
      <c r="D73" s="35"/>
      <c r="E73" s="35"/>
      <c r="F73" s="39"/>
      <c r="G73" s="35"/>
      <c r="H73" s="35"/>
      <c r="I73" s="1182">
        <f>E75</f>
        <v>8725.2948100000012</v>
      </c>
    </row>
    <row r="74" spans="1:9">
      <c r="A74" s="2"/>
      <c r="B74" s="2007" t="s">
        <v>465</v>
      </c>
      <c r="C74" s="2008"/>
      <c r="D74" s="35"/>
      <c r="E74" s="35"/>
      <c r="F74" s="35"/>
      <c r="G74" s="35"/>
      <c r="H74" s="35"/>
      <c r="I74" s="48"/>
    </row>
    <row r="75" spans="1:9">
      <c r="A75" s="2"/>
      <c r="B75" s="37" t="s">
        <v>466</v>
      </c>
      <c r="C75" s="39"/>
      <c r="D75" s="39"/>
      <c r="E75" s="153">
        <f>SUM(G56:G65)*0.15</f>
        <v>8725.2948100000012</v>
      </c>
      <c r="F75" s="35"/>
      <c r="G75" s="35"/>
      <c r="H75" s="35"/>
      <c r="I75" s="46"/>
    </row>
    <row r="76" spans="1:9">
      <c r="A76" s="2"/>
      <c r="B76" s="37"/>
      <c r="C76" s="39"/>
      <c r="D76" s="1180"/>
      <c r="E76" s="153"/>
      <c r="F76" s="35"/>
      <c r="G76" s="35"/>
      <c r="H76" s="35"/>
      <c r="I76" s="46"/>
    </row>
    <row r="77" spans="1:9">
      <c r="A77" s="2"/>
      <c r="B77" s="37"/>
      <c r="C77" s="39"/>
      <c r="D77" s="1181"/>
      <c r="E77" s="153"/>
      <c r="F77" s="35"/>
      <c r="G77" s="35"/>
      <c r="H77" s="35"/>
      <c r="I77" s="46"/>
    </row>
    <row r="78" spans="1:9">
      <c r="A78" s="2"/>
      <c r="B78" s="33"/>
      <c r="C78" s="35"/>
      <c r="D78" s="35"/>
      <c r="E78" s="35"/>
      <c r="F78" s="35"/>
      <c r="G78" s="35"/>
      <c r="H78" s="35"/>
      <c r="I78" s="36"/>
    </row>
    <row r="79" spans="1:9">
      <c r="A79" s="2"/>
      <c r="B79" s="42" t="s">
        <v>4</v>
      </c>
      <c r="C79" s="35"/>
      <c r="D79" s="35"/>
      <c r="E79" s="35"/>
      <c r="F79" s="35"/>
      <c r="G79" s="35"/>
      <c r="H79" s="35"/>
      <c r="I79" s="1182">
        <f>0.03*(I40+I54+I73)</f>
        <v>1777.0806868752675</v>
      </c>
    </row>
    <row r="80" spans="1:9">
      <c r="A80" s="2"/>
      <c r="B80" s="33" t="s">
        <v>467</v>
      </c>
      <c r="C80" s="35"/>
      <c r="D80" s="35"/>
      <c r="E80" s="35"/>
      <c r="F80" s="35"/>
      <c r="G80" s="35"/>
      <c r="H80" s="35"/>
      <c r="I80" s="36"/>
    </row>
    <row r="81" spans="1:9">
      <c r="A81" s="2"/>
      <c r="B81" s="37"/>
      <c r="C81" s="35"/>
      <c r="D81" s="35"/>
      <c r="E81" s="35"/>
      <c r="F81" s="35"/>
      <c r="G81" s="35"/>
      <c r="H81" s="35"/>
      <c r="I81" s="36"/>
    </row>
    <row r="82" spans="1:9">
      <c r="A82" s="2"/>
      <c r="B82" s="42" t="s">
        <v>468</v>
      </c>
      <c r="C82" s="35"/>
      <c r="D82" s="35"/>
      <c r="E82" s="35"/>
      <c r="F82" s="35"/>
      <c r="G82" s="35"/>
      <c r="H82" s="35"/>
      <c r="I82" s="1182">
        <f>0.01*(I40+I54+I73)</f>
        <v>592.36022895842257</v>
      </c>
    </row>
    <row r="83" spans="1:9">
      <c r="A83" s="2"/>
      <c r="B83" s="33" t="s">
        <v>749</v>
      </c>
      <c r="C83" s="35"/>
      <c r="D83" s="35"/>
      <c r="E83" s="35"/>
      <c r="F83" s="35"/>
      <c r="G83" s="35"/>
      <c r="H83" s="35"/>
      <c r="I83" s="36"/>
    </row>
    <row r="84" spans="1:9">
      <c r="A84" s="2"/>
      <c r="B84" s="37"/>
      <c r="C84" s="35"/>
      <c r="D84" s="35"/>
      <c r="E84" s="35"/>
      <c r="F84" s="35"/>
      <c r="G84" s="35"/>
      <c r="H84" s="35"/>
      <c r="I84" s="36"/>
    </row>
    <row r="85" spans="1:9">
      <c r="A85" s="2"/>
      <c r="B85" s="42" t="s">
        <v>7</v>
      </c>
      <c r="C85" s="35"/>
      <c r="D85" s="35"/>
      <c r="E85" s="35"/>
      <c r="F85" s="35"/>
      <c r="G85" s="35"/>
      <c r="H85" s="35"/>
      <c r="I85" s="1166">
        <v>0</v>
      </c>
    </row>
    <row r="86" spans="1:9">
      <c r="A86" s="2"/>
      <c r="B86" s="33" t="s">
        <v>104</v>
      </c>
      <c r="C86" s="35"/>
      <c r="D86" s="35"/>
      <c r="E86" s="35"/>
      <c r="F86" s="35"/>
      <c r="G86" s="35"/>
      <c r="H86" s="35"/>
      <c r="I86" s="36"/>
    </row>
    <row r="87" spans="1:9">
      <c r="A87" s="2"/>
      <c r="B87" s="37"/>
      <c r="C87" s="35"/>
      <c r="D87" s="35"/>
      <c r="E87" s="35"/>
      <c r="F87" s="35"/>
      <c r="G87" s="35"/>
      <c r="H87" s="35"/>
      <c r="I87" s="36"/>
    </row>
    <row r="88" spans="1:9">
      <c r="A88" s="2"/>
      <c r="B88" s="42" t="s">
        <v>471</v>
      </c>
      <c r="C88" s="35"/>
      <c r="D88" s="35"/>
      <c r="E88" s="35"/>
      <c r="F88" s="39"/>
      <c r="G88" s="35"/>
      <c r="H88" s="35"/>
      <c r="I88" s="1166">
        <v>0</v>
      </c>
    </row>
    <row r="89" spans="1:9">
      <c r="A89" s="2"/>
      <c r="B89" s="756" t="s">
        <v>104</v>
      </c>
      <c r="C89" s="35"/>
      <c r="D89" s="35"/>
      <c r="E89" s="35"/>
      <c r="F89" s="35"/>
      <c r="G89" s="35"/>
      <c r="H89" s="35"/>
      <c r="I89" s="47"/>
    </row>
    <row r="90" spans="1:9">
      <c r="A90" s="2"/>
      <c r="B90" s="756"/>
      <c r="C90" s="35"/>
      <c r="D90" s="35"/>
      <c r="E90" s="35"/>
      <c r="F90" s="35"/>
      <c r="G90" s="35"/>
      <c r="H90" s="35"/>
      <c r="I90" s="47"/>
    </row>
    <row r="91" spans="1:9">
      <c r="A91" s="2"/>
      <c r="B91" s="37"/>
      <c r="C91" s="35"/>
      <c r="D91" s="35"/>
      <c r="E91" s="35"/>
      <c r="F91" s="35"/>
      <c r="G91" s="35"/>
      <c r="H91" s="35"/>
      <c r="I91" s="36"/>
    </row>
    <row r="92" spans="1:9">
      <c r="A92" s="2"/>
      <c r="B92" s="42" t="s">
        <v>5</v>
      </c>
      <c r="C92" s="35"/>
      <c r="D92" s="35"/>
      <c r="E92" s="35"/>
      <c r="F92" s="35"/>
      <c r="G92" s="35"/>
      <c r="H92" s="35"/>
      <c r="I92" s="1166">
        <v>0</v>
      </c>
    </row>
    <row r="93" spans="1:9">
      <c r="A93" s="2"/>
      <c r="B93" s="33" t="s">
        <v>104</v>
      </c>
      <c r="C93" s="35"/>
      <c r="D93" s="35"/>
      <c r="E93" s="35"/>
      <c r="F93" s="35"/>
      <c r="G93" s="35"/>
      <c r="H93" s="35"/>
      <c r="I93" s="47"/>
    </row>
    <row r="94" spans="1:9">
      <c r="A94" s="2"/>
      <c r="B94" s="37"/>
      <c r="C94" s="35"/>
      <c r="D94" s="35"/>
      <c r="E94" s="35"/>
      <c r="F94" s="35"/>
      <c r="G94" s="35"/>
      <c r="H94" s="35"/>
      <c r="I94" s="36"/>
    </row>
    <row r="95" spans="1:9">
      <c r="A95" s="2"/>
      <c r="B95" s="42" t="s">
        <v>20</v>
      </c>
      <c r="C95" s="35"/>
      <c r="D95" s="35"/>
      <c r="E95" s="35"/>
      <c r="F95" s="35"/>
      <c r="G95" s="35"/>
      <c r="H95" s="35"/>
      <c r="I95" s="1166">
        <v>0</v>
      </c>
    </row>
    <row r="96" spans="1:9">
      <c r="A96" s="2"/>
      <c r="B96" s="33" t="s">
        <v>104</v>
      </c>
      <c r="C96" s="35"/>
      <c r="D96" s="35"/>
      <c r="E96" s="35"/>
      <c r="F96" s="35"/>
      <c r="G96" s="35"/>
      <c r="H96" s="35"/>
      <c r="I96" s="36"/>
    </row>
    <row r="97" spans="1:9">
      <c r="A97" s="2"/>
      <c r="B97" s="40"/>
      <c r="C97" s="35"/>
      <c r="D97" s="35"/>
      <c r="E97" s="35"/>
      <c r="F97" s="35"/>
      <c r="G97" s="35"/>
      <c r="H97" s="35"/>
      <c r="I97" s="36"/>
    </row>
    <row r="98" spans="1:9">
      <c r="A98" s="2"/>
      <c r="B98" s="42" t="s">
        <v>473</v>
      </c>
      <c r="C98" s="35"/>
      <c r="D98" s="35"/>
      <c r="E98" s="35"/>
      <c r="F98" s="35"/>
      <c r="G98" s="35"/>
      <c r="H98" s="35"/>
      <c r="I98" s="1183">
        <f>+I40+I54+I73+I79+I85+I95</f>
        <v>61013.103582717522</v>
      </c>
    </row>
    <row r="99" spans="1:9" ht="15.75">
      <c r="A99" s="2"/>
      <c r="B99" s="33" t="s">
        <v>474</v>
      </c>
      <c r="C99" s="35"/>
      <c r="D99" s="35"/>
      <c r="E99" s="35"/>
      <c r="F99" s="35"/>
      <c r="G99" s="35"/>
      <c r="H99" s="35"/>
      <c r="I99" s="36"/>
    </row>
    <row r="100" spans="1:9">
      <c r="A100" s="2"/>
      <c r="B100" s="40"/>
      <c r="C100" s="35"/>
      <c r="D100" s="35"/>
      <c r="E100" s="35"/>
      <c r="F100" s="35"/>
      <c r="G100" s="35"/>
      <c r="H100" s="35"/>
      <c r="I100" s="36"/>
    </row>
    <row r="101" spans="1:9">
      <c r="A101" s="2"/>
      <c r="B101" s="43" t="s">
        <v>11</v>
      </c>
      <c r="C101" s="44"/>
      <c r="D101" s="44"/>
      <c r="E101" s="44"/>
      <c r="F101" s="44"/>
      <c r="G101" s="44"/>
      <c r="H101" s="44"/>
      <c r="I101" s="621">
        <f>SUM(I40:I95)</f>
        <v>61605.463811675945</v>
      </c>
    </row>
  </sheetData>
  <mergeCells count="4">
    <mergeCell ref="B1:D1"/>
    <mergeCell ref="E54:H54"/>
    <mergeCell ref="B69:I70"/>
    <mergeCell ref="B74:C74"/>
  </mergeCells>
  <pageMargins left="0.75" right="0.75" top="1" bottom="1" header="0.5" footer="0.5"/>
  <pageSetup scale="49" orientation="portrait" r:id="rId1"/>
  <headerFooter alignWithMargins="0"/>
</worksheet>
</file>

<file path=xl/worksheets/sheet101.xml><?xml version="1.0" encoding="utf-8"?>
<worksheet xmlns="http://schemas.openxmlformats.org/spreadsheetml/2006/main" xmlns:r="http://schemas.openxmlformats.org/officeDocument/2006/relationships">
  <sheetPr>
    <pageSetUpPr fitToPage="1"/>
  </sheetPr>
  <dimension ref="A1:L82"/>
  <sheetViews>
    <sheetView zoomScale="75" zoomScaleNormal="75" workbookViewId="0">
      <selection activeCell="A2" sqref="A2:XFD27"/>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12.75" customHeight="1">
      <c r="A6" s="2"/>
      <c r="B6" s="54">
        <v>362</v>
      </c>
      <c r="C6" s="7" t="str">
        <f>+E12</f>
        <v>EQIP</v>
      </c>
      <c r="D6" s="110" t="s">
        <v>1370</v>
      </c>
      <c r="E6" s="110" t="s">
        <v>1371</v>
      </c>
      <c r="F6" s="7" t="s">
        <v>756</v>
      </c>
      <c r="G6" s="85">
        <f>+I25</f>
        <v>1.9028992500000002</v>
      </c>
    </row>
    <row r="7" spans="1:12" ht="12.75" customHeight="1">
      <c r="A7" s="2"/>
      <c r="B7" s="54">
        <f>+B6</f>
        <v>362</v>
      </c>
      <c r="C7" s="7" t="str">
        <f>+C6</f>
        <v>EQIP</v>
      </c>
      <c r="D7" s="110" t="s">
        <v>1370</v>
      </c>
      <c r="E7" s="110" t="str">
        <f>CONCATENATE(E6, "-HU")</f>
        <v>Diversion - Typical Installation-HU</v>
      </c>
      <c r="F7" s="7" t="str">
        <f>+F6</f>
        <v>Feet</v>
      </c>
      <c r="G7" s="85">
        <f>+J25</f>
        <v>2.2834791000000005</v>
      </c>
    </row>
    <row r="8" spans="1:12" ht="12.75" customHeight="1">
      <c r="A8" s="2"/>
      <c r="B8" s="54">
        <v>362</v>
      </c>
      <c r="C8" s="7" t="str">
        <f>+G12</f>
        <v>WHIP</v>
      </c>
      <c r="D8" s="110" t="s">
        <v>1370</v>
      </c>
      <c r="E8" s="110" t="s">
        <v>1371</v>
      </c>
      <c r="F8" s="7" t="s">
        <v>756</v>
      </c>
      <c r="G8" s="85">
        <f>+K25</f>
        <v>0</v>
      </c>
    </row>
    <row r="9" spans="1:12">
      <c r="A9" s="2"/>
      <c r="B9" s="8">
        <f>+B8</f>
        <v>362</v>
      </c>
      <c r="C9" s="10" t="str">
        <f>+C8</f>
        <v>WHIP</v>
      </c>
      <c r="D9" s="111" t="s">
        <v>1370</v>
      </c>
      <c r="E9" s="111" t="str">
        <f>CONCATENATE(E6, "-HU")</f>
        <v>Diversion - Typical Installation-HU</v>
      </c>
      <c r="F9" s="10" t="str">
        <f>+F8</f>
        <v>Feet</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0</v>
      </c>
      <c r="E16" s="160">
        <f>+'[10]Payment Factors'!D12</f>
        <v>0.75</v>
      </c>
      <c r="F16" s="160">
        <f>+'[10]Payment Factors'!E12</f>
        <v>0.9</v>
      </c>
      <c r="G16" s="160">
        <f>+'[10]Payment Factors'!F12</f>
        <v>0</v>
      </c>
      <c r="H16" s="160">
        <f>+'[10]Payment Factors'!G12</f>
        <v>0</v>
      </c>
      <c r="I16" s="1154">
        <f t="shared" ref="I16:L24" si="0">+$D16*E16</f>
        <v>0</v>
      </c>
      <c r="J16" s="1154">
        <f t="shared" si="0"/>
        <v>0</v>
      </c>
      <c r="K16" s="1154">
        <f t="shared" si="0"/>
        <v>0</v>
      </c>
      <c r="L16" s="1155">
        <f t="shared" si="0"/>
        <v>0</v>
      </c>
    </row>
    <row r="17" spans="1:12">
      <c r="A17" s="2"/>
      <c r="B17" s="15" t="s">
        <v>2</v>
      </c>
      <c r="C17" s="16"/>
      <c r="D17" s="24">
        <f>+I44</f>
        <v>2.0938050000000001</v>
      </c>
      <c r="E17" s="160">
        <f t="shared" ref="E17:H19" si="1">+E16</f>
        <v>0.75</v>
      </c>
      <c r="F17" s="160">
        <f t="shared" si="1"/>
        <v>0.9</v>
      </c>
      <c r="G17" s="160">
        <f t="shared" si="1"/>
        <v>0</v>
      </c>
      <c r="H17" s="160">
        <f t="shared" si="1"/>
        <v>0</v>
      </c>
      <c r="I17" s="1154">
        <f t="shared" si="0"/>
        <v>1.5703537500000002</v>
      </c>
      <c r="J17" s="1154">
        <f t="shared" si="0"/>
        <v>1.8844245000000002</v>
      </c>
      <c r="K17" s="1154">
        <f t="shared" si="0"/>
        <v>0</v>
      </c>
      <c r="L17" s="1155">
        <f t="shared" si="0"/>
        <v>0</v>
      </c>
    </row>
    <row r="18" spans="1:12">
      <c r="A18" s="2"/>
      <c r="B18" s="15" t="s">
        <v>3</v>
      </c>
      <c r="C18" s="16"/>
      <c r="D18" s="24">
        <f>+I54</f>
        <v>0.36949500000000002</v>
      </c>
      <c r="E18" s="160">
        <f t="shared" si="1"/>
        <v>0.75</v>
      </c>
      <c r="F18" s="160">
        <f t="shared" si="1"/>
        <v>0.9</v>
      </c>
      <c r="G18" s="160">
        <f t="shared" si="1"/>
        <v>0</v>
      </c>
      <c r="H18" s="160">
        <f t="shared" si="1"/>
        <v>0</v>
      </c>
      <c r="I18" s="1154">
        <f t="shared" si="0"/>
        <v>0.27712124999999999</v>
      </c>
      <c r="J18" s="1154">
        <f t="shared" si="0"/>
        <v>0.33254550000000005</v>
      </c>
      <c r="K18" s="1154">
        <f t="shared" si="0"/>
        <v>0</v>
      </c>
      <c r="L18" s="1155">
        <f t="shared" si="0"/>
        <v>0</v>
      </c>
    </row>
    <row r="19" spans="1:12">
      <c r="A19" s="2"/>
      <c r="B19" s="15" t="s">
        <v>4</v>
      </c>
      <c r="C19" s="16"/>
      <c r="D19" s="24">
        <f>+I60</f>
        <v>7.3899000000000006E-2</v>
      </c>
      <c r="E19" s="160">
        <f t="shared" si="1"/>
        <v>0.75</v>
      </c>
      <c r="F19" s="160">
        <f t="shared" si="1"/>
        <v>0.9</v>
      </c>
      <c r="G19" s="160">
        <f t="shared" si="1"/>
        <v>0</v>
      </c>
      <c r="H19" s="160">
        <f t="shared" si="1"/>
        <v>0</v>
      </c>
      <c r="I19" s="1154">
        <f t="shared" si="0"/>
        <v>5.5424250000000008E-2</v>
      </c>
      <c r="J19" s="1154">
        <f t="shared" si="0"/>
        <v>6.6509100000000002E-2</v>
      </c>
      <c r="K19" s="1154">
        <f t="shared" si="0"/>
        <v>0</v>
      </c>
      <c r="L19" s="1155">
        <f t="shared" si="0"/>
        <v>0</v>
      </c>
    </row>
    <row r="20" spans="1:12">
      <c r="A20" s="2"/>
      <c r="B20" s="15" t="s">
        <v>26</v>
      </c>
      <c r="C20" s="16"/>
      <c r="D20" s="24">
        <f>+I63</f>
        <v>2.4633000000000002E-2</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+I66</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+I69</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+I73</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+I76</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2.5618320000000003</v>
      </c>
      <c r="E25" s="1158"/>
      <c r="F25" s="1158"/>
      <c r="G25" s="28"/>
      <c r="H25" s="28"/>
      <c r="I25" s="1159">
        <f>SUM(I16:I24)</f>
        <v>1.9028992500000002</v>
      </c>
      <c r="J25" s="1159">
        <f>SUM(J16:J24)</f>
        <v>2.2834791000000005</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1372</v>
      </c>
      <c r="C29" s="34"/>
      <c r="D29" s="34"/>
      <c r="E29" s="35"/>
      <c r="F29" s="35"/>
      <c r="G29" s="35"/>
      <c r="H29" s="35"/>
      <c r="I29" s="36"/>
    </row>
    <row r="30" spans="1:12">
      <c r="A30" s="2"/>
      <c r="B30" s="37" t="s">
        <v>1373</v>
      </c>
      <c r="C30" s="34"/>
      <c r="D30" s="34"/>
      <c r="E30" s="1162"/>
      <c r="F30" s="1163"/>
      <c r="G30" s="35"/>
      <c r="H30" s="35"/>
      <c r="I30" s="36"/>
    </row>
    <row r="31" spans="1:12">
      <c r="A31" s="2"/>
      <c r="B31" s="37" t="s">
        <v>1374</v>
      </c>
      <c r="C31" s="34"/>
      <c r="D31" s="34"/>
      <c r="E31" s="35"/>
      <c r="F31" s="35"/>
      <c r="G31" s="35"/>
      <c r="H31" s="35"/>
      <c r="I31" s="36"/>
    </row>
    <row r="32" spans="1:12">
      <c r="A32" s="2"/>
      <c r="B32" s="3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756</v>
      </c>
      <c r="E36" s="6"/>
      <c r="F36" s="35"/>
      <c r="G36" s="35"/>
      <c r="H36" s="35"/>
      <c r="I36" s="36"/>
    </row>
    <row r="37" spans="1:9">
      <c r="A37" s="2"/>
      <c r="B37" s="38" t="s">
        <v>9</v>
      </c>
      <c r="C37" s="34"/>
      <c r="D37" s="1164">
        <f>+'[10]Payment Factors'!C12</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664</v>
      </c>
      <c r="C41" s="35"/>
      <c r="D41" s="1167"/>
      <c r="E41" s="1167"/>
      <c r="F41" s="1167"/>
      <c r="G41" s="1167"/>
      <c r="H41" s="35"/>
      <c r="I41" s="46"/>
    </row>
    <row r="42" spans="1:9">
      <c r="A42" s="2"/>
      <c r="B42" s="40"/>
      <c r="C42" s="6"/>
      <c r="D42" s="1168"/>
      <c r="E42" s="1169"/>
      <c r="F42" s="1170"/>
      <c r="G42" s="1171"/>
      <c r="H42" s="35"/>
      <c r="I42" s="47"/>
    </row>
    <row r="43" spans="1:9">
      <c r="A43" s="2"/>
      <c r="B43" s="1172"/>
      <c r="C43" s="6"/>
      <c r="D43" s="1173"/>
      <c r="E43" s="35"/>
      <c r="F43" s="35"/>
      <c r="G43" s="35"/>
      <c r="H43" s="35"/>
      <c r="I43" s="36"/>
    </row>
    <row r="44" spans="1:9">
      <c r="A44" s="2"/>
      <c r="B44" s="42" t="s">
        <v>2</v>
      </c>
      <c r="C44" s="35"/>
      <c r="D44" s="35"/>
      <c r="E44" s="2003" t="s">
        <v>459</v>
      </c>
      <c r="F44" s="2003"/>
      <c r="G44" s="2003"/>
      <c r="H44" s="2003"/>
      <c r="I44" s="1166">
        <f>(SUM(G46)*0.85)</f>
        <v>2.0938050000000001</v>
      </c>
    </row>
    <row r="45" spans="1:9">
      <c r="A45" s="2"/>
      <c r="B45" s="1174"/>
      <c r="C45" s="35"/>
      <c r="D45" s="1167" t="s">
        <v>447</v>
      </c>
      <c r="E45" s="1167" t="s">
        <v>448</v>
      </c>
      <c r="F45" s="1167" t="s">
        <v>449</v>
      </c>
      <c r="G45" s="1167" t="s">
        <v>450</v>
      </c>
      <c r="H45" s="35"/>
      <c r="I45" s="46"/>
    </row>
    <row r="46" spans="1:9">
      <c r="A46" s="2"/>
      <c r="B46" s="1175" t="str">
        <f>+'[23]Core Rates'!A101</f>
        <v>Diversion (includes earthmoving &amp; vegetation establishment)</v>
      </c>
      <c r="C46" s="1176"/>
      <c r="D46" s="1169" t="str">
        <f>+'[23]Core Rates'!B101</f>
        <v>Lin Ft</v>
      </c>
      <c r="E46" s="1169">
        <f>+'[23]Core Rates'!C101</f>
        <v>2.4633000000000003</v>
      </c>
      <c r="F46" s="1170">
        <v>1</v>
      </c>
      <c r="G46" s="1171">
        <f>+F46*E46</f>
        <v>2.4633000000000003</v>
      </c>
      <c r="H46" s="35"/>
      <c r="I46" s="46"/>
    </row>
    <row r="47" spans="1:9">
      <c r="A47" s="2"/>
      <c r="B47" s="1175"/>
      <c r="C47" s="6"/>
      <c r="D47" s="1169"/>
      <c r="E47" s="1169"/>
      <c r="F47" s="1170"/>
      <c r="G47" s="1171"/>
      <c r="H47" s="35"/>
      <c r="I47" s="47"/>
    </row>
    <row r="48" spans="1:9">
      <c r="A48" s="2"/>
      <c r="B48" s="40"/>
      <c r="C48" s="6"/>
      <c r="D48" s="63"/>
      <c r="E48" s="150"/>
      <c r="F48" s="150"/>
      <c r="G48" s="1169"/>
      <c r="H48" s="35"/>
      <c r="I48" s="47"/>
    </row>
    <row r="49" spans="1:9">
      <c r="A49" s="2"/>
      <c r="B49" s="37" t="s">
        <v>43</v>
      </c>
      <c r="C49" s="35"/>
      <c r="D49" s="35"/>
      <c r="E49" s="60"/>
      <c r="F49" s="60"/>
      <c r="G49" s="60"/>
      <c r="H49" s="35"/>
      <c r="I49" s="46"/>
    </row>
    <row r="50" spans="1:9" ht="12.75" customHeight="1">
      <c r="A50" s="2"/>
      <c r="B50" s="2004" t="s">
        <v>457</v>
      </c>
      <c r="C50" s="2005"/>
      <c r="D50" s="2005"/>
      <c r="E50" s="2005"/>
      <c r="F50" s="2005"/>
      <c r="G50" s="2005"/>
      <c r="H50" s="2005"/>
      <c r="I50" s="2006"/>
    </row>
    <row r="51" spans="1:9">
      <c r="A51" s="2"/>
      <c r="B51" s="2004"/>
      <c r="C51" s="2005"/>
      <c r="D51" s="2005"/>
      <c r="E51" s="2005"/>
      <c r="F51" s="2005"/>
      <c r="G51" s="2005"/>
      <c r="H51" s="2005"/>
      <c r="I51" s="2006"/>
    </row>
    <row r="52" spans="1:9">
      <c r="A52" s="2"/>
      <c r="B52" s="1177"/>
      <c r="C52" s="1178"/>
      <c r="D52" s="1178"/>
      <c r="E52" s="1178"/>
      <c r="F52" s="1178"/>
      <c r="G52" s="1178"/>
      <c r="H52" s="1178"/>
      <c r="I52" s="1179"/>
    </row>
    <row r="53" spans="1:9">
      <c r="A53" s="2"/>
      <c r="B53" s="1177"/>
      <c r="C53" s="1178"/>
      <c r="D53" s="1178"/>
      <c r="E53" s="1178"/>
      <c r="F53" s="1178"/>
      <c r="G53" s="1178"/>
      <c r="H53" s="1178"/>
      <c r="I53" s="1179"/>
    </row>
    <row r="54" spans="1:9">
      <c r="A54" s="2"/>
      <c r="B54" s="42" t="s">
        <v>3</v>
      </c>
      <c r="C54" s="35"/>
      <c r="D54" s="35"/>
      <c r="E54" s="35"/>
      <c r="F54" s="39"/>
      <c r="G54" s="35"/>
      <c r="H54" s="35"/>
      <c r="I54" s="1182">
        <f>E56</f>
        <v>0.36949500000000002</v>
      </c>
    </row>
    <row r="55" spans="1:9">
      <c r="A55" s="2"/>
      <c r="B55" s="2007" t="s">
        <v>465</v>
      </c>
      <c r="C55" s="2008"/>
      <c r="D55" s="35"/>
      <c r="E55" s="35"/>
      <c r="F55" s="35"/>
      <c r="G55" s="35"/>
      <c r="H55" s="35"/>
      <c r="I55" s="48"/>
    </row>
    <row r="56" spans="1:9">
      <c r="A56" s="2"/>
      <c r="B56" s="37" t="s">
        <v>466</v>
      </c>
      <c r="C56" s="39"/>
      <c r="D56" s="39"/>
      <c r="E56" s="153">
        <f>SUM(G46:G47)*0.15</f>
        <v>0.36949500000000002</v>
      </c>
      <c r="F56" s="35"/>
      <c r="G56" s="35"/>
      <c r="H56" s="35"/>
      <c r="I56" s="46"/>
    </row>
    <row r="57" spans="1:9">
      <c r="A57" s="2"/>
      <c r="B57" s="37"/>
      <c r="C57" s="39"/>
      <c r="D57" s="1180"/>
      <c r="E57" s="153"/>
      <c r="F57" s="35"/>
      <c r="G57" s="35"/>
      <c r="H57" s="35"/>
      <c r="I57" s="46"/>
    </row>
    <row r="58" spans="1:9">
      <c r="A58" s="2"/>
      <c r="B58" s="37"/>
      <c r="C58" s="39"/>
      <c r="D58" s="1181"/>
      <c r="E58" s="153"/>
      <c r="F58" s="35"/>
      <c r="G58" s="35"/>
      <c r="H58" s="35"/>
      <c r="I58" s="46"/>
    </row>
    <row r="59" spans="1:9">
      <c r="A59" s="2"/>
      <c r="B59" s="33"/>
      <c r="C59" s="35"/>
      <c r="D59" s="35"/>
      <c r="E59" s="35"/>
      <c r="F59" s="35"/>
      <c r="G59" s="35"/>
      <c r="H59" s="35"/>
      <c r="I59" s="36"/>
    </row>
    <row r="60" spans="1:9">
      <c r="A60" s="2"/>
      <c r="B60" s="42" t="s">
        <v>4</v>
      </c>
      <c r="C60" s="35"/>
      <c r="D60" s="35"/>
      <c r="E60" s="35"/>
      <c r="F60" s="35"/>
      <c r="G60" s="35"/>
      <c r="H60" s="35"/>
      <c r="I60" s="1182">
        <f>0.03*(I40+I44+I54)</f>
        <v>7.3899000000000006E-2</v>
      </c>
    </row>
    <row r="61" spans="1:9">
      <c r="A61" s="2"/>
      <c r="B61" s="33" t="s">
        <v>467</v>
      </c>
      <c r="C61" s="35"/>
      <c r="D61" s="35"/>
      <c r="E61" s="35"/>
      <c r="F61" s="35"/>
      <c r="G61" s="35"/>
      <c r="H61" s="35"/>
      <c r="I61" s="36"/>
    </row>
    <row r="62" spans="1:9">
      <c r="A62" s="2"/>
      <c r="B62" s="37"/>
      <c r="C62" s="35"/>
      <c r="D62" s="35"/>
      <c r="E62" s="35"/>
      <c r="F62" s="35"/>
      <c r="G62" s="35"/>
      <c r="H62" s="35"/>
      <c r="I62" s="36"/>
    </row>
    <row r="63" spans="1:9">
      <c r="A63" s="2"/>
      <c r="B63" s="42" t="s">
        <v>468</v>
      </c>
      <c r="C63" s="35"/>
      <c r="D63" s="35"/>
      <c r="E63" s="35"/>
      <c r="F63" s="35"/>
      <c r="G63" s="35"/>
      <c r="H63" s="35"/>
      <c r="I63" s="1182">
        <f>0.01*(I40+I44+I54)</f>
        <v>2.4633000000000002E-2</v>
      </c>
    </row>
    <row r="64" spans="1:9">
      <c r="A64" s="2"/>
      <c r="B64" s="33" t="s">
        <v>749</v>
      </c>
      <c r="C64" s="35"/>
      <c r="D64" s="35"/>
      <c r="E64" s="35"/>
      <c r="F64" s="35"/>
      <c r="G64" s="35"/>
      <c r="H64" s="35"/>
      <c r="I64" s="36"/>
    </row>
    <row r="65" spans="1:9">
      <c r="A65" s="2"/>
      <c r="B65" s="37"/>
      <c r="C65" s="35"/>
      <c r="D65" s="35"/>
      <c r="E65" s="35"/>
      <c r="F65" s="35"/>
      <c r="G65" s="35"/>
      <c r="H65" s="35"/>
      <c r="I65" s="36"/>
    </row>
    <row r="66" spans="1:9">
      <c r="A66" s="2"/>
      <c r="B66" s="42" t="s">
        <v>7</v>
      </c>
      <c r="C66" s="35"/>
      <c r="D66" s="35"/>
      <c r="E66" s="35"/>
      <c r="F66" s="35"/>
      <c r="G66" s="35"/>
      <c r="H66" s="35"/>
      <c r="I66" s="1166">
        <v>0</v>
      </c>
    </row>
    <row r="67" spans="1:9">
      <c r="A67" s="2"/>
      <c r="B67" s="33" t="s">
        <v>104</v>
      </c>
      <c r="C67" s="35"/>
      <c r="D67" s="35"/>
      <c r="E67" s="35"/>
      <c r="F67" s="35"/>
      <c r="G67" s="35"/>
      <c r="H67" s="35"/>
      <c r="I67" s="36"/>
    </row>
    <row r="68" spans="1:9">
      <c r="A68" s="2"/>
      <c r="B68" s="37"/>
      <c r="C68" s="35"/>
      <c r="D68" s="35"/>
      <c r="E68" s="35"/>
      <c r="F68" s="35"/>
      <c r="G68" s="35"/>
      <c r="H68" s="35"/>
      <c r="I68" s="36"/>
    </row>
    <row r="69" spans="1:9">
      <c r="A69" s="2"/>
      <c r="B69" s="42" t="s">
        <v>471</v>
      </c>
      <c r="C69" s="35"/>
      <c r="D69" s="35"/>
      <c r="E69" s="35"/>
      <c r="F69" s="39"/>
      <c r="G69" s="35"/>
      <c r="H69" s="35"/>
      <c r="I69" s="1166">
        <v>0</v>
      </c>
    </row>
    <row r="70" spans="1:9">
      <c r="A70" s="2"/>
      <c r="B70" s="756" t="s">
        <v>104</v>
      </c>
      <c r="C70" s="35"/>
      <c r="D70" s="35"/>
      <c r="E70" s="35"/>
      <c r="F70" s="35"/>
      <c r="G70" s="35"/>
      <c r="H70" s="35"/>
      <c r="I70" s="47"/>
    </row>
    <row r="71" spans="1:9">
      <c r="A71" s="2"/>
      <c r="B71" s="756"/>
      <c r="C71" s="35"/>
      <c r="D71" s="35"/>
      <c r="E71" s="35"/>
      <c r="F71" s="35"/>
      <c r="G71" s="35"/>
      <c r="H71" s="35"/>
      <c r="I71" s="47"/>
    </row>
    <row r="72" spans="1:9">
      <c r="A72" s="2"/>
      <c r="B72" s="37"/>
      <c r="C72" s="35"/>
      <c r="D72" s="35"/>
      <c r="E72" s="35"/>
      <c r="F72" s="35"/>
      <c r="G72" s="35"/>
      <c r="H72" s="35"/>
      <c r="I72" s="36"/>
    </row>
    <row r="73" spans="1:9">
      <c r="A73" s="2"/>
      <c r="B73" s="42" t="s">
        <v>5</v>
      </c>
      <c r="C73" s="35"/>
      <c r="D73" s="35"/>
      <c r="E73" s="35"/>
      <c r="F73" s="35"/>
      <c r="G73" s="35"/>
      <c r="H73" s="35"/>
      <c r="I73" s="1166">
        <v>0</v>
      </c>
    </row>
    <row r="74" spans="1:9">
      <c r="A74" s="2"/>
      <c r="B74" s="33" t="s">
        <v>104</v>
      </c>
      <c r="C74" s="35"/>
      <c r="D74" s="35"/>
      <c r="E74" s="35"/>
      <c r="F74" s="35"/>
      <c r="G74" s="35"/>
      <c r="H74" s="35"/>
      <c r="I74" s="47"/>
    </row>
    <row r="75" spans="1:9">
      <c r="A75" s="2"/>
      <c r="B75" s="37"/>
      <c r="C75" s="35"/>
      <c r="D75" s="35"/>
      <c r="E75" s="35"/>
      <c r="F75" s="35"/>
      <c r="G75" s="35"/>
      <c r="H75" s="35"/>
      <c r="I75" s="36"/>
    </row>
    <row r="76" spans="1:9">
      <c r="A76" s="2"/>
      <c r="B76" s="42" t="s">
        <v>20</v>
      </c>
      <c r="C76" s="35"/>
      <c r="D76" s="35"/>
      <c r="E76" s="35"/>
      <c r="F76" s="35"/>
      <c r="G76" s="35"/>
      <c r="H76" s="35"/>
      <c r="I76" s="1166">
        <v>0</v>
      </c>
    </row>
    <row r="77" spans="1:9">
      <c r="A77" s="2"/>
      <c r="B77" s="33" t="s">
        <v>104</v>
      </c>
      <c r="C77" s="35"/>
      <c r="D77" s="35"/>
      <c r="E77" s="35"/>
      <c r="F77" s="35"/>
      <c r="G77" s="35"/>
      <c r="H77" s="35"/>
      <c r="I77" s="36"/>
    </row>
    <row r="78" spans="1:9">
      <c r="A78" s="2"/>
      <c r="B78" s="40"/>
      <c r="C78" s="35"/>
      <c r="D78" s="35"/>
      <c r="E78" s="35"/>
      <c r="F78" s="35"/>
      <c r="G78" s="35"/>
      <c r="H78" s="35"/>
      <c r="I78" s="36"/>
    </row>
    <row r="79" spans="1:9">
      <c r="A79" s="2"/>
      <c r="B79" s="42" t="s">
        <v>473</v>
      </c>
      <c r="C79" s="35"/>
      <c r="D79" s="35"/>
      <c r="E79" s="35"/>
      <c r="F79" s="35"/>
      <c r="G79" s="35"/>
      <c r="H79" s="35"/>
      <c r="I79" s="1183">
        <f>+I40+I44+I54+I60+I66+I76</f>
        <v>2.5371990000000002</v>
      </c>
    </row>
    <row r="80" spans="1:9" ht="15.75">
      <c r="A80" s="2"/>
      <c r="B80" s="33" t="s">
        <v>474</v>
      </c>
      <c r="C80" s="35"/>
      <c r="D80" s="35"/>
      <c r="E80" s="35"/>
      <c r="F80" s="35"/>
      <c r="G80" s="35"/>
      <c r="H80" s="35"/>
      <c r="I80" s="36"/>
    </row>
    <row r="81" spans="1:9">
      <c r="A81" s="2"/>
      <c r="B81" s="40"/>
      <c r="C81" s="35"/>
      <c r="D81" s="35"/>
      <c r="E81" s="35"/>
      <c r="F81" s="35"/>
      <c r="G81" s="35"/>
      <c r="H81" s="35"/>
      <c r="I81" s="36"/>
    </row>
    <row r="82" spans="1:9">
      <c r="A82" s="2"/>
      <c r="B82" s="43" t="s">
        <v>11</v>
      </c>
      <c r="C82" s="44"/>
      <c r="D82" s="44"/>
      <c r="E82" s="44"/>
      <c r="F82" s="44"/>
      <c r="G82" s="44"/>
      <c r="H82" s="44"/>
      <c r="I82" s="621">
        <f>SUM(I40:I76)</f>
        <v>2.5618320000000003</v>
      </c>
    </row>
  </sheetData>
  <mergeCells count="4">
    <mergeCell ref="B1:D1"/>
    <mergeCell ref="E44:H44"/>
    <mergeCell ref="B50:I51"/>
    <mergeCell ref="B55:C55"/>
  </mergeCells>
  <pageMargins left="0.75" right="0.75" top="1" bottom="1" header="0.5" footer="0.5"/>
  <pageSetup scale="54" orientation="portrait" r:id="rId1"/>
  <headerFooter alignWithMargins="0"/>
</worksheet>
</file>

<file path=xl/worksheets/sheet102.xml><?xml version="1.0" encoding="utf-8"?>
<worksheet xmlns="http://schemas.openxmlformats.org/spreadsheetml/2006/main" xmlns:r="http://schemas.openxmlformats.org/officeDocument/2006/relationships">
  <dimension ref="B1:J72"/>
  <sheetViews>
    <sheetView showGridLines="0" zoomScale="60" zoomScaleNormal="60" workbookViewId="0">
      <selection activeCell="J28" sqref="J28"/>
    </sheetView>
  </sheetViews>
  <sheetFormatPr defaultRowHeight="12.75"/>
  <cols>
    <col min="1" max="1" width="2.85546875" style="762" customWidth="1"/>
    <col min="2" max="2" width="13.7109375" style="762" customWidth="1"/>
    <col min="3" max="3" width="26" style="762" customWidth="1"/>
    <col min="4" max="4" width="46" style="762" customWidth="1"/>
    <col min="5" max="5" width="41.140625" style="762" customWidth="1"/>
    <col min="6" max="6" width="25.85546875" style="762" customWidth="1"/>
    <col min="7" max="7" width="25.7109375" style="762" customWidth="1"/>
    <col min="8" max="8" width="19.140625" style="762" customWidth="1"/>
    <col min="9" max="9" width="5.140625" style="762" customWidth="1"/>
    <col min="10" max="10" width="20.85546875" style="762" customWidth="1"/>
    <col min="11" max="16384" width="9.140625" style="762"/>
  </cols>
  <sheetData>
    <row r="1" spans="2:10" ht="21.75" customHeight="1">
      <c r="B1" s="760" t="s">
        <v>644</v>
      </c>
      <c r="C1" s="760">
        <f>+B6</f>
        <v>374</v>
      </c>
      <c r="D1" s="761" t="str">
        <f>+D6</f>
        <v>Farmstead Energy Improvement</v>
      </c>
      <c r="E1" s="760" t="str">
        <f>+E6</f>
        <v>Heating, Radiant Systems</v>
      </c>
    </row>
    <row r="2" spans="2:10" ht="20.25">
      <c r="B2" s="763"/>
      <c r="C2" s="764"/>
      <c r="D2" s="764"/>
      <c r="E2" s="764"/>
      <c r="F2" s="764"/>
      <c r="G2" s="764"/>
      <c r="H2" s="764"/>
      <c r="I2" s="764"/>
      <c r="J2" s="764"/>
    </row>
    <row r="3" spans="2:10" ht="21" thickBot="1">
      <c r="B3" s="765" t="s">
        <v>17</v>
      </c>
      <c r="C3" s="766"/>
      <c r="D3" s="766"/>
      <c r="E3" s="764"/>
      <c r="F3" s="764"/>
      <c r="G3" s="764"/>
      <c r="H3" s="764"/>
      <c r="I3" s="764"/>
      <c r="J3" s="767"/>
    </row>
    <row r="4" spans="2:10" ht="20.25">
      <c r="B4" s="768" t="s">
        <v>1</v>
      </c>
      <c r="C4" s="769" t="s">
        <v>21</v>
      </c>
      <c r="D4" s="770"/>
      <c r="E4" s="770"/>
      <c r="F4" s="770"/>
      <c r="G4" s="771" t="s">
        <v>12</v>
      </c>
      <c r="J4" s="772" t="s">
        <v>621</v>
      </c>
    </row>
    <row r="5" spans="2:10" ht="20.25">
      <c r="B5" s="773" t="s">
        <v>13</v>
      </c>
      <c r="C5" s="774" t="s">
        <v>22</v>
      </c>
      <c r="D5" s="774" t="s">
        <v>29</v>
      </c>
      <c r="E5" s="775" t="s">
        <v>30</v>
      </c>
      <c r="F5" s="774" t="s">
        <v>23</v>
      </c>
      <c r="G5" s="776" t="s">
        <v>14</v>
      </c>
      <c r="J5" s="777" t="s">
        <v>622</v>
      </c>
    </row>
    <row r="6" spans="2:10" ht="20.25">
      <c r="B6" s="778">
        <v>374</v>
      </c>
      <c r="C6" s="779" t="str">
        <f>+E10</f>
        <v>EQIP</v>
      </c>
      <c r="D6" s="780" t="s">
        <v>645</v>
      </c>
      <c r="E6" s="781" t="s">
        <v>646</v>
      </c>
      <c r="F6" s="779" t="s">
        <v>647</v>
      </c>
      <c r="G6" s="782">
        <f>G23</f>
        <v>10.8</v>
      </c>
      <c r="J6" s="783" t="str">
        <f>D30</f>
        <v>Statewide</v>
      </c>
    </row>
    <row r="7" spans="2:10" ht="21" thickBot="1">
      <c r="B7" s="784">
        <v>374</v>
      </c>
      <c r="C7" s="785" t="str">
        <f>E10</f>
        <v>EQIP</v>
      </c>
      <c r="D7" s="786" t="s">
        <v>645</v>
      </c>
      <c r="E7" s="787" t="s">
        <v>648</v>
      </c>
      <c r="F7" s="785" t="s">
        <v>647</v>
      </c>
      <c r="G7" s="788">
        <f>H23</f>
        <v>12.96</v>
      </c>
      <c r="J7" s="789" t="str">
        <f>D30</f>
        <v>Statewide</v>
      </c>
    </row>
    <row r="8" spans="2:10" ht="20.25">
      <c r="B8" s="790"/>
      <c r="C8" s="790"/>
      <c r="D8" s="790"/>
      <c r="E8" s="790"/>
      <c r="F8" s="790"/>
      <c r="G8" s="790"/>
      <c r="H8" s="790"/>
      <c r="I8" s="790"/>
      <c r="J8" s="777"/>
    </row>
    <row r="9" spans="2:10" ht="21" thickBot="1">
      <c r="B9" s="765" t="s">
        <v>18</v>
      </c>
      <c r="C9" s="791"/>
      <c r="D9" s="764"/>
      <c r="E9" s="764"/>
      <c r="F9" s="764"/>
      <c r="G9" s="764"/>
      <c r="H9" s="764"/>
      <c r="I9" s="764"/>
      <c r="J9" s="767"/>
    </row>
    <row r="10" spans="2:10" ht="20.25">
      <c r="B10" s="792"/>
      <c r="C10" s="793"/>
      <c r="D10" s="794"/>
      <c r="E10" s="795" t="s">
        <v>15</v>
      </c>
      <c r="F10" s="795" t="s">
        <v>31</v>
      </c>
      <c r="G10" s="795"/>
      <c r="H10" s="796"/>
      <c r="J10" s="797"/>
    </row>
    <row r="11" spans="2:10" ht="20.25">
      <c r="B11" s="798"/>
      <c r="C11" s="799"/>
      <c r="D11" s="799"/>
      <c r="E11" s="800" t="s">
        <v>22</v>
      </c>
      <c r="F11" s="800" t="s">
        <v>22</v>
      </c>
      <c r="G11" s="800" t="s">
        <v>15</v>
      </c>
      <c r="H11" s="801" t="s">
        <v>31</v>
      </c>
      <c r="J11" s="797"/>
    </row>
    <row r="12" spans="2:10" ht="20.25">
      <c r="B12" s="798"/>
      <c r="C12" s="799"/>
      <c r="D12" s="799"/>
      <c r="E12" s="800" t="s">
        <v>12</v>
      </c>
      <c r="F12" s="800" t="s">
        <v>12</v>
      </c>
      <c r="G12" s="800" t="s">
        <v>12</v>
      </c>
      <c r="H12" s="801" t="s">
        <v>12</v>
      </c>
      <c r="J12" s="797"/>
    </row>
    <row r="13" spans="2:10" ht="20.25">
      <c r="B13" s="802" t="s">
        <v>16</v>
      </c>
      <c r="C13" s="799"/>
      <c r="D13" s="803" t="s">
        <v>6</v>
      </c>
      <c r="E13" s="803" t="s">
        <v>24</v>
      </c>
      <c r="F13" s="803" t="s">
        <v>24</v>
      </c>
      <c r="G13" s="803" t="s">
        <v>14</v>
      </c>
      <c r="H13" s="804" t="s">
        <v>14</v>
      </c>
      <c r="J13" s="797"/>
    </row>
    <row r="14" spans="2:10" ht="20.25">
      <c r="B14" s="805" t="s">
        <v>0</v>
      </c>
      <c r="C14" s="799"/>
      <c r="D14" s="806">
        <f>H36</f>
        <v>8</v>
      </c>
      <c r="E14" s="807">
        <v>0.75</v>
      </c>
      <c r="F14" s="807">
        <v>0.9</v>
      </c>
      <c r="G14" s="806">
        <f t="shared" ref="G14:H22" si="0">+$D14*E14</f>
        <v>6</v>
      </c>
      <c r="H14" s="808">
        <f t="shared" si="0"/>
        <v>7.2</v>
      </c>
      <c r="J14" s="797"/>
    </row>
    <row r="15" spans="2:10" ht="20.25">
      <c r="B15" s="805" t="s">
        <v>2</v>
      </c>
      <c r="C15" s="799"/>
      <c r="D15" s="806">
        <f>H43</f>
        <v>6.4</v>
      </c>
      <c r="E15" s="807">
        <v>0.75</v>
      </c>
      <c r="F15" s="807">
        <v>0.9</v>
      </c>
      <c r="G15" s="806">
        <f t="shared" si="0"/>
        <v>4.8000000000000007</v>
      </c>
      <c r="H15" s="808">
        <f t="shared" si="0"/>
        <v>5.7600000000000007</v>
      </c>
      <c r="J15" s="797"/>
    </row>
    <row r="16" spans="2:10" ht="20.25">
      <c r="B16" s="805" t="s">
        <v>3</v>
      </c>
      <c r="C16" s="799"/>
      <c r="D16" s="806">
        <f>H50</f>
        <v>0</v>
      </c>
      <c r="E16" s="807">
        <v>0.75</v>
      </c>
      <c r="F16" s="807">
        <v>0.9</v>
      </c>
      <c r="G16" s="806">
        <f t="shared" si="0"/>
        <v>0</v>
      </c>
      <c r="H16" s="808">
        <f t="shared" si="0"/>
        <v>0</v>
      </c>
      <c r="J16" s="797"/>
    </row>
    <row r="17" spans="2:10" ht="20.25">
      <c r="B17" s="805" t="s">
        <v>4</v>
      </c>
      <c r="C17" s="799"/>
      <c r="D17" s="806">
        <f>H50</f>
        <v>0</v>
      </c>
      <c r="E17" s="807">
        <v>0.75</v>
      </c>
      <c r="F17" s="807">
        <v>0.9</v>
      </c>
      <c r="G17" s="806">
        <f t="shared" si="0"/>
        <v>0</v>
      </c>
      <c r="H17" s="808">
        <f t="shared" si="0"/>
        <v>0</v>
      </c>
      <c r="J17" s="797"/>
    </row>
    <row r="18" spans="2:10" ht="20.25">
      <c r="B18" s="805" t="s">
        <v>26</v>
      </c>
      <c r="C18" s="799"/>
      <c r="D18" s="806">
        <f>H56</f>
        <v>0.28800000000000003</v>
      </c>
      <c r="E18" s="807">
        <v>0</v>
      </c>
      <c r="F18" s="807">
        <v>0</v>
      </c>
      <c r="G18" s="806">
        <f t="shared" si="0"/>
        <v>0</v>
      </c>
      <c r="H18" s="808">
        <f t="shared" si="0"/>
        <v>0</v>
      </c>
      <c r="J18" s="797"/>
    </row>
    <row r="19" spans="2:10" ht="20.25">
      <c r="B19" s="805" t="s">
        <v>7</v>
      </c>
      <c r="C19" s="799"/>
      <c r="D19" s="806">
        <f>H59</f>
        <v>0</v>
      </c>
      <c r="E19" s="807">
        <v>0.75</v>
      </c>
      <c r="F19" s="807">
        <v>0.9</v>
      </c>
      <c r="G19" s="806">
        <f t="shared" si="0"/>
        <v>0</v>
      </c>
      <c r="H19" s="808">
        <f t="shared" si="0"/>
        <v>0</v>
      </c>
      <c r="J19" s="797"/>
    </row>
    <row r="20" spans="2:10" ht="20.25">
      <c r="B20" s="805" t="s">
        <v>27</v>
      </c>
      <c r="C20" s="799"/>
      <c r="D20" s="806">
        <f>H62</f>
        <v>0</v>
      </c>
      <c r="E20" s="807">
        <v>1</v>
      </c>
      <c r="F20" s="807">
        <v>1</v>
      </c>
      <c r="G20" s="806">
        <f t="shared" si="0"/>
        <v>0</v>
      </c>
      <c r="H20" s="808">
        <f t="shared" si="0"/>
        <v>0</v>
      </c>
      <c r="J20" s="797"/>
    </row>
    <row r="21" spans="2:10" ht="20.25">
      <c r="B21" s="805" t="s">
        <v>5</v>
      </c>
      <c r="C21" s="799"/>
      <c r="D21" s="806">
        <f>H65</f>
        <v>0</v>
      </c>
      <c r="E21" s="807">
        <v>0</v>
      </c>
      <c r="F21" s="807">
        <v>0</v>
      </c>
      <c r="G21" s="806">
        <f t="shared" si="0"/>
        <v>0</v>
      </c>
      <c r="H21" s="808">
        <f t="shared" si="0"/>
        <v>0</v>
      </c>
      <c r="J21" s="797"/>
    </row>
    <row r="22" spans="2:10" ht="20.25">
      <c r="B22" s="805" t="s">
        <v>20</v>
      </c>
      <c r="C22" s="799"/>
      <c r="D22" s="809">
        <f>H68</f>
        <v>0</v>
      </c>
      <c r="E22" s="807">
        <v>0</v>
      </c>
      <c r="F22" s="807">
        <v>0</v>
      </c>
      <c r="G22" s="809">
        <f t="shared" si="0"/>
        <v>0</v>
      </c>
      <c r="H22" s="810">
        <f t="shared" si="0"/>
        <v>0</v>
      </c>
      <c r="J22" s="797"/>
    </row>
    <row r="23" spans="2:10" ht="21" thickBot="1">
      <c r="B23" s="811" t="s">
        <v>19</v>
      </c>
      <c r="C23" s="812"/>
      <c r="D23" s="813">
        <f>SUM(D14:D22)</f>
        <v>14.688000000000001</v>
      </c>
      <c r="E23" s="812"/>
      <c r="F23" s="812"/>
      <c r="G23" s="813">
        <f>SUM(G14:G22)</f>
        <v>10.8</v>
      </c>
      <c r="H23" s="814">
        <f>SUM(H14:H22)</f>
        <v>12.96</v>
      </c>
      <c r="J23" s="797"/>
    </row>
    <row r="24" spans="2:10" ht="20.25">
      <c r="B24" s="764"/>
      <c r="C24" s="764"/>
      <c r="D24" s="764"/>
      <c r="E24" s="764"/>
      <c r="F24" s="764"/>
      <c r="G24" s="764"/>
      <c r="H24" s="764"/>
      <c r="I24" s="764"/>
      <c r="J24" s="764"/>
    </row>
    <row r="25" spans="2:10" ht="20.25" customHeight="1">
      <c r="B25" s="815" t="s">
        <v>28</v>
      </c>
      <c r="C25" s="764"/>
      <c r="D25" s="764"/>
      <c r="E25" s="764"/>
      <c r="F25" s="764"/>
      <c r="G25" s="764"/>
      <c r="H25" s="764"/>
      <c r="I25" s="816"/>
    </row>
    <row r="26" spans="2:10" ht="20.25" customHeight="1">
      <c r="B26" s="817" t="s">
        <v>89</v>
      </c>
      <c r="C26" s="818"/>
      <c r="D26" s="818"/>
      <c r="E26" s="819"/>
      <c r="F26" s="819"/>
      <c r="G26" s="819"/>
      <c r="H26" s="820"/>
      <c r="I26" s="797"/>
      <c r="J26" s="821"/>
    </row>
    <row r="27" spans="2:10" ht="309.75" customHeight="1">
      <c r="B27" s="2158" t="s">
        <v>649</v>
      </c>
      <c r="C27" s="2159"/>
      <c r="D27" s="2159"/>
      <c r="E27" s="2159"/>
      <c r="F27" s="2159"/>
      <c r="G27" s="2159"/>
      <c r="H27" s="2160"/>
      <c r="I27" s="797"/>
      <c r="J27" s="821"/>
    </row>
    <row r="28" spans="2:10" ht="20.25" customHeight="1">
      <c r="B28" s="822" t="s">
        <v>650</v>
      </c>
      <c r="C28" s="823"/>
      <c r="D28" s="823"/>
      <c r="E28" s="823"/>
      <c r="F28" s="823"/>
      <c r="G28" s="823"/>
      <c r="H28" s="824"/>
      <c r="I28" s="797"/>
      <c r="J28" s="821"/>
    </row>
    <row r="29" spans="2:10" ht="20.25" customHeight="1">
      <c r="B29" s="822"/>
      <c r="C29" s="823"/>
      <c r="D29" s="823"/>
      <c r="E29" s="823"/>
      <c r="F29" s="823"/>
      <c r="G29" s="823"/>
      <c r="H29" s="824"/>
      <c r="I29" s="797"/>
    </row>
    <row r="30" spans="2:10" ht="20.25">
      <c r="B30" s="825" t="s">
        <v>25</v>
      </c>
      <c r="C30" s="826"/>
      <c r="D30" s="827" t="s">
        <v>91</v>
      </c>
      <c r="E30" s="828"/>
      <c r="F30" s="828"/>
      <c r="G30" s="829"/>
      <c r="H30" s="830"/>
      <c r="I30" s="797"/>
    </row>
    <row r="31" spans="2:10" ht="20.25">
      <c r="B31" s="831"/>
      <c r="C31" s="826"/>
      <c r="D31" s="829"/>
      <c r="E31" s="828"/>
      <c r="F31" s="828"/>
      <c r="G31" s="829"/>
      <c r="H31" s="830"/>
      <c r="I31" s="797"/>
    </row>
    <row r="32" spans="2:10" ht="20.25">
      <c r="B32" s="825" t="s">
        <v>8</v>
      </c>
      <c r="C32" s="826"/>
      <c r="D32" s="827" t="s">
        <v>647</v>
      </c>
      <c r="E32" s="828"/>
      <c r="F32" s="828"/>
      <c r="G32" s="829"/>
      <c r="H32" s="830"/>
      <c r="I32" s="797"/>
      <c r="J32" s="832"/>
    </row>
    <row r="33" spans="2:10" ht="20.25">
      <c r="B33" s="825" t="s">
        <v>9</v>
      </c>
      <c r="C33" s="826"/>
      <c r="D33" s="833">
        <v>10</v>
      </c>
      <c r="E33" s="828"/>
      <c r="F33" s="828"/>
      <c r="G33" s="829"/>
      <c r="H33" s="830"/>
      <c r="I33" s="797"/>
      <c r="J33" s="832"/>
    </row>
    <row r="34" spans="2:10" ht="20.25">
      <c r="B34" s="825" t="s">
        <v>10</v>
      </c>
      <c r="C34" s="829"/>
      <c r="D34" s="834">
        <v>0.05</v>
      </c>
      <c r="E34" s="828"/>
      <c r="F34" s="828"/>
      <c r="G34" s="829"/>
      <c r="H34" s="835" t="s">
        <v>6</v>
      </c>
      <c r="I34" s="797"/>
      <c r="J34" s="836"/>
    </row>
    <row r="35" spans="2:10" ht="20.25">
      <c r="B35" s="837"/>
      <c r="C35" s="829"/>
      <c r="D35" s="829"/>
      <c r="E35" s="838"/>
      <c r="F35" s="838"/>
      <c r="G35" s="829"/>
      <c r="H35" s="839"/>
      <c r="I35" s="797"/>
      <c r="J35" s="832"/>
    </row>
    <row r="36" spans="2:10" ht="20.25">
      <c r="B36" s="840" t="s">
        <v>0</v>
      </c>
      <c r="C36" s="829"/>
      <c r="D36" s="829"/>
      <c r="E36" s="829"/>
      <c r="F36" s="829"/>
      <c r="G36" s="829"/>
      <c r="H36" s="841">
        <f>F40</f>
        <v>8</v>
      </c>
      <c r="I36" s="797"/>
      <c r="J36" s="836"/>
    </row>
    <row r="37" spans="2:10" ht="20.25">
      <c r="B37" s="842" t="s">
        <v>651</v>
      </c>
      <c r="C37" s="827"/>
      <c r="D37" s="843"/>
      <c r="E37" s="843"/>
      <c r="F37" s="829"/>
      <c r="G37" s="829"/>
      <c r="H37" s="844"/>
      <c r="I37" s="797"/>
      <c r="J37" s="836"/>
    </row>
    <row r="38" spans="2:10" s="852" customFormat="1" ht="20.25">
      <c r="B38" s="845"/>
      <c r="C38" s="846" t="s">
        <v>652</v>
      </c>
      <c r="D38" s="847" t="s">
        <v>653</v>
      </c>
      <c r="E38" s="848"/>
      <c r="F38" s="849" t="s">
        <v>448</v>
      </c>
      <c r="G38" s="823"/>
      <c r="H38" s="850"/>
      <c r="I38" s="851"/>
    </row>
    <row r="39" spans="2:10" s="852" customFormat="1" ht="20.25">
      <c r="B39" s="845"/>
      <c r="C39" s="846" t="s">
        <v>654</v>
      </c>
      <c r="D39" s="853" t="s">
        <v>655</v>
      </c>
      <c r="E39" s="853" t="s">
        <v>656</v>
      </c>
      <c r="F39" s="849" t="s">
        <v>657</v>
      </c>
      <c r="G39" s="823"/>
      <c r="H39" s="850"/>
      <c r="I39" s="851"/>
    </row>
    <row r="40" spans="2:10" s="852" customFormat="1" ht="20.25">
      <c r="B40" s="845"/>
      <c r="C40" s="854">
        <v>1000</v>
      </c>
      <c r="D40" s="855">
        <v>125000</v>
      </c>
      <c r="E40" s="856">
        <f>D40/10^3</f>
        <v>125</v>
      </c>
      <c r="F40" s="857">
        <f>C40/E40</f>
        <v>8</v>
      </c>
      <c r="G40" s="823"/>
      <c r="H40" s="850"/>
      <c r="I40" s="851"/>
    </row>
    <row r="41" spans="2:10" s="852" customFormat="1" ht="20.25">
      <c r="B41" s="845"/>
      <c r="C41" s="858"/>
      <c r="D41" s="859"/>
      <c r="E41" s="860"/>
      <c r="F41" s="861"/>
      <c r="G41" s="823"/>
      <c r="H41" s="850"/>
      <c r="I41" s="851"/>
    </row>
    <row r="42" spans="2:10" ht="20.25">
      <c r="B42" s="840" t="s">
        <v>2</v>
      </c>
      <c r="C42" s="829"/>
      <c r="D42" s="862"/>
      <c r="E42" s="863"/>
      <c r="F42" s="863"/>
      <c r="G42" s="829"/>
      <c r="H42" s="864"/>
      <c r="I42" s="797"/>
    </row>
    <row r="43" spans="2:10" ht="20.25">
      <c r="B43" s="865" t="s">
        <v>658</v>
      </c>
      <c r="C43" s="866"/>
      <c r="D43" s="867"/>
      <c r="E43" s="868"/>
      <c r="F43" s="868"/>
      <c r="G43" s="829"/>
      <c r="H43" s="841">
        <f>F47</f>
        <v>6.4</v>
      </c>
      <c r="I43" s="797"/>
    </row>
    <row r="44" spans="2:10" ht="20.25">
      <c r="B44" s="865"/>
      <c r="C44" s="866"/>
      <c r="D44" s="867"/>
      <c r="E44" s="868"/>
      <c r="F44" s="868"/>
      <c r="G44" s="829"/>
      <c r="H44" s="841"/>
      <c r="I44" s="797"/>
    </row>
    <row r="45" spans="2:10" ht="20.25">
      <c r="B45" s="865"/>
      <c r="C45" s="869" t="s">
        <v>3</v>
      </c>
      <c r="D45" s="846" t="s">
        <v>659</v>
      </c>
      <c r="E45" s="849" t="s">
        <v>660</v>
      </c>
      <c r="F45" s="849" t="s">
        <v>448</v>
      </c>
      <c r="G45" s="829"/>
      <c r="H45" s="841"/>
      <c r="I45" s="797"/>
    </row>
    <row r="46" spans="2:10" ht="20.25">
      <c r="B46" s="865"/>
      <c r="C46" s="869" t="s">
        <v>661</v>
      </c>
      <c r="D46" s="846" t="s">
        <v>662</v>
      </c>
      <c r="E46" s="849" t="s">
        <v>654</v>
      </c>
      <c r="F46" s="849" t="s">
        <v>663</v>
      </c>
      <c r="G46" s="870"/>
      <c r="H46" s="841"/>
      <c r="I46" s="797"/>
    </row>
    <row r="47" spans="2:10" ht="20.25">
      <c r="B47" s="865"/>
      <c r="C47" s="871">
        <v>32</v>
      </c>
      <c r="D47" s="855">
        <v>25</v>
      </c>
      <c r="E47" s="857">
        <f>C47*D47</f>
        <v>800</v>
      </c>
      <c r="F47" s="857">
        <f>E47/(D40/10^3)</f>
        <v>6.4</v>
      </c>
      <c r="G47" s="870"/>
      <c r="H47" s="841"/>
      <c r="I47" s="797"/>
    </row>
    <row r="48" spans="2:10" ht="20.25">
      <c r="B48" s="842"/>
      <c r="C48" s="827"/>
      <c r="D48" s="862"/>
      <c r="E48" s="863"/>
      <c r="F48" s="863"/>
      <c r="G48" s="870"/>
      <c r="H48" s="830"/>
      <c r="I48" s="797"/>
    </row>
    <row r="49" spans="2:9" ht="20.25">
      <c r="B49" s="840" t="s">
        <v>3</v>
      </c>
      <c r="C49" s="829"/>
      <c r="D49" s="829"/>
      <c r="E49" s="829"/>
      <c r="F49" s="829"/>
      <c r="G49" s="829"/>
      <c r="H49" s="864" t="s">
        <v>627</v>
      </c>
      <c r="I49" s="797"/>
    </row>
    <row r="50" spans="2:9" ht="20.25">
      <c r="B50" s="865" t="s">
        <v>664</v>
      </c>
      <c r="C50" s="866"/>
      <c r="D50" s="867"/>
      <c r="E50" s="872" t="s">
        <v>665</v>
      </c>
      <c r="F50" s="863"/>
      <c r="G50" s="829"/>
      <c r="H50" s="841">
        <v>0</v>
      </c>
      <c r="I50" s="797"/>
    </row>
    <row r="51" spans="2:9" ht="20.25">
      <c r="B51" s="842"/>
      <c r="C51" s="827"/>
      <c r="D51" s="873"/>
      <c r="E51" s="874" t="s">
        <v>666</v>
      </c>
      <c r="F51" s="829"/>
      <c r="G51" s="829" t="s">
        <v>627</v>
      </c>
      <c r="H51" s="830"/>
      <c r="I51" s="797"/>
    </row>
    <row r="52" spans="2:9" ht="20.25">
      <c r="B52" s="840" t="s">
        <v>4</v>
      </c>
      <c r="C52" s="829"/>
      <c r="D52" s="829"/>
      <c r="E52" s="874" t="s">
        <v>667</v>
      </c>
      <c r="F52" s="829"/>
      <c r="G52" s="829"/>
      <c r="H52" s="864"/>
      <c r="I52" s="797"/>
    </row>
    <row r="53" spans="2:9" ht="20.25">
      <c r="B53" s="875" t="s">
        <v>668</v>
      </c>
      <c r="C53" s="829"/>
      <c r="D53" s="829"/>
      <c r="E53" s="874" t="s">
        <v>669</v>
      </c>
      <c r="F53" s="829"/>
      <c r="G53" s="829"/>
      <c r="H53" s="864">
        <f>D52</f>
        <v>0</v>
      </c>
      <c r="I53" s="797"/>
    </row>
    <row r="54" spans="2:9" ht="20.25">
      <c r="B54" s="831"/>
      <c r="C54" s="829"/>
      <c r="D54" s="829"/>
      <c r="E54" s="874"/>
      <c r="F54" s="829"/>
      <c r="G54" s="829"/>
      <c r="H54" s="830"/>
      <c r="I54" s="797"/>
    </row>
    <row r="55" spans="2:9" ht="20.25">
      <c r="B55" s="840" t="s">
        <v>26</v>
      </c>
      <c r="C55" s="829"/>
      <c r="D55" s="829"/>
      <c r="E55" s="829"/>
      <c r="F55" s="829"/>
      <c r="G55" s="829"/>
      <c r="H55" s="864"/>
      <c r="I55" s="797"/>
    </row>
    <row r="56" spans="2:9" ht="20.25">
      <c r="B56" s="875" t="s">
        <v>670</v>
      </c>
      <c r="C56" s="829"/>
      <c r="D56" s="829"/>
      <c r="E56" s="829"/>
      <c r="F56" s="829"/>
      <c r="G56" s="829"/>
      <c r="H56" s="864">
        <f>2%*(H36+H50+H43)</f>
        <v>0.28800000000000003</v>
      </c>
      <c r="I56" s="797"/>
    </row>
    <row r="57" spans="2:9" ht="20.25">
      <c r="B57" s="831"/>
      <c r="C57" s="829"/>
      <c r="D57" s="829"/>
      <c r="E57" s="829"/>
      <c r="F57" s="829"/>
      <c r="G57" s="829"/>
      <c r="H57" s="830"/>
      <c r="I57" s="797"/>
    </row>
    <row r="58" spans="2:9" ht="20.25">
      <c r="B58" s="840" t="s">
        <v>7</v>
      </c>
      <c r="C58" s="829"/>
      <c r="D58" s="829"/>
      <c r="E58" s="829"/>
      <c r="F58" s="829"/>
      <c r="G58" s="829"/>
      <c r="H58" s="864"/>
      <c r="I58" s="797"/>
    </row>
    <row r="59" spans="2:9" ht="20.25">
      <c r="B59" s="875" t="s">
        <v>671</v>
      </c>
      <c r="C59" s="829"/>
      <c r="D59" s="829"/>
      <c r="E59" s="829"/>
      <c r="F59" s="829"/>
      <c r="G59" s="829"/>
      <c r="H59" s="864">
        <f>E59</f>
        <v>0</v>
      </c>
      <c r="I59" s="797"/>
    </row>
    <row r="60" spans="2:9" ht="20.25">
      <c r="B60" s="875"/>
      <c r="C60" s="829"/>
      <c r="D60" s="829"/>
      <c r="E60" s="829"/>
      <c r="F60" s="829"/>
      <c r="G60" s="829"/>
      <c r="H60" s="830"/>
      <c r="I60" s="797"/>
    </row>
    <row r="61" spans="2:9" ht="20.25">
      <c r="B61" s="840" t="s">
        <v>27</v>
      </c>
      <c r="C61" s="829"/>
      <c r="D61" s="829"/>
      <c r="E61" s="829"/>
      <c r="F61" s="829"/>
      <c r="G61" s="829"/>
      <c r="H61" s="864"/>
      <c r="I61" s="797"/>
    </row>
    <row r="62" spans="2:9" ht="20.25">
      <c r="B62" s="875" t="s">
        <v>672</v>
      </c>
      <c r="C62" s="829"/>
      <c r="D62" s="829"/>
      <c r="E62" s="829"/>
      <c r="F62" s="829"/>
      <c r="G62" s="829"/>
      <c r="H62" s="864">
        <f>E62</f>
        <v>0</v>
      </c>
      <c r="I62" s="797"/>
    </row>
    <row r="63" spans="2:9" ht="20.25">
      <c r="B63" s="831"/>
      <c r="C63" s="829"/>
      <c r="D63" s="829"/>
      <c r="E63" s="829"/>
      <c r="F63" s="829"/>
      <c r="G63" s="829"/>
      <c r="H63" s="830"/>
      <c r="I63" s="797"/>
    </row>
    <row r="64" spans="2:9" ht="20.25">
      <c r="B64" s="840" t="s">
        <v>5</v>
      </c>
      <c r="C64" s="829"/>
      <c r="D64" s="829"/>
      <c r="E64" s="829"/>
      <c r="F64" s="829"/>
      <c r="G64" s="829"/>
      <c r="H64" s="864"/>
      <c r="I64" s="797"/>
    </row>
    <row r="65" spans="2:10" ht="20.25">
      <c r="B65" s="875" t="s">
        <v>672</v>
      </c>
      <c r="C65" s="829"/>
      <c r="D65" s="829"/>
      <c r="E65" s="829"/>
      <c r="F65" s="829"/>
      <c r="G65" s="829"/>
      <c r="H65" s="864">
        <f>F65</f>
        <v>0</v>
      </c>
      <c r="I65" s="797"/>
    </row>
    <row r="66" spans="2:10" ht="20.25">
      <c r="B66" s="875"/>
      <c r="C66" s="829"/>
      <c r="D66" s="829"/>
      <c r="E66" s="829"/>
      <c r="F66" s="829"/>
      <c r="G66" s="829"/>
      <c r="H66" s="844"/>
      <c r="I66" s="797"/>
    </row>
    <row r="67" spans="2:10" ht="20.25">
      <c r="B67" s="840" t="s">
        <v>20</v>
      </c>
      <c r="C67" s="829"/>
      <c r="D67" s="829"/>
      <c r="E67" s="829"/>
      <c r="F67" s="829"/>
      <c r="G67" s="829"/>
      <c r="H67" s="864"/>
      <c r="I67" s="797"/>
    </row>
    <row r="68" spans="2:10" ht="20.25">
      <c r="B68" s="875" t="s">
        <v>104</v>
      </c>
      <c r="C68" s="829"/>
      <c r="D68" s="829"/>
      <c r="E68" s="829"/>
      <c r="F68" s="829"/>
      <c r="G68" s="829"/>
      <c r="H68" s="864">
        <f>E67</f>
        <v>0</v>
      </c>
      <c r="I68" s="797"/>
    </row>
    <row r="69" spans="2:10" ht="20.25">
      <c r="B69" s="837"/>
      <c r="C69" s="829"/>
      <c r="D69" s="829"/>
      <c r="E69" s="829"/>
      <c r="F69" s="829"/>
      <c r="G69" s="829"/>
      <c r="H69" s="830"/>
      <c r="I69" s="797"/>
    </row>
    <row r="70" spans="2:10" ht="20.25">
      <c r="B70" s="876" t="s">
        <v>11</v>
      </c>
      <c r="C70" s="877"/>
      <c r="D70" s="877"/>
      <c r="E70" s="877"/>
      <c r="F70" s="877"/>
      <c r="G70" s="877"/>
      <c r="H70" s="878">
        <f>SUM(H35:H69)</f>
        <v>14.688000000000001</v>
      </c>
      <c r="I70" s="797"/>
    </row>
    <row r="71" spans="2:10" ht="20.25">
      <c r="B71" s="764"/>
      <c r="C71" s="764"/>
      <c r="D71" s="764"/>
      <c r="E71" s="764"/>
      <c r="F71" s="764"/>
      <c r="G71" s="764"/>
      <c r="H71" s="764"/>
    </row>
    <row r="72" spans="2:10" ht="20.25">
      <c r="H72" s="764"/>
      <c r="I72" s="764"/>
      <c r="J72" s="764"/>
    </row>
  </sheetData>
  <mergeCells count="1">
    <mergeCell ref="B27:H27"/>
  </mergeCells>
  <pageMargins left="0.5" right="0.5" top="0.5" bottom="0.75" header="0.5" footer="0.25"/>
  <pageSetup scale="60" fitToHeight="0" orientation="landscape" r:id="rId1"/>
  <headerFooter alignWithMargins="0">
    <oddFooter>&amp;L&amp;"Garamond,Regular"&amp;10&amp;F
&amp;A
&amp;D (printed)&amp;R&amp;11&amp;P/&amp;N</oddFooter>
  </headerFooter>
</worksheet>
</file>

<file path=xl/worksheets/sheet103.xml><?xml version="1.0" encoding="utf-8"?>
<worksheet xmlns="http://schemas.openxmlformats.org/spreadsheetml/2006/main" xmlns:r="http://schemas.openxmlformats.org/officeDocument/2006/relationships">
  <sheetPr>
    <pageSetUpPr fitToPage="1"/>
  </sheetPr>
  <dimension ref="B1:I67"/>
  <sheetViews>
    <sheetView topLeftCell="A4" zoomScale="60" zoomScaleNormal="60" workbookViewId="0">
      <selection activeCell="J28" sqref="J28"/>
    </sheetView>
  </sheetViews>
  <sheetFormatPr defaultRowHeight="12.75"/>
  <cols>
    <col min="1" max="1" width="2.85546875" style="762" customWidth="1"/>
    <col min="2" max="3" width="30.7109375" style="762" customWidth="1"/>
    <col min="4" max="4" width="47" style="762" bestFit="1" customWidth="1"/>
    <col min="5" max="5" width="49.85546875" style="762" bestFit="1" customWidth="1"/>
    <col min="6" max="6" width="21.28515625" style="762" customWidth="1"/>
    <col min="7" max="8" width="23.5703125" style="762" customWidth="1"/>
    <col min="9" max="9" width="13" style="762" customWidth="1"/>
    <col min="10" max="16384" width="9.140625" style="762"/>
  </cols>
  <sheetData>
    <row r="1" spans="2:9" ht="20.25">
      <c r="B1" s="760" t="s">
        <v>644</v>
      </c>
      <c r="C1" s="760">
        <f>+B6</f>
        <v>374</v>
      </c>
      <c r="D1" s="761" t="str">
        <f>+D6</f>
        <v>Farmstead Energy Improvement</v>
      </c>
      <c r="E1" s="760" t="str">
        <f>+E6</f>
        <v>Building Envelope, Insulation Attic</v>
      </c>
      <c r="F1" s="764"/>
      <c r="G1" s="764"/>
      <c r="H1" s="764"/>
      <c r="I1" s="764"/>
    </row>
    <row r="2" spans="2:9" ht="20.25">
      <c r="B2" s="763"/>
      <c r="C2" s="764"/>
      <c r="D2" s="764"/>
      <c r="E2" s="764"/>
      <c r="F2" s="764"/>
      <c r="G2" s="764"/>
      <c r="H2" s="764"/>
      <c r="I2" s="764"/>
    </row>
    <row r="3" spans="2:9" ht="21" thickBot="1">
      <c r="B3" s="765" t="s">
        <v>17</v>
      </c>
      <c r="C3" s="766"/>
      <c r="D3" s="766"/>
      <c r="E3" s="764"/>
      <c r="F3" s="764"/>
      <c r="G3" s="764"/>
      <c r="H3" s="764"/>
      <c r="I3" s="764"/>
    </row>
    <row r="4" spans="2:9" ht="20.25">
      <c r="B4" s="768" t="s">
        <v>1</v>
      </c>
      <c r="C4" s="769" t="s">
        <v>21</v>
      </c>
      <c r="D4" s="770"/>
      <c r="E4" s="770"/>
      <c r="F4" s="770"/>
      <c r="G4" s="771" t="s">
        <v>12</v>
      </c>
      <c r="I4" s="772" t="s">
        <v>621</v>
      </c>
    </row>
    <row r="5" spans="2:9" ht="20.25">
      <c r="B5" s="773" t="s">
        <v>13</v>
      </c>
      <c r="C5" s="774" t="s">
        <v>22</v>
      </c>
      <c r="D5" s="879" t="s">
        <v>29</v>
      </c>
      <c r="E5" s="775" t="s">
        <v>30</v>
      </c>
      <c r="F5" s="774" t="s">
        <v>23</v>
      </c>
      <c r="G5" s="776" t="s">
        <v>14</v>
      </c>
      <c r="I5" s="777" t="s">
        <v>622</v>
      </c>
    </row>
    <row r="6" spans="2:9" ht="20.25">
      <c r="B6" s="778">
        <v>374</v>
      </c>
      <c r="C6" s="779" t="str">
        <f>+E10</f>
        <v>EQIP</v>
      </c>
      <c r="D6" s="780" t="s">
        <v>645</v>
      </c>
      <c r="E6" s="880" t="s">
        <v>673</v>
      </c>
      <c r="F6" s="779" t="str">
        <f>D32</f>
        <v>SF</v>
      </c>
      <c r="G6" s="782">
        <f>G23</f>
        <v>0.15000000000000002</v>
      </c>
      <c r="I6" s="783" t="str">
        <f>D30</f>
        <v>Statewide</v>
      </c>
    </row>
    <row r="7" spans="2:9" ht="21" thickBot="1">
      <c r="B7" s="784">
        <v>374</v>
      </c>
      <c r="C7" s="785" t="str">
        <f>E10</f>
        <v>EQIP</v>
      </c>
      <c r="D7" s="786" t="s">
        <v>645</v>
      </c>
      <c r="E7" s="881" t="s">
        <v>673</v>
      </c>
      <c r="F7" s="785" t="str">
        <f>F6</f>
        <v>SF</v>
      </c>
      <c r="G7" s="788">
        <f>H23</f>
        <v>0.18000000000000002</v>
      </c>
      <c r="I7" s="783"/>
    </row>
    <row r="8" spans="2:9" ht="20.25">
      <c r="B8" s="790"/>
      <c r="C8" s="790"/>
      <c r="D8" s="790"/>
      <c r="E8" s="790"/>
      <c r="F8" s="790"/>
      <c r="G8" s="790"/>
      <c r="H8" s="790"/>
      <c r="I8" s="764"/>
    </row>
    <row r="9" spans="2:9" ht="21" thickBot="1">
      <c r="B9" s="765" t="s">
        <v>18</v>
      </c>
      <c r="C9" s="791"/>
      <c r="D9" s="764"/>
      <c r="E9" s="764"/>
      <c r="F9" s="764"/>
      <c r="G9" s="764"/>
      <c r="H9" s="764"/>
      <c r="I9" s="764"/>
    </row>
    <row r="10" spans="2:9" ht="20.25">
      <c r="B10" s="792"/>
      <c r="C10" s="793"/>
      <c r="D10" s="794"/>
      <c r="E10" s="795" t="s">
        <v>15</v>
      </c>
      <c r="F10" s="795" t="s">
        <v>31</v>
      </c>
      <c r="G10" s="795"/>
      <c r="H10" s="796"/>
    </row>
    <row r="11" spans="2:9" ht="20.25">
      <c r="B11" s="798"/>
      <c r="C11" s="799"/>
      <c r="D11" s="799"/>
      <c r="E11" s="800" t="s">
        <v>22</v>
      </c>
      <c r="F11" s="800" t="s">
        <v>22</v>
      </c>
      <c r="G11" s="800" t="s">
        <v>15</v>
      </c>
      <c r="H11" s="801" t="s">
        <v>31</v>
      </c>
    </row>
    <row r="12" spans="2:9" ht="20.25">
      <c r="B12" s="798"/>
      <c r="C12" s="799"/>
      <c r="D12" s="799"/>
      <c r="E12" s="800" t="s">
        <v>12</v>
      </c>
      <c r="F12" s="800" t="s">
        <v>12</v>
      </c>
      <c r="G12" s="800" t="s">
        <v>12</v>
      </c>
      <c r="H12" s="801" t="s">
        <v>12</v>
      </c>
    </row>
    <row r="13" spans="2:9" ht="20.25">
      <c r="B13" s="802" t="s">
        <v>16</v>
      </c>
      <c r="C13" s="799"/>
      <c r="D13" s="803" t="s">
        <v>6</v>
      </c>
      <c r="E13" s="803" t="s">
        <v>24</v>
      </c>
      <c r="F13" s="803" t="s">
        <v>24</v>
      </c>
      <c r="G13" s="803" t="s">
        <v>14</v>
      </c>
      <c r="H13" s="804" t="s">
        <v>14</v>
      </c>
    </row>
    <row r="14" spans="2:9" ht="20.25">
      <c r="B14" s="805" t="s">
        <v>0</v>
      </c>
      <c r="C14" s="799"/>
      <c r="D14" s="806">
        <f>H36</f>
        <v>0.2</v>
      </c>
      <c r="E14" s="807">
        <v>0.75</v>
      </c>
      <c r="F14" s="807">
        <v>0.9</v>
      </c>
      <c r="G14" s="806">
        <f t="shared" ref="G14:H22" si="0">+$D14*E14</f>
        <v>0.15000000000000002</v>
      </c>
      <c r="H14" s="808">
        <f t="shared" si="0"/>
        <v>0.18000000000000002</v>
      </c>
    </row>
    <row r="15" spans="2:9" ht="20.25">
      <c r="B15" s="805" t="s">
        <v>2</v>
      </c>
      <c r="C15" s="799"/>
      <c r="D15" s="806">
        <v>0</v>
      </c>
      <c r="E15" s="807">
        <v>0.75</v>
      </c>
      <c r="F15" s="807">
        <v>0.9</v>
      </c>
      <c r="G15" s="806">
        <f t="shared" si="0"/>
        <v>0</v>
      </c>
      <c r="H15" s="808">
        <f t="shared" si="0"/>
        <v>0</v>
      </c>
    </row>
    <row r="16" spans="2:9" ht="20.25">
      <c r="B16" s="805" t="s">
        <v>3</v>
      </c>
      <c r="C16" s="799"/>
      <c r="D16" s="806">
        <v>0</v>
      </c>
      <c r="E16" s="807">
        <v>0.75</v>
      </c>
      <c r="F16" s="807">
        <v>0.9</v>
      </c>
      <c r="G16" s="806">
        <f t="shared" si="0"/>
        <v>0</v>
      </c>
      <c r="H16" s="808">
        <f t="shared" si="0"/>
        <v>0</v>
      </c>
    </row>
    <row r="17" spans="2:9" ht="20.25">
      <c r="B17" s="805" t="s">
        <v>4</v>
      </c>
      <c r="C17" s="799"/>
      <c r="D17" s="806">
        <f>+H48</f>
        <v>0</v>
      </c>
      <c r="E17" s="807">
        <v>0.75</v>
      </c>
      <c r="F17" s="807">
        <v>0.9</v>
      </c>
      <c r="G17" s="806">
        <f t="shared" si="0"/>
        <v>0</v>
      </c>
      <c r="H17" s="808">
        <f t="shared" si="0"/>
        <v>0</v>
      </c>
      <c r="I17" s="764"/>
    </row>
    <row r="18" spans="2:9" ht="20.25">
      <c r="B18" s="805" t="s">
        <v>26</v>
      </c>
      <c r="C18" s="799"/>
      <c r="D18" s="806">
        <v>0</v>
      </c>
      <c r="E18" s="807">
        <v>0</v>
      </c>
      <c r="F18" s="807">
        <v>0</v>
      </c>
      <c r="G18" s="806">
        <f t="shared" si="0"/>
        <v>0</v>
      </c>
      <c r="H18" s="808">
        <f t="shared" si="0"/>
        <v>0</v>
      </c>
      <c r="I18" s="764"/>
    </row>
    <row r="19" spans="2:9" ht="20.25">
      <c r="B19" s="805" t="s">
        <v>7</v>
      </c>
      <c r="C19" s="799"/>
      <c r="D19" s="806">
        <f>+H54</f>
        <v>0</v>
      </c>
      <c r="E19" s="807">
        <v>0.75</v>
      </c>
      <c r="F19" s="807">
        <v>0.9</v>
      </c>
      <c r="G19" s="806">
        <f t="shared" si="0"/>
        <v>0</v>
      </c>
      <c r="H19" s="808">
        <f t="shared" si="0"/>
        <v>0</v>
      </c>
      <c r="I19" s="764"/>
    </row>
    <row r="20" spans="2:9" ht="20.25">
      <c r="B20" s="805" t="s">
        <v>27</v>
      </c>
      <c r="C20" s="799"/>
      <c r="D20" s="806">
        <f>+H54</f>
        <v>0</v>
      </c>
      <c r="E20" s="807">
        <v>1</v>
      </c>
      <c r="F20" s="807">
        <v>1</v>
      </c>
      <c r="G20" s="806">
        <f t="shared" si="0"/>
        <v>0</v>
      </c>
      <c r="H20" s="808">
        <f t="shared" si="0"/>
        <v>0</v>
      </c>
      <c r="I20" s="764"/>
    </row>
    <row r="21" spans="2:9" ht="20.25">
      <c r="B21" s="805" t="s">
        <v>5</v>
      </c>
      <c r="C21" s="799"/>
      <c r="D21" s="806">
        <f>+H60</f>
        <v>0</v>
      </c>
      <c r="E21" s="807">
        <v>0</v>
      </c>
      <c r="F21" s="807">
        <v>0</v>
      </c>
      <c r="G21" s="806">
        <f t="shared" si="0"/>
        <v>0</v>
      </c>
      <c r="H21" s="808">
        <f t="shared" si="0"/>
        <v>0</v>
      </c>
      <c r="I21" s="764"/>
    </row>
    <row r="22" spans="2:9" ht="20.25">
      <c r="B22" s="805" t="s">
        <v>20</v>
      </c>
      <c r="C22" s="799"/>
      <c r="D22" s="809">
        <f>+H63</f>
        <v>0</v>
      </c>
      <c r="E22" s="807">
        <v>0</v>
      </c>
      <c r="F22" s="807">
        <v>0</v>
      </c>
      <c r="G22" s="809">
        <f t="shared" si="0"/>
        <v>0</v>
      </c>
      <c r="H22" s="810">
        <f t="shared" si="0"/>
        <v>0</v>
      </c>
      <c r="I22" s="764"/>
    </row>
    <row r="23" spans="2:9" ht="21" thickBot="1">
      <c r="B23" s="811" t="s">
        <v>19</v>
      </c>
      <c r="C23" s="812"/>
      <c r="D23" s="813">
        <f>SUM(D14:D22)</f>
        <v>0.2</v>
      </c>
      <c r="E23" s="812"/>
      <c r="F23" s="812"/>
      <c r="G23" s="813">
        <f>SUM(G14:G22)</f>
        <v>0.15000000000000002</v>
      </c>
      <c r="H23" s="814">
        <f>SUM(H14:H22)</f>
        <v>0.18000000000000002</v>
      </c>
      <c r="I23" s="764"/>
    </row>
    <row r="24" spans="2:9" ht="20.25">
      <c r="B24" s="764"/>
      <c r="C24" s="764"/>
      <c r="D24" s="764"/>
      <c r="E24" s="764"/>
      <c r="F24" s="764"/>
      <c r="G24" s="764"/>
      <c r="H24" s="764"/>
      <c r="I24" s="764"/>
    </row>
    <row r="25" spans="2:9" ht="20.25" customHeight="1">
      <c r="B25" s="815" t="s">
        <v>28</v>
      </c>
      <c r="C25" s="764"/>
      <c r="D25" s="764"/>
      <c r="E25" s="764"/>
      <c r="F25" s="764"/>
      <c r="G25" s="764"/>
      <c r="H25" s="764"/>
      <c r="I25" s="764"/>
    </row>
    <row r="26" spans="2:9" ht="20.25" customHeight="1">
      <c r="B26" s="817" t="s">
        <v>89</v>
      </c>
      <c r="C26" s="818"/>
      <c r="D26" s="818"/>
      <c r="E26" s="819"/>
      <c r="F26" s="819"/>
      <c r="G26" s="819"/>
      <c r="H26" s="820"/>
    </row>
    <row r="27" spans="2:9" ht="141" customHeight="1">
      <c r="B27" s="2161" t="s">
        <v>674</v>
      </c>
      <c r="C27" s="2162"/>
      <c r="D27" s="2162"/>
      <c r="E27" s="2162"/>
      <c r="F27" s="2162"/>
      <c r="G27" s="2162"/>
      <c r="H27" s="2163"/>
    </row>
    <row r="28" spans="2:9" ht="20.25" customHeight="1">
      <c r="B28" s="822" t="s">
        <v>650</v>
      </c>
      <c r="C28" s="827"/>
      <c r="D28" s="827"/>
      <c r="E28" s="827"/>
      <c r="F28" s="827"/>
      <c r="G28" s="827"/>
      <c r="H28" s="830"/>
    </row>
    <row r="29" spans="2:9" ht="20.25" customHeight="1">
      <c r="B29" s="842"/>
      <c r="C29" s="827"/>
      <c r="D29" s="827"/>
      <c r="E29" s="827"/>
      <c r="F29" s="827"/>
      <c r="G29" s="827"/>
      <c r="H29" s="830"/>
    </row>
    <row r="30" spans="2:9" ht="20.25" customHeight="1">
      <c r="B30" s="825" t="s">
        <v>25</v>
      </c>
      <c r="C30" s="826"/>
      <c r="D30" s="827" t="s">
        <v>91</v>
      </c>
      <c r="E30" s="828"/>
      <c r="F30" s="828"/>
      <c r="G30" s="829"/>
      <c r="H30" s="830"/>
    </row>
    <row r="31" spans="2:9" ht="20.25" customHeight="1">
      <c r="B31" s="831"/>
      <c r="C31" s="826"/>
      <c r="D31" s="829"/>
      <c r="E31" s="828"/>
      <c r="F31" s="828"/>
      <c r="G31" s="829"/>
      <c r="H31" s="830"/>
    </row>
    <row r="32" spans="2:9" ht="20.25" customHeight="1">
      <c r="B32" s="825" t="s">
        <v>8</v>
      </c>
      <c r="C32" s="826"/>
      <c r="D32" s="827" t="s">
        <v>675</v>
      </c>
      <c r="E32" s="828"/>
      <c r="F32" s="828"/>
      <c r="G32" s="829"/>
      <c r="H32" s="830"/>
    </row>
    <row r="33" spans="2:9" ht="20.25" customHeight="1">
      <c r="B33" s="825" t="s">
        <v>9</v>
      </c>
      <c r="C33" s="826"/>
      <c r="D33" s="833">
        <v>10</v>
      </c>
      <c r="E33" s="828"/>
      <c r="F33" s="828"/>
      <c r="G33" s="829"/>
      <c r="H33" s="830"/>
    </row>
    <row r="34" spans="2:9" ht="20.25" customHeight="1">
      <c r="B34" s="825" t="s">
        <v>10</v>
      </c>
      <c r="C34" s="829"/>
      <c r="D34" s="834">
        <v>0.05</v>
      </c>
      <c r="E34" s="828"/>
      <c r="F34" s="828"/>
      <c r="G34" s="829"/>
      <c r="H34" s="835" t="s">
        <v>6</v>
      </c>
      <c r="I34" s="832"/>
    </row>
    <row r="35" spans="2:9" ht="20.25" customHeight="1">
      <c r="B35" s="837"/>
      <c r="C35" s="829"/>
      <c r="D35" s="829"/>
      <c r="E35" s="838"/>
      <c r="F35" s="838"/>
      <c r="G35" s="829"/>
      <c r="H35" s="839"/>
      <c r="I35" s="832"/>
    </row>
    <row r="36" spans="2:9" ht="20.25" customHeight="1">
      <c r="B36" s="840" t="s">
        <v>0</v>
      </c>
      <c r="C36" s="829"/>
      <c r="D36" s="829"/>
      <c r="E36" s="829"/>
      <c r="F36" s="829"/>
      <c r="G36" s="829"/>
      <c r="H36" s="882">
        <f>E40</f>
        <v>0.2</v>
      </c>
      <c r="I36" s="832"/>
    </row>
    <row r="37" spans="2:9" ht="20.25" customHeight="1">
      <c r="B37" s="2164" t="s">
        <v>676</v>
      </c>
      <c r="C37" s="2165"/>
      <c r="D37" s="2165"/>
      <c r="E37" s="828"/>
      <c r="F37" s="828"/>
      <c r="G37" s="829"/>
      <c r="H37" s="844"/>
      <c r="I37" s="832"/>
    </row>
    <row r="38" spans="2:9" ht="20.25" customHeight="1">
      <c r="B38" s="845"/>
      <c r="C38" s="846" t="s">
        <v>677</v>
      </c>
      <c r="D38" s="883" t="s">
        <v>678</v>
      </c>
      <c r="E38" s="849" t="s">
        <v>448</v>
      </c>
      <c r="F38" s="828"/>
      <c r="G38" s="829"/>
      <c r="H38" s="844"/>
      <c r="I38" s="832"/>
    </row>
    <row r="39" spans="2:9" ht="20.25" customHeight="1">
      <c r="B39" s="845"/>
      <c r="C39" s="846" t="s">
        <v>679</v>
      </c>
      <c r="D39" s="853" t="s">
        <v>680</v>
      </c>
      <c r="E39" s="849" t="s">
        <v>681</v>
      </c>
      <c r="F39" s="828"/>
      <c r="G39" s="829"/>
      <c r="H39" s="844"/>
      <c r="I39" s="832"/>
    </row>
    <row r="40" spans="2:9" ht="20.25" customHeight="1">
      <c r="B40" s="845"/>
      <c r="C40" s="884">
        <v>3200</v>
      </c>
      <c r="D40" s="885">
        <v>16000</v>
      </c>
      <c r="E40" s="886">
        <f>C40/D40</f>
        <v>0.2</v>
      </c>
      <c r="F40" s="828"/>
      <c r="G40" s="829"/>
      <c r="H40" s="844"/>
      <c r="I40" s="832"/>
    </row>
    <row r="41" spans="2:9" ht="20.25" customHeight="1">
      <c r="B41" s="831"/>
      <c r="C41" s="827"/>
      <c r="D41" s="887"/>
      <c r="E41" s="861"/>
      <c r="F41" s="861"/>
      <c r="G41" s="829"/>
      <c r="H41" s="844"/>
      <c r="I41" s="832"/>
    </row>
    <row r="42" spans="2:9" ht="20.25" customHeight="1">
      <c r="B42" s="840" t="s">
        <v>2</v>
      </c>
      <c r="C42" s="829"/>
      <c r="D42" s="862"/>
      <c r="E42" s="863"/>
      <c r="F42" s="863"/>
      <c r="G42" s="829"/>
      <c r="H42" s="864"/>
      <c r="I42" s="832"/>
    </row>
    <row r="43" spans="2:9" ht="20.25" customHeight="1">
      <c r="B43" s="875" t="s">
        <v>668</v>
      </c>
      <c r="C43" s="829"/>
      <c r="D43" s="862"/>
      <c r="E43" s="863"/>
      <c r="F43" s="863"/>
      <c r="G43" s="829"/>
      <c r="H43" s="841">
        <v>0</v>
      </c>
    </row>
    <row r="44" spans="2:9" ht="20.25" customHeight="1">
      <c r="B44" s="842"/>
      <c r="C44" s="827"/>
      <c r="D44" s="862"/>
      <c r="E44" s="863"/>
      <c r="F44" s="863"/>
      <c r="G44" s="829"/>
      <c r="H44" s="830"/>
    </row>
    <row r="45" spans="2:9" ht="20.25" customHeight="1">
      <c r="B45" s="840" t="s">
        <v>3</v>
      </c>
      <c r="C45" s="829"/>
      <c r="D45" s="829"/>
      <c r="E45" s="829"/>
      <c r="F45" s="829"/>
      <c r="G45" s="829"/>
      <c r="H45" s="864" t="s">
        <v>627</v>
      </c>
    </row>
    <row r="46" spans="2:9" ht="20.25" customHeight="1">
      <c r="B46" s="875" t="s">
        <v>668</v>
      </c>
      <c r="C46" s="827"/>
      <c r="D46" s="873"/>
      <c r="E46" s="829"/>
      <c r="F46" s="829"/>
      <c r="G46" s="829"/>
      <c r="H46" s="841">
        <v>0</v>
      </c>
    </row>
    <row r="47" spans="2:9" ht="20.25" customHeight="1">
      <c r="B47" s="831"/>
      <c r="C47" s="829"/>
      <c r="D47" s="829"/>
      <c r="E47" s="829"/>
      <c r="F47" s="829"/>
      <c r="G47" s="829"/>
      <c r="H47" s="830"/>
    </row>
    <row r="48" spans="2:9" ht="20.25" customHeight="1">
      <c r="B48" s="840" t="s">
        <v>4</v>
      </c>
      <c r="C48" s="829"/>
      <c r="D48" s="829"/>
      <c r="E48" s="829"/>
      <c r="F48" s="829"/>
      <c r="G48" s="888"/>
      <c r="H48" s="864"/>
    </row>
    <row r="49" spans="2:8" ht="20.25" customHeight="1">
      <c r="B49" s="875" t="s">
        <v>668</v>
      </c>
      <c r="C49" s="829"/>
      <c r="D49" s="829"/>
      <c r="E49" s="829"/>
      <c r="F49" s="829"/>
      <c r="G49" s="829"/>
      <c r="H49" s="864">
        <v>0</v>
      </c>
    </row>
    <row r="50" spans="2:8" ht="20.25" customHeight="1">
      <c r="B50" s="831"/>
      <c r="C50" s="829"/>
      <c r="D50" s="829"/>
      <c r="E50" s="829"/>
      <c r="F50" s="829"/>
      <c r="G50" s="829"/>
      <c r="H50" s="830"/>
    </row>
    <row r="51" spans="2:8" ht="20.25" customHeight="1">
      <c r="B51" s="840" t="s">
        <v>26</v>
      </c>
      <c r="C51" s="829"/>
      <c r="D51" s="829"/>
      <c r="E51" s="829"/>
      <c r="F51" s="829"/>
      <c r="G51" s="829"/>
      <c r="H51" s="864"/>
    </row>
    <row r="52" spans="2:8" ht="20.25" customHeight="1">
      <c r="B52" s="875" t="s">
        <v>670</v>
      </c>
      <c r="C52" s="829"/>
      <c r="D52" s="829"/>
      <c r="E52" s="829"/>
      <c r="F52" s="829"/>
      <c r="G52" s="829"/>
      <c r="H52" s="864">
        <v>0</v>
      </c>
    </row>
    <row r="53" spans="2:8" ht="20.25" customHeight="1">
      <c r="B53" s="831"/>
      <c r="C53" s="829"/>
      <c r="D53" s="829"/>
      <c r="E53" s="829"/>
      <c r="F53" s="829"/>
      <c r="G53" s="829"/>
      <c r="H53" s="830"/>
    </row>
    <row r="54" spans="2:8" ht="20.25" customHeight="1">
      <c r="B54" s="840" t="s">
        <v>7</v>
      </c>
      <c r="C54" s="829"/>
      <c r="D54" s="829"/>
      <c r="E54" s="829"/>
      <c r="F54" s="829"/>
      <c r="G54" s="829"/>
      <c r="H54" s="864"/>
    </row>
    <row r="55" spans="2:8" ht="20.25" customHeight="1">
      <c r="B55" s="889" t="s">
        <v>671</v>
      </c>
      <c r="C55" s="829"/>
      <c r="D55" s="829"/>
      <c r="E55" s="829"/>
      <c r="F55" s="829"/>
      <c r="G55" s="829"/>
      <c r="H55" s="864">
        <v>0</v>
      </c>
    </row>
    <row r="56" spans="2:8" ht="20.25" customHeight="1">
      <c r="B56" s="875"/>
      <c r="C56" s="829"/>
      <c r="D56" s="829"/>
      <c r="E56" s="829"/>
      <c r="F56" s="829"/>
      <c r="G56" s="829"/>
      <c r="H56" s="830"/>
    </row>
    <row r="57" spans="2:8" ht="20.25" customHeight="1">
      <c r="B57" s="840" t="s">
        <v>27</v>
      </c>
      <c r="C57" s="829"/>
      <c r="D57" s="829"/>
      <c r="E57" s="829"/>
      <c r="F57" s="829"/>
      <c r="G57" s="829"/>
      <c r="H57" s="864"/>
    </row>
    <row r="58" spans="2:8" ht="20.25" customHeight="1">
      <c r="B58" s="875" t="s">
        <v>672</v>
      </c>
      <c r="C58" s="829"/>
      <c r="D58" s="829"/>
      <c r="E58" s="829"/>
      <c r="F58" s="829"/>
      <c r="G58" s="829"/>
      <c r="H58" s="864">
        <v>0</v>
      </c>
    </row>
    <row r="59" spans="2:8" ht="20.25" customHeight="1">
      <c r="B59" s="831"/>
      <c r="C59" s="829"/>
      <c r="D59" s="829"/>
      <c r="E59" s="829"/>
      <c r="F59" s="829"/>
      <c r="G59" s="829"/>
      <c r="H59" s="830"/>
    </row>
    <row r="60" spans="2:8" ht="20.25" customHeight="1">
      <c r="B60" s="840" t="s">
        <v>5</v>
      </c>
      <c r="C60" s="829"/>
      <c r="D60" s="829"/>
      <c r="E60" s="829"/>
      <c r="F60" s="829"/>
      <c r="G60" s="829"/>
      <c r="H60" s="864"/>
    </row>
    <row r="61" spans="2:8" ht="20.25" customHeight="1">
      <c r="B61" s="875" t="s">
        <v>672</v>
      </c>
      <c r="C61" s="829"/>
      <c r="D61" s="829"/>
      <c r="E61" s="829"/>
      <c r="F61" s="829"/>
      <c r="G61" s="829"/>
      <c r="H61" s="864">
        <v>0</v>
      </c>
    </row>
    <row r="62" spans="2:8" ht="20.25" customHeight="1">
      <c r="B62" s="875"/>
      <c r="C62" s="829"/>
      <c r="D62" s="829"/>
      <c r="E62" s="829"/>
      <c r="F62" s="829"/>
      <c r="G62" s="829"/>
      <c r="H62" s="844"/>
    </row>
    <row r="63" spans="2:8" ht="20.25" customHeight="1">
      <c r="B63" s="840" t="s">
        <v>20</v>
      </c>
      <c r="C63" s="829"/>
      <c r="D63" s="829"/>
      <c r="E63" s="829"/>
      <c r="F63" s="829"/>
      <c r="G63" s="829"/>
      <c r="H63" s="864"/>
    </row>
    <row r="64" spans="2:8" ht="20.25" customHeight="1">
      <c r="B64" s="875" t="s">
        <v>672</v>
      </c>
      <c r="C64" s="829"/>
      <c r="D64" s="829"/>
      <c r="E64" s="829"/>
      <c r="F64" s="829"/>
      <c r="G64" s="829"/>
      <c r="H64" s="864">
        <v>0</v>
      </c>
    </row>
    <row r="65" spans="2:9" ht="20.25" customHeight="1">
      <c r="B65" s="837"/>
      <c r="C65" s="829"/>
      <c r="D65" s="829"/>
      <c r="E65" s="829"/>
      <c r="F65" s="829"/>
      <c r="G65" s="829"/>
      <c r="H65" s="830"/>
    </row>
    <row r="66" spans="2:9" ht="20.25" customHeight="1">
      <c r="B66" s="876" t="s">
        <v>11</v>
      </c>
      <c r="C66" s="877"/>
      <c r="D66" s="877"/>
      <c r="E66" s="877"/>
      <c r="F66" s="877"/>
      <c r="G66" s="877"/>
      <c r="H66" s="878">
        <f>SUM(H36:H65)</f>
        <v>0.2</v>
      </c>
    </row>
    <row r="67" spans="2:9" ht="20.25" customHeight="1">
      <c r="B67" s="764"/>
      <c r="C67" s="764"/>
      <c r="D67" s="764"/>
      <c r="E67" s="764"/>
      <c r="F67" s="764"/>
      <c r="G67" s="764"/>
      <c r="H67" s="764"/>
      <c r="I67" s="764"/>
    </row>
  </sheetData>
  <mergeCells count="2">
    <mergeCell ref="B27:H27"/>
    <mergeCell ref="B37:D37"/>
  </mergeCells>
  <pageMargins left="0.5" right="0.5" top="0.5" bottom="0.75" header="0.5" footer="0.25"/>
  <pageSetup scale="56" fitToHeight="0" orientation="landscape" r:id="rId1"/>
  <headerFooter alignWithMargins="0">
    <oddFooter>&amp;L&amp;"Garamond,Regular"&amp;10&amp;F
&amp;A
&amp;D (printed)&amp;R&amp;11&amp;P/&amp;N</oddFooter>
  </headerFooter>
</worksheet>
</file>

<file path=xl/worksheets/sheet104.xml><?xml version="1.0" encoding="utf-8"?>
<worksheet xmlns="http://schemas.openxmlformats.org/spreadsheetml/2006/main" xmlns:r="http://schemas.openxmlformats.org/officeDocument/2006/relationships">
  <dimension ref="A1:I76"/>
  <sheetViews>
    <sheetView showGridLines="0" zoomScaleNormal="100" workbookViewId="0">
      <selection activeCell="J28" sqref="J28"/>
    </sheetView>
  </sheetViews>
  <sheetFormatPr defaultRowHeight="12.75"/>
  <cols>
    <col min="1" max="1" width="3.140625" style="890" customWidth="1"/>
    <col min="2" max="2" width="16.7109375" style="892" customWidth="1"/>
    <col min="3" max="3" width="12.140625" style="892" customWidth="1"/>
    <col min="4" max="4" width="27.7109375" style="892" bestFit="1" customWidth="1"/>
    <col min="5" max="5" width="28.5703125" style="892" bestFit="1" customWidth="1"/>
    <col min="6" max="6" width="11.42578125" style="892" customWidth="1"/>
    <col min="7" max="7" width="9.140625" style="890"/>
    <col min="8" max="8" width="9.140625" style="890" customWidth="1"/>
    <col min="9" max="9" width="16.5703125" style="892" bestFit="1" customWidth="1"/>
    <col min="10" max="16384" width="9.140625" style="892"/>
  </cols>
  <sheetData>
    <row r="1" spans="1:9" ht="15.75" customHeight="1">
      <c r="B1" s="202" t="s">
        <v>644</v>
      </c>
      <c r="C1" s="264" t="str">
        <f>+B6</f>
        <v>374</v>
      </c>
      <c r="D1" s="891" t="str">
        <f>+D6</f>
        <v>Farmstead Energy Improvement</v>
      </c>
      <c r="E1" s="202" t="str">
        <f>+E6</f>
        <v>Controllers, Variable Speed Drive</v>
      </c>
    </row>
    <row r="2" spans="1:9">
      <c r="A2" s="893"/>
      <c r="B2" s="487"/>
      <c r="C2" s="487"/>
      <c r="D2" s="487"/>
      <c r="E2" s="487"/>
      <c r="F2" s="487"/>
      <c r="G2" s="894"/>
      <c r="H2" s="894"/>
      <c r="I2" s="487"/>
    </row>
    <row r="3" spans="1:9" ht="15.75">
      <c r="A3" s="894"/>
      <c r="B3" s="895" t="s">
        <v>17</v>
      </c>
      <c r="C3" s="896"/>
      <c r="D3" s="896"/>
      <c r="E3" s="487"/>
      <c r="F3" s="487"/>
    </row>
    <row r="4" spans="1:9">
      <c r="A4" s="894"/>
      <c r="B4" s="897" t="s">
        <v>1</v>
      </c>
      <c r="C4" s="898" t="s">
        <v>21</v>
      </c>
      <c r="D4" s="899"/>
      <c r="E4" s="899"/>
      <c r="F4" s="899"/>
      <c r="G4" s="900" t="s">
        <v>12</v>
      </c>
    </row>
    <row r="5" spans="1:9">
      <c r="A5" s="894"/>
      <c r="B5" s="901" t="s">
        <v>13</v>
      </c>
      <c r="C5" s="902" t="s">
        <v>22</v>
      </c>
      <c r="D5" s="902" t="s">
        <v>682</v>
      </c>
      <c r="E5" s="902" t="s">
        <v>683</v>
      </c>
      <c r="F5" s="902" t="s">
        <v>23</v>
      </c>
      <c r="G5" s="903" t="s">
        <v>14</v>
      </c>
      <c r="I5" s="904" t="s">
        <v>77</v>
      </c>
    </row>
    <row r="6" spans="1:9">
      <c r="A6" s="894"/>
      <c r="B6" s="905" t="s">
        <v>684</v>
      </c>
      <c r="C6" s="906" t="str">
        <f>+$G$11</f>
        <v>EQIP</v>
      </c>
      <c r="D6" s="907" t="s">
        <v>645</v>
      </c>
      <c r="E6" s="907" t="s">
        <v>685</v>
      </c>
      <c r="F6" s="906" t="str">
        <f>+D32</f>
        <v>HP</v>
      </c>
      <c r="G6" s="908">
        <f>+G23</f>
        <v>161.25</v>
      </c>
      <c r="H6" s="909"/>
      <c r="I6" s="910" t="str">
        <f>+D30</f>
        <v>Statewide</v>
      </c>
    </row>
    <row r="7" spans="1:9">
      <c r="A7" s="894"/>
      <c r="B7" s="911" t="s">
        <v>684</v>
      </c>
      <c r="C7" s="912" t="str">
        <f>+$H$11</f>
        <v>EQIP-HU</v>
      </c>
      <c r="D7" s="913" t="str">
        <f>D6</f>
        <v>Farmstead Energy Improvement</v>
      </c>
      <c r="E7" s="913" t="str">
        <f>E6</f>
        <v>Controllers, Variable Speed Drive</v>
      </c>
      <c r="F7" s="912" t="str">
        <f>+D32</f>
        <v>HP</v>
      </c>
      <c r="G7" s="914">
        <f>+H23</f>
        <v>193.5</v>
      </c>
      <c r="H7" s="909"/>
      <c r="I7" s="910"/>
    </row>
    <row r="8" spans="1:9">
      <c r="A8" s="894"/>
      <c r="B8" s="915"/>
      <c r="C8" s="915"/>
      <c r="D8" s="915"/>
      <c r="E8" s="915"/>
      <c r="F8" s="915"/>
      <c r="G8" s="915"/>
      <c r="H8" s="915"/>
    </row>
    <row r="9" spans="1:9" ht="15.75">
      <c r="A9" s="894"/>
      <c r="B9" s="895" t="s">
        <v>18</v>
      </c>
      <c r="C9" s="916"/>
      <c r="D9" s="487"/>
      <c r="E9" s="487"/>
      <c r="F9" s="487"/>
    </row>
    <row r="10" spans="1:9">
      <c r="A10" s="894"/>
      <c r="B10" s="917"/>
      <c r="C10" s="918"/>
      <c r="D10" s="919"/>
      <c r="E10" s="920" t="s">
        <v>15</v>
      </c>
      <c r="F10" s="920" t="s">
        <v>31</v>
      </c>
      <c r="G10" s="920"/>
      <c r="H10" s="921"/>
      <c r="I10" s="922"/>
    </row>
    <row r="11" spans="1:9">
      <c r="A11" s="894"/>
      <c r="B11" s="923"/>
      <c r="C11" s="924"/>
      <c r="D11" s="925"/>
      <c r="E11" s="926" t="s">
        <v>22</v>
      </c>
      <c r="F11" s="926" t="s">
        <v>22</v>
      </c>
      <c r="G11" s="926" t="s">
        <v>15</v>
      </c>
      <c r="H11" s="927" t="s">
        <v>31</v>
      </c>
      <c r="I11" s="922"/>
    </row>
    <row r="12" spans="1:9">
      <c r="A12" s="894"/>
      <c r="B12" s="928"/>
      <c r="C12" s="925"/>
      <c r="D12" s="925"/>
      <c r="E12" s="926" t="s">
        <v>12</v>
      </c>
      <c r="F12" s="926" t="s">
        <v>12</v>
      </c>
      <c r="G12" s="926" t="s">
        <v>12</v>
      </c>
      <c r="H12" s="927" t="s">
        <v>12</v>
      </c>
      <c r="I12" s="922"/>
    </row>
    <row r="13" spans="1:9">
      <c r="A13" s="894"/>
      <c r="B13" s="929" t="s">
        <v>16</v>
      </c>
      <c r="C13" s="925"/>
      <c r="D13" s="930" t="s">
        <v>6</v>
      </c>
      <c r="E13" s="930" t="s">
        <v>24</v>
      </c>
      <c r="F13" s="930" t="s">
        <v>24</v>
      </c>
      <c r="G13" s="930" t="s">
        <v>14</v>
      </c>
      <c r="H13" s="931" t="s">
        <v>14</v>
      </c>
      <c r="I13" s="915"/>
    </row>
    <row r="14" spans="1:9">
      <c r="A14" s="894"/>
      <c r="B14" s="932" t="s">
        <v>0</v>
      </c>
      <c r="C14" s="933"/>
      <c r="D14" s="934">
        <f>+H34</f>
        <v>215</v>
      </c>
      <c r="E14" s="935">
        <v>0.75</v>
      </c>
      <c r="F14" s="935">
        <v>0.9</v>
      </c>
      <c r="G14" s="936">
        <f t="shared" ref="G14:H22" si="0">+$D14*E14</f>
        <v>161.25</v>
      </c>
      <c r="H14" s="937">
        <f t="shared" si="0"/>
        <v>193.5</v>
      </c>
      <c r="I14" s="487"/>
    </row>
    <row r="15" spans="1:9">
      <c r="A15" s="894"/>
      <c r="B15" s="932" t="s">
        <v>2</v>
      </c>
      <c r="C15" s="933"/>
      <c r="D15" s="934">
        <f>+H50</f>
        <v>0</v>
      </c>
      <c r="E15" s="935">
        <v>0.75</v>
      </c>
      <c r="F15" s="935">
        <v>0.9</v>
      </c>
      <c r="G15" s="936">
        <f t="shared" si="0"/>
        <v>0</v>
      </c>
      <c r="H15" s="937">
        <f t="shared" si="0"/>
        <v>0</v>
      </c>
      <c r="I15" s="487"/>
    </row>
    <row r="16" spans="1:9">
      <c r="A16" s="894"/>
      <c r="B16" s="932" t="s">
        <v>3</v>
      </c>
      <c r="C16" s="933"/>
      <c r="D16" s="934">
        <f>+H53</f>
        <v>0</v>
      </c>
      <c r="E16" s="935">
        <v>0.75</v>
      </c>
      <c r="F16" s="935">
        <v>0.9</v>
      </c>
      <c r="G16" s="936">
        <f t="shared" si="0"/>
        <v>0</v>
      </c>
      <c r="H16" s="937">
        <f t="shared" si="0"/>
        <v>0</v>
      </c>
      <c r="I16" s="487"/>
    </row>
    <row r="17" spans="1:9">
      <c r="A17" s="894"/>
      <c r="B17" s="932" t="s">
        <v>4</v>
      </c>
      <c r="C17" s="933"/>
      <c r="D17" s="934">
        <f>+H56</f>
        <v>0</v>
      </c>
      <c r="E17" s="935">
        <v>0.75</v>
      </c>
      <c r="F17" s="935">
        <v>0.9</v>
      </c>
      <c r="G17" s="936">
        <f t="shared" si="0"/>
        <v>0</v>
      </c>
      <c r="H17" s="937">
        <f t="shared" si="0"/>
        <v>0</v>
      </c>
      <c r="I17" s="487"/>
    </row>
    <row r="18" spans="1:9">
      <c r="A18" s="894"/>
      <c r="B18" s="932" t="s">
        <v>468</v>
      </c>
      <c r="C18" s="933"/>
      <c r="D18" s="934">
        <f>+H59</f>
        <v>0</v>
      </c>
      <c r="E18" s="935">
        <v>0</v>
      </c>
      <c r="F18" s="935">
        <v>0</v>
      </c>
      <c r="G18" s="936">
        <f t="shared" si="0"/>
        <v>0</v>
      </c>
      <c r="H18" s="937">
        <f t="shared" si="0"/>
        <v>0</v>
      </c>
      <c r="I18" s="487"/>
    </row>
    <row r="19" spans="1:9">
      <c r="A19" s="894"/>
      <c r="B19" s="932" t="s">
        <v>7</v>
      </c>
      <c r="C19" s="933"/>
      <c r="D19" s="934">
        <f>+H62</f>
        <v>0</v>
      </c>
      <c r="E19" s="935">
        <v>0.75</v>
      </c>
      <c r="F19" s="935">
        <v>0.9</v>
      </c>
      <c r="G19" s="936">
        <f t="shared" si="0"/>
        <v>0</v>
      </c>
      <c r="H19" s="937">
        <f t="shared" si="0"/>
        <v>0</v>
      </c>
      <c r="I19" s="487"/>
    </row>
    <row r="20" spans="1:9">
      <c r="A20" s="894"/>
      <c r="B20" s="932" t="s">
        <v>471</v>
      </c>
      <c r="C20" s="933"/>
      <c r="D20" s="934">
        <f>+H62</f>
        <v>0</v>
      </c>
      <c r="E20" s="935">
        <v>1</v>
      </c>
      <c r="F20" s="935">
        <v>1</v>
      </c>
      <c r="G20" s="936">
        <f t="shared" si="0"/>
        <v>0</v>
      </c>
      <c r="H20" s="937">
        <f t="shared" si="0"/>
        <v>0</v>
      </c>
      <c r="I20" s="487"/>
    </row>
    <row r="21" spans="1:9">
      <c r="A21" s="894"/>
      <c r="B21" s="932" t="s">
        <v>5</v>
      </c>
      <c r="C21" s="933"/>
      <c r="D21" s="934">
        <f>+H68</f>
        <v>0</v>
      </c>
      <c r="E21" s="935">
        <v>0</v>
      </c>
      <c r="F21" s="935">
        <v>0</v>
      </c>
      <c r="G21" s="936">
        <f t="shared" si="0"/>
        <v>0</v>
      </c>
      <c r="H21" s="937">
        <f t="shared" si="0"/>
        <v>0</v>
      </c>
      <c r="I21" s="487"/>
    </row>
    <row r="22" spans="1:9">
      <c r="A22" s="894"/>
      <c r="B22" s="932" t="s">
        <v>686</v>
      </c>
      <c r="C22" s="933"/>
      <c r="D22" s="938">
        <f>+H71</f>
        <v>0</v>
      </c>
      <c r="E22" s="935">
        <v>0</v>
      </c>
      <c r="F22" s="935">
        <v>0</v>
      </c>
      <c r="G22" s="938">
        <f t="shared" si="0"/>
        <v>0</v>
      </c>
      <c r="H22" s="939">
        <f t="shared" si="0"/>
        <v>0</v>
      </c>
      <c r="I22" s="487"/>
    </row>
    <row r="23" spans="1:9">
      <c r="A23" s="894"/>
      <c r="B23" s="940" t="s">
        <v>19</v>
      </c>
      <c r="C23" s="941"/>
      <c r="D23" s="942">
        <f>+D22+D21+D20+D19+D18+D17+D16+D15+D14</f>
        <v>215</v>
      </c>
      <c r="E23" s="943"/>
      <c r="F23" s="943"/>
      <c r="G23" s="942">
        <f>+G22+G21+G20+G19+G18+G17+G16+G15+G14</f>
        <v>161.25</v>
      </c>
      <c r="H23" s="944">
        <f>+H22+H21+H20+H19+H18+H17+H16+H15+H14</f>
        <v>193.5</v>
      </c>
      <c r="I23" s="487"/>
    </row>
    <row r="24" spans="1:9">
      <c r="A24" s="894"/>
      <c r="B24" s="487"/>
      <c r="C24" s="487"/>
      <c r="D24" s="487"/>
      <c r="E24" s="487"/>
      <c r="F24" s="487"/>
      <c r="G24" s="894"/>
      <c r="H24" s="894"/>
      <c r="I24" s="487"/>
    </row>
    <row r="25" spans="1:9" ht="15.75">
      <c r="A25" s="894"/>
      <c r="B25" s="945" t="s">
        <v>28</v>
      </c>
      <c r="C25" s="487"/>
      <c r="D25" s="487"/>
      <c r="E25" s="487"/>
      <c r="F25" s="487"/>
      <c r="G25" s="894"/>
      <c r="H25" s="894"/>
      <c r="I25" s="487"/>
    </row>
    <row r="26" spans="1:9">
      <c r="A26" s="894"/>
      <c r="B26" s="946" t="s">
        <v>89</v>
      </c>
      <c r="C26" s="947"/>
      <c r="D26" s="947"/>
      <c r="E26" s="948"/>
      <c r="F26" s="948"/>
      <c r="G26" s="949"/>
      <c r="H26" s="950"/>
    </row>
    <row r="27" spans="1:9" ht="111" customHeight="1">
      <c r="A27" s="894"/>
      <c r="B27" s="2166" t="s">
        <v>687</v>
      </c>
      <c r="C27" s="2167"/>
      <c r="D27" s="2167"/>
      <c r="E27" s="2167"/>
      <c r="F27" s="2167"/>
      <c r="G27" s="2167"/>
      <c r="H27" s="2168"/>
    </row>
    <row r="28" spans="1:9" ht="16.5" customHeight="1">
      <c r="A28" s="894"/>
      <c r="B28" s="2169" t="s">
        <v>650</v>
      </c>
      <c r="C28" s="2167"/>
      <c r="D28" s="2167"/>
      <c r="E28" s="2167"/>
      <c r="F28" s="2167"/>
      <c r="G28" s="2167"/>
      <c r="H28" s="2168"/>
    </row>
    <row r="29" spans="1:9">
      <c r="A29" s="894"/>
      <c r="B29" s="251"/>
      <c r="C29" s="951"/>
      <c r="D29" s="951"/>
      <c r="E29" s="952"/>
      <c r="F29" s="952"/>
      <c r="G29" s="953"/>
      <c r="H29" s="954"/>
    </row>
    <row r="30" spans="1:9">
      <c r="A30" s="894"/>
      <c r="B30" s="955" t="s">
        <v>633</v>
      </c>
      <c r="C30" s="951"/>
      <c r="D30" s="956" t="s">
        <v>91</v>
      </c>
      <c r="E30" s="952"/>
      <c r="F30" s="952"/>
      <c r="G30" s="953"/>
      <c r="H30" s="954"/>
    </row>
    <row r="31" spans="1:9">
      <c r="A31" s="894"/>
      <c r="B31" s="957"/>
      <c r="C31" s="951"/>
      <c r="D31" s="952"/>
      <c r="E31" s="952"/>
      <c r="F31" s="952"/>
      <c r="G31" s="953"/>
      <c r="H31" s="954"/>
    </row>
    <row r="32" spans="1:9">
      <c r="A32" s="894"/>
      <c r="B32" s="955" t="s">
        <v>8</v>
      </c>
      <c r="C32" s="951"/>
      <c r="D32" s="956" t="s">
        <v>688</v>
      </c>
      <c r="E32" s="952"/>
      <c r="F32" s="952"/>
      <c r="G32" s="953"/>
      <c r="H32" s="954"/>
    </row>
    <row r="33" spans="1:8">
      <c r="A33" s="894"/>
      <c r="B33" s="955" t="s">
        <v>9</v>
      </c>
      <c r="C33" s="951"/>
      <c r="D33" s="958">
        <v>15</v>
      </c>
      <c r="E33" s="952"/>
      <c r="F33" s="952"/>
      <c r="G33" s="953"/>
      <c r="H33" s="959" t="s">
        <v>6</v>
      </c>
    </row>
    <row r="34" spans="1:8">
      <c r="A34" s="894"/>
      <c r="B34" s="955" t="s">
        <v>10</v>
      </c>
      <c r="C34" s="952"/>
      <c r="D34" s="960">
        <v>0.05</v>
      </c>
      <c r="E34" s="952"/>
      <c r="F34" s="952"/>
      <c r="G34" s="953"/>
      <c r="H34" s="961">
        <f>+D47</f>
        <v>215</v>
      </c>
    </row>
    <row r="35" spans="1:8">
      <c r="A35" s="894"/>
      <c r="B35" s="962"/>
      <c r="C35" s="952"/>
      <c r="D35" s="952"/>
      <c r="E35" s="963"/>
      <c r="F35" s="952"/>
      <c r="G35" s="953"/>
      <c r="H35" s="961"/>
    </row>
    <row r="36" spans="1:8">
      <c r="A36" s="894"/>
      <c r="B36" s="964" t="s">
        <v>0</v>
      </c>
      <c r="C36" s="952"/>
      <c r="D36" s="952"/>
      <c r="E36" s="952"/>
      <c r="F36" s="952"/>
      <c r="G36" s="953"/>
      <c r="H36" s="961"/>
    </row>
    <row r="37" spans="1:8">
      <c r="A37" s="894"/>
      <c r="B37" s="965" t="s">
        <v>689</v>
      </c>
      <c r="C37" s="956"/>
      <c r="D37" s="956"/>
      <c r="E37" s="952"/>
      <c r="F37" s="952"/>
      <c r="G37" s="966"/>
      <c r="H37" s="961"/>
    </row>
    <row r="38" spans="1:8">
      <c r="A38" s="894"/>
      <c r="B38" s="967"/>
      <c r="C38" s="968"/>
      <c r="D38" s="969"/>
      <c r="E38" s="952"/>
      <c r="F38" s="952"/>
      <c r="G38" s="966"/>
      <c r="H38" s="961"/>
    </row>
    <row r="39" spans="1:8">
      <c r="A39" s="894"/>
      <c r="B39" s="970" t="s">
        <v>688</v>
      </c>
      <c r="C39" s="968" t="s">
        <v>690</v>
      </c>
      <c r="D39" s="971" t="s">
        <v>691</v>
      </c>
      <c r="E39" s="952"/>
      <c r="F39" s="952"/>
      <c r="G39" s="966"/>
      <c r="H39" s="961"/>
    </row>
    <row r="40" spans="1:8">
      <c r="A40" s="894"/>
      <c r="B40" s="972" t="s">
        <v>692</v>
      </c>
      <c r="C40" s="968">
        <v>1458</v>
      </c>
      <c r="D40" s="973">
        <f t="shared" ref="D40:D46" si="1">+C40/B40</f>
        <v>291.60000000000002</v>
      </c>
      <c r="E40" s="952"/>
      <c r="F40" s="952"/>
      <c r="G40" s="966"/>
      <c r="H40" s="961"/>
    </row>
    <row r="41" spans="1:8">
      <c r="A41" s="894"/>
      <c r="B41" s="972" t="s">
        <v>693</v>
      </c>
      <c r="C41" s="968" t="s">
        <v>694</v>
      </c>
      <c r="D41" s="973">
        <f t="shared" si="1"/>
        <v>247.73333333333332</v>
      </c>
      <c r="E41" s="952"/>
      <c r="F41" s="952"/>
      <c r="G41" s="966"/>
      <c r="H41" s="961"/>
    </row>
    <row r="42" spans="1:8">
      <c r="A42" s="894"/>
      <c r="B42" s="972" t="s">
        <v>695</v>
      </c>
      <c r="C42" s="968" t="s">
        <v>696</v>
      </c>
      <c r="D42" s="973">
        <f t="shared" si="1"/>
        <v>283.8</v>
      </c>
      <c r="E42" s="952"/>
      <c r="F42" s="952"/>
      <c r="G42" s="966"/>
      <c r="H42" s="961"/>
    </row>
    <row r="43" spans="1:8">
      <c r="A43" s="894"/>
      <c r="B43" s="972" t="s">
        <v>697</v>
      </c>
      <c r="C43" s="968" t="s">
        <v>698</v>
      </c>
      <c r="D43" s="973">
        <f t="shared" si="1"/>
        <v>232.33333333333334</v>
      </c>
      <c r="E43" s="952"/>
      <c r="F43" s="952"/>
      <c r="G43" s="966"/>
      <c r="H43" s="961"/>
    </row>
    <row r="44" spans="1:8">
      <c r="A44" s="894"/>
      <c r="B44" s="972" t="s">
        <v>699</v>
      </c>
      <c r="C44" s="968" t="s">
        <v>700</v>
      </c>
      <c r="D44" s="973">
        <f t="shared" si="1"/>
        <v>172.1</v>
      </c>
      <c r="E44" s="952"/>
      <c r="F44" s="952"/>
      <c r="G44" s="966"/>
      <c r="H44" s="961"/>
    </row>
    <row r="45" spans="1:8">
      <c r="A45" s="894"/>
      <c r="B45" s="972" t="s">
        <v>701</v>
      </c>
      <c r="C45" s="968" t="s">
        <v>702</v>
      </c>
      <c r="D45" s="973">
        <f t="shared" si="1"/>
        <v>149.88</v>
      </c>
      <c r="E45" s="952"/>
      <c r="F45" s="952"/>
      <c r="G45" s="966"/>
      <c r="H45" s="961"/>
    </row>
    <row r="46" spans="1:8">
      <c r="A46" s="894"/>
      <c r="B46" s="972" t="s">
        <v>703</v>
      </c>
      <c r="C46" s="968" t="s">
        <v>704</v>
      </c>
      <c r="D46" s="974">
        <f t="shared" si="1"/>
        <v>128.06666666666666</v>
      </c>
      <c r="E46" s="952"/>
      <c r="F46" s="952"/>
      <c r="G46" s="966"/>
      <c r="H46" s="961"/>
    </row>
    <row r="47" spans="1:8">
      <c r="A47" s="894"/>
      <c r="B47" s="975" t="s">
        <v>705</v>
      </c>
      <c r="C47" s="969"/>
      <c r="D47" s="973">
        <f>ROUND(SUM(D40:D46)/COUNT(D40:D46),0)</f>
        <v>215</v>
      </c>
      <c r="E47" s="952"/>
      <c r="F47" s="952"/>
      <c r="G47" s="966"/>
      <c r="H47" s="961"/>
    </row>
    <row r="48" spans="1:8">
      <c r="A48" s="894"/>
      <c r="B48" s="970"/>
      <c r="C48" s="969"/>
      <c r="D48" s="969"/>
      <c r="E48" s="952"/>
      <c r="F48" s="952"/>
      <c r="G48" s="966"/>
      <c r="H48" s="961"/>
    </row>
    <row r="49" spans="1:9">
      <c r="A49" s="894"/>
      <c r="B49" s="976"/>
      <c r="C49" s="952"/>
      <c r="D49" s="977"/>
      <c r="E49" s="952"/>
      <c r="F49" s="952"/>
      <c r="G49" s="966"/>
      <c r="H49" s="961"/>
    </row>
    <row r="50" spans="1:9" s="893" customFormat="1">
      <c r="A50" s="894"/>
      <c r="B50" s="964" t="s">
        <v>2</v>
      </c>
      <c r="C50" s="978"/>
      <c r="D50" s="952" t="s">
        <v>627</v>
      </c>
      <c r="E50" s="952"/>
      <c r="F50" s="952"/>
      <c r="G50" s="953"/>
      <c r="H50" s="979">
        <v>0</v>
      </c>
      <c r="I50" s="892"/>
    </row>
    <row r="51" spans="1:9" s="893" customFormat="1">
      <c r="A51" s="894"/>
      <c r="B51" s="980" t="s">
        <v>706</v>
      </c>
      <c r="C51" s="952"/>
      <c r="D51" s="952"/>
      <c r="E51" s="952"/>
      <c r="F51" s="952"/>
      <c r="G51" s="953"/>
      <c r="H51" s="954"/>
      <c r="I51" s="892"/>
    </row>
    <row r="52" spans="1:9" s="893" customFormat="1">
      <c r="A52" s="894"/>
      <c r="B52" s="980"/>
      <c r="C52" s="952"/>
      <c r="D52" s="952"/>
      <c r="E52" s="952"/>
      <c r="F52" s="952"/>
      <c r="G52" s="953"/>
      <c r="H52" s="954"/>
      <c r="I52" s="892"/>
    </row>
    <row r="53" spans="1:9" s="893" customFormat="1">
      <c r="A53" s="894"/>
      <c r="B53" s="964" t="s">
        <v>3</v>
      </c>
      <c r="C53" s="952"/>
      <c r="D53" s="952"/>
      <c r="E53" s="952"/>
      <c r="F53" s="952"/>
      <c r="G53" s="953"/>
      <c r="H53" s="979">
        <v>0</v>
      </c>
      <c r="I53" s="892"/>
    </row>
    <row r="54" spans="1:9" s="893" customFormat="1">
      <c r="A54" s="894"/>
      <c r="B54" s="980" t="s">
        <v>707</v>
      </c>
      <c r="C54" s="952"/>
      <c r="D54" s="952"/>
      <c r="E54" s="952"/>
      <c r="F54" s="952"/>
      <c r="G54" s="953"/>
      <c r="H54" s="954"/>
      <c r="I54" s="892"/>
    </row>
    <row r="55" spans="1:9" s="893" customFormat="1">
      <c r="A55" s="894"/>
      <c r="B55" s="980"/>
      <c r="C55" s="952"/>
      <c r="D55" s="952"/>
      <c r="E55" s="952"/>
      <c r="F55" s="952"/>
      <c r="G55" s="953"/>
      <c r="H55" s="954"/>
      <c r="I55" s="892"/>
    </row>
    <row r="56" spans="1:9" s="893" customFormat="1">
      <c r="A56" s="894"/>
      <c r="B56" s="964" t="s">
        <v>4</v>
      </c>
      <c r="C56" s="952"/>
      <c r="D56" s="952"/>
      <c r="E56" s="952"/>
      <c r="F56" s="952"/>
      <c r="G56" s="953"/>
      <c r="H56" s="981">
        <v>0</v>
      </c>
      <c r="I56" s="892"/>
    </row>
    <row r="57" spans="1:9" s="893" customFormat="1">
      <c r="A57" s="894"/>
      <c r="B57" s="980" t="s">
        <v>103</v>
      </c>
      <c r="C57" s="952"/>
      <c r="D57" s="952"/>
      <c r="E57" s="952"/>
      <c r="F57" s="952"/>
      <c r="G57" s="953"/>
      <c r="H57" s="954"/>
      <c r="I57" s="892"/>
    </row>
    <row r="58" spans="1:9" s="893" customFormat="1">
      <c r="A58" s="894"/>
      <c r="B58" s="980"/>
      <c r="C58" s="952"/>
      <c r="D58" s="952"/>
      <c r="E58" s="952"/>
      <c r="F58" s="952"/>
      <c r="G58" s="953"/>
      <c r="H58" s="954"/>
      <c r="I58" s="892"/>
    </row>
    <row r="59" spans="1:9" s="893" customFormat="1">
      <c r="A59" s="894"/>
      <c r="B59" s="964" t="s">
        <v>468</v>
      </c>
      <c r="C59" s="952"/>
      <c r="D59" s="952"/>
      <c r="E59" s="952"/>
      <c r="F59" s="952"/>
      <c r="G59" s="953"/>
      <c r="H59" s="981">
        <v>0</v>
      </c>
      <c r="I59" s="892"/>
    </row>
    <row r="60" spans="1:9" s="893" customFormat="1">
      <c r="A60" s="894"/>
      <c r="B60" s="980" t="s">
        <v>103</v>
      </c>
      <c r="C60" s="952"/>
      <c r="D60" s="977"/>
      <c r="E60" s="952"/>
      <c r="F60" s="952"/>
      <c r="G60" s="953"/>
      <c r="H60" s="954"/>
      <c r="I60" s="892"/>
    </row>
    <row r="61" spans="1:9" s="893" customFormat="1">
      <c r="A61" s="894"/>
      <c r="B61" s="980"/>
      <c r="C61" s="952"/>
      <c r="D61" s="952"/>
      <c r="E61" s="952"/>
      <c r="F61" s="952"/>
      <c r="G61" s="953"/>
      <c r="H61" s="954"/>
      <c r="I61" s="892"/>
    </row>
    <row r="62" spans="1:9" s="893" customFormat="1">
      <c r="A62" s="894"/>
      <c r="B62" s="964" t="s">
        <v>7</v>
      </c>
      <c r="C62" s="952"/>
      <c r="D62" s="952"/>
      <c r="E62" s="952"/>
      <c r="F62" s="952"/>
      <c r="G62" s="953"/>
      <c r="H62" s="979">
        <v>0</v>
      </c>
      <c r="I62" s="892"/>
    </row>
    <row r="63" spans="1:9" s="893" customFormat="1">
      <c r="A63" s="894"/>
      <c r="B63" s="980" t="s">
        <v>671</v>
      </c>
      <c r="C63" s="952"/>
      <c r="D63" s="952"/>
      <c r="E63" s="952"/>
      <c r="F63" s="952"/>
      <c r="G63" s="953"/>
      <c r="H63" s="954"/>
      <c r="I63" s="892"/>
    </row>
    <row r="64" spans="1:9" s="893" customFormat="1">
      <c r="A64" s="894"/>
      <c r="B64" s="980"/>
      <c r="C64" s="952"/>
      <c r="D64" s="952"/>
      <c r="E64" s="952"/>
      <c r="F64" s="952"/>
      <c r="G64" s="953"/>
      <c r="H64" s="954"/>
      <c r="I64" s="892"/>
    </row>
    <row r="65" spans="1:9" s="893" customFormat="1">
      <c r="A65" s="894"/>
      <c r="B65" s="964" t="s">
        <v>471</v>
      </c>
      <c r="C65" s="952"/>
      <c r="D65" s="952"/>
      <c r="E65" s="952"/>
      <c r="F65" s="952"/>
      <c r="G65" s="953"/>
      <c r="H65" s="979">
        <v>0</v>
      </c>
      <c r="I65" s="892"/>
    </row>
    <row r="66" spans="1:9" s="893" customFormat="1">
      <c r="A66" s="894"/>
      <c r="B66" s="980" t="s">
        <v>672</v>
      </c>
      <c r="C66" s="952"/>
      <c r="D66" s="952"/>
      <c r="E66" s="952"/>
      <c r="F66" s="952"/>
      <c r="G66" s="953"/>
      <c r="H66" s="961"/>
      <c r="I66" s="892"/>
    </row>
    <row r="67" spans="1:9" s="893" customFormat="1">
      <c r="A67" s="894"/>
      <c r="B67" s="957"/>
      <c r="C67" s="952"/>
      <c r="D67" s="952"/>
      <c r="E67" s="952"/>
      <c r="F67" s="952"/>
      <c r="G67" s="953"/>
      <c r="H67" s="954"/>
      <c r="I67" s="892"/>
    </row>
    <row r="68" spans="1:9" s="893" customFormat="1">
      <c r="A68" s="894"/>
      <c r="B68" s="964" t="s">
        <v>5</v>
      </c>
      <c r="C68" s="952"/>
      <c r="D68" s="952"/>
      <c r="E68" s="952"/>
      <c r="F68" s="952"/>
      <c r="G68" s="953"/>
      <c r="H68" s="979">
        <v>0</v>
      </c>
      <c r="I68" s="892"/>
    </row>
    <row r="69" spans="1:9" s="893" customFormat="1">
      <c r="A69" s="894"/>
      <c r="B69" s="980" t="s">
        <v>672</v>
      </c>
      <c r="C69" s="952"/>
      <c r="D69" s="952"/>
      <c r="E69" s="952"/>
      <c r="F69" s="952"/>
      <c r="G69" s="953"/>
      <c r="H69" s="961"/>
      <c r="I69" s="892"/>
    </row>
    <row r="70" spans="1:9" s="893" customFormat="1">
      <c r="A70" s="894"/>
      <c r="B70" s="980"/>
      <c r="C70" s="952"/>
      <c r="D70" s="952"/>
      <c r="E70" s="952"/>
      <c r="F70" s="952"/>
      <c r="G70" s="953"/>
      <c r="H70" s="961"/>
      <c r="I70" s="892"/>
    </row>
    <row r="71" spans="1:9" s="893" customFormat="1">
      <c r="A71" s="894"/>
      <c r="B71" s="964" t="s">
        <v>20</v>
      </c>
      <c r="C71" s="952"/>
      <c r="D71" s="952"/>
      <c r="E71" s="952"/>
      <c r="F71" s="952"/>
      <c r="G71" s="953"/>
      <c r="H71" s="979">
        <v>0</v>
      </c>
      <c r="I71" s="892"/>
    </row>
    <row r="72" spans="1:9" s="893" customFormat="1">
      <c r="A72" s="894"/>
      <c r="B72" s="980" t="s">
        <v>672</v>
      </c>
      <c r="C72" s="952"/>
      <c r="D72" s="952"/>
      <c r="E72" s="952"/>
      <c r="F72" s="952"/>
      <c r="G72" s="953"/>
      <c r="H72" s="954"/>
      <c r="I72" s="892"/>
    </row>
    <row r="73" spans="1:9" s="893" customFormat="1">
      <c r="A73" s="894"/>
      <c r="B73" s="962"/>
      <c r="C73" s="952"/>
      <c r="D73" s="952"/>
      <c r="E73" s="952"/>
      <c r="F73" s="952"/>
      <c r="G73" s="953"/>
      <c r="H73" s="954"/>
      <c r="I73" s="892"/>
    </row>
    <row r="74" spans="1:9" s="893" customFormat="1">
      <c r="A74" s="894"/>
      <c r="B74" s="982" t="s">
        <v>11</v>
      </c>
      <c r="C74" s="952"/>
      <c r="D74" s="952"/>
      <c r="E74" s="952"/>
      <c r="F74" s="952"/>
      <c r="G74" s="953"/>
      <c r="H74" s="961">
        <f>+H71+H68+H65+H62+H59+H56+H53+H50+H34</f>
        <v>215</v>
      </c>
      <c r="I74" s="892"/>
    </row>
    <row r="75" spans="1:9" s="893" customFormat="1">
      <c r="A75" s="894"/>
      <c r="B75" s="983"/>
      <c r="C75" s="984"/>
      <c r="D75" s="984"/>
      <c r="E75" s="984"/>
      <c r="F75" s="984"/>
      <c r="G75" s="985"/>
      <c r="H75" s="986"/>
      <c r="I75" s="892"/>
    </row>
    <row r="76" spans="1:9" s="893" customFormat="1">
      <c r="A76" s="894"/>
      <c r="B76" s="892"/>
      <c r="C76" s="987"/>
      <c r="D76" s="892"/>
      <c r="E76" s="892"/>
      <c r="F76" s="892"/>
      <c r="G76" s="890"/>
      <c r="H76" s="890"/>
      <c r="I76" s="892"/>
    </row>
  </sheetData>
  <mergeCells count="2">
    <mergeCell ref="B27:H27"/>
    <mergeCell ref="B28:H28"/>
  </mergeCells>
  <conditionalFormatting sqref="A1:A1048576">
    <cfRule type="notContainsBlanks" dxfId="1" priority="1">
      <formula>LEN(TRIM(A1))&gt;0</formula>
    </cfRule>
  </conditionalFormatting>
  <pageMargins left="0.5" right="0.5" top="0.5" bottom="0.75" header="0.5" footer="0.25"/>
  <pageSetup scale="90" orientation="landscape" r:id="rId1"/>
  <headerFooter alignWithMargins="0">
    <oddFooter>&amp;L&amp;"Garamond,Regular"&amp;10&amp;F
&amp;A
&amp;D (printed)&amp;R&amp;"Garamond,Regular"&amp;11&amp;P/&amp;N</oddFooter>
  </headerFooter>
  <rowBreaks count="1" manualBreakCount="1">
    <brk id="34" max="8" man="1"/>
  </rowBreaks>
</worksheet>
</file>

<file path=xl/worksheets/sheet105.xml><?xml version="1.0" encoding="utf-8"?>
<worksheet xmlns="http://schemas.openxmlformats.org/spreadsheetml/2006/main" xmlns:r="http://schemas.openxmlformats.org/officeDocument/2006/relationships">
  <dimension ref="A1:K64"/>
  <sheetViews>
    <sheetView zoomScale="60" zoomScaleNormal="60" workbookViewId="0">
      <selection activeCell="J28" sqref="J28"/>
    </sheetView>
  </sheetViews>
  <sheetFormatPr defaultRowHeight="20.25"/>
  <cols>
    <col min="1" max="1" width="2.85546875" style="991" customWidth="1"/>
    <col min="2" max="2" width="16.28515625" style="991" customWidth="1"/>
    <col min="3" max="3" width="25.5703125" style="991" customWidth="1"/>
    <col min="4" max="4" width="47" style="991" bestFit="1" customWidth="1"/>
    <col min="5" max="5" width="27.5703125" style="991" bestFit="1" customWidth="1"/>
    <col min="6" max="6" width="19.140625" style="991" customWidth="1"/>
    <col min="7" max="7" width="19.140625" style="991" bestFit="1" customWidth="1"/>
    <col min="8" max="8" width="14.85546875" style="991" bestFit="1" customWidth="1"/>
    <col min="9" max="9" width="19.42578125" style="991" bestFit="1" customWidth="1"/>
    <col min="10" max="11" width="14.85546875" style="991" bestFit="1" customWidth="1"/>
    <col min="12" max="16384" width="9.140625" style="991"/>
  </cols>
  <sheetData>
    <row r="1" spans="1:11" s="989" customFormat="1" ht="24.75" customHeight="1">
      <c r="A1" s="988"/>
      <c r="B1" s="760" t="s">
        <v>644</v>
      </c>
      <c r="C1" s="760">
        <f>+B6</f>
        <v>374</v>
      </c>
      <c r="D1" s="761" t="str">
        <f>+D6</f>
        <v>Farmstead Energy Improvement</v>
      </c>
      <c r="E1" s="760" t="str">
        <f>+E6</f>
        <v>Lighting, LED/CFL</v>
      </c>
      <c r="F1" s="761"/>
      <c r="G1" s="761"/>
      <c r="H1" s="761"/>
    </row>
    <row r="2" spans="1:11" s="989" customFormat="1" ht="21.75" customHeight="1">
      <c r="A2" s="988"/>
      <c r="B2" s="760"/>
      <c r="C2" s="760"/>
      <c r="D2" s="760"/>
      <c r="E2" s="990"/>
      <c r="F2" s="761"/>
      <c r="G2" s="761"/>
      <c r="H2" s="761"/>
    </row>
    <row r="3" spans="1:11">
      <c r="B3" s="992" t="s">
        <v>17</v>
      </c>
      <c r="C3" s="993"/>
      <c r="D3" s="993"/>
    </row>
    <row r="4" spans="1:11">
      <c r="B4" s="994" t="s">
        <v>1</v>
      </c>
      <c r="C4" s="995" t="s">
        <v>21</v>
      </c>
      <c r="D4" s="995"/>
      <c r="E4" s="995"/>
      <c r="F4" s="996"/>
      <c r="G4" s="997" t="s">
        <v>12</v>
      </c>
      <c r="H4" s="998"/>
      <c r="I4" s="998" t="s">
        <v>621</v>
      </c>
      <c r="J4" s="998"/>
    </row>
    <row r="5" spans="1:11">
      <c r="B5" s="999" t="s">
        <v>13</v>
      </c>
      <c r="C5" s="1000" t="s">
        <v>22</v>
      </c>
      <c r="D5" s="1000" t="s">
        <v>497</v>
      </c>
      <c r="E5" s="1000" t="s">
        <v>708</v>
      </c>
      <c r="F5" s="1001" t="s">
        <v>23</v>
      </c>
      <c r="G5" s="1002" t="s">
        <v>14</v>
      </c>
      <c r="H5" s="1003"/>
      <c r="I5" s="1003" t="s">
        <v>622</v>
      </c>
      <c r="J5" s="1003"/>
    </row>
    <row r="6" spans="1:11">
      <c r="B6" s="1004">
        <v>374</v>
      </c>
      <c r="C6" s="1005" t="str">
        <f>E11</f>
        <v>EQIP</v>
      </c>
      <c r="D6" s="1006" t="s">
        <v>645</v>
      </c>
      <c r="E6" s="1007" t="s">
        <v>709</v>
      </c>
      <c r="F6" s="1008" t="str">
        <f>D33</f>
        <v>Each</v>
      </c>
      <c r="G6" s="1009">
        <f>+H24</f>
        <v>25.5</v>
      </c>
      <c r="H6" s="760"/>
      <c r="I6" s="760" t="s">
        <v>91</v>
      </c>
      <c r="J6" s="760"/>
    </row>
    <row r="7" spans="1:11">
      <c r="B7" s="1010">
        <f t="shared" ref="B7:B8" si="0">B6</f>
        <v>374</v>
      </c>
      <c r="C7" s="1005" t="str">
        <f>+F11</f>
        <v>EQIP-LRF</v>
      </c>
      <c r="D7" s="1005" t="str">
        <f t="shared" ref="D7:E8" si="1">D$6</f>
        <v>Farmstead Energy Improvement</v>
      </c>
      <c r="E7" s="1005" t="str">
        <f t="shared" si="1"/>
        <v>Lighting, LED/CFL</v>
      </c>
      <c r="F7" s="1008" t="str">
        <f>D33</f>
        <v>Each</v>
      </c>
      <c r="G7" s="1009">
        <f>I24</f>
        <v>30.6</v>
      </c>
      <c r="H7" s="760"/>
      <c r="J7" s="760"/>
    </row>
    <row r="8" spans="1:11">
      <c r="B8" s="1011">
        <f t="shared" si="0"/>
        <v>374</v>
      </c>
      <c r="C8" s="1012" t="str">
        <f>G11</f>
        <v>EQIP-HU</v>
      </c>
      <c r="D8" s="1012" t="str">
        <f t="shared" si="1"/>
        <v>Farmstead Energy Improvement</v>
      </c>
      <c r="E8" s="1012" t="str">
        <f t="shared" si="1"/>
        <v>Lighting, LED/CFL</v>
      </c>
      <c r="F8" s="1013" t="str">
        <f>D33</f>
        <v>Each</v>
      </c>
      <c r="G8" s="1014">
        <f>J24</f>
        <v>30.6</v>
      </c>
      <c r="H8" s="760"/>
      <c r="J8" s="760"/>
      <c r="K8" s="1015"/>
    </row>
    <row r="9" spans="1:11">
      <c r="B9" s="1016"/>
      <c r="C9" s="1017"/>
      <c r="D9" s="1018"/>
      <c r="E9" s="1019"/>
      <c r="F9" s="1020"/>
      <c r="G9" s="1021"/>
      <c r="H9" s="760"/>
      <c r="J9" s="760"/>
      <c r="K9" s="1015"/>
    </row>
    <row r="10" spans="1:11">
      <c r="B10" s="992" t="s">
        <v>18</v>
      </c>
      <c r="C10" s="1022"/>
    </row>
    <row r="11" spans="1:11">
      <c r="B11" s="1023"/>
      <c r="C11" s="1024"/>
      <c r="D11" s="1025"/>
      <c r="E11" s="1026" t="s">
        <v>15</v>
      </c>
      <c r="F11" s="1026" t="s">
        <v>710</v>
      </c>
      <c r="G11" s="1026" t="s">
        <v>31</v>
      </c>
      <c r="H11" s="1026"/>
      <c r="I11" s="1026"/>
      <c r="J11" s="1027"/>
      <c r="K11" s="1028"/>
    </row>
    <row r="12" spans="1:11">
      <c r="B12" s="1029"/>
      <c r="C12" s="1030"/>
      <c r="D12" s="1030"/>
      <c r="E12" s="1031" t="s">
        <v>22</v>
      </c>
      <c r="F12" s="1031" t="s">
        <v>22</v>
      </c>
      <c r="G12" s="1031" t="s">
        <v>22</v>
      </c>
      <c r="H12" s="1031" t="str">
        <f>+E11</f>
        <v>EQIP</v>
      </c>
      <c r="I12" s="1031" t="str">
        <f>+F11</f>
        <v>EQIP-LRF</v>
      </c>
      <c r="J12" s="1032" t="str">
        <f>+G11</f>
        <v>EQIP-HU</v>
      </c>
      <c r="K12" s="1028"/>
    </row>
    <row r="13" spans="1:11">
      <c r="B13" s="1029"/>
      <c r="C13" s="1030"/>
      <c r="D13" s="1030"/>
      <c r="E13" s="1031" t="s">
        <v>12</v>
      </c>
      <c r="F13" s="1031" t="s">
        <v>12</v>
      </c>
      <c r="G13" s="1031" t="s">
        <v>12</v>
      </c>
      <c r="H13" s="1031" t="s">
        <v>12</v>
      </c>
      <c r="I13" s="1031" t="s">
        <v>12</v>
      </c>
      <c r="J13" s="1032" t="s">
        <v>12</v>
      </c>
      <c r="K13" s="1028"/>
    </row>
    <row r="14" spans="1:11">
      <c r="B14" s="1033" t="s">
        <v>16</v>
      </c>
      <c r="C14" s="1030"/>
      <c r="D14" s="1034" t="s">
        <v>6</v>
      </c>
      <c r="E14" s="1035" t="s">
        <v>24</v>
      </c>
      <c r="F14" s="1035" t="s">
        <v>24</v>
      </c>
      <c r="G14" s="1035" t="s">
        <v>24</v>
      </c>
      <c r="H14" s="1035" t="s">
        <v>14</v>
      </c>
      <c r="I14" s="1035" t="s">
        <v>14</v>
      </c>
      <c r="J14" s="1036" t="s">
        <v>14</v>
      </c>
      <c r="K14" s="1028"/>
    </row>
    <row r="15" spans="1:11">
      <c r="B15" s="1037" t="s">
        <v>0</v>
      </c>
      <c r="C15" s="1030"/>
      <c r="D15" s="1038">
        <f>K37</f>
        <v>34</v>
      </c>
      <c r="E15" s="807">
        <v>0.75</v>
      </c>
      <c r="F15" s="807">
        <v>0.9</v>
      </c>
      <c r="G15" s="807">
        <v>0.9</v>
      </c>
      <c r="H15" s="1039">
        <f t="shared" ref="H15:J23" si="2">+$D15*E15</f>
        <v>25.5</v>
      </c>
      <c r="I15" s="1039">
        <f t="shared" si="2"/>
        <v>30.6</v>
      </c>
      <c r="J15" s="1040">
        <f t="shared" si="2"/>
        <v>30.6</v>
      </c>
      <c r="K15" s="1028"/>
    </row>
    <row r="16" spans="1:11">
      <c r="B16" s="1037" t="s">
        <v>2</v>
      </c>
      <c r="C16" s="1030"/>
      <c r="D16" s="1038">
        <f>K40</f>
        <v>0</v>
      </c>
      <c r="E16" s="807">
        <v>0.75</v>
      </c>
      <c r="F16" s="807">
        <v>0.9</v>
      </c>
      <c r="G16" s="807">
        <v>0.9</v>
      </c>
      <c r="H16" s="1039">
        <f t="shared" si="2"/>
        <v>0</v>
      </c>
      <c r="I16" s="1039">
        <f t="shared" si="2"/>
        <v>0</v>
      </c>
      <c r="J16" s="1040">
        <f t="shared" si="2"/>
        <v>0</v>
      </c>
      <c r="K16" s="1028"/>
    </row>
    <row r="17" spans="2:11">
      <c r="B17" s="1037" t="s">
        <v>3</v>
      </c>
      <c r="C17" s="1030"/>
      <c r="D17" s="1038">
        <f>K43</f>
        <v>0</v>
      </c>
      <c r="E17" s="807">
        <v>0.75</v>
      </c>
      <c r="F17" s="807">
        <v>0.9</v>
      </c>
      <c r="G17" s="807">
        <v>0.9</v>
      </c>
      <c r="H17" s="1039">
        <f t="shared" si="2"/>
        <v>0</v>
      </c>
      <c r="I17" s="1039">
        <f t="shared" si="2"/>
        <v>0</v>
      </c>
      <c r="J17" s="1040">
        <f t="shared" si="2"/>
        <v>0</v>
      </c>
      <c r="K17" s="1028"/>
    </row>
    <row r="18" spans="2:11">
      <c r="B18" s="1037" t="s">
        <v>4</v>
      </c>
      <c r="C18" s="1030"/>
      <c r="D18" s="1038">
        <f>K46</f>
        <v>0</v>
      </c>
      <c r="E18" s="807">
        <v>0.75</v>
      </c>
      <c r="F18" s="807">
        <v>0.9</v>
      </c>
      <c r="G18" s="807">
        <v>0.9</v>
      </c>
      <c r="H18" s="1039">
        <f t="shared" si="2"/>
        <v>0</v>
      </c>
      <c r="I18" s="1039">
        <f t="shared" si="2"/>
        <v>0</v>
      </c>
      <c r="J18" s="1040">
        <f t="shared" si="2"/>
        <v>0</v>
      </c>
      <c r="K18" s="1028"/>
    </row>
    <row r="19" spans="2:11">
      <c r="B19" s="1037" t="s">
        <v>26</v>
      </c>
      <c r="C19" s="1030"/>
      <c r="D19" s="1038">
        <f>K49</f>
        <v>0</v>
      </c>
      <c r="E19" s="807">
        <v>0</v>
      </c>
      <c r="F19" s="807">
        <v>0</v>
      </c>
      <c r="G19" s="807">
        <v>0</v>
      </c>
      <c r="H19" s="1039">
        <f t="shared" si="2"/>
        <v>0</v>
      </c>
      <c r="I19" s="1039">
        <f t="shared" si="2"/>
        <v>0</v>
      </c>
      <c r="J19" s="1040">
        <f t="shared" si="2"/>
        <v>0</v>
      </c>
      <c r="K19" s="1028"/>
    </row>
    <row r="20" spans="2:11">
      <c r="B20" s="1037" t="s">
        <v>7</v>
      </c>
      <c r="C20" s="1030"/>
      <c r="D20" s="1038">
        <f>K52</f>
        <v>0</v>
      </c>
      <c r="E20" s="807">
        <v>0.75</v>
      </c>
      <c r="F20" s="807">
        <v>0.9</v>
      </c>
      <c r="G20" s="807">
        <v>0.9</v>
      </c>
      <c r="H20" s="1039">
        <f t="shared" si="2"/>
        <v>0</v>
      </c>
      <c r="I20" s="1039">
        <f t="shared" si="2"/>
        <v>0</v>
      </c>
      <c r="J20" s="1040">
        <f t="shared" si="2"/>
        <v>0</v>
      </c>
      <c r="K20" s="1028"/>
    </row>
    <row r="21" spans="2:11">
      <c r="B21" s="1037" t="s">
        <v>27</v>
      </c>
      <c r="C21" s="1030"/>
      <c r="D21" s="1038">
        <f>K55</f>
        <v>0</v>
      </c>
      <c r="E21" s="807">
        <v>1</v>
      </c>
      <c r="F21" s="807">
        <v>1</v>
      </c>
      <c r="G21" s="807">
        <v>1</v>
      </c>
      <c r="H21" s="1039">
        <f t="shared" si="2"/>
        <v>0</v>
      </c>
      <c r="I21" s="1039">
        <f t="shared" si="2"/>
        <v>0</v>
      </c>
      <c r="J21" s="1040">
        <f t="shared" si="2"/>
        <v>0</v>
      </c>
      <c r="K21" s="1028"/>
    </row>
    <row r="22" spans="2:11">
      <c r="B22" s="1037" t="s">
        <v>5</v>
      </c>
      <c r="C22" s="1030"/>
      <c r="D22" s="1038">
        <f>K58</f>
        <v>0</v>
      </c>
      <c r="E22" s="807">
        <v>0</v>
      </c>
      <c r="F22" s="807">
        <v>0</v>
      </c>
      <c r="G22" s="807">
        <v>0</v>
      </c>
      <c r="H22" s="1039">
        <f t="shared" si="2"/>
        <v>0</v>
      </c>
      <c r="I22" s="1039">
        <f t="shared" si="2"/>
        <v>0</v>
      </c>
      <c r="J22" s="1040">
        <f t="shared" si="2"/>
        <v>0</v>
      </c>
      <c r="K22" s="1028"/>
    </row>
    <row r="23" spans="2:11">
      <c r="B23" s="1037" t="s">
        <v>20</v>
      </c>
      <c r="C23" s="1030"/>
      <c r="D23" s="1041">
        <f>K61</f>
        <v>0</v>
      </c>
      <c r="E23" s="807">
        <v>0</v>
      </c>
      <c r="F23" s="807">
        <v>0</v>
      </c>
      <c r="G23" s="807">
        <v>0</v>
      </c>
      <c r="H23" s="1042">
        <f t="shared" si="2"/>
        <v>0</v>
      </c>
      <c r="I23" s="1042">
        <f t="shared" si="2"/>
        <v>0</v>
      </c>
      <c r="J23" s="1043">
        <f t="shared" si="2"/>
        <v>0</v>
      </c>
      <c r="K23" s="1028"/>
    </row>
    <row r="24" spans="2:11" ht="18.75" customHeight="1">
      <c r="B24" s="1044" t="s">
        <v>19</v>
      </c>
      <c r="C24" s="1045"/>
      <c r="D24" s="1046">
        <f>SUM(D15:D23)</f>
        <v>34</v>
      </c>
      <c r="E24" s="1047"/>
      <c r="F24" s="1047"/>
      <c r="G24" s="1047"/>
      <c r="H24" s="1048">
        <f>SUM(H15:H23)</f>
        <v>25.5</v>
      </c>
      <c r="I24" s="1048">
        <f>SUM(I15:I23)</f>
        <v>30.6</v>
      </c>
      <c r="J24" s="1049">
        <f>SUM(J15:J23)</f>
        <v>30.6</v>
      </c>
      <c r="K24" s="1028"/>
    </row>
    <row r="26" spans="2:11" ht="20.25" customHeight="1">
      <c r="B26" s="1050" t="s">
        <v>28</v>
      </c>
    </row>
    <row r="27" spans="2:11" ht="22.5" customHeight="1">
      <c r="B27" s="1051" t="s">
        <v>89</v>
      </c>
      <c r="C27" s="1052"/>
      <c r="D27" s="1052"/>
      <c r="E27" s="1053"/>
      <c r="F27" s="1053"/>
      <c r="G27" s="1053"/>
      <c r="H27" s="1053"/>
      <c r="I27" s="1053"/>
      <c r="J27" s="1053"/>
      <c r="K27" s="1054"/>
    </row>
    <row r="28" spans="2:11" ht="206.25" customHeight="1">
      <c r="B28" s="2170" t="s">
        <v>711</v>
      </c>
      <c r="C28" s="2171"/>
      <c r="D28" s="2171"/>
      <c r="E28" s="2171"/>
      <c r="F28" s="2171"/>
      <c r="G28" s="2171"/>
      <c r="H28" s="2171"/>
      <c r="I28" s="2171"/>
      <c r="J28" s="2171"/>
      <c r="K28" s="2172"/>
    </row>
    <row r="29" spans="2:11">
      <c r="B29" s="822" t="s">
        <v>650</v>
      </c>
      <c r="C29" s="1055"/>
      <c r="D29" s="1055"/>
      <c r="E29" s="1055"/>
      <c r="F29" s="1055"/>
      <c r="G29" s="1055"/>
      <c r="H29" s="1056"/>
      <c r="I29" s="1056"/>
      <c r="J29" s="1056"/>
      <c r="K29" s="1057"/>
    </row>
    <row r="30" spans="2:11">
      <c r="B30" s="822"/>
      <c r="C30" s="1055"/>
      <c r="D30" s="1055"/>
      <c r="E30" s="1055"/>
      <c r="F30" s="1055"/>
      <c r="G30" s="1055"/>
      <c r="H30" s="1056"/>
      <c r="I30" s="1056"/>
      <c r="J30" s="1056"/>
      <c r="K30" s="1057"/>
    </row>
    <row r="31" spans="2:11">
      <c r="B31" s="1058" t="s">
        <v>25</v>
      </c>
      <c r="C31" s="1059"/>
      <c r="D31" s="1060" t="s">
        <v>91</v>
      </c>
      <c r="E31" s="1061"/>
      <c r="F31" s="1061"/>
      <c r="G31" s="1061"/>
      <c r="H31" s="1061"/>
      <c r="I31" s="1061"/>
      <c r="J31" s="1061"/>
      <c r="K31" s="1062"/>
    </row>
    <row r="32" spans="2:11">
      <c r="B32" s="822"/>
      <c r="C32" s="1059"/>
      <c r="D32" s="1061"/>
      <c r="E32" s="1061"/>
      <c r="F32" s="1061"/>
      <c r="G32" s="1061"/>
      <c r="H32" s="1061"/>
      <c r="I32" s="1061"/>
      <c r="J32" s="1061"/>
      <c r="K32" s="1062"/>
    </row>
    <row r="33" spans="2:11">
      <c r="B33" s="1058" t="s">
        <v>8</v>
      </c>
      <c r="C33" s="1059"/>
      <c r="D33" s="1060" t="s">
        <v>712</v>
      </c>
      <c r="E33" s="1061"/>
      <c r="F33" s="1061"/>
      <c r="G33" s="1061"/>
      <c r="H33" s="1061"/>
      <c r="I33" s="1061"/>
      <c r="J33" s="1061"/>
      <c r="K33" s="1062"/>
    </row>
    <row r="34" spans="2:11">
      <c r="B34" s="1058" t="s">
        <v>9</v>
      </c>
      <c r="C34" s="1059"/>
      <c r="D34" s="1063">
        <v>10</v>
      </c>
      <c r="E34" s="1061"/>
      <c r="F34" s="1061"/>
      <c r="G34" s="1061"/>
      <c r="H34" s="1061"/>
      <c r="I34" s="1061"/>
      <c r="J34" s="1061"/>
      <c r="K34" s="1062"/>
    </row>
    <row r="35" spans="2:11">
      <c r="B35" s="1058" t="s">
        <v>10</v>
      </c>
      <c r="C35" s="1061"/>
      <c r="D35" s="1064">
        <v>0.05</v>
      </c>
      <c r="E35" s="1065"/>
      <c r="F35" s="1065"/>
      <c r="G35" s="1061"/>
      <c r="H35" s="1061"/>
      <c r="I35" s="1061"/>
      <c r="J35" s="1061"/>
      <c r="K35" s="1066" t="s">
        <v>6</v>
      </c>
    </row>
    <row r="36" spans="2:11">
      <c r="B36" s="1067"/>
      <c r="C36" s="1061"/>
      <c r="D36" s="1061"/>
      <c r="E36" s="1068"/>
      <c r="F36" s="1068"/>
      <c r="G36" s="1061"/>
      <c r="H36" s="1061"/>
      <c r="I36" s="1061"/>
      <c r="J36" s="1061"/>
      <c r="K36" s="1069"/>
    </row>
    <row r="37" spans="2:11">
      <c r="B37" s="1070" t="s">
        <v>0</v>
      </c>
      <c r="C37" s="1061"/>
      <c r="D37" s="1061"/>
      <c r="E37" s="1061"/>
      <c r="F37" s="1061"/>
      <c r="G37" s="1061"/>
      <c r="H37" s="1061"/>
      <c r="I37" s="1061"/>
      <c r="J37" s="1061"/>
      <c r="K37" s="1071">
        <v>34</v>
      </c>
    </row>
    <row r="38" spans="2:11">
      <c r="B38" s="1072" t="s">
        <v>713</v>
      </c>
      <c r="C38" s="1073"/>
      <c r="D38" s="1074"/>
      <c r="E38" s="1065"/>
      <c r="F38" s="1065"/>
      <c r="G38" s="1061"/>
      <c r="H38" s="1061"/>
      <c r="I38" s="1061"/>
      <c r="J38" s="1061"/>
      <c r="K38" s="1075"/>
    </row>
    <row r="39" spans="2:11">
      <c r="B39" s="1076"/>
      <c r="C39" s="1060"/>
      <c r="D39" s="1077"/>
      <c r="E39" s="1078"/>
      <c r="F39" s="1078"/>
      <c r="G39" s="1061"/>
      <c r="H39" s="1061"/>
      <c r="I39" s="1061"/>
      <c r="J39" s="1061"/>
      <c r="K39" s="1075"/>
    </row>
    <row r="40" spans="2:11">
      <c r="B40" s="1070" t="s">
        <v>2</v>
      </c>
      <c r="C40" s="1061"/>
      <c r="D40" s="1079"/>
      <c r="E40" s="1080"/>
      <c r="F40" s="1080"/>
      <c r="G40" s="1061"/>
      <c r="H40" s="1061"/>
      <c r="I40" s="1061"/>
      <c r="J40" s="1061"/>
      <c r="K40" s="1081">
        <v>0</v>
      </c>
    </row>
    <row r="41" spans="2:11">
      <c r="B41" s="1082" t="s">
        <v>714</v>
      </c>
      <c r="C41" s="1061"/>
      <c r="D41" s="1079"/>
      <c r="E41" s="1083"/>
      <c r="F41" s="1080"/>
      <c r="G41" s="1061"/>
      <c r="H41" s="1061"/>
      <c r="I41" s="1061"/>
      <c r="J41" s="1061"/>
      <c r="K41" s="1071"/>
    </row>
    <row r="42" spans="2:11">
      <c r="B42" s="1076"/>
      <c r="C42" s="1060"/>
      <c r="D42" s="1079"/>
      <c r="E42" s="1083"/>
      <c r="F42" s="1080"/>
      <c r="G42" s="1061"/>
      <c r="H42" s="1061"/>
      <c r="I42" s="1061"/>
      <c r="J42" s="1061"/>
      <c r="K42" s="1062"/>
    </row>
    <row r="43" spans="2:11">
      <c r="B43" s="1070" t="s">
        <v>3</v>
      </c>
      <c r="C43" s="1061"/>
      <c r="D43" s="1061"/>
      <c r="E43" s="1061"/>
      <c r="F43" s="1061"/>
      <c r="G43" s="1061"/>
      <c r="H43" s="1061"/>
      <c r="I43" s="1061"/>
      <c r="J43" s="1061"/>
      <c r="K43" s="1081">
        <v>0</v>
      </c>
    </row>
    <row r="44" spans="2:11">
      <c r="B44" s="2173" t="s">
        <v>715</v>
      </c>
      <c r="C44" s="2174"/>
      <c r="D44" s="2174"/>
      <c r="E44" s="1061"/>
      <c r="F44" s="1061"/>
      <c r="G44" s="1061"/>
      <c r="H44" s="1061"/>
      <c r="I44" s="1061"/>
      <c r="J44" s="1061"/>
      <c r="K44" s="1071"/>
    </row>
    <row r="45" spans="2:11">
      <c r="B45" s="822"/>
      <c r="C45" s="1061"/>
      <c r="D45" s="1061"/>
      <c r="E45" s="1061"/>
      <c r="F45" s="1061"/>
      <c r="G45" s="1061"/>
      <c r="H45" s="1061"/>
      <c r="I45" s="1061"/>
      <c r="J45" s="1061"/>
      <c r="K45" s="1062"/>
    </row>
    <row r="46" spans="2:11">
      <c r="B46" s="1070" t="s">
        <v>4</v>
      </c>
      <c r="C46" s="1061"/>
      <c r="D46" s="1061"/>
      <c r="E46" s="1061"/>
      <c r="F46" s="1061"/>
      <c r="G46" s="1061"/>
      <c r="H46" s="1061"/>
      <c r="I46" s="1061"/>
      <c r="J46" s="1061"/>
      <c r="K46" s="1081">
        <v>0</v>
      </c>
    </row>
    <row r="47" spans="2:11">
      <c r="B47" s="1072" t="s">
        <v>716</v>
      </c>
      <c r="C47" s="1061"/>
      <c r="D47" s="1061"/>
      <c r="E47" s="1061"/>
      <c r="F47" s="1061"/>
      <c r="G47" s="1061"/>
      <c r="H47" s="1061"/>
      <c r="I47" s="1061"/>
      <c r="J47" s="1061"/>
      <c r="K47" s="1081"/>
    </row>
    <row r="48" spans="2:11">
      <c r="B48" s="822"/>
      <c r="C48" s="1061"/>
      <c r="D48" s="1061"/>
      <c r="E48" s="1061"/>
      <c r="F48" s="1061"/>
      <c r="G48" s="1061"/>
      <c r="H48" s="1061"/>
      <c r="I48" s="1061"/>
      <c r="J48" s="1061"/>
      <c r="K48" s="1062"/>
    </row>
    <row r="49" spans="2:11">
      <c r="B49" s="1070" t="s">
        <v>26</v>
      </c>
      <c r="C49" s="1061"/>
      <c r="D49" s="1061"/>
      <c r="E49" s="1061"/>
      <c r="F49" s="1061"/>
      <c r="G49" s="1061"/>
      <c r="H49" s="1061"/>
      <c r="I49" s="1061"/>
      <c r="J49" s="1061"/>
      <c r="K49" s="1081">
        <v>0</v>
      </c>
    </row>
    <row r="50" spans="2:11">
      <c r="B50" s="1072" t="s">
        <v>672</v>
      </c>
      <c r="C50" s="1061"/>
      <c r="D50" s="1061"/>
      <c r="E50" s="1061"/>
      <c r="F50" s="1061"/>
      <c r="G50" s="1061"/>
      <c r="H50" s="1061"/>
      <c r="I50" s="1061"/>
      <c r="J50" s="1061"/>
      <c r="K50" s="1081"/>
    </row>
    <row r="51" spans="2:11">
      <c r="B51" s="822"/>
      <c r="C51" s="1061"/>
      <c r="D51" s="1061"/>
      <c r="E51" s="1061"/>
      <c r="F51" s="1061"/>
      <c r="G51" s="1061"/>
      <c r="H51" s="1061"/>
      <c r="I51" s="1061"/>
      <c r="J51" s="1061"/>
      <c r="K51" s="1062"/>
    </row>
    <row r="52" spans="2:11">
      <c r="B52" s="1070" t="s">
        <v>7</v>
      </c>
      <c r="C52" s="1061"/>
      <c r="D52" s="1061"/>
      <c r="E52" s="1061"/>
      <c r="F52" s="1061"/>
      <c r="G52" s="1061"/>
      <c r="H52" s="1061"/>
      <c r="I52" s="1061"/>
      <c r="J52" s="1061"/>
      <c r="K52" s="1081">
        <v>0</v>
      </c>
    </row>
    <row r="53" spans="2:11">
      <c r="B53" s="889" t="s">
        <v>671</v>
      </c>
      <c r="C53" s="1061"/>
      <c r="D53" s="1061"/>
      <c r="E53" s="1061"/>
      <c r="F53" s="1061"/>
      <c r="G53" s="1061"/>
      <c r="H53" s="1061"/>
      <c r="I53" s="1061"/>
      <c r="J53" s="1061"/>
      <c r="K53" s="1081"/>
    </row>
    <row r="54" spans="2:11">
      <c r="B54" s="1072"/>
      <c r="C54" s="1061"/>
      <c r="D54" s="1061"/>
      <c r="E54" s="1061"/>
      <c r="F54" s="1061"/>
      <c r="G54" s="1061"/>
      <c r="H54" s="1061"/>
      <c r="I54" s="1061"/>
      <c r="J54" s="1061"/>
      <c r="K54" s="1062"/>
    </row>
    <row r="55" spans="2:11">
      <c r="B55" s="1070" t="s">
        <v>27</v>
      </c>
      <c r="C55" s="1061"/>
      <c r="D55" s="1061"/>
      <c r="E55" s="1061"/>
      <c r="F55" s="1061"/>
      <c r="G55" s="1061"/>
      <c r="H55" s="1061"/>
      <c r="I55" s="1061"/>
      <c r="J55" s="1061"/>
      <c r="K55" s="1081">
        <v>0</v>
      </c>
    </row>
    <row r="56" spans="2:11">
      <c r="B56" s="1072" t="s">
        <v>672</v>
      </c>
      <c r="C56" s="1061"/>
      <c r="D56" s="1061"/>
      <c r="E56" s="1061"/>
      <c r="F56" s="1061"/>
      <c r="G56" s="1061"/>
      <c r="H56" s="1061"/>
      <c r="I56" s="1061"/>
      <c r="J56" s="1061"/>
      <c r="K56" s="1081"/>
    </row>
    <row r="57" spans="2:11">
      <c r="B57" s="822"/>
      <c r="C57" s="1061"/>
      <c r="D57" s="1061"/>
      <c r="E57" s="1061"/>
      <c r="F57" s="1061"/>
      <c r="G57" s="1061"/>
      <c r="H57" s="1061"/>
      <c r="I57" s="1061"/>
      <c r="J57" s="1061"/>
      <c r="K57" s="1062"/>
    </row>
    <row r="58" spans="2:11">
      <c r="B58" s="1070" t="s">
        <v>5</v>
      </c>
      <c r="C58" s="1061"/>
      <c r="D58" s="1061"/>
      <c r="E58" s="1061"/>
      <c r="F58" s="1061"/>
      <c r="G58" s="1061"/>
      <c r="H58" s="1061"/>
      <c r="I58" s="1061"/>
      <c r="J58" s="1061"/>
      <c r="K58" s="1081">
        <v>0</v>
      </c>
    </row>
    <row r="59" spans="2:11">
      <c r="B59" s="1072" t="s">
        <v>672</v>
      </c>
      <c r="C59" s="1061"/>
      <c r="D59" s="1061"/>
      <c r="E59" s="1061"/>
      <c r="F59" s="1061"/>
      <c r="G59" s="1061"/>
      <c r="H59" s="1061"/>
      <c r="I59" s="1061"/>
      <c r="J59" s="1061"/>
      <c r="K59" s="1081"/>
    </row>
    <row r="60" spans="2:11">
      <c r="B60" s="1072"/>
      <c r="C60" s="1061"/>
      <c r="D60" s="1061"/>
      <c r="E60" s="1061"/>
      <c r="F60" s="1061"/>
      <c r="G60" s="1061"/>
      <c r="H60" s="1061"/>
      <c r="I60" s="1061"/>
      <c r="J60" s="1061"/>
      <c r="K60" s="1075"/>
    </row>
    <row r="61" spans="2:11">
      <c r="B61" s="1070" t="s">
        <v>20</v>
      </c>
      <c r="C61" s="1061"/>
      <c r="D61" s="1061"/>
      <c r="E61" s="1061"/>
      <c r="F61" s="1061"/>
      <c r="G61" s="1061"/>
      <c r="H61" s="1061"/>
      <c r="I61" s="1061"/>
      <c r="J61" s="1061"/>
      <c r="K61" s="1081">
        <v>0</v>
      </c>
    </row>
    <row r="62" spans="2:11">
      <c r="B62" s="1072" t="s">
        <v>672</v>
      </c>
      <c r="C62" s="1061"/>
      <c r="D62" s="1061"/>
      <c r="E62" s="1061"/>
      <c r="F62" s="1061"/>
      <c r="G62" s="1061"/>
      <c r="H62" s="1061"/>
      <c r="I62" s="1061"/>
      <c r="J62" s="1061"/>
      <c r="K62" s="1081"/>
    </row>
    <row r="63" spans="2:11">
      <c r="B63" s="1067"/>
      <c r="C63" s="1061"/>
      <c r="D63" s="1061"/>
      <c r="E63" s="1061"/>
      <c r="F63" s="1061"/>
      <c r="G63" s="1061"/>
      <c r="H63" s="1061"/>
      <c r="I63" s="1061"/>
      <c r="J63" s="1061"/>
      <c r="K63" s="1062"/>
    </row>
    <row r="64" spans="2:11">
      <c r="B64" s="1084" t="s">
        <v>11</v>
      </c>
      <c r="C64" s="1085"/>
      <c r="D64" s="1085"/>
      <c r="E64" s="1085"/>
      <c r="F64" s="1085"/>
      <c r="G64" s="1085"/>
      <c r="H64" s="1085"/>
      <c r="I64" s="1085"/>
      <c r="J64" s="1085"/>
      <c r="K64" s="1086">
        <f>K37+K40+K43+K46+K49+K52+K55+K58+K61</f>
        <v>34</v>
      </c>
    </row>
  </sheetData>
  <mergeCells count="2">
    <mergeCell ref="B28:K28"/>
    <mergeCell ref="B44:D44"/>
  </mergeCells>
  <pageMargins left="0.5" right="0.5" top="0.5" bottom="0.75" header="0.5" footer="0.25"/>
  <pageSetup scale="50" fitToHeight="0" orientation="landscape" r:id="rId1"/>
  <headerFooter alignWithMargins="0">
    <oddFooter>&amp;L&amp;"Garamond,Regular"&amp;10&amp;F
&amp;A
&amp;D (printed)&amp;R&amp;11&amp;P/&amp;N</oddFooter>
  </headerFooter>
  <rowBreaks count="1" manualBreakCount="1">
    <brk id="41" max="10" man="1"/>
  </rowBreaks>
</worksheet>
</file>

<file path=xl/worksheets/sheet106.xml><?xml version="1.0" encoding="utf-8"?>
<worksheet xmlns="http://schemas.openxmlformats.org/spreadsheetml/2006/main" xmlns:r="http://schemas.openxmlformats.org/officeDocument/2006/relationships">
  <sheetPr>
    <pageSetUpPr fitToPage="1"/>
  </sheetPr>
  <dimension ref="A1:I74"/>
  <sheetViews>
    <sheetView showGridLines="0" zoomScaleNormal="100" workbookViewId="0">
      <selection activeCell="J28" sqref="J28"/>
    </sheetView>
  </sheetViews>
  <sheetFormatPr defaultRowHeight="12.75"/>
  <cols>
    <col min="1" max="1" width="3.140625" style="890" customWidth="1"/>
    <col min="2" max="2" width="16.7109375" style="892" customWidth="1"/>
    <col min="3" max="3" width="12.140625" style="892" customWidth="1"/>
    <col min="4" max="4" width="27.7109375" style="892" bestFit="1" customWidth="1"/>
    <col min="5" max="5" width="28.5703125" style="892" bestFit="1" customWidth="1"/>
    <col min="6" max="6" width="11.42578125" style="892" customWidth="1"/>
    <col min="7" max="7" width="9.140625" style="890"/>
    <col min="8" max="8" width="9.140625" style="890" customWidth="1"/>
    <col min="9" max="9" width="12.140625" style="892" bestFit="1" customWidth="1"/>
    <col min="10" max="16384" width="9.140625" style="892"/>
  </cols>
  <sheetData>
    <row r="1" spans="1:9" ht="15.75" customHeight="1">
      <c r="B1" s="202" t="s">
        <v>644</v>
      </c>
      <c r="C1" s="264" t="str">
        <f>+B6</f>
        <v>374</v>
      </c>
      <c r="D1" s="891" t="str">
        <f>+D6</f>
        <v>Farmstead Energy Improvement</v>
      </c>
      <c r="E1" s="202" t="str">
        <f>+E6</f>
        <v>Milking, Vacuum Pump VSD</v>
      </c>
    </row>
    <row r="2" spans="1:9">
      <c r="A2" s="893"/>
      <c r="B2" s="487"/>
      <c r="C2" s="487"/>
      <c r="D2" s="487"/>
      <c r="E2" s="487"/>
      <c r="F2" s="487"/>
      <c r="G2" s="894"/>
      <c r="H2" s="894"/>
      <c r="I2" s="487"/>
    </row>
    <row r="3" spans="1:9" ht="15.75">
      <c r="A3" s="894"/>
      <c r="B3" s="895" t="s">
        <v>17</v>
      </c>
      <c r="C3" s="896"/>
      <c r="D3" s="896"/>
      <c r="E3" s="487"/>
      <c r="F3" s="487"/>
    </row>
    <row r="4" spans="1:9">
      <c r="A4" s="894"/>
      <c r="B4" s="897" t="s">
        <v>1</v>
      </c>
      <c r="C4" s="898" t="s">
        <v>21</v>
      </c>
      <c r="D4" s="899"/>
      <c r="E4" s="899"/>
      <c r="F4" s="899"/>
      <c r="G4" s="900" t="s">
        <v>12</v>
      </c>
      <c r="I4" s="922" t="s">
        <v>717</v>
      </c>
    </row>
    <row r="5" spans="1:9">
      <c r="A5" s="894"/>
      <c r="B5" s="901" t="s">
        <v>13</v>
      </c>
      <c r="C5" s="902" t="s">
        <v>22</v>
      </c>
      <c r="D5" s="902" t="s">
        <v>682</v>
      </c>
      <c r="E5" s="902" t="s">
        <v>683</v>
      </c>
      <c r="F5" s="902" t="s">
        <v>23</v>
      </c>
      <c r="G5" s="903" t="s">
        <v>14</v>
      </c>
      <c r="I5" s="904" t="s">
        <v>622</v>
      </c>
    </row>
    <row r="6" spans="1:9">
      <c r="A6" s="894"/>
      <c r="B6" s="905" t="s">
        <v>684</v>
      </c>
      <c r="C6" s="906" t="str">
        <f>+$G$11</f>
        <v>EQIP</v>
      </c>
      <c r="D6" s="907" t="s">
        <v>645</v>
      </c>
      <c r="E6" s="907" t="s">
        <v>718</v>
      </c>
      <c r="F6" s="906" t="str">
        <f>+D32</f>
        <v>HP</v>
      </c>
      <c r="G6" s="908">
        <f>+G23</f>
        <v>331.3125</v>
      </c>
      <c r="H6" s="909"/>
      <c r="I6" s="910" t="str">
        <f>+D30</f>
        <v>Statewide</v>
      </c>
    </row>
    <row r="7" spans="1:9">
      <c r="A7" s="894"/>
      <c r="B7" s="911" t="s">
        <v>684</v>
      </c>
      <c r="C7" s="912" t="str">
        <f>+$H$11</f>
        <v>EQIP-HU</v>
      </c>
      <c r="D7" s="913" t="str">
        <f>D6</f>
        <v>Farmstead Energy Improvement</v>
      </c>
      <c r="E7" s="913" t="str">
        <f>E6</f>
        <v>Milking, Vacuum Pump VSD</v>
      </c>
      <c r="F7" s="912" t="str">
        <f>+D32</f>
        <v>HP</v>
      </c>
      <c r="G7" s="914">
        <f>+H23</f>
        <v>397.57499999999999</v>
      </c>
      <c r="H7" s="909"/>
      <c r="I7" s="910"/>
    </row>
    <row r="8" spans="1:9">
      <c r="A8" s="894"/>
      <c r="B8" s="915"/>
      <c r="C8" s="915"/>
      <c r="D8" s="915"/>
      <c r="E8" s="915"/>
      <c r="F8" s="915"/>
      <c r="G8" s="915"/>
      <c r="H8" s="915"/>
    </row>
    <row r="9" spans="1:9" ht="15.75">
      <c r="A9" s="894"/>
      <c r="B9" s="895" t="s">
        <v>18</v>
      </c>
      <c r="C9" s="916"/>
      <c r="D9" s="487"/>
      <c r="E9" s="487"/>
      <c r="F9" s="487"/>
    </row>
    <row r="10" spans="1:9">
      <c r="A10" s="894"/>
      <c r="B10" s="917"/>
      <c r="C10" s="918"/>
      <c r="D10" s="919"/>
      <c r="E10" s="920" t="s">
        <v>15</v>
      </c>
      <c r="F10" s="920" t="s">
        <v>31</v>
      </c>
      <c r="G10" s="920"/>
      <c r="H10" s="921"/>
      <c r="I10" s="922"/>
    </row>
    <row r="11" spans="1:9">
      <c r="A11" s="894"/>
      <c r="B11" s="923"/>
      <c r="C11" s="924"/>
      <c r="D11" s="925"/>
      <c r="E11" s="926" t="s">
        <v>22</v>
      </c>
      <c r="F11" s="926" t="s">
        <v>22</v>
      </c>
      <c r="G11" s="926" t="s">
        <v>15</v>
      </c>
      <c r="H11" s="927" t="s">
        <v>31</v>
      </c>
      <c r="I11" s="922"/>
    </row>
    <row r="12" spans="1:9">
      <c r="A12" s="894"/>
      <c r="B12" s="928"/>
      <c r="C12" s="925"/>
      <c r="D12" s="925"/>
      <c r="E12" s="926" t="s">
        <v>12</v>
      </c>
      <c r="F12" s="926" t="s">
        <v>12</v>
      </c>
      <c r="G12" s="926" t="s">
        <v>12</v>
      </c>
      <c r="H12" s="927" t="s">
        <v>12</v>
      </c>
      <c r="I12" s="922"/>
    </row>
    <row r="13" spans="1:9">
      <c r="A13" s="894"/>
      <c r="B13" s="929" t="s">
        <v>16</v>
      </c>
      <c r="C13" s="925"/>
      <c r="D13" s="930" t="s">
        <v>6</v>
      </c>
      <c r="E13" s="930" t="s">
        <v>24</v>
      </c>
      <c r="F13" s="930" t="s">
        <v>24</v>
      </c>
      <c r="G13" s="930" t="s">
        <v>14</v>
      </c>
      <c r="H13" s="931" t="s">
        <v>14</v>
      </c>
      <c r="I13" s="915"/>
    </row>
    <row r="14" spans="1:9">
      <c r="A14" s="894"/>
      <c r="B14" s="932" t="s">
        <v>0</v>
      </c>
      <c r="C14" s="933"/>
      <c r="D14" s="934">
        <f>+H34</f>
        <v>412.5</v>
      </c>
      <c r="E14" s="935">
        <v>0.75</v>
      </c>
      <c r="F14" s="935">
        <v>0.9</v>
      </c>
      <c r="G14" s="936">
        <f t="shared" ref="G14:H22" si="0">+$D14*E14</f>
        <v>309.375</v>
      </c>
      <c r="H14" s="937">
        <f t="shared" si="0"/>
        <v>371.25</v>
      </c>
      <c r="I14" s="487"/>
    </row>
    <row r="15" spans="1:9">
      <c r="A15" s="894"/>
      <c r="B15" s="932" t="s">
        <v>2</v>
      </c>
      <c r="C15" s="933"/>
      <c r="D15" s="934">
        <f>+H45</f>
        <v>29.25</v>
      </c>
      <c r="E15" s="935">
        <v>0.75</v>
      </c>
      <c r="F15" s="935">
        <v>0.9</v>
      </c>
      <c r="G15" s="936">
        <f t="shared" si="0"/>
        <v>21.9375</v>
      </c>
      <c r="H15" s="937">
        <f t="shared" si="0"/>
        <v>26.324999999999999</v>
      </c>
      <c r="I15" s="487"/>
    </row>
    <row r="16" spans="1:9">
      <c r="A16" s="894"/>
      <c r="B16" s="932" t="s">
        <v>3</v>
      </c>
      <c r="C16" s="933"/>
      <c r="D16" s="934">
        <f>+H52</f>
        <v>0</v>
      </c>
      <c r="E16" s="935">
        <v>0.75</v>
      </c>
      <c r="F16" s="935">
        <v>0.9</v>
      </c>
      <c r="G16" s="936">
        <f t="shared" si="0"/>
        <v>0</v>
      </c>
      <c r="H16" s="937">
        <f t="shared" si="0"/>
        <v>0</v>
      </c>
      <c r="I16" s="487"/>
    </row>
    <row r="17" spans="1:9">
      <c r="A17" s="894"/>
      <c r="B17" s="932" t="s">
        <v>4</v>
      </c>
      <c r="C17" s="933"/>
      <c r="D17" s="934">
        <f>+H55</f>
        <v>0</v>
      </c>
      <c r="E17" s="935">
        <v>0.75</v>
      </c>
      <c r="F17" s="935">
        <v>0.9</v>
      </c>
      <c r="G17" s="936">
        <f t="shared" si="0"/>
        <v>0</v>
      </c>
      <c r="H17" s="937">
        <f t="shared" si="0"/>
        <v>0</v>
      </c>
      <c r="I17" s="487"/>
    </row>
    <row r="18" spans="1:9">
      <c r="A18" s="894"/>
      <c r="B18" s="932" t="s">
        <v>468</v>
      </c>
      <c r="C18" s="933"/>
      <c r="D18" s="934">
        <f>+H58</f>
        <v>0</v>
      </c>
      <c r="E18" s="935">
        <v>0</v>
      </c>
      <c r="F18" s="935">
        <v>0</v>
      </c>
      <c r="G18" s="936">
        <f t="shared" si="0"/>
        <v>0</v>
      </c>
      <c r="H18" s="937">
        <f t="shared" si="0"/>
        <v>0</v>
      </c>
      <c r="I18" s="487"/>
    </row>
    <row r="19" spans="1:9">
      <c r="A19" s="894"/>
      <c r="B19" s="932" t="s">
        <v>7</v>
      </c>
      <c r="C19" s="933"/>
      <c r="D19" s="934">
        <f>+H61</f>
        <v>0</v>
      </c>
      <c r="E19" s="935">
        <v>0.75</v>
      </c>
      <c r="F19" s="935">
        <v>0.9</v>
      </c>
      <c r="G19" s="936">
        <f t="shared" si="0"/>
        <v>0</v>
      </c>
      <c r="H19" s="937">
        <f t="shared" si="0"/>
        <v>0</v>
      </c>
      <c r="I19" s="487"/>
    </row>
    <row r="20" spans="1:9">
      <c r="A20" s="894"/>
      <c r="B20" s="932" t="s">
        <v>471</v>
      </c>
      <c r="C20" s="933"/>
      <c r="D20" s="934">
        <f>+H61</f>
        <v>0</v>
      </c>
      <c r="E20" s="935">
        <v>1</v>
      </c>
      <c r="F20" s="935">
        <v>1</v>
      </c>
      <c r="G20" s="936">
        <f t="shared" si="0"/>
        <v>0</v>
      </c>
      <c r="H20" s="937">
        <f t="shared" si="0"/>
        <v>0</v>
      </c>
      <c r="I20" s="487"/>
    </row>
    <row r="21" spans="1:9">
      <c r="A21" s="894"/>
      <c r="B21" s="932" t="s">
        <v>5</v>
      </c>
      <c r="C21" s="933"/>
      <c r="D21" s="934">
        <f>+H67</f>
        <v>0</v>
      </c>
      <c r="E21" s="935">
        <v>0</v>
      </c>
      <c r="F21" s="935">
        <v>0</v>
      </c>
      <c r="G21" s="936">
        <f t="shared" si="0"/>
        <v>0</v>
      </c>
      <c r="H21" s="937">
        <f t="shared" si="0"/>
        <v>0</v>
      </c>
      <c r="I21" s="487"/>
    </row>
    <row r="22" spans="1:9">
      <c r="A22" s="894"/>
      <c r="B22" s="932" t="s">
        <v>686</v>
      </c>
      <c r="C22" s="933"/>
      <c r="D22" s="938">
        <f>+H70</f>
        <v>0</v>
      </c>
      <c r="E22" s="935">
        <v>0</v>
      </c>
      <c r="F22" s="935">
        <v>0</v>
      </c>
      <c r="G22" s="938">
        <f t="shared" si="0"/>
        <v>0</v>
      </c>
      <c r="H22" s="939">
        <f t="shared" si="0"/>
        <v>0</v>
      </c>
      <c r="I22" s="487"/>
    </row>
    <row r="23" spans="1:9">
      <c r="A23" s="894"/>
      <c r="B23" s="940" t="s">
        <v>19</v>
      </c>
      <c r="C23" s="941"/>
      <c r="D23" s="942">
        <f>SUM(D14:D22)</f>
        <v>441.75</v>
      </c>
      <c r="E23" s="943"/>
      <c r="F23" s="943"/>
      <c r="G23" s="942">
        <f>+G22+G21+G20+G19+G18+G17+G16+G15+G14</f>
        <v>331.3125</v>
      </c>
      <c r="H23" s="944">
        <f>+H22+H21+H20+H19+H18+H17+H16+H15+H14</f>
        <v>397.57499999999999</v>
      </c>
      <c r="I23" s="487"/>
    </row>
    <row r="24" spans="1:9">
      <c r="A24" s="894"/>
      <c r="B24" s="487"/>
      <c r="C24" s="487"/>
      <c r="D24" s="487"/>
      <c r="E24" s="487"/>
      <c r="F24" s="487"/>
      <c r="G24" s="894"/>
      <c r="H24" s="894"/>
      <c r="I24" s="487"/>
    </row>
    <row r="25" spans="1:9" ht="15.75">
      <c r="A25" s="894"/>
      <c r="B25" s="945" t="s">
        <v>28</v>
      </c>
      <c r="C25" s="487"/>
      <c r="D25" s="487"/>
      <c r="E25" s="487"/>
      <c r="F25" s="487"/>
      <c r="G25" s="894"/>
      <c r="H25" s="894"/>
      <c r="I25" s="487"/>
    </row>
    <row r="26" spans="1:9">
      <c r="A26" s="894"/>
      <c r="B26" s="946" t="s">
        <v>89</v>
      </c>
      <c r="C26" s="947"/>
      <c r="D26" s="947"/>
      <c r="E26" s="948"/>
      <c r="F26" s="948"/>
      <c r="G26" s="949"/>
      <c r="H26" s="950"/>
    </row>
    <row r="27" spans="1:9" ht="91.5" customHeight="1">
      <c r="A27" s="894"/>
      <c r="B27" s="2166" t="s">
        <v>719</v>
      </c>
      <c r="C27" s="2167"/>
      <c r="D27" s="2167"/>
      <c r="E27" s="2167"/>
      <c r="F27" s="2167"/>
      <c r="G27" s="2167"/>
      <c r="H27" s="2168"/>
    </row>
    <row r="28" spans="1:9" ht="16.5" customHeight="1">
      <c r="A28" s="894"/>
      <c r="B28" s="2169" t="s">
        <v>650</v>
      </c>
      <c r="C28" s="2167"/>
      <c r="D28" s="2167"/>
      <c r="E28" s="2167"/>
      <c r="F28" s="2167"/>
      <c r="G28" s="2167"/>
      <c r="H28" s="2168"/>
    </row>
    <row r="29" spans="1:9">
      <c r="A29" s="894"/>
      <c r="B29" s="251"/>
      <c r="C29" s="951"/>
      <c r="D29" s="951"/>
      <c r="E29" s="952"/>
      <c r="F29" s="952"/>
      <c r="G29" s="953"/>
      <c r="H29" s="954"/>
    </row>
    <row r="30" spans="1:9">
      <c r="A30" s="894"/>
      <c r="B30" s="955" t="s">
        <v>633</v>
      </c>
      <c r="C30" s="951"/>
      <c r="D30" s="956" t="s">
        <v>91</v>
      </c>
      <c r="E30" s="952"/>
      <c r="F30" s="952"/>
      <c r="G30" s="953"/>
      <c r="H30" s="954"/>
    </row>
    <row r="31" spans="1:9">
      <c r="A31" s="894"/>
      <c r="B31" s="957"/>
      <c r="C31" s="951"/>
      <c r="D31" s="952"/>
      <c r="E31" s="952"/>
      <c r="F31" s="952"/>
      <c r="G31" s="953"/>
      <c r="H31" s="954"/>
    </row>
    <row r="32" spans="1:9">
      <c r="A32" s="894"/>
      <c r="B32" s="955" t="s">
        <v>8</v>
      </c>
      <c r="C32" s="951"/>
      <c r="D32" s="956" t="s">
        <v>688</v>
      </c>
      <c r="E32" s="952"/>
      <c r="F32" s="952"/>
      <c r="G32" s="953"/>
      <c r="H32" s="954"/>
    </row>
    <row r="33" spans="1:9">
      <c r="A33" s="894"/>
      <c r="B33" s="955" t="s">
        <v>9</v>
      </c>
      <c r="C33" s="951"/>
      <c r="D33" s="958">
        <v>15</v>
      </c>
      <c r="E33" s="952"/>
      <c r="F33" s="952"/>
      <c r="G33" s="953"/>
      <c r="H33" s="959" t="s">
        <v>6</v>
      </c>
    </row>
    <row r="34" spans="1:9">
      <c r="A34" s="894"/>
      <c r="B34" s="955" t="s">
        <v>10</v>
      </c>
      <c r="C34" s="952"/>
      <c r="D34" s="960">
        <v>0.05</v>
      </c>
      <c r="E34" s="952"/>
      <c r="F34" s="952"/>
      <c r="G34" s="953"/>
      <c r="H34" s="961">
        <f>D42</f>
        <v>412.5</v>
      </c>
    </row>
    <row r="35" spans="1:9">
      <c r="A35" s="894"/>
      <c r="B35" s="962"/>
      <c r="C35" s="952"/>
      <c r="D35" s="952"/>
      <c r="E35" s="963"/>
      <c r="F35" s="952"/>
      <c r="G35" s="953"/>
      <c r="H35" s="961"/>
    </row>
    <row r="36" spans="1:9">
      <c r="A36" s="894"/>
      <c r="B36" s="964" t="s">
        <v>0</v>
      </c>
      <c r="C36" s="952"/>
      <c r="D36" s="952"/>
      <c r="E36" s="952"/>
      <c r="F36" s="952"/>
      <c r="G36" s="953"/>
      <c r="H36" s="961"/>
    </row>
    <row r="37" spans="1:9">
      <c r="A37" s="894"/>
      <c r="B37" s="965" t="s">
        <v>689</v>
      </c>
      <c r="C37" s="956"/>
      <c r="D37" s="956"/>
      <c r="E37" s="952"/>
      <c r="F37" s="952"/>
      <c r="G37" s="966"/>
      <c r="H37" s="961"/>
    </row>
    <row r="38" spans="1:9">
      <c r="A38" s="894"/>
      <c r="B38" s="967"/>
      <c r="C38" s="968"/>
      <c r="D38" s="969"/>
      <c r="E38" s="952"/>
      <c r="F38" s="952"/>
      <c r="G38" s="966"/>
      <c r="H38" s="961"/>
    </row>
    <row r="39" spans="1:9">
      <c r="A39" s="894"/>
      <c r="B39" s="970" t="s">
        <v>688</v>
      </c>
      <c r="C39" s="968" t="s">
        <v>690</v>
      </c>
      <c r="D39" s="1087" t="s">
        <v>720</v>
      </c>
      <c r="E39" s="952"/>
      <c r="F39" s="952"/>
      <c r="G39" s="966"/>
      <c r="H39" s="961"/>
    </row>
    <row r="40" spans="1:9">
      <c r="A40" s="894"/>
      <c r="B40" s="972">
        <v>10</v>
      </c>
      <c r="C40" s="968">
        <v>5000</v>
      </c>
      <c r="D40" s="973">
        <f t="shared" ref="D40:D41" si="1">+C40/B40</f>
        <v>500</v>
      </c>
      <c r="E40" s="952"/>
      <c r="F40" s="952"/>
      <c r="G40" s="966"/>
      <c r="H40" s="961"/>
    </row>
    <row r="41" spans="1:9">
      <c r="A41" s="894"/>
      <c r="B41" s="972">
        <v>20</v>
      </c>
      <c r="C41" s="968">
        <v>6500</v>
      </c>
      <c r="D41" s="973">
        <f t="shared" si="1"/>
        <v>325</v>
      </c>
      <c r="E41" s="952"/>
      <c r="F41" s="952"/>
      <c r="G41" s="966"/>
      <c r="H41" s="961"/>
    </row>
    <row r="42" spans="1:9">
      <c r="A42" s="894"/>
      <c r="B42" s="972"/>
      <c r="C42" s="973" t="s">
        <v>721</v>
      </c>
      <c r="D42" s="973">
        <f>AVERAGE(D40:D41)</f>
        <v>412.5</v>
      </c>
      <c r="E42" s="952"/>
      <c r="F42" s="952"/>
      <c r="G42" s="966"/>
      <c r="H42" s="961"/>
    </row>
    <row r="43" spans="1:9">
      <c r="A43" s="894"/>
      <c r="B43" s="970"/>
      <c r="C43" s="969"/>
      <c r="D43" s="969"/>
      <c r="E43" s="952"/>
      <c r="F43" s="952"/>
      <c r="G43" s="966"/>
      <c r="H43" s="961"/>
    </row>
    <row r="44" spans="1:9">
      <c r="A44" s="894"/>
      <c r="B44" s="976"/>
      <c r="C44" s="952"/>
      <c r="D44" s="977"/>
      <c r="E44" s="952"/>
      <c r="F44" s="952"/>
      <c r="G44" s="966"/>
      <c r="H44" s="961"/>
    </row>
    <row r="45" spans="1:9" s="893" customFormat="1">
      <c r="A45" s="894"/>
      <c r="B45" s="964" t="s">
        <v>2</v>
      </c>
      <c r="C45" s="978"/>
      <c r="D45" s="952"/>
      <c r="E45" s="952"/>
      <c r="F45" s="952"/>
      <c r="G45" s="953"/>
      <c r="H45" s="961">
        <f>D50</f>
        <v>29.25</v>
      </c>
      <c r="I45" s="892"/>
    </row>
    <row r="46" spans="1:9" s="893" customFormat="1">
      <c r="A46" s="894"/>
      <c r="B46" s="965" t="s">
        <v>722</v>
      </c>
      <c r="C46" s="952"/>
      <c r="D46" s="952"/>
      <c r="E46" s="952"/>
      <c r="F46" s="952"/>
      <c r="G46" s="953"/>
      <c r="H46" s="954"/>
      <c r="I46" s="892"/>
    </row>
    <row r="47" spans="1:9" s="893" customFormat="1">
      <c r="A47" s="894"/>
      <c r="B47" s="970" t="s">
        <v>688</v>
      </c>
      <c r="C47" s="1088" t="s">
        <v>723</v>
      </c>
      <c r="D47" s="1087" t="s">
        <v>720</v>
      </c>
      <c r="E47" s="952"/>
      <c r="F47" s="952"/>
      <c r="G47" s="953"/>
      <c r="H47" s="954"/>
      <c r="I47" s="892"/>
    </row>
    <row r="48" spans="1:9" s="893" customFormat="1">
      <c r="A48" s="894"/>
      <c r="B48" s="972">
        <v>10</v>
      </c>
      <c r="C48" s="968">
        <v>390</v>
      </c>
      <c r="D48" s="973">
        <f t="shared" ref="D48:D49" si="2">+C48/B48</f>
        <v>39</v>
      </c>
      <c r="E48" s="952"/>
      <c r="F48" s="952"/>
      <c r="G48" s="953"/>
      <c r="H48" s="954"/>
      <c r="I48" s="892"/>
    </row>
    <row r="49" spans="1:9" s="893" customFormat="1">
      <c r="A49" s="894"/>
      <c r="B49" s="972">
        <v>20</v>
      </c>
      <c r="C49" s="968">
        <v>390</v>
      </c>
      <c r="D49" s="973">
        <f t="shared" si="2"/>
        <v>19.5</v>
      </c>
      <c r="E49" s="952"/>
      <c r="F49" s="952"/>
      <c r="G49" s="953"/>
      <c r="H49" s="954"/>
      <c r="I49" s="892"/>
    </row>
    <row r="50" spans="1:9" s="893" customFormat="1">
      <c r="A50" s="894"/>
      <c r="B50" s="980"/>
      <c r="C50" s="952" t="s">
        <v>721</v>
      </c>
      <c r="D50" s="973">
        <f>AVERAGE(D48:D49)</f>
        <v>29.25</v>
      </c>
      <c r="E50" s="952"/>
      <c r="F50" s="952"/>
      <c r="G50" s="953"/>
      <c r="H50" s="954"/>
      <c r="I50" s="892"/>
    </row>
    <row r="51" spans="1:9" s="893" customFormat="1">
      <c r="A51" s="894"/>
      <c r="B51" s="980"/>
      <c r="C51" s="952"/>
      <c r="D51" s="952"/>
      <c r="E51" s="952"/>
      <c r="F51" s="952"/>
      <c r="G51" s="953"/>
      <c r="H51" s="954"/>
      <c r="I51" s="892"/>
    </row>
    <row r="52" spans="1:9" s="893" customFormat="1">
      <c r="A52" s="894"/>
      <c r="B52" s="964" t="s">
        <v>3</v>
      </c>
      <c r="C52" s="952"/>
      <c r="D52" s="952"/>
      <c r="E52" s="952"/>
      <c r="F52" s="952"/>
      <c r="G52" s="953"/>
      <c r="H52" s="979">
        <v>0</v>
      </c>
      <c r="I52" s="892"/>
    </row>
    <row r="53" spans="1:9" s="893" customFormat="1">
      <c r="A53" s="894"/>
      <c r="B53" s="980" t="s">
        <v>707</v>
      </c>
      <c r="C53" s="952"/>
      <c r="D53" s="952"/>
      <c r="E53" s="952"/>
      <c r="F53" s="952"/>
      <c r="G53" s="953"/>
      <c r="H53" s="954"/>
      <c r="I53" s="892"/>
    </row>
    <row r="54" spans="1:9" s="893" customFormat="1">
      <c r="A54" s="894"/>
      <c r="B54" s="980"/>
      <c r="C54" s="952"/>
      <c r="D54" s="952"/>
      <c r="E54" s="952"/>
      <c r="F54" s="952"/>
      <c r="G54" s="953"/>
      <c r="H54" s="954"/>
      <c r="I54" s="892"/>
    </row>
    <row r="55" spans="1:9" s="893" customFormat="1">
      <c r="A55" s="894"/>
      <c r="B55" s="964" t="s">
        <v>4</v>
      </c>
      <c r="C55" s="952"/>
      <c r="D55" s="952"/>
      <c r="E55" s="952"/>
      <c r="F55" s="952"/>
      <c r="G55" s="953"/>
      <c r="H55" s="981">
        <v>0</v>
      </c>
      <c r="I55" s="892"/>
    </row>
    <row r="56" spans="1:9" s="893" customFormat="1">
      <c r="A56" s="894"/>
      <c r="B56" s="980" t="s">
        <v>103</v>
      </c>
      <c r="C56" s="952"/>
      <c r="D56" s="952"/>
      <c r="E56" s="952"/>
      <c r="F56" s="952"/>
      <c r="G56" s="953"/>
      <c r="H56" s="954"/>
      <c r="I56" s="892"/>
    </row>
    <row r="57" spans="1:9" s="893" customFormat="1">
      <c r="A57" s="894"/>
      <c r="B57" s="980"/>
      <c r="C57" s="952"/>
      <c r="D57" s="952"/>
      <c r="E57" s="952"/>
      <c r="F57" s="952"/>
      <c r="G57" s="953"/>
      <c r="H57" s="954"/>
      <c r="I57" s="892"/>
    </row>
    <row r="58" spans="1:9" s="893" customFormat="1">
      <c r="A58" s="894"/>
      <c r="B58" s="964" t="s">
        <v>468</v>
      </c>
      <c r="C58" s="952"/>
      <c r="D58" s="952"/>
      <c r="E58" s="952"/>
      <c r="F58" s="952"/>
      <c r="G58" s="953"/>
      <c r="H58" s="981">
        <v>0</v>
      </c>
      <c r="I58" s="892"/>
    </row>
    <row r="59" spans="1:9" s="893" customFormat="1">
      <c r="A59" s="894"/>
      <c r="B59" s="980" t="s">
        <v>103</v>
      </c>
      <c r="C59" s="952"/>
      <c r="D59" s="977"/>
      <c r="E59" s="952"/>
      <c r="F59" s="952"/>
      <c r="G59" s="953"/>
      <c r="H59" s="954"/>
      <c r="I59" s="892"/>
    </row>
    <row r="60" spans="1:9" s="893" customFormat="1">
      <c r="A60" s="894"/>
      <c r="B60" s="980"/>
      <c r="C60" s="952"/>
      <c r="D60" s="952"/>
      <c r="E60" s="952"/>
      <c r="F60" s="952"/>
      <c r="G60" s="953"/>
      <c r="H60" s="954"/>
      <c r="I60" s="892"/>
    </row>
    <row r="61" spans="1:9" s="893" customFormat="1">
      <c r="A61" s="894"/>
      <c r="B61" s="964" t="s">
        <v>7</v>
      </c>
      <c r="C61" s="952"/>
      <c r="D61" s="952"/>
      <c r="E61" s="952"/>
      <c r="F61" s="952"/>
      <c r="G61" s="953"/>
      <c r="H61" s="979">
        <v>0</v>
      </c>
      <c r="I61" s="892"/>
    </row>
    <row r="62" spans="1:9" s="893" customFormat="1">
      <c r="A62" s="894"/>
      <c r="B62" s="980" t="s">
        <v>671</v>
      </c>
      <c r="C62" s="952"/>
      <c r="D62" s="952"/>
      <c r="E62" s="952"/>
      <c r="F62" s="952"/>
      <c r="G62" s="953"/>
      <c r="H62" s="954"/>
      <c r="I62" s="892"/>
    </row>
    <row r="63" spans="1:9" s="893" customFormat="1">
      <c r="A63" s="894"/>
      <c r="B63" s="980"/>
      <c r="C63" s="952"/>
      <c r="D63" s="952"/>
      <c r="E63" s="952"/>
      <c r="F63" s="952"/>
      <c r="G63" s="953"/>
      <c r="H63" s="954"/>
      <c r="I63" s="892"/>
    </row>
    <row r="64" spans="1:9" s="893" customFormat="1">
      <c r="A64" s="894"/>
      <c r="B64" s="964" t="s">
        <v>471</v>
      </c>
      <c r="C64" s="952"/>
      <c r="D64" s="952"/>
      <c r="E64" s="952"/>
      <c r="F64" s="952"/>
      <c r="G64" s="953"/>
      <c r="H64" s="979">
        <v>0</v>
      </c>
      <c r="I64" s="892"/>
    </row>
    <row r="65" spans="1:9" s="893" customFormat="1">
      <c r="A65" s="894"/>
      <c r="B65" s="980" t="s">
        <v>672</v>
      </c>
      <c r="C65" s="952"/>
      <c r="D65" s="952"/>
      <c r="E65" s="952"/>
      <c r="F65" s="952"/>
      <c r="G65" s="953"/>
      <c r="H65" s="961"/>
      <c r="I65" s="892"/>
    </row>
    <row r="66" spans="1:9" s="893" customFormat="1">
      <c r="A66" s="894"/>
      <c r="B66" s="957"/>
      <c r="C66" s="952"/>
      <c r="D66" s="952"/>
      <c r="E66" s="952"/>
      <c r="F66" s="952"/>
      <c r="G66" s="953"/>
      <c r="H66" s="954"/>
      <c r="I66" s="892"/>
    </row>
    <row r="67" spans="1:9" s="893" customFormat="1">
      <c r="A67" s="894"/>
      <c r="B67" s="964" t="s">
        <v>5</v>
      </c>
      <c r="C67" s="952"/>
      <c r="D67" s="952"/>
      <c r="E67" s="952"/>
      <c r="F67" s="952"/>
      <c r="G67" s="953"/>
      <c r="H67" s="979">
        <v>0</v>
      </c>
      <c r="I67" s="892"/>
    </row>
    <row r="68" spans="1:9" s="893" customFormat="1">
      <c r="A68" s="894"/>
      <c r="B68" s="980" t="s">
        <v>672</v>
      </c>
      <c r="C68" s="952"/>
      <c r="D68" s="952"/>
      <c r="E68" s="952"/>
      <c r="F68" s="952"/>
      <c r="G68" s="953"/>
      <c r="H68" s="961"/>
      <c r="I68" s="892"/>
    </row>
    <row r="69" spans="1:9" s="893" customFormat="1">
      <c r="A69" s="894"/>
      <c r="B69" s="980"/>
      <c r="C69" s="952"/>
      <c r="D69" s="952"/>
      <c r="E69" s="952"/>
      <c r="F69" s="952"/>
      <c r="G69" s="953"/>
      <c r="H69" s="961"/>
      <c r="I69" s="892"/>
    </row>
    <row r="70" spans="1:9" s="893" customFormat="1">
      <c r="A70" s="894"/>
      <c r="B70" s="964" t="s">
        <v>20</v>
      </c>
      <c r="C70" s="952"/>
      <c r="D70" s="952"/>
      <c r="E70" s="952"/>
      <c r="F70" s="952"/>
      <c r="G70" s="953"/>
      <c r="H70" s="979">
        <v>0</v>
      </c>
      <c r="I70" s="892"/>
    </row>
    <row r="71" spans="1:9" s="893" customFormat="1">
      <c r="A71" s="894"/>
      <c r="B71" s="980" t="s">
        <v>672</v>
      </c>
      <c r="C71" s="952"/>
      <c r="D71" s="952"/>
      <c r="E71" s="952"/>
      <c r="F71" s="952"/>
      <c r="G71" s="953"/>
      <c r="H71" s="954"/>
      <c r="I71" s="892"/>
    </row>
    <row r="72" spans="1:9" s="893" customFormat="1">
      <c r="A72" s="894"/>
      <c r="B72" s="962"/>
      <c r="C72" s="952"/>
      <c r="D72" s="952"/>
      <c r="E72" s="952"/>
      <c r="F72" s="952"/>
      <c r="G72" s="953"/>
      <c r="H72" s="954"/>
      <c r="I72" s="892"/>
    </row>
    <row r="73" spans="1:9" s="893" customFormat="1">
      <c r="A73" s="894"/>
      <c r="B73" s="982" t="s">
        <v>11</v>
      </c>
      <c r="C73" s="952"/>
      <c r="D73" s="952"/>
      <c r="E73" s="952"/>
      <c r="F73" s="952"/>
      <c r="G73" s="953"/>
      <c r="H73" s="961">
        <f>+H70+H67+H64+H61+H58+H55+H52+H45+H34</f>
        <v>441.75</v>
      </c>
      <c r="I73" s="892"/>
    </row>
    <row r="74" spans="1:9" s="893" customFormat="1">
      <c r="A74" s="894"/>
      <c r="B74" s="983"/>
      <c r="C74" s="984"/>
      <c r="D74" s="984"/>
      <c r="E74" s="984"/>
      <c r="F74" s="984"/>
      <c r="G74" s="985"/>
      <c r="H74" s="986"/>
      <c r="I74" s="892"/>
    </row>
  </sheetData>
  <mergeCells count="2">
    <mergeCell ref="B27:H27"/>
    <mergeCell ref="B28:H28"/>
  </mergeCells>
  <conditionalFormatting sqref="A1:A1048576">
    <cfRule type="notContainsBlanks" dxfId="0" priority="1">
      <formula>LEN(TRIM(A1))&gt;0</formula>
    </cfRule>
  </conditionalFormatting>
  <pageMargins left="0.5" right="0.5" top="0.5" bottom="0.75" header="0.5" footer="0.25"/>
  <pageSetup fitToHeight="0" orientation="landscape" r:id="rId1"/>
  <headerFooter alignWithMargins="0">
    <oddFooter>&amp;L&amp;"Garamond,Regular"&amp;10&amp;F
&amp;A
&amp;D (printed)&amp;R&amp;"Garamond,Regular"&amp;11&amp;P/&amp;N</oddFooter>
  </headerFooter>
  <rowBreaks count="1" manualBreakCount="1">
    <brk id="34" max="8" man="1"/>
  </rowBreaks>
</worksheet>
</file>

<file path=xl/worksheets/sheet107.xml><?xml version="1.0" encoding="utf-8"?>
<worksheet xmlns="http://schemas.openxmlformats.org/spreadsheetml/2006/main" xmlns:r="http://schemas.openxmlformats.org/officeDocument/2006/relationships">
  <sheetPr>
    <pageSetUpPr fitToPage="1"/>
  </sheetPr>
  <dimension ref="A1:J75"/>
  <sheetViews>
    <sheetView zoomScale="105" zoomScaleNormal="105" workbookViewId="0">
      <selection activeCell="J28" sqref="J28"/>
    </sheetView>
  </sheetViews>
  <sheetFormatPr defaultRowHeight="12.75"/>
  <cols>
    <col min="1" max="1" width="2.7109375" style="487" customWidth="1"/>
    <col min="2" max="2" width="15.28515625" style="487" customWidth="1"/>
    <col min="3" max="3" width="20.42578125" style="487" customWidth="1"/>
    <col min="4" max="4" width="27.7109375" style="487" bestFit="1" customWidth="1"/>
    <col min="5" max="5" width="32.28515625" style="487" bestFit="1" customWidth="1"/>
    <col min="6" max="6" width="11.42578125" style="487" bestFit="1" customWidth="1"/>
    <col min="7" max="7" width="11.42578125" style="894" bestFit="1" customWidth="1"/>
    <col min="8" max="8" width="10.85546875" style="894" bestFit="1" customWidth="1"/>
    <col min="9" max="9" width="11.5703125" style="487" bestFit="1" customWidth="1"/>
    <col min="10" max="10" width="10.85546875" style="487" bestFit="1" customWidth="1"/>
    <col min="11" max="16384" width="9.140625" style="487"/>
  </cols>
  <sheetData>
    <row r="1" spans="1:10" s="1090" customFormat="1">
      <c r="A1" s="1089"/>
      <c r="B1" s="202" t="s">
        <v>644</v>
      </c>
      <c r="C1" s="202">
        <f>+B6</f>
        <v>374</v>
      </c>
      <c r="D1" s="891" t="str">
        <f>+D6</f>
        <v>Farmstead Energy Improvement</v>
      </c>
      <c r="E1" s="202" t="str">
        <f>+E6</f>
        <v>Refrigeration, Plate Heat Exchanger</v>
      </c>
      <c r="F1" s="891"/>
      <c r="G1" s="891"/>
      <c r="H1" s="891"/>
      <c r="I1" s="487"/>
      <c r="J1" s="487"/>
    </row>
    <row r="2" spans="1:10" s="1090" customFormat="1">
      <c r="A2" s="1089"/>
      <c r="B2" s="202"/>
      <c r="C2" s="202"/>
      <c r="D2" s="202"/>
      <c r="E2" s="1091"/>
      <c r="F2" s="891"/>
      <c r="G2" s="891"/>
      <c r="H2" s="891"/>
      <c r="I2" s="487"/>
      <c r="J2" s="487"/>
    </row>
    <row r="3" spans="1:10" s="1090" customFormat="1">
      <c r="A3" s="182"/>
      <c r="B3" s="1092" t="s">
        <v>17</v>
      </c>
      <c r="C3" s="209"/>
      <c r="D3" s="209"/>
      <c r="E3" s="182"/>
      <c r="F3" s="182"/>
      <c r="G3" s="182"/>
      <c r="H3" s="182"/>
      <c r="I3" s="182"/>
      <c r="J3" s="182"/>
    </row>
    <row r="4" spans="1:10" s="1090" customFormat="1">
      <c r="A4" s="182"/>
      <c r="B4" s="1093" t="s">
        <v>1</v>
      </c>
      <c r="C4" s="1094" t="s">
        <v>21</v>
      </c>
      <c r="D4" s="1094"/>
      <c r="E4" s="1094"/>
      <c r="F4" s="1095"/>
      <c r="G4" s="1096" t="s">
        <v>12</v>
      </c>
      <c r="H4" s="1097"/>
      <c r="I4" s="1097" t="s">
        <v>621</v>
      </c>
      <c r="J4" s="1097"/>
    </row>
    <row r="5" spans="1:10" s="1090" customFormat="1">
      <c r="A5" s="182"/>
      <c r="B5" s="1098" t="s">
        <v>13</v>
      </c>
      <c r="C5" s="1099" t="s">
        <v>22</v>
      </c>
      <c r="D5" s="1099" t="s">
        <v>497</v>
      </c>
      <c r="E5" s="1099" t="s">
        <v>708</v>
      </c>
      <c r="F5" s="1100" t="s">
        <v>23</v>
      </c>
      <c r="G5" s="1101" t="s">
        <v>14</v>
      </c>
      <c r="H5" s="1102"/>
      <c r="I5" s="1102" t="s">
        <v>622</v>
      </c>
      <c r="J5" s="1102"/>
    </row>
    <row r="6" spans="1:10" s="1106" customFormat="1">
      <c r="A6" s="182"/>
      <c r="B6" s="197">
        <v>374</v>
      </c>
      <c r="C6" s="1103" t="str">
        <f>E10</f>
        <v>EQIP</v>
      </c>
      <c r="D6" s="1104" t="s">
        <v>645</v>
      </c>
      <c r="E6" s="1105" t="s">
        <v>724</v>
      </c>
      <c r="F6" s="198" t="s">
        <v>101</v>
      </c>
      <c r="G6" s="686">
        <f>+H23</f>
        <v>2823.75</v>
      </c>
      <c r="H6" s="202"/>
      <c r="I6" s="202" t="s">
        <v>91</v>
      </c>
      <c r="J6" s="202"/>
    </row>
    <row r="7" spans="1:10" s="1106" customFormat="1">
      <c r="A7" s="182"/>
      <c r="B7" s="203">
        <v>374</v>
      </c>
      <c r="C7" s="1107" t="str">
        <f>G10</f>
        <v>EQIP-HU</v>
      </c>
      <c r="D7" s="1108" t="s">
        <v>645</v>
      </c>
      <c r="E7" s="1105" t="s">
        <v>724</v>
      </c>
      <c r="F7" s="204" t="s">
        <v>101</v>
      </c>
      <c r="G7" s="687">
        <f>J23</f>
        <v>3388.5</v>
      </c>
      <c r="H7" s="202"/>
      <c r="I7" s="182"/>
      <c r="J7" s="202"/>
    </row>
    <row r="8" spans="1:10" s="1106" customFormat="1">
      <c r="A8" s="182"/>
      <c r="B8" s="1109"/>
      <c r="C8" s="1110"/>
      <c r="D8" s="1111"/>
      <c r="E8" s="1112"/>
      <c r="F8" s="497"/>
      <c r="G8" s="1113"/>
      <c r="H8" s="202"/>
      <c r="I8" s="182"/>
      <c r="J8" s="202"/>
    </row>
    <row r="9" spans="1:10" s="1090" customFormat="1">
      <c r="B9" s="1092" t="s">
        <v>18</v>
      </c>
      <c r="C9" s="1114"/>
      <c r="D9" s="182"/>
      <c r="E9" s="182"/>
      <c r="F9" s="182"/>
      <c r="G9" s="182"/>
      <c r="H9" s="182"/>
      <c r="I9" s="182"/>
      <c r="J9" s="182"/>
    </row>
    <row r="10" spans="1:10" s="1090" customFormat="1">
      <c r="B10" s="210"/>
      <c r="C10" s="211"/>
      <c r="D10" s="212"/>
      <c r="E10" s="1115" t="s">
        <v>15</v>
      </c>
      <c r="F10" s="1115" t="s">
        <v>710</v>
      </c>
      <c r="G10" s="1115" t="s">
        <v>31</v>
      </c>
      <c r="H10" s="1115"/>
      <c r="I10" s="1115"/>
      <c r="J10" s="1116"/>
    </row>
    <row r="11" spans="1:10" s="1090" customFormat="1">
      <c r="B11" s="220"/>
      <c r="C11" s="217"/>
      <c r="D11" s="217"/>
      <c r="E11" s="1117" t="s">
        <v>22</v>
      </c>
      <c r="F11" s="1117" t="s">
        <v>22</v>
      </c>
      <c r="G11" s="1117" t="s">
        <v>22</v>
      </c>
      <c r="H11" s="1117" t="str">
        <f>+E10</f>
        <v>EQIP</v>
      </c>
      <c r="I11" s="1117" t="str">
        <f>+F10</f>
        <v>EQIP-LRF</v>
      </c>
      <c r="J11" s="1118" t="str">
        <f>+G10</f>
        <v>EQIP-HU</v>
      </c>
    </row>
    <row r="12" spans="1:10" s="1090" customFormat="1">
      <c r="B12" s="220"/>
      <c r="C12" s="217"/>
      <c r="D12" s="217"/>
      <c r="E12" s="1117" t="s">
        <v>12</v>
      </c>
      <c r="F12" s="1117" t="s">
        <v>12</v>
      </c>
      <c r="G12" s="1117" t="s">
        <v>12</v>
      </c>
      <c r="H12" s="1117" t="s">
        <v>12</v>
      </c>
      <c r="I12" s="1117" t="s">
        <v>12</v>
      </c>
      <c r="J12" s="1118" t="s">
        <v>12</v>
      </c>
    </row>
    <row r="13" spans="1:10" s="1090" customFormat="1">
      <c r="B13" s="1119" t="s">
        <v>16</v>
      </c>
      <c r="C13" s="217"/>
      <c r="D13" s="223" t="s">
        <v>6</v>
      </c>
      <c r="E13" s="1120" t="s">
        <v>24</v>
      </c>
      <c r="F13" s="1120" t="s">
        <v>24</v>
      </c>
      <c r="G13" s="1120" t="s">
        <v>24</v>
      </c>
      <c r="H13" s="1120" t="s">
        <v>14</v>
      </c>
      <c r="I13" s="1120" t="s">
        <v>14</v>
      </c>
      <c r="J13" s="1121" t="s">
        <v>14</v>
      </c>
    </row>
    <row r="14" spans="1:10" s="1090" customFormat="1">
      <c r="B14" s="215" t="s">
        <v>0</v>
      </c>
      <c r="C14" s="217"/>
      <c r="D14" s="688">
        <f>I36</f>
        <v>2725</v>
      </c>
      <c r="E14" s="935">
        <v>0.75</v>
      </c>
      <c r="F14" s="935">
        <v>0.9</v>
      </c>
      <c r="G14" s="935">
        <v>0.9</v>
      </c>
      <c r="H14" s="1122">
        <f t="shared" ref="H14:J22" si="0">+$D14*E14</f>
        <v>2043.75</v>
      </c>
      <c r="I14" s="1122">
        <f t="shared" si="0"/>
        <v>2452.5</v>
      </c>
      <c r="J14" s="1123">
        <f t="shared" si="0"/>
        <v>2452.5</v>
      </c>
    </row>
    <row r="15" spans="1:10" s="1090" customFormat="1">
      <c r="B15" s="215" t="s">
        <v>2</v>
      </c>
      <c r="C15" s="217"/>
      <c r="D15" s="688">
        <f>I45</f>
        <v>1040</v>
      </c>
      <c r="E15" s="935">
        <v>0.75</v>
      </c>
      <c r="F15" s="935">
        <v>0.9</v>
      </c>
      <c r="G15" s="935">
        <v>0.9</v>
      </c>
      <c r="H15" s="1122">
        <f t="shared" si="0"/>
        <v>780</v>
      </c>
      <c r="I15" s="1122">
        <f t="shared" si="0"/>
        <v>936</v>
      </c>
      <c r="J15" s="1123">
        <f t="shared" si="0"/>
        <v>936</v>
      </c>
    </row>
    <row r="16" spans="1:10" s="1090" customFormat="1">
      <c r="B16" s="215" t="s">
        <v>3</v>
      </c>
      <c r="C16" s="217"/>
      <c r="D16" s="688">
        <f>I52</f>
        <v>0</v>
      </c>
      <c r="E16" s="935">
        <v>0.75</v>
      </c>
      <c r="F16" s="935">
        <v>0.9</v>
      </c>
      <c r="G16" s="935">
        <v>0.9</v>
      </c>
      <c r="H16" s="1122">
        <f t="shared" si="0"/>
        <v>0</v>
      </c>
      <c r="I16" s="1122">
        <f t="shared" si="0"/>
        <v>0</v>
      </c>
      <c r="J16" s="1123">
        <f t="shared" si="0"/>
        <v>0</v>
      </c>
    </row>
    <row r="17" spans="2:10" s="1090" customFormat="1">
      <c r="B17" s="215" t="s">
        <v>4</v>
      </c>
      <c r="C17" s="217"/>
      <c r="D17" s="688">
        <f>I55</f>
        <v>0</v>
      </c>
      <c r="E17" s="935">
        <v>0.75</v>
      </c>
      <c r="F17" s="935">
        <v>0.9</v>
      </c>
      <c r="G17" s="935">
        <v>0.9</v>
      </c>
      <c r="H17" s="1122">
        <f t="shared" si="0"/>
        <v>0</v>
      </c>
      <c r="I17" s="1122">
        <f t="shared" si="0"/>
        <v>0</v>
      </c>
      <c r="J17" s="1123">
        <f t="shared" si="0"/>
        <v>0</v>
      </c>
    </row>
    <row r="18" spans="2:10" s="1090" customFormat="1">
      <c r="B18" s="215" t="s">
        <v>26</v>
      </c>
      <c r="C18" s="217"/>
      <c r="D18" s="688">
        <f>I58</f>
        <v>0</v>
      </c>
      <c r="E18" s="935">
        <v>0</v>
      </c>
      <c r="F18" s="935">
        <v>0</v>
      </c>
      <c r="G18" s="935">
        <v>0</v>
      </c>
      <c r="H18" s="1122">
        <f t="shared" si="0"/>
        <v>0</v>
      </c>
      <c r="I18" s="1122">
        <f t="shared" si="0"/>
        <v>0</v>
      </c>
      <c r="J18" s="1123">
        <f t="shared" si="0"/>
        <v>0</v>
      </c>
    </row>
    <row r="19" spans="2:10" s="1090" customFormat="1">
      <c r="B19" s="215" t="s">
        <v>7</v>
      </c>
      <c r="C19" s="217"/>
      <c r="D19" s="688">
        <f>I61</f>
        <v>0</v>
      </c>
      <c r="E19" s="935">
        <v>0.75</v>
      </c>
      <c r="F19" s="935">
        <v>0.9</v>
      </c>
      <c r="G19" s="935">
        <v>0.9</v>
      </c>
      <c r="H19" s="1122">
        <f t="shared" si="0"/>
        <v>0</v>
      </c>
      <c r="I19" s="1122">
        <f t="shared" si="0"/>
        <v>0</v>
      </c>
      <c r="J19" s="1123">
        <f t="shared" si="0"/>
        <v>0</v>
      </c>
    </row>
    <row r="20" spans="2:10" s="1090" customFormat="1">
      <c r="B20" s="215" t="s">
        <v>27</v>
      </c>
      <c r="C20" s="217"/>
      <c r="D20" s="688">
        <f>I64</f>
        <v>0</v>
      </c>
      <c r="E20" s="935">
        <v>1</v>
      </c>
      <c r="F20" s="935">
        <v>1</v>
      </c>
      <c r="G20" s="935">
        <v>1</v>
      </c>
      <c r="H20" s="1122">
        <f t="shared" si="0"/>
        <v>0</v>
      </c>
      <c r="I20" s="1122">
        <f t="shared" si="0"/>
        <v>0</v>
      </c>
      <c r="J20" s="1123">
        <f t="shared" si="0"/>
        <v>0</v>
      </c>
    </row>
    <row r="21" spans="2:10" s="1090" customFormat="1">
      <c r="B21" s="215" t="s">
        <v>5</v>
      </c>
      <c r="C21" s="217"/>
      <c r="D21" s="688">
        <f>I67</f>
        <v>0</v>
      </c>
      <c r="E21" s="935">
        <v>0</v>
      </c>
      <c r="F21" s="935">
        <v>0</v>
      </c>
      <c r="G21" s="935">
        <v>0</v>
      </c>
      <c r="H21" s="1122">
        <f t="shared" si="0"/>
        <v>0</v>
      </c>
      <c r="I21" s="1122">
        <f t="shared" si="0"/>
        <v>0</v>
      </c>
      <c r="J21" s="1123">
        <f t="shared" si="0"/>
        <v>0</v>
      </c>
    </row>
    <row r="22" spans="2:10" s="1090" customFormat="1">
      <c r="B22" s="215" t="s">
        <v>20</v>
      </c>
      <c r="C22" s="217"/>
      <c r="D22" s="691">
        <f>I70</f>
        <v>0</v>
      </c>
      <c r="E22" s="935">
        <v>0</v>
      </c>
      <c r="F22" s="935">
        <v>0</v>
      </c>
      <c r="G22" s="935">
        <v>0</v>
      </c>
      <c r="H22" s="1124">
        <f t="shared" si="0"/>
        <v>0</v>
      </c>
      <c r="I22" s="1124">
        <f t="shared" si="0"/>
        <v>0</v>
      </c>
      <c r="J22" s="1125">
        <f t="shared" si="0"/>
        <v>0</v>
      </c>
    </row>
    <row r="23" spans="2:10" s="1090" customFormat="1">
      <c r="B23" s="1126" t="s">
        <v>19</v>
      </c>
      <c r="C23" s="232"/>
      <c r="D23" s="694">
        <f>SUM(D14:D22)</f>
        <v>3765</v>
      </c>
      <c r="E23" s="1127"/>
      <c r="F23" s="1127"/>
      <c r="G23" s="1127"/>
      <c r="H23" s="1128">
        <f>SUM(H14:H22)</f>
        <v>2823.75</v>
      </c>
      <c r="I23" s="1128">
        <f>SUM(I14:I22)</f>
        <v>3388.5</v>
      </c>
      <c r="J23" s="1129">
        <f>SUM(J14:J22)</f>
        <v>3388.5</v>
      </c>
    </row>
    <row r="24" spans="2:10" s="1090" customFormat="1">
      <c r="E24" s="1130"/>
    </row>
    <row r="25" spans="2:10">
      <c r="B25" s="1131" t="s">
        <v>28</v>
      </c>
    </row>
    <row r="26" spans="2:10">
      <c r="B26" s="946" t="s">
        <v>89</v>
      </c>
      <c r="C26" s="947"/>
      <c r="D26" s="947"/>
      <c r="E26" s="948"/>
      <c r="F26" s="948"/>
      <c r="G26" s="948"/>
      <c r="H26" s="949"/>
      <c r="I26" s="950"/>
    </row>
    <row r="27" spans="2:10" ht="60.75" customHeight="1">
      <c r="B27" s="2175" t="s">
        <v>725</v>
      </c>
      <c r="C27" s="2159"/>
      <c r="D27" s="2159"/>
      <c r="E27" s="2159"/>
      <c r="F27" s="2159"/>
      <c r="G27" s="2159"/>
      <c r="H27" s="2159"/>
      <c r="I27" s="2160"/>
    </row>
    <row r="28" spans="2:10" ht="13.5" customHeight="1">
      <c r="B28" s="251" t="s">
        <v>650</v>
      </c>
      <c r="C28" s="1132"/>
      <c r="D28" s="1133"/>
      <c r="E28" s="1134"/>
      <c r="F28" s="1134"/>
      <c r="G28" s="1134"/>
      <c r="H28" s="1133"/>
      <c r="I28" s="1135"/>
    </row>
    <row r="29" spans="2:10" ht="10.5" customHeight="1">
      <c r="B29" s="251"/>
      <c r="C29" s="1132"/>
      <c r="D29" s="1133"/>
      <c r="E29" s="1134"/>
      <c r="F29" s="1134"/>
      <c r="G29" s="1134"/>
      <c r="H29" s="1133"/>
      <c r="I29" s="1135"/>
    </row>
    <row r="30" spans="2:10">
      <c r="B30" s="955" t="s">
        <v>25</v>
      </c>
      <c r="C30" s="951"/>
      <c r="D30" s="956" t="s">
        <v>91</v>
      </c>
      <c r="E30" s="952"/>
      <c r="F30" s="952"/>
      <c r="G30" s="952"/>
      <c r="H30" s="953"/>
      <c r="I30" s="1136"/>
    </row>
    <row r="31" spans="2:10">
      <c r="B31" s="957"/>
      <c r="C31" s="951"/>
      <c r="D31" s="952"/>
      <c r="E31" s="952"/>
      <c r="F31" s="952"/>
      <c r="G31" s="952"/>
      <c r="H31" s="953"/>
      <c r="I31" s="1136"/>
    </row>
    <row r="32" spans="2:10">
      <c r="B32" s="955" t="s">
        <v>8</v>
      </c>
      <c r="C32" s="951"/>
      <c r="D32" s="956" t="s">
        <v>101</v>
      </c>
      <c r="E32" s="952"/>
      <c r="F32" s="952"/>
      <c r="G32" s="952"/>
      <c r="H32" s="953"/>
      <c r="I32" s="1136"/>
    </row>
    <row r="33" spans="1:10">
      <c r="B33" s="955" t="s">
        <v>9</v>
      </c>
      <c r="C33" s="951"/>
      <c r="D33" s="958">
        <v>10</v>
      </c>
      <c r="E33" s="952"/>
      <c r="F33" s="952"/>
      <c r="G33" s="952"/>
      <c r="H33" s="953"/>
      <c r="I33" s="1136"/>
    </row>
    <row r="34" spans="1:10">
      <c r="B34" s="955" t="s">
        <v>10</v>
      </c>
      <c r="C34" s="952"/>
      <c r="D34" s="960">
        <v>0.05</v>
      </c>
      <c r="E34" s="952"/>
      <c r="F34" s="952"/>
      <c r="G34" s="952"/>
      <c r="H34" s="953"/>
      <c r="I34" s="1137" t="s">
        <v>6</v>
      </c>
    </row>
    <row r="35" spans="1:10">
      <c r="B35" s="962"/>
      <c r="C35" s="952"/>
      <c r="D35" s="952"/>
      <c r="E35" s="963"/>
      <c r="F35" s="952"/>
      <c r="G35" s="952"/>
      <c r="H35" s="953"/>
      <c r="I35" s="1138"/>
    </row>
    <row r="36" spans="1:10">
      <c r="B36" s="964" t="s">
        <v>0</v>
      </c>
      <c r="C36" s="952"/>
      <c r="D36" s="952"/>
      <c r="E36" s="952"/>
      <c r="F36" s="952"/>
      <c r="G36" s="952"/>
      <c r="H36" s="953"/>
      <c r="I36" s="1139">
        <f>D41</f>
        <v>2725</v>
      </c>
    </row>
    <row r="37" spans="1:10">
      <c r="B37" s="980" t="s">
        <v>726</v>
      </c>
      <c r="C37" s="956"/>
      <c r="D37" s="956"/>
      <c r="E37" s="952"/>
      <c r="F37" s="952"/>
      <c r="G37" s="952"/>
      <c r="H37" s="966"/>
      <c r="I37" s="1139"/>
    </row>
    <row r="38" spans="1:10">
      <c r="B38" s="975"/>
      <c r="C38" s="953" t="s">
        <v>727</v>
      </c>
      <c r="D38" s="1140" t="s">
        <v>728</v>
      </c>
      <c r="E38" s="952"/>
      <c r="F38" s="952"/>
      <c r="G38" s="952"/>
      <c r="H38" s="966"/>
      <c r="I38" s="1139"/>
      <c r="J38" s="1141"/>
    </row>
    <row r="39" spans="1:10">
      <c r="B39" s="970"/>
      <c r="C39" s="1142" t="s">
        <v>729</v>
      </c>
      <c r="D39" s="973">
        <v>2300</v>
      </c>
      <c r="E39" s="1143"/>
      <c r="F39" s="952"/>
      <c r="G39" s="952"/>
      <c r="H39" s="966"/>
      <c r="I39" s="1139"/>
      <c r="J39" s="1141"/>
    </row>
    <row r="40" spans="1:10">
      <c r="B40" s="972"/>
      <c r="C40" s="1144" t="s">
        <v>730</v>
      </c>
      <c r="D40" s="973">
        <v>3150</v>
      </c>
      <c r="E40" s="1143"/>
      <c r="F40" s="952"/>
      <c r="G40" s="952"/>
      <c r="H40" s="966"/>
      <c r="I40" s="1139"/>
      <c r="J40" s="1145"/>
    </row>
    <row r="41" spans="1:10">
      <c r="B41" s="972"/>
      <c r="C41" s="1140" t="s">
        <v>721</v>
      </c>
      <c r="D41" s="973">
        <f>AVERAGE(D39:D40)</f>
        <v>2725</v>
      </c>
      <c r="E41" s="1143"/>
      <c r="F41" s="952"/>
      <c r="G41" s="952"/>
      <c r="H41" s="966"/>
      <c r="I41" s="1139"/>
      <c r="J41" s="1145"/>
    </row>
    <row r="42" spans="1:10">
      <c r="B42" s="972"/>
      <c r="C42" s="1140"/>
      <c r="D42" s="974"/>
      <c r="E42" s="952"/>
      <c r="F42" s="952"/>
      <c r="G42" s="952"/>
      <c r="H42" s="966"/>
      <c r="I42" s="1139"/>
      <c r="J42" s="1145"/>
    </row>
    <row r="43" spans="1:10">
      <c r="B43" s="1146"/>
      <c r="C43" s="1140"/>
      <c r="D43" s="973"/>
      <c r="E43" s="952"/>
      <c r="F43" s="952"/>
      <c r="G43" s="952"/>
      <c r="H43" s="966"/>
      <c r="I43" s="1139"/>
    </row>
    <row r="44" spans="1:10">
      <c r="B44" s="957"/>
      <c r="C44" s="952"/>
      <c r="D44" s="1147"/>
      <c r="E44" s="952"/>
      <c r="F44" s="952"/>
      <c r="G44" s="952"/>
      <c r="H44" s="966"/>
      <c r="I44" s="1139"/>
    </row>
    <row r="45" spans="1:10" s="1149" customFormat="1">
      <c r="A45" s="487"/>
      <c r="B45" s="964" t="s">
        <v>2</v>
      </c>
      <c r="C45" s="978"/>
      <c r="D45" s="952" t="s">
        <v>627</v>
      </c>
      <c r="E45" s="952"/>
      <c r="F45" s="952"/>
      <c r="G45" s="952"/>
      <c r="H45" s="953"/>
      <c r="I45" s="1148">
        <f>D50</f>
        <v>1040</v>
      </c>
      <c r="J45" s="487"/>
    </row>
    <row r="46" spans="1:10" s="1149" customFormat="1">
      <c r="A46" s="487"/>
      <c r="B46" s="980" t="s">
        <v>706</v>
      </c>
      <c r="C46" s="952"/>
      <c r="D46" s="952"/>
      <c r="E46" s="952"/>
      <c r="F46" s="952"/>
      <c r="G46" s="952"/>
      <c r="H46" s="953"/>
      <c r="I46" s="1136"/>
      <c r="J46" s="487"/>
    </row>
    <row r="47" spans="1:10" s="1149" customFormat="1">
      <c r="A47" s="487"/>
      <c r="B47" s="980"/>
      <c r="C47" s="953" t="s">
        <v>727</v>
      </c>
      <c r="D47" s="1140" t="s">
        <v>731</v>
      </c>
      <c r="E47" s="952"/>
      <c r="F47" s="952"/>
      <c r="G47" s="952"/>
      <c r="H47" s="953"/>
      <c r="I47" s="1136"/>
      <c r="J47" s="487"/>
    </row>
    <row r="48" spans="1:10" s="1149" customFormat="1">
      <c r="A48" s="487"/>
      <c r="B48" s="980"/>
      <c r="C48" s="1142" t="s">
        <v>729</v>
      </c>
      <c r="D48" s="973">
        <v>1040</v>
      </c>
      <c r="E48" s="952"/>
      <c r="F48" s="952"/>
      <c r="G48" s="952"/>
      <c r="H48" s="953"/>
      <c r="I48" s="1136"/>
      <c r="J48" s="487"/>
    </row>
    <row r="49" spans="1:10" s="1149" customFormat="1">
      <c r="A49" s="487"/>
      <c r="B49" s="980"/>
      <c r="C49" s="1144" t="s">
        <v>730</v>
      </c>
      <c r="D49" s="973">
        <v>1040</v>
      </c>
      <c r="E49" s="952"/>
      <c r="F49" s="952"/>
      <c r="G49" s="952"/>
      <c r="H49" s="953"/>
      <c r="I49" s="1136"/>
      <c r="J49" s="487"/>
    </row>
    <row r="50" spans="1:10" s="1149" customFormat="1">
      <c r="A50" s="487"/>
      <c r="B50" s="980"/>
      <c r="C50" s="1140" t="s">
        <v>721</v>
      </c>
      <c r="D50" s="973">
        <f>AVERAGE(D48:D49)</f>
        <v>1040</v>
      </c>
      <c r="E50" s="952"/>
      <c r="F50" s="952"/>
      <c r="G50" s="952"/>
      <c r="H50" s="953"/>
      <c r="I50" s="1136"/>
      <c r="J50" s="487"/>
    </row>
    <row r="51" spans="1:10" s="1149" customFormat="1">
      <c r="A51" s="487"/>
      <c r="B51" s="980"/>
      <c r="C51" s="952"/>
      <c r="D51" s="952"/>
      <c r="E51" s="952"/>
      <c r="F51" s="952"/>
      <c r="G51" s="952"/>
      <c r="H51" s="953"/>
      <c r="I51" s="1136"/>
      <c r="J51" s="487"/>
    </row>
    <row r="52" spans="1:10" s="1149" customFormat="1">
      <c r="A52" s="487"/>
      <c r="B52" s="964" t="s">
        <v>3</v>
      </c>
      <c r="C52" s="952"/>
      <c r="D52" s="952"/>
      <c r="E52" s="952"/>
      <c r="F52" s="952"/>
      <c r="G52" s="952"/>
      <c r="H52" s="953"/>
      <c r="I52" s="1148">
        <v>0</v>
      </c>
      <c r="J52" s="487"/>
    </row>
    <row r="53" spans="1:10" s="1149" customFormat="1">
      <c r="A53" s="487"/>
      <c r="B53" s="980" t="s">
        <v>707</v>
      </c>
      <c r="C53" s="952"/>
      <c r="D53" s="952"/>
      <c r="E53" s="952"/>
      <c r="F53" s="952"/>
      <c r="G53" s="952"/>
      <c r="H53" s="953"/>
      <c r="I53" s="1136"/>
      <c r="J53" s="487"/>
    </row>
    <row r="54" spans="1:10" s="1149" customFormat="1">
      <c r="A54" s="487"/>
      <c r="B54" s="980"/>
      <c r="C54" s="952"/>
      <c r="D54" s="952"/>
      <c r="E54" s="952"/>
      <c r="F54" s="952"/>
      <c r="G54" s="952"/>
      <c r="H54" s="953"/>
      <c r="I54" s="1136"/>
      <c r="J54" s="487"/>
    </row>
    <row r="55" spans="1:10" s="1149" customFormat="1">
      <c r="A55" s="487"/>
      <c r="B55" s="964" t="s">
        <v>4</v>
      </c>
      <c r="C55" s="952"/>
      <c r="D55" s="952"/>
      <c r="E55" s="952"/>
      <c r="F55" s="952"/>
      <c r="G55" s="952"/>
      <c r="H55" s="953"/>
      <c r="I55" s="1150">
        <v>0</v>
      </c>
      <c r="J55" s="487"/>
    </row>
    <row r="56" spans="1:10" s="1149" customFormat="1">
      <c r="A56" s="487"/>
      <c r="B56" s="980" t="s">
        <v>103</v>
      </c>
      <c r="C56" s="952"/>
      <c r="D56" s="952"/>
      <c r="E56" s="952"/>
      <c r="F56" s="952"/>
      <c r="G56" s="952"/>
      <c r="H56" s="953"/>
      <c r="I56" s="1136"/>
      <c r="J56" s="487"/>
    </row>
    <row r="57" spans="1:10" s="1149" customFormat="1">
      <c r="A57" s="487"/>
      <c r="B57" s="980"/>
      <c r="C57" s="952"/>
      <c r="D57" s="952"/>
      <c r="E57" s="952"/>
      <c r="F57" s="952"/>
      <c r="G57" s="952"/>
      <c r="H57" s="953"/>
      <c r="I57" s="1136"/>
      <c r="J57" s="487"/>
    </row>
    <row r="58" spans="1:10" s="1149" customFormat="1">
      <c r="A58" s="487"/>
      <c r="B58" s="964" t="s">
        <v>26</v>
      </c>
      <c r="C58" s="952"/>
      <c r="D58" s="952"/>
      <c r="E58" s="952"/>
      <c r="F58" s="952"/>
      <c r="G58" s="952"/>
      <c r="H58" s="953"/>
      <c r="I58" s="1150">
        <v>0</v>
      </c>
      <c r="J58" s="487"/>
    </row>
    <row r="59" spans="1:10" s="1149" customFormat="1">
      <c r="A59" s="487"/>
      <c r="B59" s="980" t="s">
        <v>103</v>
      </c>
      <c r="C59" s="952"/>
      <c r="D59" s="977"/>
      <c r="E59" s="952"/>
      <c r="F59" s="952"/>
      <c r="G59" s="952"/>
      <c r="H59" s="953"/>
      <c r="I59" s="1136"/>
      <c r="J59" s="487"/>
    </row>
    <row r="60" spans="1:10" s="1149" customFormat="1">
      <c r="A60" s="487"/>
      <c r="B60" s="980"/>
      <c r="C60" s="952"/>
      <c r="D60" s="952"/>
      <c r="E60" s="952"/>
      <c r="F60" s="952"/>
      <c r="G60" s="952"/>
      <c r="H60" s="953"/>
      <c r="I60" s="1136"/>
      <c r="J60" s="487"/>
    </row>
    <row r="61" spans="1:10" s="1149" customFormat="1">
      <c r="A61" s="487"/>
      <c r="B61" s="964" t="s">
        <v>507</v>
      </c>
      <c r="C61" s="952"/>
      <c r="D61" s="952"/>
      <c r="E61" s="952"/>
      <c r="F61" s="952"/>
      <c r="G61" s="952"/>
      <c r="H61" s="953"/>
      <c r="I61" s="1148">
        <v>0</v>
      </c>
      <c r="J61" s="487"/>
    </row>
    <row r="62" spans="1:10" s="1149" customFormat="1">
      <c r="A62" s="487"/>
      <c r="B62" s="980" t="s">
        <v>671</v>
      </c>
      <c r="C62" s="952"/>
      <c r="D62" s="952"/>
      <c r="E62" s="952"/>
      <c r="F62" s="952"/>
      <c r="G62" s="952"/>
      <c r="H62" s="953"/>
      <c r="I62" s="1136"/>
      <c r="J62" s="487"/>
    </row>
    <row r="63" spans="1:10" s="1149" customFormat="1">
      <c r="A63" s="487"/>
      <c r="B63" s="980"/>
      <c r="C63" s="952"/>
      <c r="D63" s="952"/>
      <c r="E63" s="952"/>
      <c r="F63" s="952"/>
      <c r="G63" s="952"/>
      <c r="H63" s="953"/>
      <c r="I63" s="1136"/>
      <c r="J63" s="487"/>
    </row>
    <row r="64" spans="1:10" s="1149" customFormat="1">
      <c r="A64" s="487"/>
      <c r="B64" s="964" t="s">
        <v>27</v>
      </c>
      <c r="C64" s="952"/>
      <c r="D64" s="952"/>
      <c r="E64" s="952"/>
      <c r="F64" s="952"/>
      <c r="G64" s="952"/>
      <c r="H64" s="953"/>
      <c r="I64" s="1148">
        <v>0</v>
      </c>
      <c r="J64" s="487"/>
    </row>
    <row r="65" spans="1:10" s="1149" customFormat="1">
      <c r="A65" s="487"/>
      <c r="B65" s="980" t="s">
        <v>672</v>
      </c>
      <c r="C65" s="952"/>
      <c r="D65" s="952"/>
      <c r="E65" s="952"/>
      <c r="F65" s="952"/>
      <c r="G65" s="952"/>
      <c r="H65" s="953"/>
      <c r="I65" s="1139"/>
      <c r="J65" s="487"/>
    </row>
    <row r="66" spans="1:10" s="1149" customFormat="1">
      <c r="A66" s="487"/>
      <c r="B66" s="957"/>
      <c r="C66" s="952"/>
      <c r="D66" s="952"/>
      <c r="E66" s="952"/>
      <c r="F66" s="952"/>
      <c r="G66" s="952"/>
      <c r="H66" s="953"/>
      <c r="I66" s="1136"/>
      <c r="J66" s="487"/>
    </row>
    <row r="67" spans="1:10" s="1149" customFormat="1">
      <c r="A67" s="487"/>
      <c r="B67" s="964" t="s">
        <v>5</v>
      </c>
      <c r="C67" s="952"/>
      <c r="D67" s="952"/>
      <c r="E67" s="952"/>
      <c r="F67" s="952"/>
      <c r="G67" s="952"/>
      <c r="H67" s="953"/>
      <c r="I67" s="1148">
        <v>0</v>
      </c>
      <c r="J67" s="487"/>
    </row>
    <row r="68" spans="1:10" s="1149" customFormat="1">
      <c r="A68" s="487"/>
      <c r="B68" s="980" t="s">
        <v>672</v>
      </c>
      <c r="C68" s="952"/>
      <c r="D68" s="952"/>
      <c r="E68" s="952"/>
      <c r="F68" s="952"/>
      <c r="G68" s="952"/>
      <c r="H68" s="953"/>
      <c r="I68" s="1139"/>
      <c r="J68" s="487"/>
    </row>
    <row r="69" spans="1:10" s="1149" customFormat="1">
      <c r="A69" s="487"/>
      <c r="B69" s="980"/>
      <c r="C69" s="952"/>
      <c r="D69" s="952"/>
      <c r="E69" s="952"/>
      <c r="F69" s="952"/>
      <c r="G69" s="952"/>
      <c r="H69" s="953"/>
      <c r="I69" s="1139"/>
      <c r="J69" s="487"/>
    </row>
    <row r="70" spans="1:10" s="1149" customFormat="1">
      <c r="A70" s="487"/>
      <c r="B70" s="964" t="s">
        <v>20</v>
      </c>
      <c r="C70" s="952"/>
      <c r="D70" s="952"/>
      <c r="E70" s="952"/>
      <c r="F70" s="952"/>
      <c r="G70" s="952"/>
      <c r="H70" s="953"/>
      <c r="I70" s="1148">
        <v>0</v>
      </c>
      <c r="J70" s="487"/>
    </row>
    <row r="71" spans="1:10" s="1149" customFormat="1">
      <c r="A71" s="487"/>
      <c r="B71" s="980" t="s">
        <v>672</v>
      </c>
      <c r="C71" s="952"/>
      <c r="D71" s="952"/>
      <c r="E71" s="952"/>
      <c r="F71" s="952"/>
      <c r="G71" s="952"/>
      <c r="H71" s="953"/>
      <c r="I71" s="1136"/>
      <c r="J71" s="487"/>
    </row>
    <row r="72" spans="1:10" s="1149" customFormat="1">
      <c r="A72" s="487"/>
      <c r="B72" s="962"/>
      <c r="C72" s="952"/>
      <c r="D72" s="952"/>
      <c r="E72" s="952"/>
      <c r="F72" s="952"/>
      <c r="G72" s="952"/>
      <c r="H72" s="953"/>
      <c r="I72" s="1136"/>
      <c r="J72" s="487"/>
    </row>
    <row r="73" spans="1:10" s="1149" customFormat="1">
      <c r="A73" s="487"/>
      <c r="B73" s="982" t="s">
        <v>11</v>
      </c>
      <c r="C73" s="952"/>
      <c r="D73" s="952"/>
      <c r="E73" s="952"/>
      <c r="F73" s="952"/>
      <c r="G73" s="952"/>
      <c r="H73" s="953"/>
      <c r="I73" s="1139">
        <f>+I70+I67+I64+I61+I58+I55+I52+I45+I36</f>
        <v>3765</v>
      </c>
      <c r="J73" s="487"/>
    </row>
    <row r="74" spans="1:10" s="1149" customFormat="1">
      <c r="A74" s="487"/>
      <c r="B74" s="983"/>
      <c r="C74" s="984"/>
      <c r="D74" s="984"/>
      <c r="E74" s="984"/>
      <c r="F74" s="984"/>
      <c r="G74" s="984"/>
      <c r="H74" s="985"/>
      <c r="I74" s="986"/>
      <c r="J74" s="487"/>
    </row>
    <row r="75" spans="1:10" s="1149" customFormat="1">
      <c r="A75" s="487"/>
      <c r="B75" s="487"/>
      <c r="C75" s="1151"/>
      <c r="D75" s="487"/>
      <c r="E75" s="487"/>
      <c r="F75" s="487"/>
      <c r="G75" s="894"/>
      <c r="H75" s="894"/>
      <c r="I75" s="487"/>
      <c r="J75" s="487"/>
    </row>
  </sheetData>
  <mergeCells count="1">
    <mergeCell ref="B27:I27"/>
  </mergeCells>
  <pageMargins left="0.25" right="0.25" top="0.5" bottom="0.75" header="0.5" footer="0.25"/>
  <pageSetup scale="92" fitToHeight="0" orientation="landscape" r:id="rId1"/>
  <headerFooter alignWithMargins="0">
    <oddFooter>&amp;L&amp;"Garamond,Regular"&amp;10&amp;F
&amp;A
&amp;D (printed)&amp;R&amp;11&amp;P/&amp;N</oddFooter>
  </headerFooter>
  <rowBreaks count="1" manualBreakCount="1">
    <brk id="30" max="9" man="1"/>
  </rowBreaks>
  <colBreaks count="2" manualBreakCount="2">
    <brk id="1" max="73" man="1"/>
    <brk id="9" max="1048575" man="1"/>
  </colBreaks>
</worksheet>
</file>

<file path=xl/worksheets/sheet108.xml><?xml version="1.0" encoding="utf-8"?>
<worksheet xmlns="http://schemas.openxmlformats.org/spreadsheetml/2006/main" xmlns:r="http://schemas.openxmlformats.org/officeDocument/2006/relationships">
  <sheetPr>
    <pageSetUpPr fitToPage="1"/>
  </sheetPr>
  <dimension ref="A1:J73"/>
  <sheetViews>
    <sheetView zoomScale="105" zoomScaleNormal="105" workbookViewId="0">
      <selection activeCell="J28" sqref="J28"/>
    </sheetView>
  </sheetViews>
  <sheetFormatPr defaultRowHeight="12.75"/>
  <cols>
    <col min="1" max="1" width="2.7109375" style="487" customWidth="1"/>
    <col min="2" max="2" width="15.28515625" style="487" customWidth="1"/>
    <col min="3" max="3" width="13.5703125" style="487" bestFit="1" customWidth="1"/>
    <col min="4" max="4" width="27.7109375" style="487" bestFit="1" customWidth="1"/>
    <col min="5" max="5" width="32.28515625" style="487" bestFit="1" customWidth="1"/>
    <col min="6" max="6" width="11.42578125" style="487" bestFit="1" customWidth="1"/>
    <col min="7" max="7" width="11.42578125" style="894" bestFit="1" customWidth="1"/>
    <col min="8" max="8" width="10.85546875" style="894" bestFit="1" customWidth="1"/>
    <col min="9" max="9" width="11.5703125" style="487" bestFit="1" customWidth="1"/>
    <col min="10" max="10" width="10.85546875" style="487" bestFit="1" customWidth="1"/>
    <col min="11" max="16384" width="9.140625" style="487"/>
  </cols>
  <sheetData>
    <row r="1" spans="1:10" s="1090" customFormat="1">
      <c r="A1" s="1089"/>
      <c r="B1" s="202" t="s">
        <v>644</v>
      </c>
      <c r="C1" s="202">
        <f>+B6</f>
        <v>374</v>
      </c>
      <c r="D1" s="891" t="str">
        <f>+D6</f>
        <v>Farmstead Energy Improvement</v>
      </c>
      <c r="E1" s="202" t="str">
        <f>+E6</f>
        <v>Refrigeration, Scroll Compressor</v>
      </c>
      <c r="F1" s="891"/>
      <c r="G1" s="891"/>
      <c r="H1" s="891"/>
      <c r="I1" s="487"/>
      <c r="J1" s="487"/>
    </row>
    <row r="2" spans="1:10" s="1090" customFormat="1">
      <c r="A2" s="1089"/>
      <c r="B2" s="202"/>
      <c r="C2" s="202"/>
      <c r="D2" s="202"/>
      <c r="E2" s="1091"/>
      <c r="F2" s="891"/>
      <c r="G2" s="891"/>
      <c r="H2" s="891"/>
      <c r="I2" s="487"/>
      <c r="J2" s="487"/>
    </row>
    <row r="3" spans="1:10" s="1090" customFormat="1">
      <c r="A3" s="182"/>
      <c r="B3" s="1092" t="s">
        <v>17</v>
      </c>
      <c r="C3" s="209"/>
      <c r="D3" s="209"/>
      <c r="E3" s="182"/>
      <c r="F3" s="182"/>
      <c r="G3" s="182"/>
      <c r="H3" s="182"/>
      <c r="I3" s="182"/>
      <c r="J3" s="182"/>
    </row>
    <row r="4" spans="1:10" s="1090" customFormat="1">
      <c r="A4" s="182"/>
      <c r="B4" s="1093" t="s">
        <v>1</v>
      </c>
      <c r="C4" s="1094" t="s">
        <v>21</v>
      </c>
      <c r="D4" s="1094"/>
      <c r="E4" s="1094"/>
      <c r="F4" s="1095"/>
      <c r="G4" s="1096" t="s">
        <v>12</v>
      </c>
      <c r="H4" s="1097"/>
      <c r="I4" s="1097" t="s">
        <v>621</v>
      </c>
      <c r="J4" s="1097"/>
    </row>
    <row r="5" spans="1:10" s="1090" customFormat="1">
      <c r="A5" s="182"/>
      <c r="B5" s="1098" t="s">
        <v>13</v>
      </c>
      <c r="C5" s="1099" t="s">
        <v>22</v>
      </c>
      <c r="D5" s="1099" t="s">
        <v>497</v>
      </c>
      <c r="E5" s="1099" t="s">
        <v>708</v>
      </c>
      <c r="F5" s="1100" t="s">
        <v>23</v>
      </c>
      <c r="G5" s="1101" t="s">
        <v>14</v>
      </c>
      <c r="H5" s="1102"/>
      <c r="I5" s="1102" t="s">
        <v>622</v>
      </c>
      <c r="J5" s="1102"/>
    </row>
    <row r="6" spans="1:10" s="1106" customFormat="1">
      <c r="A6" s="182"/>
      <c r="B6" s="197">
        <v>374</v>
      </c>
      <c r="C6" s="1103" t="str">
        <f>E11</f>
        <v>EQIP</v>
      </c>
      <c r="D6" s="1104" t="s">
        <v>645</v>
      </c>
      <c r="E6" s="1105" t="s">
        <v>732</v>
      </c>
      <c r="F6" s="198" t="str">
        <f>D33</f>
        <v>HP</v>
      </c>
      <c r="G6" s="686">
        <f>+H24</f>
        <v>329.25</v>
      </c>
      <c r="H6" s="202"/>
      <c r="I6" s="202" t="s">
        <v>91</v>
      </c>
      <c r="J6" s="202"/>
    </row>
    <row r="7" spans="1:10" s="1106" customFormat="1">
      <c r="A7" s="182"/>
      <c r="B7" s="197">
        <v>374</v>
      </c>
      <c r="C7" s="1103" t="str">
        <f>+F11</f>
        <v>EQIP-LRF</v>
      </c>
      <c r="D7" s="1104" t="s">
        <v>645</v>
      </c>
      <c r="E7" s="1105" t="s">
        <v>733</v>
      </c>
      <c r="F7" s="198" t="str">
        <f>D33</f>
        <v>HP</v>
      </c>
      <c r="G7" s="686">
        <f>I24</f>
        <v>395.1</v>
      </c>
      <c r="H7" s="202"/>
      <c r="I7" s="182"/>
      <c r="J7" s="202"/>
    </row>
    <row r="8" spans="1:10" s="1106" customFormat="1">
      <c r="A8" s="182"/>
      <c r="B8" s="203">
        <v>374</v>
      </c>
      <c r="C8" s="1107" t="str">
        <f>G11</f>
        <v>EQIP-HU</v>
      </c>
      <c r="D8" s="1108" t="s">
        <v>645</v>
      </c>
      <c r="E8" s="1152" t="s">
        <v>734</v>
      </c>
      <c r="F8" s="204" t="str">
        <f>D33</f>
        <v>HP</v>
      </c>
      <c r="G8" s="687">
        <f>J24</f>
        <v>395.1</v>
      </c>
      <c r="H8" s="202"/>
      <c r="I8" s="182"/>
      <c r="J8" s="202"/>
    </row>
    <row r="9" spans="1:10" s="1106" customFormat="1">
      <c r="A9" s="182"/>
      <c r="B9" s="1109"/>
      <c r="C9" s="1110"/>
      <c r="D9" s="1111"/>
      <c r="E9" s="1112"/>
      <c r="F9" s="497"/>
      <c r="G9" s="1113"/>
      <c r="H9" s="202"/>
      <c r="I9" s="182"/>
      <c r="J9" s="202"/>
    </row>
    <row r="10" spans="1:10" s="1090" customFormat="1">
      <c r="B10" s="1092" t="s">
        <v>18</v>
      </c>
      <c r="C10" s="1114"/>
      <c r="D10" s="182"/>
      <c r="E10" s="182"/>
      <c r="F10" s="182"/>
      <c r="G10" s="182"/>
      <c r="H10" s="182"/>
      <c r="I10" s="182"/>
      <c r="J10" s="182"/>
    </row>
    <row r="11" spans="1:10" s="1090" customFormat="1">
      <c r="B11" s="210"/>
      <c r="C11" s="211"/>
      <c r="D11" s="212"/>
      <c r="E11" s="1115" t="s">
        <v>15</v>
      </c>
      <c r="F11" s="1115" t="s">
        <v>710</v>
      </c>
      <c r="G11" s="1115" t="s">
        <v>31</v>
      </c>
      <c r="H11" s="1115"/>
      <c r="I11" s="1115"/>
      <c r="J11" s="1116"/>
    </row>
    <row r="12" spans="1:10" s="1090" customFormat="1">
      <c r="B12" s="220"/>
      <c r="C12" s="217"/>
      <c r="D12" s="217"/>
      <c r="E12" s="1117" t="s">
        <v>22</v>
      </c>
      <c r="F12" s="1117" t="s">
        <v>22</v>
      </c>
      <c r="G12" s="1117" t="s">
        <v>22</v>
      </c>
      <c r="H12" s="1117" t="str">
        <f>+E11</f>
        <v>EQIP</v>
      </c>
      <c r="I12" s="1117" t="str">
        <f>+F11</f>
        <v>EQIP-LRF</v>
      </c>
      <c r="J12" s="1118" t="str">
        <f>+G11</f>
        <v>EQIP-HU</v>
      </c>
    </row>
    <row r="13" spans="1:10" s="1090" customFormat="1">
      <c r="B13" s="220"/>
      <c r="C13" s="217"/>
      <c r="D13" s="217"/>
      <c r="E13" s="1117" t="s">
        <v>12</v>
      </c>
      <c r="F13" s="1117" t="s">
        <v>12</v>
      </c>
      <c r="G13" s="1117" t="s">
        <v>12</v>
      </c>
      <c r="H13" s="1117" t="s">
        <v>12</v>
      </c>
      <c r="I13" s="1117" t="s">
        <v>12</v>
      </c>
      <c r="J13" s="1118" t="s">
        <v>12</v>
      </c>
    </row>
    <row r="14" spans="1:10" s="1090" customFormat="1">
      <c r="B14" s="1119" t="s">
        <v>16</v>
      </c>
      <c r="C14" s="217"/>
      <c r="D14" s="223" t="s">
        <v>6</v>
      </c>
      <c r="E14" s="1120" t="s">
        <v>24</v>
      </c>
      <c r="F14" s="1120" t="s">
        <v>24</v>
      </c>
      <c r="G14" s="1120" t="s">
        <v>24</v>
      </c>
      <c r="H14" s="1120" t="s">
        <v>14</v>
      </c>
      <c r="I14" s="1120" t="s">
        <v>14</v>
      </c>
      <c r="J14" s="1121" t="s">
        <v>14</v>
      </c>
    </row>
    <row r="15" spans="1:10" s="1090" customFormat="1">
      <c r="B15" s="215" t="s">
        <v>0</v>
      </c>
      <c r="C15" s="217"/>
      <c r="D15" s="688">
        <f>I37</f>
        <v>439</v>
      </c>
      <c r="E15" s="935">
        <v>0.75</v>
      </c>
      <c r="F15" s="935">
        <v>0.9</v>
      </c>
      <c r="G15" s="935">
        <v>0.9</v>
      </c>
      <c r="H15" s="1122">
        <f t="shared" ref="H15:J23" si="0">+$D15*E15</f>
        <v>329.25</v>
      </c>
      <c r="I15" s="1122">
        <f t="shared" si="0"/>
        <v>395.1</v>
      </c>
      <c r="J15" s="1123">
        <f t="shared" si="0"/>
        <v>395.1</v>
      </c>
    </row>
    <row r="16" spans="1:10" s="1090" customFormat="1">
      <c r="B16" s="215" t="s">
        <v>2</v>
      </c>
      <c r="C16" s="217"/>
      <c r="D16" s="688">
        <f>I47</f>
        <v>0</v>
      </c>
      <c r="E16" s="935">
        <v>0.75</v>
      </c>
      <c r="F16" s="935">
        <v>0.9</v>
      </c>
      <c r="G16" s="935">
        <v>0.9</v>
      </c>
      <c r="H16" s="1122">
        <f t="shared" si="0"/>
        <v>0</v>
      </c>
      <c r="I16" s="1122">
        <f t="shared" si="0"/>
        <v>0</v>
      </c>
      <c r="J16" s="1123">
        <f t="shared" si="0"/>
        <v>0</v>
      </c>
    </row>
    <row r="17" spans="2:10" s="1090" customFormat="1">
      <c r="B17" s="215" t="s">
        <v>3</v>
      </c>
      <c r="C17" s="217"/>
      <c r="D17" s="688">
        <f>I50</f>
        <v>0</v>
      </c>
      <c r="E17" s="935">
        <v>0.75</v>
      </c>
      <c r="F17" s="935">
        <v>0.9</v>
      </c>
      <c r="G17" s="935">
        <v>0.9</v>
      </c>
      <c r="H17" s="1122">
        <f t="shared" si="0"/>
        <v>0</v>
      </c>
      <c r="I17" s="1122">
        <f t="shared" si="0"/>
        <v>0</v>
      </c>
      <c r="J17" s="1123">
        <f t="shared" si="0"/>
        <v>0</v>
      </c>
    </row>
    <row r="18" spans="2:10" s="1090" customFormat="1">
      <c r="B18" s="215" t="s">
        <v>4</v>
      </c>
      <c r="C18" s="217"/>
      <c r="D18" s="688">
        <f>I53</f>
        <v>0</v>
      </c>
      <c r="E18" s="935">
        <v>0.75</v>
      </c>
      <c r="F18" s="935">
        <v>0.9</v>
      </c>
      <c r="G18" s="935">
        <v>0.9</v>
      </c>
      <c r="H18" s="1122">
        <f t="shared" si="0"/>
        <v>0</v>
      </c>
      <c r="I18" s="1122">
        <f t="shared" si="0"/>
        <v>0</v>
      </c>
      <c r="J18" s="1123">
        <f t="shared" si="0"/>
        <v>0</v>
      </c>
    </row>
    <row r="19" spans="2:10" s="1090" customFormat="1">
      <c r="B19" s="215" t="s">
        <v>26</v>
      </c>
      <c r="C19" s="217"/>
      <c r="D19" s="688">
        <f>I56</f>
        <v>0</v>
      </c>
      <c r="E19" s="935">
        <v>0</v>
      </c>
      <c r="F19" s="935">
        <v>0</v>
      </c>
      <c r="G19" s="935">
        <v>0</v>
      </c>
      <c r="H19" s="1122">
        <f t="shared" si="0"/>
        <v>0</v>
      </c>
      <c r="I19" s="1122">
        <f t="shared" si="0"/>
        <v>0</v>
      </c>
      <c r="J19" s="1123">
        <f t="shared" si="0"/>
        <v>0</v>
      </c>
    </row>
    <row r="20" spans="2:10" s="1090" customFormat="1">
      <c r="B20" s="215" t="s">
        <v>7</v>
      </c>
      <c r="C20" s="217"/>
      <c r="D20" s="688">
        <f>I59</f>
        <v>0</v>
      </c>
      <c r="E20" s="935">
        <v>0.75</v>
      </c>
      <c r="F20" s="935">
        <v>0.9</v>
      </c>
      <c r="G20" s="935">
        <v>0.9</v>
      </c>
      <c r="H20" s="1122">
        <f t="shared" si="0"/>
        <v>0</v>
      </c>
      <c r="I20" s="1122">
        <f t="shared" si="0"/>
        <v>0</v>
      </c>
      <c r="J20" s="1123">
        <f t="shared" si="0"/>
        <v>0</v>
      </c>
    </row>
    <row r="21" spans="2:10" s="1090" customFormat="1">
      <c r="B21" s="215" t="s">
        <v>27</v>
      </c>
      <c r="C21" s="217"/>
      <c r="D21" s="688">
        <f>I62</f>
        <v>0</v>
      </c>
      <c r="E21" s="935">
        <v>1</v>
      </c>
      <c r="F21" s="935">
        <v>1</v>
      </c>
      <c r="G21" s="935">
        <v>1</v>
      </c>
      <c r="H21" s="1122">
        <f t="shared" si="0"/>
        <v>0</v>
      </c>
      <c r="I21" s="1122">
        <f t="shared" si="0"/>
        <v>0</v>
      </c>
      <c r="J21" s="1123">
        <f t="shared" si="0"/>
        <v>0</v>
      </c>
    </row>
    <row r="22" spans="2:10" s="1090" customFormat="1">
      <c r="B22" s="215" t="s">
        <v>5</v>
      </c>
      <c r="C22" s="217"/>
      <c r="D22" s="688">
        <f>I65</f>
        <v>0</v>
      </c>
      <c r="E22" s="935">
        <v>0</v>
      </c>
      <c r="F22" s="935">
        <v>0</v>
      </c>
      <c r="G22" s="935">
        <v>0</v>
      </c>
      <c r="H22" s="1122">
        <f t="shared" si="0"/>
        <v>0</v>
      </c>
      <c r="I22" s="1122">
        <f t="shared" si="0"/>
        <v>0</v>
      </c>
      <c r="J22" s="1123">
        <f t="shared" si="0"/>
        <v>0</v>
      </c>
    </row>
    <row r="23" spans="2:10" s="1090" customFormat="1">
      <c r="B23" s="215" t="s">
        <v>20</v>
      </c>
      <c r="C23" s="217"/>
      <c r="D23" s="691">
        <f>I68</f>
        <v>0</v>
      </c>
      <c r="E23" s="935">
        <v>0</v>
      </c>
      <c r="F23" s="935">
        <v>0</v>
      </c>
      <c r="G23" s="935">
        <v>0</v>
      </c>
      <c r="H23" s="1124">
        <f t="shared" si="0"/>
        <v>0</v>
      </c>
      <c r="I23" s="1124">
        <f t="shared" si="0"/>
        <v>0</v>
      </c>
      <c r="J23" s="1125">
        <f t="shared" si="0"/>
        <v>0</v>
      </c>
    </row>
    <row r="24" spans="2:10" s="1090" customFormat="1">
      <c r="B24" s="1126" t="s">
        <v>19</v>
      </c>
      <c r="C24" s="232"/>
      <c r="D24" s="694">
        <f>SUM(D15:D23)</f>
        <v>439</v>
      </c>
      <c r="E24" s="1127"/>
      <c r="F24" s="1127"/>
      <c r="G24" s="1127"/>
      <c r="H24" s="1128">
        <f>SUM(H15:H23)</f>
        <v>329.25</v>
      </c>
      <c r="I24" s="1128">
        <f>SUM(I15:I23)</f>
        <v>395.1</v>
      </c>
      <c r="J24" s="1129">
        <f>SUM(J15:J23)</f>
        <v>395.1</v>
      </c>
    </row>
    <row r="25" spans="2:10" s="1090" customFormat="1">
      <c r="E25" s="1130"/>
    </row>
    <row r="26" spans="2:10">
      <c r="B26" s="1131" t="s">
        <v>28</v>
      </c>
    </row>
    <row r="27" spans="2:10">
      <c r="B27" s="946" t="s">
        <v>89</v>
      </c>
      <c r="C27" s="947"/>
      <c r="D27" s="947"/>
      <c r="E27" s="948"/>
      <c r="F27" s="948"/>
      <c r="G27" s="948"/>
      <c r="H27" s="949"/>
      <c r="I27" s="950"/>
    </row>
    <row r="28" spans="2:10" ht="133.5" customHeight="1">
      <c r="B28" s="2176" t="s">
        <v>735</v>
      </c>
      <c r="C28" s="2159"/>
      <c r="D28" s="2159"/>
      <c r="E28" s="2159"/>
      <c r="F28" s="2159"/>
      <c r="G28" s="2159"/>
      <c r="H28" s="2159"/>
      <c r="I28" s="2160"/>
    </row>
    <row r="29" spans="2:10" ht="13.5" customHeight="1">
      <c r="B29" s="251" t="s">
        <v>650</v>
      </c>
      <c r="C29" s="1132"/>
      <c r="D29" s="1133"/>
      <c r="E29" s="1134"/>
      <c r="F29" s="1134"/>
      <c r="G29" s="1134"/>
      <c r="H29" s="1133"/>
      <c r="I29" s="1135"/>
    </row>
    <row r="30" spans="2:10" ht="10.5" customHeight="1">
      <c r="B30" s="251"/>
      <c r="C30" s="1132"/>
      <c r="D30" s="1133"/>
      <c r="E30" s="1134"/>
      <c r="F30" s="1134"/>
      <c r="G30" s="1134"/>
      <c r="H30" s="1133"/>
      <c r="I30" s="1135"/>
    </row>
    <row r="31" spans="2:10">
      <c r="B31" s="955" t="s">
        <v>25</v>
      </c>
      <c r="C31" s="951"/>
      <c r="D31" s="956" t="s">
        <v>91</v>
      </c>
      <c r="E31" s="952"/>
      <c r="F31" s="952"/>
      <c r="G31" s="952"/>
      <c r="H31" s="953"/>
      <c r="I31" s="1136"/>
    </row>
    <row r="32" spans="2:10">
      <c r="B32" s="957"/>
      <c r="C32" s="951"/>
      <c r="D32" s="952"/>
      <c r="E32" s="952"/>
      <c r="F32" s="952"/>
      <c r="G32" s="952"/>
      <c r="H32" s="953"/>
      <c r="I32" s="1136"/>
    </row>
    <row r="33" spans="1:10">
      <c r="B33" s="955" t="s">
        <v>8</v>
      </c>
      <c r="C33" s="951"/>
      <c r="D33" s="956" t="s">
        <v>688</v>
      </c>
      <c r="E33" s="952"/>
      <c r="F33" s="952"/>
      <c r="G33" s="952"/>
      <c r="H33" s="953"/>
      <c r="I33" s="1136"/>
    </row>
    <row r="34" spans="1:10">
      <c r="B34" s="955" t="s">
        <v>9</v>
      </c>
      <c r="C34" s="951"/>
      <c r="D34" s="958">
        <v>10</v>
      </c>
      <c r="E34" s="952"/>
      <c r="F34" s="952"/>
      <c r="G34" s="952"/>
      <c r="H34" s="953"/>
      <c r="I34" s="1136"/>
    </row>
    <row r="35" spans="1:10">
      <c r="B35" s="955" t="s">
        <v>10</v>
      </c>
      <c r="C35" s="952"/>
      <c r="D35" s="960">
        <v>0.05</v>
      </c>
      <c r="E35" s="952"/>
      <c r="F35" s="952"/>
      <c r="G35" s="952"/>
      <c r="H35" s="953"/>
      <c r="I35" s="1137" t="s">
        <v>6</v>
      </c>
    </row>
    <row r="36" spans="1:10">
      <c r="B36" s="962"/>
      <c r="C36" s="952"/>
      <c r="D36" s="952"/>
      <c r="E36" s="963"/>
      <c r="F36" s="952"/>
      <c r="G36" s="952"/>
      <c r="H36" s="953"/>
      <c r="I36" s="1138"/>
    </row>
    <row r="37" spans="1:10">
      <c r="B37" s="964" t="s">
        <v>0</v>
      </c>
      <c r="C37" s="952"/>
      <c r="D37" s="952"/>
      <c r="E37" s="952"/>
      <c r="F37" s="952"/>
      <c r="G37" s="952"/>
      <c r="H37" s="953"/>
      <c r="I37" s="1139">
        <f>ROUND(D45,0)</f>
        <v>439</v>
      </c>
    </row>
    <row r="38" spans="1:10">
      <c r="B38" s="980" t="s">
        <v>736</v>
      </c>
      <c r="C38" s="956"/>
      <c r="D38" s="956"/>
      <c r="E38" s="952"/>
      <c r="F38" s="952"/>
      <c r="G38" s="952"/>
      <c r="H38" s="966"/>
      <c r="I38" s="1139"/>
    </row>
    <row r="39" spans="1:10">
      <c r="B39" s="975"/>
      <c r="C39" s="953"/>
      <c r="D39" s="1147"/>
      <c r="E39" s="952"/>
      <c r="F39" s="952"/>
      <c r="G39" s="952"/>
      <c r="H39" s="966"/>
      <c r="I39" s="1139"/>
      <c r="J39" s="1141"/>
    </row>
    <row r="40" spans="1:10">
      <c r="B40" s="970" t="s">
        <v>737</v>
      </c>
      <c r="C40" s="971" t="s">
        <v>738</v>
      </c>
      <c r="D40" s="971" t="s">
        <v>739</v>
      </c>
      <c r="E40" s="952"/>
      <c r="F40" s="952"/>
      <c r="G40" s="952"/>
      <c r="H40" s="966"/>
      <c r="I40" s="1139"/>
      <c r="J40" s="1141"/>
    </row>
    <row r="41" spans="1:10">
      <c r="B41" s="972">
        <v>2</v>
      </c>
      <c r="C41" s="1140">
        <v>1120</v>
      </c>
      <c r="D41" s="973">
        <f>+C41/B41</f>
        <v>560</v>
      </c>
      <c r="E41" s="952"/>
      <c r="F41" s="952"/>
      <c r="G41" s="952"/>
      <c r="H41" s="966"/>
      <c r="I41" s="1139"/>
      <c r="J41" s="1145"/>
    </row>
    <row r="42" spans="1:10">
      <c r="B42" s="972">
        <v>3</v>
      </c>
      <c r="C42" s="1140">
        <v>1240</v>
      </c>
      <c r="D42" s="973">
        <f>+C42/B42</f>
        <v>413.33333333333331</v>
      </c>
      <c r="E42" s="952"/>
      <c r="F42" s="952"/>
      <c r="G42" s="952"/>
      <c r="H42" s="966"/>
      <c r="I42" s="1139"/>
      <c r="J42" s="1145"/>
    </row>
    <row r="43" spans="1:10">
      <c r="B43" s="972">
        <v>5</v>
      </c>
      <c r="C43" s="1140">
        <v>1750</v>
      </c>
      <c r="D43" s="973">
        <f>+C43/B43</f>
        <v>350</v>
      </c>
      <c r="E43" s="952"/>
      <c r="F43" s="952"/>
      <c r="G43" s="952"/>
      <c r="H43" s="966"/>
      <c r="I43" s="1139"/>
      <c r="J43" s="1145"/>
    </row>
    <row r="44" spans="1:10">
      <c r="B44" s="972">
        <v>6</v>
      </c>
      <c r="C44" s="1140">
        <v>2590</v>
      </c>
      <c r="D44" s="974">
        <f>+C44/B44</f>
        <v>431.66666666666669</v>
      </c>
      <c r="E44" s="952"/>
      <c r="F44" s="952"/>
      <c r="G44" s="952"/>
      <c r="H44" s="966"/>
      <c r="I44" s="1139"/>
      <c r="J44" s="1145"/>
    </row>
    <row r="45" spans="1:10">
      <c r="B45" s="1146" t="s">
        <v>740</v>
      </c>
      <c r="C45" s="1140"/>
      <c r="D45" s="973">
        <f>SUM(D41:D44)/COUNT(D41:D44)</f>
        <v>438.75</v>
      </c>
      <c r="E45" s="952"/>
      <c r="F45" s="952"/>
      <c r="G45" s="952"/>
      <c r="H45" s="966"/>
      <c r="I45" s="1139"/>
    </row>
    <row r="46" spans="1:10">
      <c r="B46" s="957"/>
      <c r="C46" s="952"/>
      <c r="D46" s="1147"/>
      <c r="E46" s="952"/>
      <c r="F46" s="952"/>
      <c r="G46" s="952"/>
      <c r="H46" s="966"/>
      <c r="I46" s="1139"/>
    </row>
    <row r="47" spans="1:10" s="1149" customFormat="1">
      <c r="A47" s="487"/>
      <c r="B47" s="964" t="s">
        <v>2</v>
      </c>
      <c r="C47" s="978"/>
      <c r="D47" s="952" t="s">
        <v>627</v>
      </c>
      <c r="E47" s="952"/>
      <c r="F47" s="952"/>
      <c r="G47" s="952"/>
      <c r="H47" s="953"/>
      <c r="I47" s="1148">
        <v>0</v>
      </c>
      <c r="J47" s="487"/>
    </row>
    <row r="48" spans="1:10" s="1149" customFormat="1">
      <c r="A48" s="487"/>
      <c r="B48" s="980" t="s">
        <v>706</v>
      </c>
      <c r="C48" s="952"/>
      <c r="D48" s="952"/>
      <c r="E48" s="952"/>
      <c r="F48" s="952"/>
      <c r="G48" s="952"/>
      <c r="H48" s="953"/>
      <c r="I48" s="1136"/>
      <c r="J48" s="487"/>
    </row>
    <row r="49" spans="1:10" s="1149" customFormat="1">
      <c r="A49" s="487"/>
      <c r="B49" s="980"/>
      <c r="C49" s="952"/>
      <c r="D49" s="952"/>
      <c r="E49" s="952"/>
      <c r="F49" s="952"/>
      <c r="G49" s="952"/>
      <c r="H49" s="953"/>
      <c r="I49" s="1136"/>
      <c r="J49" s="487"/>
    </row>
    <row r="50" spans="1:10" s="1149" customFormat="1">
      <c r="A50" s="487"/>
      <c r="B50" s="964" t="s">
        <v>3</v>
      </c>
      <c r="C50" s="952"/>
      <c r="D50" s="952"/>
      <c r="E50" s="952"/>
      <c r="F50" s="952"/>
      <c r="G50" s="952"/>
      <c r="H50" s="953"/>
      <c r="I50" s="1148">
        <v>0</v>
      </c>
      <c r="J50" s="487"/>
    </row>
    <row r="51" spans="1:10" s="1149" customFormat="1">
      <c r="A51" s="487"/>
      <c r="B51" s="980" t="s">
        <v>707</v>
      </c>
      <c r="C51" s="952"/>
      <c r="D51" s="952"/>
      <c r="E51" s="952"/>
      <c r="F51" s="952"/>
      <c r="G51" s="952"/>
      <c r="H51" s="953"/>
      <c r="I51" s="1136"/>
      <c r="J51" s="487"/>
    </row>
    <row r="52" spans="1:10" s="1149" customFormat="1">
      <c r="A52" s="487"/>
      <c r="B52" s="980"/>
      <c r="C52" s="952"/>
      <c r="D52" s="952"/>
      <c r="E52" s="952"/>
      <c r="F52" s="952"/>
      <c r="G52" s="952"/>
      <c r="H52" s="953"/>
      <c r="I52" s="1136"/>
      <c r="J52" s="487"/>
    </row>
    <row r="53" spans="1:10" s="1149" customFormat="1">
      <c r="A53" s="487"/>
      <c r="B53" s="964" t="s">
        <v>4</v>
      </c>
      <c r="C53" s="952"/>
      <c r="D53" s="952"/>
      <c r="E53" s="952"/>
      <c r="F53" s="952"/>
      <c r="G53" s="952"/>
      <c r="H53" s="953"/>
      <c r="I53" s="1150">
        <v>0</v>
      </c>
      <c r="J53" s="487"/>
    </row>
    <row r="54" spans="1:10" s="1149" customFormat="1">
      <c r="A54" s="487"/>
      <c r="B54" s="980" t="s">
        <v>103</v>
      </c>
      <c r="C54" s="952"/>
      <c r="D54" s="952"/>
      <c r="E54" s="952"/>
      <c r="F54" s="952"/>
      <c r="G54" s="952"/>
      <c r="H54" s="953"/>
      <c r="I54" s="1136"/>
      <c r="J54" s="487"/>
    </row>
    <row r="55" spans="1:10" s="1149" customFormat="1">
      <c r="A55" s="487"/>
      <c r="B55" s="980"/>
      <c r="C55" s="952"/>
      <c r="D55" s="952"/>
      <c r="E55" s="952"/>
      <c r="F55" s="952"/>
      <c r="G55" s="952"/>
      <c r="H55" s="953"/>
      <c r="I55" s="1136"/>
      <c r="J55" s="487"/>
    </row>
    <row r="56" spans="1:10" s="1149" customFormat="1">
      <c r="A56" s="487"/>
      <c r="B56" s="964" t="s">
        <v>26</v>
      </c>
      <c r="C56" s="952"/>
      <c r="D56" s="952"/>
      <c r="E56" s="952"/>
      <c r="F56" s="952"/>
      <c r="G56" s="952"/>
      <c r="H56" s="953"/>
      <c r="I56" s="1150">
        <v>0</v>
      </c>
      <c r="J56" s="487"/>
    </row>
    <row r="57" spans="1:10" s="1149" customFormat="1">
      <c r="A57" s="487"/>
      <c r="B57" s="980" t="s">
        <v>103</v>
      </c>
      <c r="C57" s="952"/>
      <c r="D57" s="977"/>
      <c r="E57" s="952"/>
      <c r="F57" s="952"/>
      <c r="G57" s="952"/>
      <c r="H57" s="953"/>
      <c r="I57" s="1136"/>
      <c r="J57" s="487"/>
    </row>
    <row r="58" spans="1:10" s="1149" customFormat="1">
      <c r="A58" s="487"/>
      <c r="B58" s="980"/>
      <c r="C58" s="952"/>
      <c r="D58" s="952"/>
      <c r="E58" s="952"/>
      <c r="F58" s="952"/>
      <c r="G58" s="952"/>
      <c r="H58" s="953"/>
      <c r="I58" s="1136"/>
      <c r="J58" s="487"/>
    </row>
    <row r="59" spans="1:10" s="1149" customFormat="1">
      <c r="A59" s="487"/>
      <c r="B59" s="964" t="s">
        <v>507</v>
      </c>
      <c r="C59" s="952"/>
      <c r="D59" s="952"/>
      <c r="E59" s="952"/>
      <c r="F59" s="952"/>
      <c r="G59" s="952"/>
      <c r="H59" s="953"/>
      <c r="I59" s="1148">
        <v>0</v>
      </c>
      <c r="J59" s="487"/>
    </row>
    <row r="60" spans="1:10" s="1149" customFormat="1">
      <c r="A60" s="487"/>
      <c r="B60" s="980" t="s">
        <v>671</v>
      </c>
      <c r="C60" s="952"/>
      <c r="D60" s="952"/>
      <c r="E60" s="952"/>
      <c r="F60" s="952"/>
      <c r="G60" s="952"/>
      <c r="H60" s="953"/>
      <c r="I60" s="1136"/>
      <c r="J60" s="487"/>
    </row>
    <row r="61" spans="1:10" s="1149" customFormat="1">
      <c r="A61" s="487"/>
      <c r="B61" s="980"/>
      <c r="C61" s="952"/>
      <c r="D61" s="952"/>
      <c r="E61" s="952"/>
      <c r="F61" s="952"/>
      <c r="G61" s="952"/>
      <c r="H61" s="953"/>
      <c r="I61" s="1136"/>
      <c r="J61" s="487"/>
    </row>
    <row r="62" spans="1:10" s="1149" customFormat="1">
      <c r="A62" s="487"/>
      <c r="B62" s="964" t="s">
        <v>27</v>
      </c>
      <c r="C62" s="952"/>
      <c r="D62" s="952"/>
      <c r="E62" s="952"/>
      <c r="F62" s="952"/>
      <c r="G62" s="952"/>
      <c r="H62" s="953"/>
      <c r="I62" s="1148">
        <v>0</v>
      </c>
      <c r="J62" s="487"/>
    </row>
    <row r="63" spans="1:10" s="1149" customFormat="1">
      <c r="A63" s="487"/>
      <c r="B63" s="980" t="s">
        <v>672</v>
      </c>
      <c r="C63" s="952"/>
      <c r="D63" s="952"/>
      <c r="E63" s="952"/>
      <c r="F63" s="952"/>
      <c r="G63" s="952"/>
      <c r="H63" s="953"/>
      <c r="I63" s="1139"/>
      <c r="J63" s="487"/>
    </row>
    <row r="64" spans="1:10" s="1149" customFormat="1">
      <c r="A64" s="487"/>
      <c r="B64" s="957"/>
      <c r="C64" s="952"/>
      <c r="D64" s="952"/>
      <c r="E64" s="952"/>
      <c r="F64" s="952"/>
      <c r="G64" s="952"/>
      <c r="H64" s="953"/>
      <c r="I64" s="1136"/>
      <c r="J64" s="487"/>
    </row>
    <row r="65" spans="1:10" s="1149" customFormat="1">
      <c r="A65" s="487"/>
      <c r="B65" s="964" t="s">
        <v>5</v>
      </c>
      <c r="C65" s="952"/>
      <c r="D65" s="952"/>
      <c r="E65" s="952"/>
      <c r="F65" s="952"/>
      <c r="G65" s="952"/>
      <c r="H65" s="953"/>
      <c r="I65" s="1148">
        <v>0</v>
      </c>
      <c r="J65" s="487"/>
    </row>
    <row r="66" spans="1:10" s="1149" customFormat="1">
      <c r="A66" s="487"/>
      <c r="B66" s="980" t="s">
        <v>672</v>
      </c>
      <c r="C66" s="952"/>
      <c r="D66" s="952"/>
      <c r="E66" s="952"/>
      <c r="F66" s="952"/>
      <c r="G66" s="952"/>
      <c r="H66" s="953"/>
      <c r="I66" s="1139"/>
      <c r="J66" s="487"/>
    </row>
    <row r="67" spans="1:10" s="1149" customFormat="1">
      <c r="A67" s="487"/>
      <c r="B67" s="980"/>
      <c r="C67" s="952"/>
      <c r="D67" s="952"/>
      <c r="E67" s="952"/>
      <c r="F67" s="952"/>
      <c r="G67" s="952"/>
      <c r="H67" s="953"/>
      <c r="I67" s="1139"/>
      <c r="J67" s="487"/>
    </row>
    <row r="68" spans="1:10" s="1149" customFormat="1">
      <c r="A68" s="487"/>
      <c r="B68" s="964" t="s">
        <v>20</v>
      </c>
      <c r="C68" s="952"/>
      <c r="D68" s="952"/>
      <c r="E68" s="952"/>
      <c r="F68" s="952"/>
      <c r="G68" s="952"/>
      <c r="H68" s="953"/>
      <c r="I68" s="1148">
        <v>0</v>
      </c>
      <c r="J68" s="487"/>
    </row>
    <row r="69" spans="1:10" s="1149" customFormat="1">
      <c r="A69" s="487"/>
      <c r="B69" s="980" t="s">
        <v>672</v>
      </c>
      <c r="C69" s="952"/>
      <c r="D69" s="952"/>
      <c r="E69" s="952"/>
      <c r="F69" s="952"/>
      <c r="G69" s="952"/>
      <c r="H69" s="953"/>
      <c r="I69" s="1136"/>
      <c r="J69" s="487"/>
    </row>
    <row r="70" spans="1:10" s="1149" customFormat="1">
      <c r="A70" s="487"/>
      <c r="B70" s="962"/>
      <c r="C70" s="952"/>
      <c r="D70" s="952"/>
      <c r="E70" s="952"/>
      <c r="F70" s="952"/>
      <c r="G70" s="952"/>
      <c r="H70" s="953"/>
      <c r="I70" s="1136"/>
      <c r="J70" s="487"/>
    </row>
    <row r="71" spans="1:10" s="1149" customFormat="1">
      <c r="A71" s="487"/>
      <c r="B71" s="982" t="s">
        <v>11</v>
      </c>
      <c r="C71" s="952"/>
      <c r="D71" s="952"/>
      <c r="E71" s="952"/>
      <c r="F71" s="952"/>
      <c r="G71" s="952"/>
      <c r="H71" s="953"/>
      <c r="I71" s="1139">
        <f>+I68+I65+I62+I59+I56+I53+I50+I47+I37</f>
        <v>439</v>
      </c>
      <c r="J71" s="487"/>
    </row>
    <row r="72" spans="1:10" s="1149" customFormat="1">
      <c r="A72" s="487"/>
      <c r="B72" s="983"/>
      <c r="C72" s="984"/>
      <c r="D72" s="984"/>
      <c r="E72" s="984"/>
      <c r="F72" s="984"/>
      <c r="G72" s="984"/>
      <c r="H72" s="985"/>
      <c r="I72" s="986"/>
      <c r="J72" s="487"/>
    </row>
    <row r="73" spans="1:10" s="1149" customFormat="1">
      <c r="A73" s="487"/>
      <c r="B73" s="487"/>
      <c r="C73" s="1151"/>
      <c r="D73" s="487"/>
      <c r="E73" s="487"/>
      <c r="F73" s="487"/>
      <c r="G73" s="894"/>
      <c r="H73" s="894"/>
      <c r="I73" s="487"/>
      <c r="J73" s="487"/>
    </row>
  </sheetData>
  <mergeCells count="1">
    <mergeCell ref="B28:I28"/>
  </mergeCells>
  <pageMargins left="0.25" right="0.25" top="0.5" bottom="0.75" header="0.5" footer="0.25"/>
  <pageSetup scale="96" fitToHeight="0" orientation="landscape" r:id="rId1"/>
  <headerFooter alignWithMargins="0">
    <oddFooter>&amp;L&amp;"Garamond,Regular"&amp;10&amp;F
&amp;A
&amp;D (printed)&amp;R&amp;11&amp;P/&amp;N</oddFooter>
  </headerFooter>
  <rowBreaks count="1" manualBreakCount="1">
    <brk id="31" max="9" man="1"/>
  </rowBreaks>
  <colBreaks count="2" manualBreakCount="2">
    <brk id="1" max="73" man="1"/>
    <brk id="9" max="1048575" man="1"/>
  </colBreaks>
</worksheet>
</file>

<file path=xl/worksheets/sheet109.xml><?xml version="1.0" encoding="utf-8"?>
<worksheet xmlns="http://schemas.openxmlformats.org/spreadsheetml/2006/main" xmlns:r="http://schemas.openxmlformats.org/officeDocument/2006/relationships">
  <sheetPr>
    <pageSetUpPr fitToPage="1"/>
  </sheetPr>
  <dimension ref="A1:L82"/>
  <sheetViews>
    <sheetView zoomScale="75" zoomScaleNormal="75" workbookViewId="0">
      <selection activeCell="B54" sqref="B54:I55"/>
    </sheetView>
  </sheetViews>
  <sheetFormatPr defaultRowHeight="12.75"/>
  <cols>
    <col min="1" max="1" width="1.85546875" customWidth="1"/>
    <col min="2" max="2" width="9.28515625" bestFit="1" customWidth="1"/>
    <col min="3" max="3" width="24.140625" customWidth="1"/>
    <col min="4" max="4" width="35" customWidth="1"/>
    <col min="5" max="5" width="59.5703125" bestFit="1" customWidth="1"/>
    <col min="6" max="6" width="10.42578125" customWidth="1"/>
    <col min="7" max="7" width="10.28515625" bestFit="1" customWidth="1"/>
    <col min="8" max="8" width="9.28515625" bestFit="1" customWidth="1"/>
    <col min="9" max="9" width="10.5703125" bestFit="1" customWidth="1"/>
    <col min="10" max="10" width="11" bestFit="1"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12.75" hidden="1" customHeight="1">
      <c r="A6" s="2"/>
      <c r="B6" s="54">
        <v>378</v>
      </c>
      <c r="C6" s="7" t="str">
        <f>+E12</f>
        <v>EQIP</v>
      </c>
      <c r="D6" s="110" t="s">
        <v>741</v>
      </c>
      <c r="E6" s="110" t="s">
        <v>742</v>
      </c>
      <c r="F6" s="7" t="str">
        <f>D36</f>
        <v>Each</v>
      </c>
      <c r="G6" s="85">
        <f>+I25</f>
        <v>3846.1538461538457</v>
      </c>
    </row>
    <row r="7" spans="1:12" ht="12.75" hidden="1" customHeight="1">
      <c r="A7" s="2"/>
      <c r="B7" s="54">
        <f>+B6</f>
        <v>378</v>
      </c>
      <c r="C7" s="7" t="str">
        <f>+C6</f>
        <v>EQIP</v>
      </c>
      <c r="D7" s="110" t="s">
        <v>741</v>
      </c>
      <c r="E7" s="110" t="str">
        <f>CONCATENATE(E6, "-HU")</f>
        <v>Embankment Pond, Effective height up to 8'-HU</v>
      </c>
      <c r="F7" s="7" t="str">
        <f>+F6</f>
        <v>Each</v>
      </c>
      <c r="G7" s="85">
        <f>+J25</f>
        <v>5769.2307692307686</v>
      </c>
    </row>
    <row r="8" spans="1:12" ht="12.75" hidden="1" customHeight="1">
      <c r="A8" s="2"/>
      <c r="B8" s="54">
        <v>378</v>
      </c>
      <c r="C8" s="7" t="str">
        <f>+G12</f>
        <v>WHIP</v>
      </c>
      <c r="D8" s="110" t="s">
        <v>741</v>
      </c>
      <c r="E8" s="110" t="s">
        <v>742</v>
      </c>
      <c r="F8" s="7" t="str">
        <f>D36</f>
        <v>Each</v>
      </c>
      <c r="G8" s="85">
        <f>+K25</f>
        <v>0</v>
      </c>
    </row>
    <row r="9" spans="1:12" hidden="1">
      <c r="A9" s="2"/>
      <c r="B9" s="8">
        <f>+B8</f>
        <v>378</v>
      </c>
      <c r="C9" s="10" t="str">
        <f>+C8</f>
        <v>WHIP</v>
      </c>
      <c r="D9" s="111" t="s">
        <v>741</v>
      </c>
      <c r="E9" s="111" t="str">
        <f>CONCATENATE(E6, "-HU")</f>
        <v>Embankment Pond, Effective height up to 8'-HU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Factors'!D27</f>
        <v>0.5</v>
      </c>
      <c r="F16" s="160">
        <f>+'[10]Payment Factors'!E27</f>
        <v>0.75</v>
      </c>
      <c r="G16" s="160">
        <f>+'[10]Payment Factors'!F12</f>
        <v>0</v>
      </c>
      <c r="H16" s="160">
        <f>+'[10]Payment Factors'!G12</f>
        <v>0</v>
      </c>
      <c r="I16" s="1154">
        <f t="shared" ref="I16:L24" si="0">+$D16*E16</f>
        <v>0</v>
      </c>
      <c r="J16" s="1154">
        <f t="shared" si="0"/>
        <v>0</v>
      </c>
      <c r="K16" s="1154">
        <f t="shared" si="0"/>
        <v>0</v>
      </c>
      <c r="L16" s="1155">
        <f t="shared" si="0"/>
        <v>0</v>
      </c>
    </row>
    <row r="17" spans="1:12" hidden="1">
      <c r="A17" s="2"/>
      <c r="B17" s="15" t="s">
        <v>2</v>
      </c>
      <c r="C17" s="16"/>
      <c r="D17" s="24">
        <f>+I44</f>
        <v>6538.4615384615381</v>
      </c>
      <c r="E17" s="160">
        <f t="shared" ref="E17:H19" si="1">+E16</f>
        <v>0.5</v>
      </c>
      <c r="F17" s="160">
        <f t="shared" si="1"/>
        <v>0.75</v>
      </c>
      <c r="G17" s="160">
        <f t="shared" si="1"/>
        <v>0</v>
      </c>
      <c r="H17" s="160">
        <f t="shared" si="1"/>
        <v>0</v>
      </c>
      <c r="I17" s="1154">
        <f t="shared" si="0"/>
        <v>3269.2307692307691</v>
      </c>
      <c r="J17" s="1154">
        <f t="shared" si="0"/>
        <v>4903.8461538461534</v>
      </c>
      <c r="K17" s="1154">
        <f t="shared" si="0"/>
        <v>0</v>
      </c>
      <c r="L17" s="1155">
        <f t="shared" si="0"/>
        <v>0</v>
      </c>
    </row>
    <row r="18" spans="1:12" hidden="1">
      <c r="A18" s="2"/>
      <c r="B18" s="15" t="s">
        <v>3</v>
      </c>
      <c r="C18" s="16"/>
      <c r="D18" s="24">
        <f>+I54</f>
        <v>1153.8461538461538</v>
      </c>
      <c r="E18" s="160">
        <f t="shared" si="1"/>
        <v>0.5</v>
      </c>
      <c r="F18" s="160">
        <f t="shared" si="1"/>
        <v>0.75</v>
      </c>
      <c r="G18" s="160">
        <f t="shared" si="1"/>
        <v>0</v>
      </c>
      <c r="H18" s="160">
        <f t="shared" si="1"/>
        <v>0</v>
      </c>
      <c r="I18" s="1154">
        <f t="shared" si="0"/>
        <v>576.92307692307691</v>
      </c>
      <c r="J18" s="1154">
        <f t="shared" si="0"/>
        <v>865.38461538461536</v>
      </c>
      <c r="K18" s="1154">
        <f t="shared" si="0"/>
        <v>0</v>
      </c>
      <c r="L18" s="1155">
        <f t="shared" si="0"/>
        <v>0</v>
      </c>
    </row>
    <row r="19" spans="1:12" hidden="1">
      <c r="A19" s="2"/>
      <c r="B19" s="15" t="s">
        <v>4</v>
      </c>
      <c r="C19" s="16"/>
      <c r="D19" s="24">
        <f>+I60</f>
        <v>0</v>
      </c>
      <c r="E19" s="160">
        <f t="shared" si="1"/>
        <v>0.5</v>
      </c>
      <c r="F19" s="160">
        <f t="shared" si="1"/>
        <v>0.75</v>
      </c>
      <c r="G19" s="160">
        <f t="shared" si="1"/>
        <v>0</v>
      </c>
      <c r="H19" s="160">
        <f t="shared" si="1"/>
        <v>0</v>
      </c>
      <c r="I19" s="1154">
        <f t="shared" si="0"/>
        <v>0</v>
      </c>
      <c r="J19" s="1154">
        <f t="shared" si="0"/>
        <v>0</v>
      </c>
      <c r="K19" s="1154">
        <f t="shared" si="0"/>
        <v>0</v>
      </c>
      <c r="L19" s="1155">
        <f t="shared" si="0"/>
        <v>0</v>
      </c>
    </row>
    <row r="20" spans="1:12" hidden="1">
      <c r="A20" s="2"/>
      <c r="B20" s="15" t="s">
        <v>26</v>
      </c>
      <c r="C20" s="16"/>
      <c r="D20" s="24">
        <f>+I63</f>
        <v>76.92307692307692</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+I66</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+I69</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+I73</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+I76</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7769.2307692307686</v>
      </c>
      <c r="E25" s="1158"/>
      <c r="F25" s="1158"/>
      <c r="G25" s="28"/>
      <c r="H25" s="28"/>
      <c r="I25" s="1159">
        <f>SUM(I16:I24)</f>
        <v>3846.1538461538457</v>
      </c>
      <c r="J25" s="1159">
        <f>SUM(J16:J24)</f>
        <v>5769.2307692307686</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743</v>
      </c>
      <c r="C29" s="34"/>
      <c r="D29" s="34"/>
      <c r="E29" s="35"/>
      <c r="F29" s="35"/>
      <c r="G29" s="35"/>
      <c r="H29" s="35"/>
      <c r="I29" s="36"/>
    </row>
    <row r="30" spans="1:12">
      <c r="A30" s="2"/>
      <c r="B30" s="37" t="s">
        <v>744</v>
      </c>
      <c r="C30" s="34"/>
      <c r="D30" s="34"/>
      <c r="E30" s="1162"/>
      <c r="F30" s="1163"/>
      <c r="G30" s="35"/>
      <c r="H30" s="35"/>
      <c r="I30" s="36"/>
    </row>
    <row r="31" spans="1:12">
      <c r="A31" s="2"/>
      <c r="B31" s="37" t="s">
        <v>745</v>
      </c>
      <c r="C31" s="34"/>
      <c r="D31" s="34"/>
      <c r="E31" s="35"/>
      <c r="F31" s="35"/>
      <c r="G31" s="35"/>
      <c r="H31" s="35"/>
      <c r="I31" s="36"/>
    </row>
    <row r="32" spans="1:12">
      <c r="A32" s="2"/>
      <c r="B32" s="37" t="s">
        <v>746</v>
      </c>
      <c r="C32" s="34"/>
      <c r="D32" s="34"/>
      <c r="E32" s="35"/>
      <c r="F32" s="35"/>
      <c r="G32" s="35"/>
      <c r="H32" s="35"/>
      <c r="I32" s="36"/>
    </row>
    <row r="33" spans="1:9">
      <c r="A33" s="2"/>
      <c r="B33" s="37" t="s">
        <v>747</v>
      </c>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Factors'!C27</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664</v>
      </c>
      <c r="C41" s="35"/>
      <c r="D41" s="1167"/>
      <c r="E41" s="1167"/>
      <c r="F41" s="1167"/>
      <c r="G41" s="1167"/>
      <c r="H41" s="35"/>
      <c r="I41" s="46"/>
    </row>
    <row r="42" spans="1:9">
      <c r="A42" s="2"/>
      <c r="B42" s="40"/>
      <c r="C42" s="6"/>
      <c r="D42" s="1168"/>
      <c r="E42" s="1169"/>
      <c r="F42" s="1170"/>
      <c r="G42" s="1171"/>
      <c r="H42" s="35"/>
      <c r="I42" s="47"/>
    </row>
    <row r="43" spans="1:9">
      <c r="A43" s="2"/>
      <c r="B43" s="1172"/>
      <c r="C43" s="6"/>
      <c r="D43" s="1173"/>
      <c r="E43" s="35"/>
      <c r="F43" s="35"/>
      <c r="G43" s="35"/>
      <c r="H43" s="35"/>
      <c r="I43" s="36"/>
    </row>
    <row r="44" spans="1:9">
      <c r="A44" s="2"/>
      <c r="B44" s="42" t="s">
        <v>2</v>
      </c>
      <c r="C44" s="35"/>
      <c r="D44" s="35"/>
      <c r="E44" s="2003" t="s">
        <v>459</v>
      </c>
      <c r="F44" s="2003"/>
      <c r="G44" s="2003"/>
      <c r="H44" s="2003"/>
      <c r="I44" s="46">
        <f>(SUM(G46)*0.85)</f>
        <v>6538.4615384615381</v>
      </c>
    </row>
    <row r="45" spans="1:9">
      <c r="A45" s="2"/>
      <c r="B45" s="1174"/>
      <c r="C45" s="35"/>
      <c r="D45" s="1167" t="s">
        <v>447</v>
      </c>
      <c r="E45" s="1167" t="s">
        <v>448</v>
      </c>
      <c r="F45" s="1167" t="s">
        <v>449</v>
      </c>
      <c r="G45" s="1167" t="s">
        <v>450</v>
      </c>
      <c r="H45" s="35"/>
      <c r="I45" s="46"/>
    </row>
    <row r="46" spans="1:9">
      <c r="A46" s="2"/>
      <c r="B46" s="1175" t="str">
        <f>+'[24]Core Rates'!A118</f>
        <v>Embankment Pond (height &lt;= 8 feet)</v>
      </c>
      <c r="C46" s="1176"/>
      <c r="D46" s="1169" t="str">
        <f>+'[24]Core Rates'!B118</f>
        <v>Ea</v>
      </c>
      <c r="E46" s="1169">
        <f>+'[24]Core Rates'!C118</f>
        <v>7692.3076923076924</v>
      </c>
      <c r="F46" s="1170">
        <v>1</v>
      </c>
      <c r="G46" s="1171">
        <f>+F46*E46</f>
        <v>7692.3076923076924</v>
      </c>
      <c r="H46" s="35"/>
      <c r="I46" s="46"/>
    </row>
    <row r="47" spans="1:9">
      <c r="A47" s="2"/>
      <c r="B47" s="1175"/>
      <c r="C47" s="6"/>
      <c r="D47" s="1169"/>
      <c r="E47" s="1169"/>
      <c r="F47" s="1170"/>
      <c r="G47" s="1171"/>
      <c r="H47" s="35"/>
      <c r="I47" s="47"/>
    </row>
    <row r="48" spans="1:9">
      <c r="A48" s="2"/>
      <c r="B48" s="40"/>
      <c r="C48" s="6"/>
      <c r="D48" s="63"/>
      <c r="E48" s="150"/>
      <c r="F48" s="150"/>
      <c r="G48" s="1169"/>
      <c r="H48" s="35"/>
      <c r="I48" s="47"/>
    </row>
    <row r="49" spans="1:9">
      <c r="A49" s="2"/>
      <c r="B49" s="37" t="s">
        <v>43</v>
      </c>
      <c r="C49" s="35"/>
      <c r="D49" s="35"/>
      <c r="E49" s="60"/>
      <c r="F49" s="60"/>
      <c r="G49" s="60"/>
      <c r="H49" s="35"/>
      <c r="I49" s="46"/>
    </row>
    <row r="50" spans="1:9" ht="12.75" customHeight="1">
      <c r="A50" s="2"/>
      <c r="B50" s="2004" t="s">
        <v>457</v>
      </c>
      <c r="C50" s="2005"/>
      <c r="D50" s="2005"/>
      <c r="E50" s="2005"/>
      <c r="F50" s="2005"/>
      <c r="G50" s="2005"/>
      <c r="H50" s="2005"/>
      <c r="I50" s="2006"/>
    </row>
    <row r="51" spans="1:9">
      <c r="A51" s="2"/>
      <c r="B51" s="2004"/>
      <c r="C51" s="2005"/>
      <c r="D51" s="2005"/>
      <c r="E51" s="2005"/>
      <c r="F51" s="2005"/>
      <c r="G51" s="2005"/>
      <c r="H51" s="2005"/>
      <c r="I51" s="2006"/>
    </row>
    <row r="52" spans="1:9">
      <c r="A52" s="2"/>
      <c r="B52" s="1177"/>
      <c r="C52" s="1178"/>
      <c r="D52" s="1178"/>
      <c r="E52" s="1178"/>
      <c r="F52" s="1178"/>
      <c r="G52" s="1178"/>
      <c r="H52" s="1178"/>
      <c r="I52" s="1179"/>
    </row>
    <row r="53" spans="1:9">
      <c r="A53" s="2"/>
      <c r="B53" s="1177"/>
      <c r="C53" s="1178"/>
      <c r="D53" s="1178"/>
      <c r="E53" s="1178"/>
      <c r="F53" s="1178"/>
      <c r="G53" s="1178"/>
      <c r="H53" s="1178"/>
      <c r="I53" s="1179"/>
    </row>
    <row r="54" spans="1:9">
      <c r="A54" s="2"/>
      <c r="B54" s="42" t="s">
        <v>3</v>
      </c>
      <c r="C54" s="35"/>
      <c r="D54" s="35"/>
      <c r="E54" s="35"/>
      <c r="F54" s="39"/>
      <c r="G54" s="35"/>
      <c r="H54" s="35"/>
      <c r="I54" s="48">
        <f>E56</f>
        <v>1153.8461538461538</v>
      </c>
    </row>
    <row r="55" spans="1:9">
      <c r="A55" s="2"/>
      <c r="B55" s="2007" t="s">
        <v>465</v>
      </c>
      <c r="C55" s="2008"/>
      <c r="D55" s="35"/>
      <c r="E55" s="35"/>
      <c r="F55" s="35"/>
      <c r="G55" s="35"/>
      <c r="H55" s="35"/>
      <c r="I55" s="48"/>
    </row>
    <row r="56" spans="1:9">
      <c r="A56" s="2"/>
      <c r="B56" s="37" t="s">
        <v>466</v>
      </c>
      <c r="C56" s="39"/>
      <c r="D56" s="39"/>
      <c r="E56" s="153">
        <f>SUM(G46:G47)*0.15</f>
        <v>1153.8461538461538</v>
      </c>
      <c r="F56" s="35"/>
      <c r="G56" s="35"/>
      <c r="H56" s="35"/>
      <c r="I56" s="46"/>
    </row>
    <row r="57" spans="1:9">
      <c r="A57" s="2"/>
      <c r="B57" s="37"/>
      <c r="C57" s="39"/>
      <c r="D57" s="1180"/>
      <c r="E57" s="153"/>
      <c r="F57" s="35"/>
      <c r="G57" s="35"/>
      <c r="H57" s="35"/>
      <c r="I57" s="46"/>
    </row>
    <row r="58" spans="1:9">
      <c r="A58" s="2"/>
      <c r="B58" s="37"/>
      <c r="C58" s="39"/>
      <c r="D58" s="1181"/>
      <c r="E58" s="153"/>
      <c r="F58" s="35"/>
      <c r="G58" s="35"/>
      <c r="H58" s="35"/>
      <c r="I58" s="46"/>
    </row>
    <row r="59" spans="1:9">
      <c r="A59" s="2"/>
      <c r="B59" s="33"/>
      <c r="C59" s="35"/>
      <c r="D59" s="35"/>
      <c r="E59" s="35"/>
      <c r="F59" s="35"/>
      <c r="G59" s="35"/>
      <c r="H59" s="35"/>
      <c r="I59" s="36"/>
    </row>
    <row r="60" spans="1:9">
      <c r="A60" s="2"/>
      <c r="B60" s="42" t="s">
        <v>4</v>
      </c>
      <c r="C60" s="35"/>
      <c r="D60" s="35"/>
      <c r="E60" s="35"/>
      <c r="F60" s="35"/>
      <c r="G60" s="35"/>
      <c r="H60" s="35"/>
      <c r="I60" s="1182">
        <v>0</v>
      </c>
    </row>
    <row r="61" spans="1:9">
      <c r="A61" s="2"/>
      <c r="B61" s="33" t="s">
        <v>748</v>
      </c>
      <c r="C61" s="35"/>
      <c r="D61" s="35"/>
      <c r="E61" s="35"/>
      <c r="F61" s="35"/>
      <c r="G61" s="35"/>
      <c r="H61" s="35"/>
      <c r="I61" s="36"/>
    </row>
    <row r="62" spans="1:9">
      <c r="A62" s="2"/>
      <c r="B62" s="37"/>
      <c r="C62" s="35"/>
      <c r="D62" s="35"/>
      <c r="E62" s="35"/>
      <c r="F62" s="35"/>
      <c r="G62" s="35"/>
      <c r="H62" s="35"/>
      <c r="I62" s="36"/>
    </row>
    <row r="63" spans="1:9">
      <c r="A63" s="2"/>
      <c r="B63" s="42" t="s">
        <v>468</v>
      </c>
      <c r="C63" s="35"/>
      <c r="D63" s="35"/>
      <c r="E63" s="35"/>
      <c r="F63" s="35"/>
      <c r="G63" s="35"/>
      <c r="H63" s="35"/>
      <c r="I63" s="1182">
        <f>0.01*(I40+I44+I54)</f>
        <v>76.92307692307692</v>
      </c>
    </row>
    <row r="64" spans="1:9">
      <c r="A64" s="2"/>
      <c r="B64" s="33" t="s">
        <v>749</v>
      </c>
      <c r="C64" s="35"/>
      <c r="D64" s="35"/>
      <c r="E64" s="35"/>
      <c r="F64" s="35"/>
      <c r="G64" s="35"/>
      <c r="H64" s="35"/>
      <c r="I64" s="36"/>
    </row>
    <row r="65" spans="1:9">
      <c r="A65" s="2"/>
      <c r="B65" s="37"/>
      <c r="C65" s="35"/>
      <c r="D65" s="35"/>
      <c r="E65" s="35"/>
      <c r="F65" s="35"/>
      <c r="G65" s="35"/>
      <c r="H65" s="35"/>
      <c r="I65" s="36"/>
    </row>
    <row r="66" spans="1:9">
      <c r="A66" s="2"/>
      <c r="B66" s="42" t="s">
        <v>7</v>
      </c>
      <c r="C66" s="35"/>
      <c r="D66" s="35"/>
      <c r="E66" s="35"/>
      <c r="F66" s="35"/>
      <c r="G66" s="35"/>
      <c r="H66" s="35"/>
      <c r="I66" s="1166">
        <v>0</v>
      </c>
    </row>
    <row r="67" spans="1:9">
      <c r="A67" s="2"/>
      <c r="B67" s="33" t="s">
        <v>104</v>
      </c>
      <c r="C67" s="35"/>
      <c r="D67" s="35"/>
      <c r="E67" s="35"/>
      <c r="F67" s="35"/>
      <c r="G67" s="35"/>
      <c r="H67" s="35"/>
      <c r="I67" s="36"/>
    </row>
    <row r="68" spans="1:9">
      <c r="A68" s="2"/>
      <c r="B68" s="37"/>
      <c r="C68" s="35"/>
      <c r="D68" s="35"/>
      <c r="E68" s="35"/>
      <c r="F68" s="35"/>
      <c r="G68" s="35"/>
      <c r="H68" s="35"/>
      <c r="I68" s="36"/>
    </row>
    <row r="69" spans="1:9">
      <c r="A69" s="2"/>
      <c r="B69" s="42" t="s">
        <v>471</v>
      </c>
      <c r="C69" s="35"/>
      <c r="D69" s="35"/>
      <c r="E69" s="35"/>
      <c r="F69" s="39"/>
      <c r="G69" s="35"/>
      <c r="H69" s="35"/>
      <c r="I69" s="1166">
        <v>0</v>
      </c>
    </row>
    <row r="70" spans="1:9">
      <c r="A70" s="2"/>
      <c r="B70" s="756" t="s">
        <v>104</v>
      </c>
      <c r="C70" s="35"/>
      <c r="D70" s="35"/>
      <c r="E70" s="35"/>
      <c r="F70" s="35"/>
      <c r="G70" s="35"/>
      <c r="H70" s="35"/>
      <c r="I70" s="47"/>
    </row>
    <row r="71" spans="1:9">
      <c r="A71" s="2"/>
      <c r="B71" s="756"/>
      <c r="C71" s="35"/>
      <c r="D71" s="35"/>
      <c r="E71" s="35"/>
      <c r="F71" s="35"/>
      <c r="G71" s="35"/>
      <c r="H71" s="35"/>
      <c r="I71" s="47"/>
    </row>
    <row r="72" spans="1:9">
      <c r="A72" s="2"/>
      <c r="B72" s="37"/>
      <c r="C72" s="35"/>
      <c r="D72" s="35"/>
      <c r="E72" s="35"/>
      <c r="F72" s="35"/>
      <c r="G72" s="35"/>
      <c r="H72" s="35"/>
      <c r="I72" s="36"/>
    </row>
    <row r="73" spans="1:9">
      <c r="A73" s="2"/>
      <c r="B73" s="42" t="s">
        <v>5</v>
      </c>
      <c r="C73" s="35"/>
      <c r="D73" s="35"/>
      <c r="E73" s="35"/>
      <c r="F73" s="35"/>
      <c r="G73" s="35"/>
      <c r="H73" s="35"/>
      <c r="I73" s="1166">
        <v>0</v>
      </c>
    </row>
    <row r="74" spans="1:9">
      <c r="A74" s="2"/>
      <c r="B74" s="33" t="s">
        <v>750</v>
      </c>
      <c r="C74" s="35"/>
      <c r="D74" s="35"/>
      <c r="E74" s="35"/>
      <c r="F74" s="35"/>
      <c r="G74" s="35"/>
      <c r="H74" s="35"/>
      <c r="I74" s="47"/>
    </row>
    <row r="75" spans="1:9">
      <c r="A75" s="2"/>
      <c r="B75" s="37"/>
      <c r="C75" s="35"/>
      <c r="D75" s="35"/>
      <c r="E75" s="35"/>
      <c r="F75" s="35"/>
      <c r="G75" s="35"/>
      <c r="H75" s="35"/>
      <c r="I75" s="36"/>
    </row>
    <row r="76" spans="1:9">
      <c r="A76" s="2"/>
      <c r="B76" s="42" t="s">
        <v>20</v>
      </c>
      <c r="C76" s="35"/>
      <c r="D76" s="35"/>
      <c r="E76" s="35"/>
      <c r="F76" s="35"/>
      <c r="G76" s="35"/>
      <c r="H76" s="35"/>
      <c r="I76" s="1166">
        <v>0</v>
      </c>
    </row>
    <row r="77" spans="1:9">
      <c r="A77" s="2"/>
      <c r="B77" s="33" t="s">
        <v>104</v>
      </c>
      <c r="C77" s="35"/>
      <c r="D77" s="35"/>
      <c r="E77" s="35"/>
      <c r="F77" s="35"/>
      <c r="G77" s="35"/>
      <c r="H77" s="35"/>
      <c r="I77" s="36"/>
    </row>
    <row r="78" spans="1:9">
      <c r="A78" s="2"/>
      <c r="B78" s="40"/>
      <c r="C78" s="35"/>
      <c r="D78" s="35"/>
      <c r="E78" s="35"/>
      <c r="F78" s="35"/>
      <c r="G78" s="35"/>
      <c r="H78" s="35"/>
      <c r="I78" s="36"/>
    </row>
    <row r="79" spans="1:9">
      <c r="A79" s="2"/>
      <c r="B79" s="42" t="s">
        <v>473</v>
      </c>
      <c r="C79" s="35"/>
      <c r="D79" s="35"/>
      <c r="E79" s="35"/>
      <c r="F79" s="35"/>
      <c r="G79" s="35"/>
      <c r="H79" s="35"/>
      <c r="I79" s="1183">
        <f>+I40+I44+I54+I60+I66+I76</f>
        <v>7692.3076923076915</v>
      </c>
    </row>
    <row r="80" spans="1:9" ht="15.75">
      <c r="A80" s="2"/>
      <c r="B80" s="33" t="s">
        <v>474</v>
      </c>
      <c r="C80" s="35"/>
      <c r="D80" s="35"/>
      <c r="E80" s="35"/>
      <c r="F80" s="35"/>
      <c r="G80" s="35"/>
      <c r="H80" s="35"/>
      <c r="I80" s="36"/>
    </row>
    <row r="81" spans="1:9">
      <c r="A81" s="2"/>
      <c r="B81" s="40"/>
      <c r="C81" s="35"/>
      <c r="D81" s="35"/>
      <c r="E81" s="35"/>
      <c r="F81" s="35"/>
      <c r="G81" s="35"/>
      <c r="H81" s="35"/>
      <c r="I81" s="36"/>
    </row>
    <row r="82" spans="1:9">
      <c r="A82" s="2"/>
      <c r="B82" s="43" t="s">
        <v>11</v>
      </c>
      <c r="C82" s="44"/>
      <c r="D82" s="44"/>
      <c r="E82" s="44"/>
      <c r="F82" s="44"/>
      <c r="G82" s="44"/>
      <c r="H82" s="44"/>
      <c r="I82" s="621">
        <f>SUM(I40:I76)</f>
        <v>7769.2307692307686</v>
      </c>
    </row>
  </sheetData>
  <mergeCells count="4">
    <mergeCell ref="B1:D1"/>
    <mergeCell ref="E44:H44"/>
    <mergeCell ref="B50:I51"/>
    <mergeCell ref="B55:C55"/>
  </mergeCells>
  <pageMargins left="0.75" right="0.75" top="1" bottom="1" header="0.5" footer="0.5"/>
  <pageSetup scale="53" orientation="portrait" r:id="rId1"/>
  <headerFooter alignWithMargins="0"/>
</worksheet>
</file>

<file path=xl/worksheets/sheet11.xml><?xml version="1.0" encoding="utf-8"?>
<worksheet xmlns="http://schemas.openxmlformats.org/spreadsheetml/2006/main" xmlns:r="http://schemas.openxmlformats.org/officeDocument/2006/relationships">
  <dimension ref="B1:P108"/>
  <sheetViews>
    <sheetView zoomScaleNormal="100" workbookViewId="0">
      <selection activeCell="E6" sqref="E6"/>
    </sheetView>
  </sheetViews>
  <sheetFormatPr defaultRowHeight="12.75"/>
  <cols>
    <col min="1" max="1" width="2.85546875" style="2" customWidth="1"/>
    <col min="2" max="2" width="11.5703125" style="2" customWidth="1"/>
    <col min="3" max="3" width="18.7109375" style="2" customWidth="1"/>
    <col min="4" max="4" width="23.5703125" style="2" customWidth="1"/>
    <col min="5" max="5" width="20.5703125" style="2" customWidth="1"/>
    <col min="6" max="6" width="10.85546875" style="2" customWidth="1"/>
    <col min="7" max="7" width="10.42578125" style="2" customWidth="1"/>
    <col min="8" max="8" width="9.140625" style="2" bestFit="1" customWidth="1"/>
    <col min="9" max="9" width="9.85546875" style="2" customWidth="1"/>
    <col min="10" max="10" width="2.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5.5">
      <c r="B2" s="113" t="s">
        <v>42</v>
      </c>
      <c r="C2" s="79">
        <v>104</v>
      </c>
      <c r="D2" s="79" t="s">
        <v>50</v>
      </c>
      <c r="E2" s="107" t="s">
        <v>71</v>
      </c>
    </row>
    <row r="3" spans="2:10" ht="15.75">
      <c r="B3" s="1" t="s">
        <v>17</v>
      </c>
      <c r="E3" s="100"/>
    </row>
    <row r="4" spans="2:10">
      <c r="B4" s="68" t="s">
        <v>1</v>
      </c>
      <c r="C4" s="69" t="s">
        <v>21</v>
      </c>
      <c r="D4" s="70"/>
      <c r="E4" s="108"/>
      <c r="F4" s="70"/>
      <c r="G4" s="83" t="s">
        <v>12</v>
      </c>
      <c r="H4" s="87"/>
      <c r="I4" s="87"/>
      <c r="J4"/>
    </row>
    <row r="5" spans="2:10" ht="25.5">
      <c r="B5" s="71" t="s">
        <v>13</v>
      </c>
      <c r="C5" s="72" t="s">
        <v>22</v>
      </c>
      <c r="D5" s="72" t="s">
        <v>29</v>
      </c>
      <c r="E5" s="109" t="s">
        <v>30</v>
      </c>
      <c r="F5" s="72" t="s">
        <v>23</v>
      </c>
      <c r="G5" s="84" t="s">
        <v>14</v>
      </c>
      <c r="H5" s="88"/>
      <c r="I5" s="88"/>
      <c r="J5"/>
    </row>
    <row r="6" spans="2:10" ht="23.25" customHeight="1">
      <c r="B6" s="54">
        <v>104</v>
      </c>
      <c r="C6" s="7" t="str">
        <f>+E10</f>
        <v>EQIP</v>
      </c>
      <c r="D6" s="53" t="s">
        <v>50</v>
      </c>
      <c r="E6" s="110" t="s">
        <v>71</v>
      </c>
      <c r="F6" s="7" t="s">
        <v>38</v>
      </c>
      <c r="G6" s="85">
        <f>G23</f>
        <v>2268</v>
      </c>
      <c r="H6" s="89"/>
      <c r="I6" s="89"/>
      <c r="J6"/>
    </row>
    <row r="7" spans="2:10" ht="25.5">
      <c r="B7" s="8">
        <v>104</v>
      </c>
      <c r="C7" s="10" t="s">
        <v>15</v>
      </c>
      <c r="D7" s="9" t="s">
        <v>50</v>
      </c>
      <c r="E7" s="111" t="s">
        <v>72</v>
      </c>
      <c r="F7" s="10" t="s">
        <v>38</v>
      </c>
      <c r="G7" s="86">
        <f>$H$23</f>
        <v>2721.6</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20" t="s">
        <v>16</v>
      </c>
      <c r="C13" s="16"/>
      <c r="D13" s="21" t="s">
        <v>6</v>
      </c>
      <c r="E13" s="22" t="s">
        <v>24</v>
      </c>
      <c r="F13" s="22" t="s">
        <v>24</v>
      </c>
      <c r="G13" s="22" t="s">
        <v>14</v>
      </c>
      <c r="H13" s="23" t="s">
        <v>14</v>
      </c>
    </row>
    <row r="14" spans="2:10">
      <c r="B14" s="15" t="s">
        <v>0</v>
      </c>
      <c r="C14" s="16"/>
      <c r="D14" s="24">
        <v>0</v>
      </c>
      <c r="E14" s="25">
        <v>0</v>
      </c>
      <c r="F14" s="25">
        <v>0</v>
      </c>
      <c r="G14" s="73">
        <f>+$D14*E14</f>
        <v>0</v>
      </c>
      <c r="H14" s="74">
        <f>+$D14*F14</f>
        <v>0</v>
      </c>
    </row>
    <row r="15" spans="2:10">
      <c r="B15" s="15" t="s">
        <v>2</v>
      </c>
      <c r="C15" s="16"/>
      <c r="D15" s="24">
        <v>0</v>
      </c>
      <c r="E15" s="25">
        <v>0</v>
      </c>
      <c r="F15" s="25">
        <v>0</v>
      </c>
      <c r="G15" s="73">
        <f t="shared" ref="G15:H22" si="0">+$D15*E15</f>
        <v>0</v>
      </c>
      <c r="H15" s="74">
        <f t="shared" si="0"/>
        <v>0</v>
      </c>
    </row>
    <row r="16" spans="2:10">
      <c r="B16" s="15" t="s">
        <v>3</v>
      </c>
      <c r="C16" s="16"/>
      <c r="D16" s="24">
        <f>I49</f>
        <v>3024</v>
      </c>
      <c r="E16" s="25">
        <v>0.75</v>
      </c>
      <c r="F16" s="25">
        <v>0.9</v>
      </c>
      <c r="G16" s="73">
        <f t="shared" si="0"/>
        <v>2268</v>
      </c>
      <c r="H16" s="74">
        <f t="shared" si="0"/>
        <v>2721.6</v>
      </c>
    </row>
    <row r="17" spans="2:16">
      <c r="B17" s="15" t="s">
        <v>4</v>
      </c>
      <c r="C17" s="16"/>
      <c r="D17" s="24">
        <v>0</v>
      </c>
      <c r="E17" s="25">
        <v>0</v>
      </c>
      <c r="F17" s="25">
        <v>0</v>
      </c>
      <c r="G17" s="73">
        <f t="shared" si="0"/>
        <v>0</v>
      </c>
      <c r="H17" s="74">
        <f t="shared" si="0"/>
        <v>0</v>
      </c>
    </row>
    <row r="18" spans="2:16">
      <c r="B18" s="15" t="s">
        <v>26</v>
      </c>
      <c r="C18" s="16"/>
      <c r="D18" s="24">
        <v>0</v>
      </c>
      <c r="E18" s="25">
        <v>0</v>
      </c>
      <c r="F18" s="25">
        <v>0</v>
      </c>
      <c r="G18" s="73">
        <f t="shared" si="0"/>
        <v>0</v>
      </c>
      <c r="H18" s="74">
        <f t="shared" si="0"/>
        <v>0</v>
      </c>
    </row>
    <row r="19" spans="2:16">
      <c r="B19" s="15" t="s">
        <v>7</v>
      </c>
      <c r="C19" s="16"/>
      <c r="D19" s="24">
        <f>I61</f>
        <v>0</v>
      </c>
      <c r="E19" s="25">
        <v>0.75</v>
      </c>
      <c r="F19" s="25">
        <v>0.9</v>
      </c>
      <c r="G19" s="73">
        <f t="shared" si="0"/>
        <v>0</v>
      </c>
      <c r="H19" s="74">
        <f t="shared" si="0"/>
        <v>0</v>
      </c>
    </row>
    <row r="20" spans="2:16">
      <c r="B20" s="15" t="s">
        <v>27</v>
      </c>
      <c r="C20" s="16"/>
      <c r="D20" s="24">
        <v>0</v>
      </c>
      <c r="E20" s="25">
        <v>0</v>
      </c>
      <c r="F20" s="25">
        <v>0</v>
      </c>
      <c r="G20" s="73">
        <f t="shared" si="0"/>
        <v>0</v>
      </c>
      <c r="H20" s="74">
        <f t="shared" si="0"/>
        <v>0</v>
      </c>
    </row>
    <row r="21" spans="2:16">
      <c r="B21" s="15" t="s">
        <v>5</v>
      </c>
      <c r="C21" s="16"/>
      <c r="D21" s="24">
        <v>0</v>
      </c>
      <c r="E21" s="25">
        <v>0</v>
      </c>
      <c r="F21" s="25">
        <v>0</v>
      </c>
      <c r="G21" s="73">
        <f t="shared" si="0"/>
        <v>0</v>
      </c>
      <c r="H21" s="74">
        <f t="shared" si="0"/>
        <v>0</v>
      </c>
    </row>
    <row r="22" spans="2:16">
      <c r="B22" s="15" t="s">
        <v>20</v>
      </c>
      <c r="C22" s="16"/>
      <c r="D22" s="24">
        <v>0</v>
      </c>
      <c r="E22" s="25">
        <v>0</v>
      </c>
      <c r="F22" s="25">
        <v>0</v>
      </c>
      <c r="G22" s="75">
        <f t="shared" si="0"/>
        <v>0</v>
      </c>
      <c r="H22" s="76">
        <f t="shared" si="0"/>
        <v>0</v>
      </c>
    </row>
    <row r="23" spans="2:16">
      <c r="B23" s="26" t="s">
        <v>19</v>
      </c>
      <c r="C23" s="27"/>
      <c r="D23" s="51">
        <f>SUM(D14:D22)</f>
        <v>3024</v>
      </c>
      <c r="E23" s="28"/>
      <c r="F23" s="28"/>
      <c r="G23" s="51">
        <f t="shared" ref="G23:H23" si="1">SUM(G14:G22)</f>
        <v>2268</v>
      </c>
      <c r="H23" s="77">
        <f t="shared" si="1"/>
        <v>2721.6</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55</v>
      </c>
      <c r="E28" s="1955"/>
      <c r="F28" s="1955"/>
      <c r="G28" s="1955"/>
      <c r="H28" s="1955"/>
      <c r="I28" s="36"/>
    </row>
    <row r="29" spans="2:16">
      <c r="B29" s="42"/>
      <c r="C29" s="34"/>
      <c r="D29" s="99"/>
      <c r="E29" s="97"/>
      <c r="F29" s="97"/>
      <c r="G29" s="97"/>
      <c r="H29" s="97"/>
      <c r="I29" s="36"/>
    </row>
    <row r="30" spans="2:16">
      <c r="B30" s="37" t="s">
        <v>41</v>
      </c>
      <c r="C30" s="34"/>
      <c r="D30" s="1956" t="s">
        <v>52</v>
      </c>
      <c r="E30" s="1957"/>
      <c r="F30" s="1957"/>
      <c r="G30" s="1957"/>
      <c r="H30" s="1957"/>
      <c r="I30" s="36"/>
    </row>
    <row r="31" spans="2:16" ht="15" customHeight="1">
      <c r="B31" s="91" t="s">
        <v>40</v>
      </c>
      <c r="C31" s="34"/>
      <c r="D31" s="1956" t="s">
        <v>51</v>
      </c>
      <c r="E31" s="1957"/>
      <c r="F31" s="1957"/>
      <c r="G31" s="1957"/>
      <c r="H31" s="1957"/>
      <c r="I31" s="36"/>
    </row>
    <row r="32" spans="2:16" ht="55.5" customHeight="1">
      <c r="B32" s="91" t="s">
        <v>33</v>
      </c>
      <c r="C32" s="90"/>
      <c r="D32" s="1956" t="s">
        <v>54</v>
      </c>
      <c r="E32" s="1957"/>
      <c r="F32" s="1957"/>
      <c r="G32" s="1957"/>
      <c r="H32" s="1957"/>
      <c r="I32" s="36"/>
    </row>
    <row r="33" spans="2:15" ht="78.75" customHeight="1">
      <c r="B33" s="91" t="s">
        <v>35</v>
      </c>
      <c r="C33" s="90"/>
      <c r="D33" s="1956" t="s">
        <v>56</v>
      </c>
      <c r="E33" s="1957"/>
      <c r="F33" s="1957"/>
      <c r="G33" s="1957"/>
      <c r="H33" s="1957"/>
      <c r="I33" s="36"/>
    </row>
    <row r="34" spans="2:15" ht="36" customHeight="1">
      <c r="B34" s="91" t="s">
        <v>34</v>
      </c>
      <c r="C34" s="90"/>
      <c r="D34" s="1956" t="s">
        <v>53</v>
      </c>
      <c r="E34" s="1957"/>
      <c r="F34" s="1957"/>
      <c r="G34" s="1957"/>
      <c r="H34" s="1957"/>
      <c r="I34" s="36"/>
    </row>
    <row r="35" spans="2:15">
      <c r="B35" s="37"/>
      <c r="C35" s="34"/>
      <c r="D35" s="34"/>
      <c r="E35" s="35"/>
      <c r="F35" s="35"/>
      <c r="G35" s="35"/>
      <c r="H35" s="35"/>
      <c r="I35" s="36"/>
    </row>
    <row r="36" spans="2:15">
      <c r="B36" s="38" t="s">
        <v>25</v>
      </c>
      <c r="C36" s="34"/>
      <c r="D36" s="1958" t="s">
        <v>42</v>
      </c>
      <c r="E36" s="1952"/>
      <c r="F36" s="1952"/>
      <c r="G36" s="1952"/>
      <c r="H36" s="1952"/>
      <c r="I36" s="36"/>
      <c r="J36" s="49"/>
    </row>
    <row r="37" spans="2:15">
      <c r="B37" s="37"/>
      <c r="C37" s="34"/>
      <c r="D37" s="35"/>
      <c r="E37" s="35"/>
      <c r="F37" s="35"/>
      <c r="G37" s="35"/>
      <c r="H37" s="35"/>
      <c r="I37" s="36"/>
    </row>
    <row r="38" spans="2:15">
      <c r="B38" s="38" t="s">
        <v>8</v>
      </c>
      <c r="C38" s="34"/>
      <c r="D38" s="39" t="s">
        <v>38</v>
      </c>
      <c r="E38" s="35"/>
      <c r="F38" s="35"/>
      <c r="G38" s="35"/>
      <c r="H38" s="35"/>
      <c r="I38" s="36"/>
    </row>
    <row r="39" spans="2:15">
      <c r="B39" s="38" t="s">
        <v>9</v>
      </c>
      <c r="C39" s="34"/>
      <c r="D39" s="92">
        <v>1</v>
      </c>
      <c r="E39" s="35"/>
      <c r="F39" s="35"/>
      <c r="G39" s="35"/>
      <c r="H39" s="35"/>
      <c r="I39" s="36"/>
    </row>
    <row r="40" spans="2:15">
      <c r="B40" s="38" t="s">
        <v>10</v>
      </c>
      <c r="C40" s="35"/>
      <c r="D40" s="93">
        <v>0</v>
      </c>
      <c r="E40" s="35"/>
      <c r="F40" s="35"/>
      <c r="G40" s="35"/>
      <c r="H40" s="35"/>
      <c r="I40" s="96" t="s">
        <v>6</v>
      </c>
    </row>
    <row r="41" spans="2:15">
      <c r="B41" s="40"/>
      <c r="C41" s="35"/>
      <c r="D41" s="35"/>
      <c r="E41" s="41"/>
      <c r="F41" s="35"/>
      <c r="G41" s="35"/>
      <c r="H41" s="35"/>
      <c r="I41" s="45"/>
      <c r="L41" s="64"/>
      <c r="M41" s="64"/>
      <c r="N41" s="61"/>
      <c r="O41" s="61"/>
    </row>
    <row r="42" spans="2:15">
      <c r="B42" s="42" t="s">
        <v>0</v>
      </c>
      <c r="C42" s="35"/>
      <c r="D42" s="35"/>
      <c r="E42" s="35"/>
      <c r="F42" s="35"/>
      <c r="G42" s="35"/>
      <c r="H42" s="35"/>
      <c r="I42" s="46">
        <v>0</v>
      </c>
      <c r="L42" s="64"/>
      <c r="M42" s="64"/>
      <c r="N42" s="61"/>
      <c r="O42" s="61"/>
    </row>
    <row r="43" spans="2:15" ht="14.25" customHeight="1">
      <c r="B43" s="37" t="s">
        <v>39</v>
      </c>
      <c r="C43" s="35"/>
      <c r="D43" s="78"/>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0</v>
      </c>
      <c r="L45" s="64"/>
      <c r="M45" s="61"/>
    </row>
    <row r="46" spans="2:15" ht="12.75" customHeight="1">
      <c r="B46" s="1959" t="s">
        <v>39</v>
      </c>
      <c r="C46" s="1955"/>
      <c r="D46" s="1955"/>
      <c r="E46" s="1955"/>
      <c r="F46" s="1955"/>
      <c r="G46" s="1955"/>
      <c r="H46" s="1955"/>
      <c r="I46" s="46"/>
      <c r="L46" s="64"/>
      <c r="M46" s="61"/>
    </row>
    <row r="47" spans="2:15" ht="6" customHeight="1">
      <c r="B47" s="33"/>
      <c r="C47" s="35"/>
      <c r="D47" s="35"/>
      <c r="E47" s="60"/>
      <c r="F47" s="60"/>
      <c r="G47" s="60"/>
      <c r="H47" s="35"/>
      <c r="I47" s="46"/>
      <c r="L47" s="64"/>
      <c r="M47" s="61"/>
    </row>
    <row r="48" spans="2:15" ht="4.5" customHeight="1">
      <c r="B48" s="42"/>
      <c r="C48" s="35"/>
      <c r="D48" s="35"/>
      <c r="E48" s="35"/>
      <c r="F48" s="35"/>
      <c r="G48" s="58"/>
      <c r="H48" s="59"/>
      <c r="I48" s="46"/>
      <c r="L48" s="64"/>
      <c r="M48" s="61"/>
    </row>
    <row r="49" spans="2:15">
      <c r="B49" s="42" t="s">
        <v>3</v>
      </c>
      <c r="C49" s="35"/>
      <c r="D49" s="35"/>
      <c r="E49" s="35"/>
      <c r="F49" s="35"/>
      <c r="G49" s="35"/>
      <c r="H49" s="35"/>
      <c r="I49" s="46">
        <f>$H$52</f>
        <v>3024</v>
      </c>
      <c r="L49" s="64"/>
      <c r="M49" s="61"/>
    </row>
    <row r="50" spans="2:15" ht="12.75" customHeight="1">
      <c r="B50" s="1959" t="s">
        <v>44</v>
      </c>
      <c r="C50" s="1955"/>
      <c r="D50" s="1955"/>
      <c r="E50" s="1955"/>
      <c r="F50" s="1955"/>
      <c r="G50" s="1955"/>
      <c r="H50" s="1955"/>
      <c r="I50" s="46"/>
      <c r="L50" s="64"/>
      <c r="M50" s="61"/>
    </row>
    <row r="51" spans="2:15" ht="12.75" customHeight="1">
      <c r="B51" s="101"/>
      <c r="C51" s="102"/>
      <c r="D51" s="103" t="s">
        <v>45</v>
      </c>
      <c r="E51" s="104" t="s">
        <v>46</v>
      </c>
      <c r="F51" s="104" t="s">
        <v>6</v>
      </c>
      <c r="G51" s="104" t="s">
        <v>47</v>
      </c>
      <c r="H51" s="104" t="s">
        <v>48</v>
      </c>
      <c r="I51" s="46"/>
      <c r="L51" s="64"/>
      <c r="M51" s="61"/>
    </row>
    <row r="52" spans="2:15" ht="12.75" customHeight="1">
      <c r="B52" s="101"/>
      <c r="C52" s="97"/>
      <c r="D52" s="97" t="s">
        <v>3</v>
      </c>
      <c r="E52" s="105" t="s">
        <v>49</v>
      </c>
      <c r="F52" s="106">
        <v>56</v>
      </c>
      <c r="G52" s="97">
        <v>54</v>
      </c>
      <c r="H52" s="106">
        <f>F52*G52</f>
        <v>3024</v>
      </c>
      <c r="I52" s="46"/>
      <c r="L52" s="64"/>
      <c r="M52" s="61"/>
    </row>
    <row r="53" spans="2:15" ht="11.25" customHeight="1">
      <c r="B53" s="33"/>
      <c r="C53" s="35"/>
      <c r="D53" s="35"/>
      <c r="E53" s="35"/>
      <c r="F53" s="35"/>
      <c r="G53" s="35"/>
      <c r="H53" s="35"/>
      <c r="I53" s="48"/>
      <c r="L53" s="64"/>
      <c r="M53" s="61"/>
    </row>
    <row r="54" spans="2:15">
      <c r="B54" s="42" t="s">
        <v>4</v>
      </c>
      <c r="C54" s="35"/>
      <c r="D54" s="35"/>
      <c r="E54" s="35"/>
      <c r="F54" s="35"/>
      <c r="G54" s="35"/>
      <c r="H54" s="35"/>
      <c r="I54" s="48">
        <v>0</v>
      </c>
      <c r="L54" s="64"/>
      <c r="M54" s="61"/>
    </row>
    <row r="55" spans="2:15" ht="12" customHeight="1">
      <c r="B55" s="37" t="s">
        <v>39</v>
      </c>
      <c r="C55" s="35"/>
      <c r="D55" s="35"/>
      <c r="E55" s="35"/>
      <c r="F55" s="35"/>
      <c r="G55" s="35"/>
      <c r="H55" s="35"/>
      <c r="I55" s="36"/>
      <c r="L55" s="64"/>
      <c r="M55" s="61"/>
    </row>
    <row r="56" spans="2:15" ht="5.25" customHeight="1">
      <c r="B56" s="37"/>
      <c r="C56" s="35"/>
      <c r="D56" s="35"/>
      <c r="E56" s="35"/>
      <c r="F56" s="35"/>
      <c r="G56" s="35"/>
      <c r="H56" s="35"/>
      <c r="I56" s="36"/>
      <c r="L56" s="64"/>
      <c r="M56" s="61"/>
    </row>
    <row r="57" spans="2:15">
      <c r="B57" s="42" t="s">
        <v>26</v>
      </c>
      <c r="C57" s="35"/>
      <c r="D57" s="35"/>
      <c r="E57" s="35"/>
      <c r="F57" s="35"/>
      <c r="G57" s="35"/>
      <c r="H57" s="35"/>
      <c r="I57" s="46">
        <v>0</v>
      </c>
      <c r="L57" s="64"/>
      <c r="M57" s="61"/>
    </row>
    <row r="58" spans="2:15" ht="14.25" customHeight="1">
      <c r="B58" s="1959" t="s">
        <v>39</v>
      </c>
      <c r="C58" s="1960"/>
      <c r="D58" s="1960"/>
      <c r="E58" s="1960"/>
      <c r="F58" s="1960"/>
      <c r="G58" s="1960"/>
      <c r="H58" s="1960"/>
      <c r="I58" s="48"/>
      <c r="L58" s="64"/>
      <c r="M58" s="61"/>
    </row>
    <row r="59" spans="2:15" ht="12" customHeight="1">
      <c r="B59" s="1943"/>
      <c r="C59" s="1944"/>
      <c r="D59" s="1944"/>
      <c r="E59" s="1944"/>
      <c r="F59" s="1944"/>
      <c r="G59" s="1944"/>
      <c r="H59" s="35"/>
      <c r="I59" s="48"/>
      <c r="L59" s="64"/>
      <c r="M59" s="61"/>
    </row>
    <row r="60" spans="2:15" ht="9.75" customHeight="1">
      <c r="B60" s="37"/>
      <c r="C60" s="35"/>
      <c r="D60" s="35"/>
      <c r="E60" s="35"/>
      <c r="F60" s="35"/>
      <c r="G60" s="35"/>
      <c r="H60" s="35"/>
      <c r="I60" s="36"/>
      <c r="L60" s="64"/>
      <c r="M60" s="64"/>
    </row>
    <row r="61" spans="2:15">
      <c r="B61" s="42" t="s">
        <v>7</v>
      </c>
      <c r="C61" s="35"/>
      <c r="D61" s="35"/>
      <c r="E61" s="35"/>
      <c r="F61" s="35"/>
      <c r="G61" s="35"/>
      <c r="H61" s="35"/>
      <c r="I61" s="46">
        <v>0</v>
      </c>
      <c r="L61" s="64"/>
      <c r="M61" s="64"/>
      <c r="N61" s="64"/>
      <c r="O61" s="64"/>
    </row>
    <row r="62" spans="2:15" ht="12" customHeight="1">
      <c r="B62" s="33"/>
      <c r="C62" s="35"/>
      <c r="D62" s="35"/>
      <c r="E62" s="35"/>
      <c r="F62" s="35"/>
      <c r="G62" s="35"/>
      <c r="H62" s="35"/>
      <c r="I62" s="36"/>
      <c r="L62" s="64"/>
      <c r="M62" s="64"/>
      <c r="N62" s="61"/>
      <c r="O62" s="61"/>
    </row>
    <row r="63" spans="2:15" ht="6" customHeight="1">
      <c r="B63" s="37"/>
      <c r="C63" s="35"/>
      <c r="D63" s="35"/>
      <c r="E63" s="35"/>
      <c r="F63" s="35"/>
      <c r="G63" s="35"/>
      <c r="H63" s="35"/>
      <c r="I63" s="36"/>
      <c r="L63" s="64"/>
      <c r="M63" s="64"/>
      <c r="N63" s="65"/>
      <c r="O63" s="65"/>
    </row>
    <row r="64" spans="2:15">
      <c r="B64" s="42" t="s">
        <v>27</v>
      </c>
      <c r="C64" s="35"/>
      <c r="D64" s="35"/>
      <c r="E64" s="35"/>
      <c r="F64" s="35"/>
      <c r="G64" s="35"/>
      <c r="H64" s="35"/>
      <c r="I64" s="46">
        <v>0</v>
      </c>
      <c r="L64" s="64"/>
      <c r="M64" s="64"/>
      <c r="N64" s="61"/>
      <c r="O64" s="61"/>
    </row>
    <row r="65" spans="2:15" ht="13.5" customHeight="1">
      <c r="B65" s="37" t="s">
        <v>39</v>
      </c>
      <c r="C65" s="35"/>
      <c r="D65" s="35"/>
      <c r="E65" s="35"/>
      <c r="F65" s="35"/>
      <c r="G65" s="35"/>
      <c r="H65" s="35"/>
      <c r="I65" s="47"/>
      <c r="L65" s="64"/>
      <c r="M65" s="64"/>
      <c r="N65" s="65"/>
      <c r="O65" s="65"/>
    </row>
    <row r="66" spans="2:15" ht="3.75" customHeight="1">
      <c r="B66" s="37"/>
      <c r="C66" s="35"/>
      <c r="D66" s="35"/>
      <c r="E66" s="35"/>
      <c r="F66" s="35"/>
      <c r="G66" s="35"/>
      <c r="H66" s="35"/>
      <c r="I66" s="36"/>
      <c r="L66" s="64"/>
      <c r="M66" s="64"/>
      <c r="N66" s="61"/>
      <c r="O66" s="61"/>
    </row>
    <row r="67" spans="2:15">
      <c r="B67" s="42" t="s">
        <v>5</v>
      </c>
      <c r="C67" s="35"/>
      <c r="D67" s="35"/>
      <c r="E67" s="35"/>
      <c r="F67" s="35"/>
      <c r="G67" s="35"/>
      <c r="H67" s="35"/>
      <c r="I67" s="46">
        <v>0</v>
      </c>
      <c r="L67" s="64"/>
      <c r="M67" s="64"/>
      <c r="N67" s="61"/>
      <c r="O67" s="61"/>
    </row>
    <row r="68" spans="2:15" ht="11.25" customHeight="1">
      <c r="B68" s="37" t="s">
        <v>39</v>
      </c>
      <c r="C68" s="35"/>
      <c r="D68" s="35"/>
      <c r="E68" s="35"/>
      <c r="F68" s="35"/>
      <c r="G68" s="35"/>
      <c r="H68" s="35"/>
      <c r="I68" s="47"/>
      <c r="L68" s="64"/>
      <c r="M68" s="64"/>
      <c r="N68" s="64"/>
      <c r="O68" s="64"/>
    </row>
    <row r="69" spans="2:15" ht="4.5" customHeight="1">
      <c r="B69" s="37"/>
      <c r="C69" s="35"/>
      <c r="D69" s="35"/>
      <c r="E69" s="35"/>
      <c r="F69" s="35"/>
      <c r="G69" s="35"/>
      <c r="H69" s="35"/>
      <c r="I69" s="36"/>
      <c r="L69" s="64"/>
      <c r="M69" s="64"/>
      <c r="N69" s="64"/>
      <c r="O69" s="64"/>
    </row>
    <row r="70" spans="2:15">
      <c r="B70" s="42" t="s">
        <v>20</v>
      </c>
      <c r="C70" s="35"/>
      <c r="D70" s="35"/>
      <c r="E70" s="35"/>
      <c r="F70" s="35"/>
      <c r="G70" s="35"/>
      <c r="H70" s="35"/>
      <c r="I70" s="46">
        <v>0</v>
      </c>
      <c r="L70" s="64"/>
      <c r="M70" s="64"/>
      <c r="N70" s="61"/>
      <c r="O70" s="61"/>
    </row>
    <row r="71" spans="2:15" ht="12" customHeight="1">
      <c r="B71" s="37" t="s">
        <v>39</v>
      </c>
      <c r="C71" s="35"/>
      <c r="D71" s="35"/>
      <c r="E71" s="35"/>
      <c r="F71" s="35"/>
      <c r="G71" s="35"/>
      <c r="H71" s="35"/>
      <c r="I71" s="46"/>
      <c r="L71" s="64"/>
      <c r="M71" s="64"/>
      <c r="N71" s="61"/>
      <c r="O71" s="61"/>
    </row>
    <row r="72" spans="2:15" ht="6.75" customHeight="1">
      <c r="B72" s="42"/>
      <c r="C72" s="35"/>
      <c r="D72" s="35"/>
      <c r="E72" s="35"/>
      <c r="F72" s="35"/>
      <c r="G72" s="35"/>
      <c r="H72" s="35"/>
      <c r="I72" s="46"/>
      <c r="L72" s="64"/>
      <c r="M72" s="64"/>
      <c r="N72" s="61"/>
      <c r="O72" s="61"/>
    </row>
    <row r="73" spans="2:15" ht="5.25" customHeight="1">
      <c r="B73" s="40"/>
      <c r="C73" s="35"/>
      <c r="D73" s="35"/>
      <c r="E73" s="35"/>
      <c r="F73" s="35"/>
      <c r="G73" s="35"/>
      <c r="H73" s="35"/>
      <c r="I73" s="36"/>
      <c r="L73" s="64"/>
      <c r="M73" s="64"/>
      <c r="N73" s="64"/>
      <c r="O73" s="64"/>
    </row>
    <row r="74" spans="2:15">
      <c r="B74" s="43" t="s">
        <v>11</v>
      </c>
      <c r="C74" s="44"/>
      <c r="D74" s="44"/>
      <c r="E74" s="44"/>
      <c r="F74" s="44"/>
      <c r="G74" s="44"/>
      <c r="H74" s="44"/>
      <c r="I74" s="52">
        <f>+I70+I67+I64+I61+I57+I54+I49+I45+I42</f>
        <v>3024</v>
      </c>
      <c r="L74" s="64"/>
      <c r="M74" s="64"/>
      <c r="N74" s="64"/>
      <c r="O74" s="64"/>
    </row>
    <row r="97" spans="5:5">
      <c r="E97" s="57"/>
    </row>
    <row r="98" spans="5:5">
      <c r="E98" s="57"/>
    </row>
    <row r="99" spans="5:5">
      <c r="E99" s="57"/>
    </row>
    <row r="100" spans="5:5">
      <c r="E100" s="57"/>
    </row>
    <row r="101" spans="5:5">
      <c r="E101" s="57"/>
    </row>
    <row r="102" spans="5:5">
      <c r="E102" s="57"/>
    </row>
    <row r="104" spans="5:5">
      <c r="E104" s="57"/>
    </row>
    <row r="106" spans="5:5">
      <c r="E106" s="56"/>
    </row>
    <row r="108" spans="5:5">
      <c r="E108" s="57"/>
    </row>
  </sheetData>
  <mergeCells count="11">
    <mergeCell ref="D36:H36"/>
    <mergeCell ref="B46:H46"/>
    <mergeCell ref="B50:H50"/>
    <mergeCell ref="B58:H58"/>
    <mergeCell ref="B59:G59"/>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110.xml><?xml version="1.0" encoding="utf-8"?>
<worksheet xmlns="http://schemas.openxmlformats.org/spreadsheetml/2006/main" xmlns:r="http://schemas.openxmlformats.org/officeDocument/2006/relationships">
  <sheetPr>
    <pageSetUpPr fitToPage="1"/>
  </sheetPr>
  <dimension ref="A1:L82"/>
  <sheetViews>
    <sheetView workbookViewId="0">
      <selection activeCell="B54" sqref="B54:I55"/>
    </sheetView>
  </sheetViews>
  <sheetFormatPr defaultRowHeight="12.75"/>
  <cols>
    <col min="1" max="1" width="1.85546875" customWidth="1"/>
    <col min="3" max="3" width="24.140625" customWidth="1"/>
    <col min="4" max="4" width="35" customWidth="1"/>
    <col min="5" max="5" width="59.42578125" bestFit="1" customWidth="1"/>
    <col min="6" max="6" width="10.42578125" customWidth="1"/>
    <col min="7" max="7" width="10.140625" bestFit="1" customWidth="1"/>
    <col min="9" max="9" width="11.1406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12.75" hidden="1" customHeight="1">
      <c r="A6" s="2"/>
      <c r="B6" s="54">
        <v>378</v>
      </c>
      <c r="C6" s="7" t="str">
        <f>+E12</f>
        <v>EQIP</v>
      </c>
      <c r="D6" s="110" t="s">
        <v>741</v>
      </c>
      <c r="E6" s="110" t="s">
        <v>751</v>
      </c>
      <c r="F6" s="7" t="str">
        <f>D36</f>
        <v>Each</v>
      </c>
      <c r="G6" s="85">
        <f>+I25</f>
        <v>5769.2307692307686</v>
      </c>
    </row>
    <row r="7" spans="1:12" ht="12.75" hidden="1" customHeight="1">
      <c r="A7" s="2"/>
      <c r="B7" s="54">
        <f>+B6</f>
        <v>378</v>
      </c>
      <c r="C7" s="7" t="str">
        <f>+C6</f>
        <v>EQIP</v>
      </c>
      <c r="D7" s="110" t="s">
        <v>741</v>
      </c>
      <c r="E7" s="110" t="str">
        <f>CONCATENATE(E6, "-HU")</f>
        <v>Embankment Pond, Effective height greater than 8'-HU</v>
      </c>
      <c r="F7" s="7" t="str">
        <f>+F6</f>
        <v>Each</v>
      </c>
      <c r="G7" s="85">
        <f>+J25</f>
        <v>8653.8461538461524</v>
      </c>
    </row>
    <row r="8" spans="1:12" ht="12.75" hidden="1" customHeight="1">
      <c r="A8" s="2"/>
      <c r="B8" s="54">
        <v>378</v>
      </c>
      <c r="C8" s="7" t="str">
        <f>+G12</f>
        <v>WHIP</v>
      </c>
      <c r="D8" s="110" t="s">
        <v>741</v>
      </c>
      <c r="E8" s="110" t="s">
        <v>751</v>
      </c>
      <c r="F8" s="7" t="str">
        <f>D36</f>
        <v>Each</v>
      </c>
      <c r="G8" s="85">
        <f>+K25</f>
        <v>0</v>
      </c>
    </row>
    <row r="9" spans="1:12" hidden="1">
      <c r="A9" s="2"/>
      <c r="B9" s="8">
        <f>+B8</f>
        <v>378</v>
      </c>
      <c r="C9" s="10" t="str">
        <f>+C8</f>
        <v>WHIP</v>
      </c>
      <c r="D9" s="111" t="s">
        <v>741</v>
      </c>
      <c r="E9" s="111" t="str">
        <f>CONCATENATE(E6, "-HU")</f>
        <v>Embankment Pond, Effective height greater than 8'-HU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Factors'!D27</f>
        <v>0.5</v>
      </c>
      <c r="F16" s="160">
        <f>+'[10]Payment Factors'!E27</f>
        <v>0.75</v>
      </c>
      <c r="G16" s="160">
        <f>+'[10]Payment Factors'!F12</f>
        <v>0</v>
      </c>
      <c r="H16" s="160">
        <f>+'[10]Payment Factors'!G12</f>
        <v>0</v>
      </c>
      <c r="I16" s="1154">
        <f t="shared" ref="I16:L24" si="0">+$D16*E16</f>
        <v>0</v>
      </c>
      <c r="J16" s="1154">
        <f t="shared" si="0"/>
        <v>0</v>
      </c>
      <c r="K16" s="1154">
        <f t="shared" si="0"/>
        <v>0</v>
      </c>
      <c r="L16" s="1155">
        <f t="shared" si="0"/>
        <v>0</v>
      </c>
    </row>
    <row r="17" spans="1:12" hidden="1">
      <c r="A17" s="2"/>
      <c r="B17" s="15" t="s">
        <v>2</v>
      </c>
      <c r="C17" s="16"/>
      <c r="D17" s="24">
        <f>+I44</f>
        <v>9807.6923076923067</v>
      </c>
      <c r="E17" s="160">
        <f t="shared" ref="E17:H19" si="1">+E16</f>
        <v>0.5</v>
      </c>
      <c r="F17" s="160">
        <f t="shared" si="1"/>
        <v>0.75</v>
      </c>
      <c r="G17" s="160">
        <f t="shared" si="1"/>
        <v>0</v>
      </c>
      <c r="H17" s="160">
        <f t="shared" si="1"/>
        <v>0</v>
      </c>
      <c r="I17" s="1154">
        <f t="shared" si="0"/>
        <v>4903.8461538461534</v>
      </c>
      <c r="J17" s="1154">
        <f t="shared" si="0"/>
        <v>7355.7692307692305</v>
      </c>
      <c r="K17" s="1154">
        <f t="shared" si="0"/>
        <v>0</v>
      </c>
      <c r="L17" s="1155">
        <f t="shared" si="0"/>
        <v>0</v>
      </c>
    </row>
    <row r="18" spans="1:12" hidden="1">
      <c r="A18" s="2"/>
      <c r="B18" s="15" t="s">
        <v>3</v>
      </c>
      <c r="C18" s="16"/>
      <c r="D18" s="24">
        <f>+I54</f>
        <v>1730.7692307692305</v>
      </c>
      <c r="E18" s="160">
        <f t="shared" si="1"/>
        <v>0.5</v>
      </c>
      <c r="F18" s="160">
        <f t="shared" si="1"/>
        <v>0.75</v>
      </c>
      <c r="G18" s="160">
        <f t="shared" si="1"/>
        <v>0</v>
      </c>
      <c r="H18" s="160">
        <f t="shared" si="1"/>
        <v>0</v>
      </c>
      <c r="I18" s="1154">
        <f t="shared" si="0"/>
        <v>865.38461538461524</v>
      </c>
      <c r="J18" s="1154">
        <f t="shared" si="0"/>
        <v>1298.0769230769229</v>
      </c>
      <c r="K18" s="1154">
        <f t="shared" si="0"/>
        <v>0</v>
      </c>
      <c r="L18" s="1155">
        <f t="shared" si="0"/>
        <v>0</v>
      </c>
    </row>
    <row r="19" spans="1:12" hidden="1">
      <c r="A19" s="2"/>
      <c r="B19" s="15" t="s">
        <v>4</v>
      </c>
      <c r="C19" s="16"/>
      <c r="D19" s="24">
        <f>+I60</f>
        <v>0</v>
      </c>
      <c r="E19" s="160">
        <f t="shared" si="1"/>
        <v>0.5</v>
      </c>
      <c r="F19" s="160">
        <f t="shared" si="1"/>
        <v>0.75</v>
      </c>
      <c r="G19" s="160">
        <f t="shared" si="1"/>
        <v>0</v>
      </c>
      <c r="H19" s="160">
        <f t="shared" si="1"/>
        <v>0</v>
      </c>
      <c r="I19" s="1154">
        <f t="shared" si="0"/>
        <v>0</v>
      </c>
      <c r="J19" s="1154">
        <f t="shared" si="0"/>
        <v>0</v>
      </c>
      <c r="K19" s="1154">
        <f t="shared" si="0"/>
        <v>0</v>
      </c>
      <c r="L19" s="1155">
        <f t="shared" si="0"/>
        <v>0</v>
      </c>
    </row>
    <row r="20" spans="1:12" hidden="1">
      <c r="A20" s="2"/>
      <c r="B20" s="15" t="s">
        <v>26</v>
      </c>
      <c r="C20" s="16"/>
      <c r="D20" s="24">
        <f>+I63</f>
        <v>115.38461538461537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+I66</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+I69</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+I73</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+I76</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11653.846153846152</v>
      </c>
      <c r="E25" s="1158"/>
      <c r="F25" s="1158"/>
      <c r="G25" s="28"/>
      <c r="H25" s="28"/>
      <c r="I25" s="1159">
        <f>SUM(I16:I24)</f>
        <v>5769.2307692307686</v>
      </c>
      <c r="J25" s="1159">
        <f>SUM(J16:J24)</f>
        <v>8653.8461538461524</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743</v>
      </c>
      <c r="C29" s="34"/>
      <c r="D29" s="34"/>
      <c r="E29" s="35"/>
      <c r="F29" s="35"/>
      <c r="G29" s="35"/>
      <c r="H29" s="35"/>
      <c r="I29" s="36"/>
    </row>
    <row r="30" spans="1:12">
      <c r="A30" s="2"/>
      <c r="B30" s="37" t="s">
        <v>744</v>
      </c>
      <c r="C30" s="34"/>
      <c r="D30" s="34"/>
      <c r="E30" s="1162"/>
      <c r="F30" s="1163"/>
      <c r="G30" s="35"/>
      <c r="H30" s="35"/>
      <c r="I30" s="36"/>
    </row>
    <row r="31" spans="1:12">
      <c r="A31" s="2"/>
      <c r="B31" s="37" t="s">
        <v>745</v>
      </c>
      <c r="C31" s="34"/>
      <c r="D31" s="34"/>
      <c r="E31" s="35"/>
      <c r="F31" s="35"/>
      <c r="G31" s="35"/>
      <c r="H31" s="35"/>
      <c r="I31" s="36"/>
    </row>
    <row r="32" spans="1:12">
      <c r="A32" s="2"/>
      <c r="B32" s="37" t="s">
        <v>746</v>
      </c>
      <c r="C32" s="34"/>
      <c r="D32" s="34"/>
      <c r="E32" s="35"/>
      <c r="F32" s="35"/>
      <c r="G32" s="35"/>
      <c r="H32" s="35"/>
      <c r="I32" s="36"/>
    </row>
    <row r="33" spans="1:9">
      <c r="A33" s="2"/>
      <c r="B33" s="37" t="s">
        <v>747</v>
      </c>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Factors'!C27</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664</v>
      </c>
      <c r="C41" s="35"/>
      <c r="D41" s="1167"/>
      <c r="E41" s="1167"/>
      <c r="F41" s="1167"/>
      <c r="G41" s="1167"/>
      <c r="H41" s="35"/>
      <c r="I41" s="46"/>
    </row>
    <row r="42" spans="1:9">
      <c r="A42" s="2"/>
      <c r="B42" s="40"/>
      <c r="C42" s="6"/>
      <c r="D42" s="1168"/>
      <c r="E42" s="1169"/>
      <c r="F42" s="1170"/>
      <c r="G42" s="1171"/>
      <c r="H42" s="35"/>
      <c r="I42" s="47"/>
    </row>
    <row r="43" spans="1:9">
      <c r="A43" s="2"/>
      <c r="B43" s="1172"/>
      <c r="C43" s="6"/>
      <c r="D43" s="1173"/>
      <c r="E43" s="35"/>
      <c r="F43" s="35"/>
      <c r="G43" s="35"/>
      <c r="H43" s="35"/>
      <c r="I43" s="36"/>
    </row>
    <row r="44" spans="1:9">
      <c r="A44" s="2"/>
      <c r="B44" s="42" t="s">
        <v>2</v>
      </c>
      <c r="C44" s="35"/>
      <c r="D44" s="35"/>
      <c r="E44" s="2003" t="s">
        <v>459</v>
      </c>
      <c r="F44" s="2003"/>
      <c r="G44" s="2003"/>
      <c r="H44" s="2003"/>
      <c r="I44" s="46">
        <f>(SUM(G46)*0.85)</f>
        <v>9807.6923076923067</v>
      </c>
    </row>
    <row r="45" spans="1:9">
      <c r="A45" s="2"/>
      <c r="B45" s="1174"/>
      <c r="C45" s="35"/>
      <c r="D45" s="1167" t="s">
        <v>447</v>
      </c>
      <c r="E45" s="1167" t="s">
        <v>448</v>
      </c>
      <c r="F45" s="1167" t="s">
        <v>449</v>
      </c>
      <c r="G45" s="1167" t="s">
        <v>450</v>
      </c>
      <c r="H45" s="35"/>
      <c r="I45" s="46"/>
    </row>
    <row r="46" spans="1:9">
      <c r="A46" s="2"/>
      <c r="B46" s="1175" t="str">
        <f>+'[24]Core Rates'!A119</f>
        <v>Embankment Pond (height &gt; 8 feet)</v>
      </c>
      <c r="C46" s="1176"/>
      <c r="D46" s="1169" t="str">
        <f>+'[24]Core Rates'!B118</f>
        <v>Ea</v>
      </c>
      <c r="E46" s="1169">
        <f>+'[24]Core Rates'!C119</f>
        <v>11538.461538461537</v>
      </c>
      <c r="F46" s="1170">
        <v>1</v>
      </c>
      <c r="G46" s="1171">
        <f>+F46*E46</f>
        <v>11538.461538461537</v>
      </c>
      <c r="H46" s="35"/>
      <c r="I46" s="46"/>
    </row>
    <row r="47" spans="1:9">
      <c r="A47" s="2"/>
      <c r="B47" s="1175"/>
      <c r="C47" s="6"/>
      <c r="D47" s="1169"/>
      <c r="E47" s="1169"/>
      <c r="F47" s="1170"/>
      <c r="G47" s="1171"/>
      <c r="H47" s="35"/>
      <c r="I47" s="47"/>
    </row>
    <row r="48" spans="1:9">
      <c r="A48" s="2"/>
      <c r="B48" s="40"/>
      <c r="C48" s="6"/>
      <c r="D48" s="63"/>
      <c r="E48" s="150"/>
      <c r="F48" s="150"/>
      <c r="G48" s="1169"/>
      <c r="H48" s="35"/>
      <c r="I48" s="47"/>
    </row>
    <row r="49" spans="1:9">
      <c r="A49" s="2"/>
      <c r="B49" s="37" t="s">
        <v>43</v>
      </c>
      <c r="C49" s="35"/>
      <c r="D49" s="35"/>
      <c r="E49" s="60"/>
      <c r="F49" s="60"/>
      <c r="G49" s="60"/>
      <c r="H49" s="35"/>
      <c r="I49" s="46"/>
    </row>
    <row r="50" spans="1:9" ht="12.75" customHeight="1">
      <c r="A50" s="2"/>
      <c r="B50" s="2004" t="s">
        <v>457</v>
      </c>
      <c r="C50" s="2005"/>
      <c r="D50" s="2005"/>
      <c r="E50" s="2005"/>
      <c r="F50" s="2005"/>
      <c r="G50" s="2005"/>
      <c r="H50" s="2005"/>
      <c r="I50" s="2006"/>
    </row>
    <row r="51" spans="1:9">
      <c r="A51" s="2"/>
      <c r="B51" s="2004"/>
      <c r="C51" s="2005"/>
      <c r="D51" s="2005"/>
      <c r="E51" s="2005"/>
      <c r="F51" s="2005"/>
      <c r="G51" s="2005"/>
      <c r="H51" s="2005"/>
      <c r="I51" s="2006"/>
    </row>
    <row r="52" spans="1:9">
      <c r="A52" s="2"/>
      <c r="B52" s="1177"/>
      <c r="C52" s="1178"/>
      <c r="D52" s="1178"/>
      <c r="E52" s="1178"/>
      <c r="F52" s="1178"/>
      <c r="G52" s="1178"/>
      <c r="H52" s="1178"/>
      <c r="I52" s="1179"/>
    </row>
    <row r="53" spans="1:9">
      <c r="A53" s="2"/>
      <c r="B53" s="1177"/>
      <c r="C53" s="1178"/>
      <c r="D53" s="1178"/>
      <c r="E53" s="1178"/>
      <c r="F53" s="1178"/>
      <c r="G53" s="1178"/>
      <c r="H53" s="1178"/>
      <c r="I53" s="1179"/>
    </row>
    <row r="54" spans="1:9">
      <c r="A54" s="2"/>
      <c r="B54" s="42" t="s">
        <v>3</v>
      </c>
      <c r="C54" s="35"/>
      <c r="D54" s="35"/>
      <c r="E54" s="35"/>
      <c r="F54" s="39"/>
      <c r="G54" s="35"/>
      <c r="H54" s="35"/>
      <c r="I54" s="48">
        <f>E56</f>
        <v>1730.7692307692305</v>
      </c>
    </row>
    <row r="55" spans="1:9">
      <c r="A55" s="2"/>
      <c r="B55" s="2007" t="s">
        <v>465</v>
      </c>
      <c r="C55" s="2008"/>
      <c r="D55" s="35"/>
      <c r="E55" s="35"/>
      <c r="F55" s="35"/>
      <c r="G55" s="35"/>
      <c r="H55" s="35"/>
      <c r="I55" s="48"/>
    </row>
    <row r="56" spans="1:9">
      <c r="A56" s="2"/>
      <c r="B56" s="37" t="s">
        <v>466</v>
      </c>
      <c r="C56" s="39"/>
      <c r="D56" s="39"/>
      <c r="E56" s="153">
        <f>SUM(G46:G47)*0.15</f>
        <v>1730.7692307692305</v>
      </c>
      <c r="F56" s="35"/>
      <c r="G56" s="35"/>
      <c r="H56" s="35"/>
      <c r="I56" s="46"/>
    </row>
    <row r="57" spans="1:9">
      <c r="A57" s="2"/>
      <c r="B57" s="37"/>
      <c r="C57" s="39"/>
      <c r="D57" s="1180"/>
      <c r="E57" s="153"/>
      <c r="F57" s="35"/>
      <c r="G57" s="35"/>
      <c r="H57" s="35"/>
      <c r="I57" s="46"/>
    </row>
    <row r="58" spans="1:9">
      <c r="A58" s="2"/>
      <c r="B58" s="37"/>
      <c r="C58" s="39"/>
      <c r="D58" s="1181"/>
      <c r="E58" s="153"/>
      <c r="F58" s="35"/>
      <c r="G58" s="35"/>
      <c r="H58" s="35"/>
      <c r="I58" s="46"/>
    </row>
    <row r="59" spans="1:9">
      <c r="A59" s="2"/>
      <c r="B59" s="33"/>
      <c r="C59" s="35"/>
      <c r="D59" s="35"/>
      <c r="E59" s="35"/>
      <c r="F59" s="35"/>
      <c r="G59" s="35"/>
      <c r="H59" s="35"/>
      <c r="I59" s="36"/>
    </row>
    <row r="60" spans="1:9">
      <c r="A60" s="2"/>
      <c r="B60" s="42" t="s">
        <v>4</v>
      </c>
      <c r="C60" s="35"/>
      <c r="D60" s="35"/>
      <c r="E60" s="35"/>
      <c r="F60" s="35"/>
      <c r="G60" s="35"/>
      <c r="H60" s="35"/>
      <c r="I60" s="1182">
        <v>0</v>
      </c>
    </row>
    <row r="61" spans="1:9">
      <c r="A61" s="2"/>
      <c r="B61" s="33" t="s">
        <v>748</v>
      </c>
      <c r="C61" s="35"/>
      <c r="D61" s="35"/>
      <c r="E61" s="35"/>
      <c r="F61" s="35"/>
      <c r="G61" s="35"/>
      <c r="H61" s="35"/>
      <c r="I61" s="36"/>
    </row>
    <row r="62" spans="1:9">
      <c r="A62" s="2"/>
      <c r="B62" s="37"/>
      <c r="C62" s="35"/>
      <c r="D62" s="35"/>
      <c r="E62" s="35"/>
      <c r="F62" s="35"/>
      <c r="G62" s="35"/>
      <c r="H62" s="35"/>
      <c r="I62" s="36"/>
    </row>
    <row r="63" spans="1:9">
      <c r="A63" s="2"/>
      <c r="B63" s="42" t="s">
        <v>468</v>
      </c>
      <c r="C63" s="35"/>
      <c r="D63" s="35"/>
      <c r="E63" s="35"/>
      <c r="F63" s="35"/>
      <c r="G63" s="35"/>
      <c r="H63" s="35"/>
      <c r="I63" s="1182">
        <f>0.01*(I40+I44+I54)</f>
        <v>115.38461538461537</v>
      </c>
    </row>
    <row r="64" spans="1:9">
      <c r="A64" s="2"/>
      <c r="B64" s="33" t="s">
        <v>749</v>
      </c>
      <c r="C64" s="35"/>
      <c r="D64" s="35"/>
      <c r="E64" s="35"/>
      <c r="F64" s="35"/>
      <c r="G64" s="35"/>
      <c r="H64" s="35"/>
      <c r="I64" s="36"/>
    </row>
    <row r="65" spans="1:9">
      <c r="A65" s="2"/>
      <c r="B65" s="37"/>
      <c r="C65" s="35"/>
      <c r="D65" s="35"/>
      <c r="E65" s="35"/>
      <c r="F65" s="35"/>
      <c r="G65" s="35"/>
      <c r="H65" s="35"/>
      <c r="I65" s="36"/>
    </row>
    <row r="66" spans="1:9">
      <c r="A66" s="2"/>
      <c r="B66" s="42" t="s">
        <v>7</v>
      </c>
      <c r="C66" s="35"/>
      <c r="D66" s="35"/>
      <c r="E66" s="35"/>
      <c r="F66" s="35"/>
      <c r="G66" s="35"/>
      <c r="H66" s="35"/>
      <c r="I66" s="1166">
        <v>0</v>
      </c>
    </row>
    <row r="67" spans="1:9">
      <c r="A67" s="2"/>
      <c r="B67" s="33" t="s">
        <v>104</v>
      </c>
      <c r="C67" s="35"/>
      <c r="D67" s="35"/>
      <c r="E67" s="35"/>
      <c r="F67" s="35"/>
      <c r="G67" s="35"/>
      <c r="H67" s="35"/>
      <c r="I67" s="36"/>
    </row>
    <row r="68" spans="1:9">
      <c r="A68" s="2"/>
      <c r="B68" s="37"/>
      <c r="C68" s="35"/>
      <c r="D68" s="35"/>
      <c r="E68" s="35"/>
      <c r="F68" s="35"/>
      <c r="G68" s="35"/>
      <c r="H68" s="35"/>
      <c r="I68" s="36"/>
    </row>
    <row r="69" spans="1:9">
      <c r="A69" s="2"/>
      <c r="B69" s="42" t="s">
        <v>471</v>
      </c>
      <c r="C69" s="35"/>
      <c r="D69" s="35"/>
      <c r="E69" s="35"/>
      <c r="F69" s="39"/>
      <c r="G69" s="35"/>
      <c r="H69" s="35"/>
      <c r="I69" s="1166">
        <v>0</v>
      </c>
    </row>
    <row r="70" spans="1:9">
      <c r="A70" s="2"/>
      <c r="B70" s="756" t="s">
        <v>104</v>
      </c>
      <c r="C70" s="35"/>
      <c r="D70" s="35"/>
      <c r="E70" s="35"/>
      <c r="F70" s="35"/>
      <c r="G70" s="35"/>
      <c r="H70" s="35"/>
      <c r="I70" s="47"/>
    </row>
    <row r="71" spans="1:9">
      <c r="A71" s="2"/>
      <c r="B71" s="756"/>
      <c r="C71" s="35"/>
      <c r="D71" s="35"/>
      <c r="E71" s="35"/>
      <c r="F71" s="35"/>
      <c r="G71" s="35"/>
      <c r="H71" s="35"/>
      <c r="I71" s="47"/>
    </row>
    <row r="72" spans="1:9">
      <c r="A72" s="2"/>
      <c r="B72" s="37"/>
      <c r="C72" s="35"/>
      <c r="D72" s="35"/>
      <c r="E72" s="35"/>
      <c r="F72" s="35"/>
      <c r="G72" s="35"/>
      <c r="H72" s="35"/>
      <c r="I72" s="36"/>
    </row>
    <row r="73" spans="1:9">
      <c r="A73" s="2"/>
      <c r="B73" s="42" t="s">
        <v>5</v>
      </c>
      <c r="C73" s="35"/>
      <c r="D73" s="35"/>
      <c r="E73" s="35"/>
      <c r="F73" s="35"/>
      <c r="G73" s="35"/>
      <c r="H73" s="35"/>
      <c r="I73" s="1166">
        <v>0</v>
      </c>
    </row>
    <row r="74" spans="1:9">
      <c r="A74" s="2"/>
      <c r="B74" s="33" t="s">
        <v>750</v>
      </c>
      <c r="C74" s="35"/>
      <c r="D74" s="35"/>
      <c r="E74" s="35"/>
      <c r="F74" s="35"/>
      <c r="G74" s="35"/>
      <c r="H74" s="35"/>
      <c r="I74" s="47"/>
    </row>
    <row r="75" spans="1:9">
      <c r="A75" s="2"/>
      <c r="B75" s="37"/>
      <c r="C75" s="35"/>
      <c r="D75" s="35"/>
      <c r="E75" s="35"/>
      <c r="F75" s="35"/>
      <c r="G75" s="35"/>
      <c r="H75" s="35"/>
      <c r="I75" s="36"/>
    </row>
    <row r="76" spans="1:9">
      <c r="A76" s="2"/>
      <c r="B76" s="42" t="s">
        <v>20</v>
      </c>
      <c r="C76" s="35"/>
      <c r="D76" s="35"/>
      <c r="E76" s="35"/>
      <c r="F76" s="35"/>
      <c r="G76" s="35"/>
      <c r="H76" s="35"/>
      <c r="I76" s="1166">
        <v>0</v>
      </c>
    </row>
    <row r="77" spans="1:9">
      <c r="A77" s="2"/>
      <c r="B77" s="33" t="s">
        <v>104</v>
      </c>
      <c r="C77" s="35"/>
      <c r="D77" s="35"/>
      <c r="E77" s="35"/>
      <c r="F77" s="35"/>
      <c r="G77" s="35"/>
      <c r="H77" s="35"/>
      <c r="I77" s="36"/>
    </row>
    <row r="78" spans="1:9">
      <c r="A78" s="2"/>
      <c r="B78" s="40"/>
      <c r="C78" s="35"/>
      <c r="D78" s="35"/>
      <c r="E78" s="35"/>
      <c r="F78" s="35"/>
      <c r="G78" s="35"/>
      <c r="H78" s="35"/>
      <c r="I78" s="36"/>
    </row>
    <row r="79" spans="1:9">
      <c r="A79" s="2"/>
      <c r="B79" s="42" t="s">
        <v>473</v>
      </c>
      <c r="C79" s="35"/>
      <c r="D79" s="35"/>
      <c r="E79" s="35"/>
      <c r="F79" s="35"/>
      <c r="G79" s="35"/>
      <c r="H79" s="35"/>
      <c r="I79" s="1183">
        <f>+I40+I44+I54+I60+I66+I76</f>
        <v>11538.461538461537</v>
      </c>
    </row>
    <row r="80" spans="1:9" ht="15.75">
      <c r="A80" s="2"/>
      <c r="B80" s="33" t="s">
        <v>474</v>
      </c>
      <c r="C80" s="35"/>
      <c r="D80" s="35"/>
      <c r="E80" s="35"/>
      <c r="F80" s="35"/>
      <c r="G80" s="35"/>
      <c r="H80" s="35"/>
      <c r="I80" s="36"/>
    </row>
    <row r="81" spans="1:9">
      <c r="A81" s="2"/>
      <c r="B81" s="40"/>
      <c r="C81" s="35"/>
      <c r="D81" s="35"/>
      <c r="E81" s="35"/>
      <c r="F81" s="35"/>
      <c r="G81" s="35"/>
      <c r="H81" s="35"/>
      <c r="I81" s="36"/>
    </row>
    <row r="82" spans="1:9">
      <c r="A82" s="2"/>
      <c r="B82" s="43" t="s">
        <v>11</v>
      </c>
      <c r="C82" s="44"/>
      <c r="D82" s="44"/>
      <c r="E82" s="44"/>
      <c r="F82" s="44"/>
      <c r="G82" s="44"/>
      <c r="H82" s="44"/>
      <c r="I82" s="621">
        <f>SUM(I40:I76)</f>
        <v>11653.846153846152</v>
      </c>
    </row>
  </sheetData>
  <mergeCells count="4">
    <mergeCell ref="B1:D1"/>
    <mergeCell ref="E44:H44"/>
    <mergeCell ref="B50:I51"/>
    <mergeCell ref="B55:C55"/>
  </mergeCells>
  <pageMargins left="0.75" right="0.75" top="1" bottom="1" header="0.5" footer="0.5"/>
  <pageSetup scale="53" orientation="portrait" r:id="rId1"/>
  <headerFooter alignWithMargins="0"/>
</worksheet>
</file>

<file path=xl/worksheets/sheet111.xml><?xml version="1.0" encoding="utf-8"?>
<worksheet xmlns="http://schemas.openxmlformats.org/spreadsheetml/2006/main" xmlns:r="http://schemas.openxmlformats.org/officeDocument/2006/relationships">
  <sheetPr>
    <pageSetUpPr fitToPage="1"/>
  </sheetPr>
  <dimension ref="A1:L82"/>
  <sheetViews>
    <sheetView workbookViewId="0">
      <selection activeCell="B54" sqref="B54:I55"/>
    </sheetView>
  </sheetViews>
  <sheetFormatPr defaultRowHeight="12.75"/>
  <cols>
    <col min="1" max="1" width="1.85546875" customWidth="1"/>
    <col min="3" max="3" width="24.140625" customWidth="1"/>
    <col min="4" max="4" width="35" customWidth="1"/>
    <col min="5" max="5" width="59.42578125" bestFit="1" customWidth="1"/>
    <col min="6" max="6" width="10.42578125" customWidth="1"/>
    <col min="7" max="7" width="10.140625" bestFit="1" customWidth="1"/>
    <col min="9" max="9" width="10.140625" bestFit="1"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12.75" hidden="1" customHeight="1">
      <c r="A6" s="2"/>
      <c r="B6" s="54">
        <v>378</v>
      </c>
      <c r="C6" s="7" t="str">
        <f>+E12</f>
        <v>EQIP</v>
      </c>
      <c r="D6" s="110" t="s">
        <v>741</v>
      </c>
      <c r="E6" s="110" t="s">
        <v>752</v>
      </c>
      <c r="F6" s="7" t="str">
        <f>D36</f>
        <v>Each</v>
      </c>
      <c r="G6" s="85">
        <f>+I25</f>
        <v>2307.6923076923076</v>
      </c>
    </row>
    <row r="7" spans="1:12" ht="12.75" hidden="1" customHeight="1">
      <c r="A7" s="2"/>
      <c r="B7" s="54">
        <f>+B6</f>
        <v>378</v>
      </c>
      <c r="C7" s="7" t="str">
        <f>+C6</f>
        <v>EQIP</v>
      </c>
      <c r="D7" s="110" t="s">
        <v>741</v>
      </c>
      <c r="E7" s="110" t="str">
        <f>CONCATENATE(E6, "-HU")</f>
        <v>Excavated Pond-HU</v>
      </c>
      <c r="F7" s="7" t="str">
        <f>+F6</f>
        <v>Each</v>
      </c>
      <c r="G7" s="85">
        <f>+J25</f>
        <v>3461.5384615384614</v>
      </c>
    </row>
    <row r="8" spans="1:12" ht="12.75" hidden="1" customHeight="1">
      <c r="A8" s="2"/>
      <c r="B8" s="54">
        <v>378</v>
      </c>
      <c r="C8" s="7" t="str">
        <f>+G12</f>
        <v>WHIP</v>
      </c>
      <c r="D8" s="110" t="s">
        <v>741</v>
      </c>
      <c r="E8" s="110" t="s">
        <v>752</v>
      </c>
      <c r="F8" s="7" t="str">
        <f>D36</f>
        <v>Each</v>
      </c>
      <c r="G8" s="85">
        <f>+K25</f>
        <v>0</v>
      </c>
    </row>
    <row r="9" spans="1:12" hidden="1">
      <c r="A9" s="2"/>
      <c r="B9" s="8">
        <f>+B8</f>
        <v>378</v>
      </c>
      <c r="C9" s="10" t="str">
        <f>+C8</f>
        <v>WHIP</v>
      </c>
      <c r="D9" s="111" t="s">
        <v>741</v>
      </c>
      <c r="E9" s="111" t="str">
        <f>CONCATENATE(E6, "-HU")</f>
        <v>Excavated Pond-HU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Factors'!D27</f>
        <v>0.5</v>
      </c>
      <c r="F16" s="160">
        <f>+'[10]Payment Factors'!E27</f>
        <v>0.75</v>
      </c>
      <c r="G16" s="160">
        <f>+'[10]Payment Factors'!F12</f>
        <v>0</v>
      </c>
      <c r="H16" s="160">
        <f>+'[10]Payment Factors'!G12</f>
        <v>0</v>
      </c>
      <c r="I16" s="1154">
        <f t="shared" ref="I16:L24" si="0">+$D16*E16</f>
        <v>0</v>
      </c>
      <c r="J16" s="1154">
        <f t="shared" si="0"/>
        <v>0</v>
      </c>
      <c r="K16" s="1154">
        <f t="shared" si="0"/>
        <v>0</v>
      </c>
      <c r="L16" s="1155">
        <f t="shared" si="0"/>
        <v>0</v>
      </c>
    </row>
    <row r="17" spans="1:12" hidden="1">
      <c r="A17" s="2"/>
      <c r="B17" s="15" t="s">
        <v>2</v>
      </c>
      <c r="C17" s="16"/>
      <c r="D17" s="24">
        <f>+I44</f>
        <v>3923.0769230769229</v>
      </c>
      <c r="E17" s="160">
        <f t="shared" ref="E17:H19" si="1">+E16</f>
        <v>0.5</v>
      </c>
      <c r="F17" s="160">
        <f t="shared" si="1"/>
        <v>0.75</v>
      </c>
      <c r="G17" s="160">
        <f t="shared" si="1"/>
        <v>0</v>
      </c>
      <c r="H17" s="160">
        <f t="shared" si="1"/>
        <v>0</v>
      </c>
      <c r="I17" s="1154">
        <f t="shared" si="0"/>
        <v>1961.5384615384614</v>
      </c>
      <c r="J17" s="1154">
        <f t="shared" si="0"/>
        <v>2942.3076923076924</v>
      </c>
      <c r="K17" s="1154">
        <f t="shared" si="0"/>
        <v>0</v>
      </c>
      <c r="L17" s="1155">
        <f t="shared" si="0"/>
        <v>0</v>
      </c>
    </row>
    <row r="18" spans="1:12" hidden="1">
      <c r="A18" s="2"/>
      <c r="B18" s="15" t="s">
        <v>3</v>
      </c>
      <c r="C18" s="16"/>
      <c r="D18" s="24">
        <f>+I54</f>
        <v>692.30769230769226</v>
      </c>
      <c r="E18" s="160">
        <f t="shared" si="1"/>
        <v>0.5</v>
      </c>
      <c r="F18" s="160">
        <f t="shared" si="1"/>
        <v>0.75</v>
      </c>
      <c r="G18" s="160">
        <f t="shared" si="1"/>
        <v>0</v>
      </c>
      <c r="H18" s="160">
        <f t="shared" si="1"/>
        <v>0</v>
      </c>
      <c r="I18" s="1154">
        <f t="shared" si="0"/>
        <v>346.15384615384613</v>
      </c>
      <c r="J18" s="1154">
        <f t="shared" si="0"/>
        <v>519.23076923076917</v>
      </c>
      <c r="K18" s="1154">
        <f t="shared" si="0"/>
        <v>0</v>
      </c>
      <c r="L18" s="1155">
        <f t="shared" si="0"/>
        <v>0</v>
      </c>
    </row>
    <row r="19" spans="1:12" hidden="1">
      <c r="A19" s="2"/>
      <c r="B19" s="15" t="s">
        <v>4</v>
      </c>
      <c r="C19" s="16"/>
      <c r="D19" s="24">
        <f>+I60</f>
        <v>0</v>
      </c>
      <c r="E19" s="160">
        <f t="shared" si="1"/>
        <v>0.5</v>
      </c>
      <c r="F19" s="160">
        <f t="shared" si="1"/>
        <v>0.75</v>
      </c>
      <c r="G19" s="160">
        <f t="shared" si="1"/>
        <v>0</v>
      </c>
      <c r="H19" s="160">
        <f t="shared" si="1"/>
        <v>0</v>
      </c>
      <c r="I19" s="1154">
        <f t="shared" si="0"/>
        <v>0</v>
      </c>
      <c r="J19" s="1154">
        <f t="shared" si="0"/>
        <v>0</v>
      </c>
      <c r="K19" s="1154">
        <f t="shared" si="0"/>
        <v>0</v>
      </c>
      <c r="L19" s="1155">
        <f t="shared" si="0"/>
        <v>0</v>
      </c>
    </row>
    <row r="20" spans="1:12" hidden="1">
      <c r="A20" s="2"/>
      <c r="B20" s="15" t="s">
        <v>26</v>
      </c>
      <c r="C20" s="16"/>
      <c r="D20" s="24">
        <f>+I63</f>
        <v>46.153846153846153</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+I66</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+I69</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+I73</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+I76</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4661.538461538461</v>
      </c>
      <c r="E25" s="1158"/>
      <c r="F25" s="1158"/>
      <c r="G25" s="28"/>
      <c r="H25" s="28"/>
      <c r="I25" s="1159">
        <f>SUM(I16:I24)</f>
        <v>2307.6923076923076</v>
      </c>
      <c r="J25" s="1159">
        <f>SUM(J16:J24)</f>
        <v>3461.5384615384614</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753</v>
      </c>
      <c r="C29" s="34"/>
      <c r="D29" s="34"/>
      <c r="E29" s="35"/>
      <c r="F29" s="35"/>
      <c r="G29" s="35"/>
      <c r="H29" s="35"/>
      <c r="I29" s="36"/>
    </row>
    <row r="30" spans="1:12">
      <c r="A30" s="2"/>
      <c r="B30" s="37" t="s">
        <v>744</v>
      </c>
      <c r="C30" s="34"/>
      <c r="D30" s="34"/>
      <c r="E30" s="1162"/>
      <c r="F30" s="1163"/>
      <c r="G30" s="35"/>
      <c r="H30" s="35"/>
      <c r="I30" s="36"/>
    </row>
    <row r="31" spans="1:12">
      <c r="A31" s="2"/>
      <c r="B31" s="37"/>
      <c r="C31" s="34"/>
      <c r="D31" s="34"/>
      <c r="E31" s="35"/>
      <c r="F31" s="35"/>
      <c r="G31" s="35"/>
      <c r="H31" s="35"/>
      <c r="I31" s="36"/>
    </row>
    <row r="32" spans="1:12">
      <c r="A32" s="2"/>
      <c r="B32" s="3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Factors'!C27</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664</v>
      </c>
      <c r="C41" s="35"/>
      <c r="D41" s="1167"/>
      <c r="E41" s="1167"/>
      <c r="F41" s="1167"/>
      <c r="G41" s="1167"/>
      <c r="H41" s="35"/>
      <c r="I41" s="46"/>
    </row>
    <row r="42" spans="1:9">
      <c r="A42" s="2"/>
      <c r="B42" s="40"/>
      <c r="C42" s="6"/>
      <c r="D42" s="1168"/>
      <c r="E42" s="1169"/>
      <c r="F42" s="1170"/>
      <c r="G42" s="1171"/>
      <c r="H42" s="35"/>
      <c r="I42" s="47"/>
    </row>
    <row r="43" spans="1:9">
      <c r="A43" s="2"/>
      <c r="B43" s="1172"/>
      <c r="C43" s="6"/>
      <c r="D43" s="1173"/>
      <c r="E43" s="35"/>
      <c r="F43" s="35"/>
      <c r="G43" s="35"/>
      <c r="H43" s="35"/>
      <c r="I43" s="36"/>
    </row>
    <row r="44" spans="1:9">
      <c r="A44" s="2"/>
      <c r="B44" s="42" t="s">
        <v>2</v>
      </c>
      <c r="C44" s="35"/>
      <c r="D44" s="35"/>
      <c r="E44" s="2003" t="s">
        <v>459</v>
      </c>
      <c r="F44" s="2003"/>
      <c r="G44" s="2003"/>
      <c r="H44" s="2003"/>
      <c r="I44" s="46">
        <f>(SUM(G46)*0.85)</f>
        <v>3923.0769230769229</v>
      </c>
    </row>
    <row r="45" spans="1:9">
      <c r="A45" s="2"/>
      <c r="B45" s="1174"/>
      <c r="C45" s="35"/>
      <c r="D45" s="1167" t="s">
        <v>447</v>
      </c>
      <c r="E45" s="1167" t="s">
        <v>448</v>
      </c>
      <c r="F45" s="1167" t="s">
        <v>449</v>
      </c>
      <c r="G45" s="1167" t="s">
        <v>450</v>
      </c>
      <c r="H45" s="35"/>
      <c r="I45" s="46"/>
    </row>
    <row r="46" spans="1:9">
      <c r="A46" s="2"/>
      <c r="B46" s="1175" t="str">
        <f>+'[24]Core Rates'!A125</f>
        <v>Excavated Pond 3/</v>
      </c>
      <c r="C46" s="1176"/>
      <c r="D46" s="1169" t="str">
        <f>+'[24]Core Rates'!B125</f>
        <v>Ea</v>
      </c>
      <c r="E46" s="1169">
        <f>+'[24]Core Rates'!C125</f>
        <v>4615.3846153846152</v>
      </c>
      <c r="F46" s="1170">
        <v>1</v>
      </c>
      <c r="G46" s="1171">
        <f>+F46*E46</f>
        <v>4615.3846153846152</v>
      </c>
      <c r="H46" s="35"/>
      <c r="I46" s="46"/>
    </row>
    <row r="47" spans="1:9">
      <c r="A47" s="2"/>
      <c r="B47" s="1175"/>
      <c r="C47" s="6"/>
      <c r="D47" s="1169"/>
      <c r="E47" s="1169"/>
      <c r="F47" s="1170"/>
      <c r="G47" s="1171"/>
      <c r="H47" s="35"/>
      <c r="I47" s="47"/>
    </row>
    <row r="48" spans="1:9">
      <c r="A48" s="2"/>
      <c r="B48" s="40"/>
      <c r="C48" s="6"/>
      <c r="D48" s="63"/>
      <c r="E48" s="150"/>
      <c r="F48" s="150"/>
      <c r="G48" s="1169"/>
      <c r="H48" s="35"/>
      <c r="I48" s="47"/>
    </row>
    <row r="49" spans="1:9">
      <c r="A49" s="2"/>
      <c r="B49" s="37" t="s">
        <v>43</v>
      </c>
      <c r="C49" s="35"/>
      <c r="D49" s="35"/>
      <c r="E49" s="60"/>
      <c r="F49" s="60"/>
      <c r="G49" s="60"/>
      <c r="H49" s="35"/>
      <c r="I49" s="46"/>
    </row>
    <row r="50" spans="1:9" ht="12.75" customHeight="1">
      <c r="A50" s="2"/>
      <c r="B50" s="2004" t="s">
        <v>457</v>
      </c>
      <c r="C50" s="2005"/>
      <c r="D50" s="2005"/>
      <c r="E50" s="2005"/>
      <c r="F50" s="2005"/>
      <c r="G50" s="2005"/>
      <c r="H50" s="2005"/>
      <c r="I50" s="2006"/>
    </row>
    <row r="51" spans="1:9">
      <c r="A51" s="2"/>
      <c r="B51" s="2004"/>
      <c r="C51" s="2005"/>
      <c r="D51" s="2005"/>
      <c r="E51" s="2005"/>
      <c r="F51" s="2005"/>
      <c r="G51" s="2005"/>
      <c r="H51" s="2005"/>
      <c r="I51" s="2006"/>
    </row>
    <row r="52" spans="1:9">
      <c r="A52" s="2"/>
      <c r="B52" s="1177"/>
      <c r="C52" s="1178"/>
      <c r="D52" s="1178"/>
      <c r="E52" s="1178"/>
      <c r="F52" s="1178"/>
      <c r="G52" s="1178"/>
      <c r="H52" s="1178"/>
      <c r="I52" s="1179"/>
    </row>
    <row r="53" spans="1:9">
      <c r="A53" s="2"/>
      <c r="B53" s="1177"/>
      <c r="C53" s="1178"/>
      <c r="D53" s="1178"/>
      <c r="E53" s="1178"/>
      <c r="F53" s="1178"/>
      <c r="G53" s="1178"/>
      <c r="H53" s="1178"/>
      <c r="I53" s="1179"/>
    </row>
    <row r="54" spans="1:9">
      <c r="A54" s="2"/>
      <c r="B54" s="42" t="s">
        <v>3</v>
      </c>
      <c r="C54" s="35"/>
      <c r="D54" s="35"/>
      <c r="E54" s="35"/>
      <c r="F54" s="39"/>
      <c r="G54" s="35"/>
      <c r="H54" s="35"/>
      <c r="I54" s="48">
        <f>E56</f>
        <v>692.30769230769226</v>
      </c>
    </row>
    <row r="55" spans="1:9">
      <c r="A55" s="2"/>
      <c r="B55" s="2007" t="s">
        <v>465</v>
      </c>
      <c r="C55" s="2008"/>
      <c r="D55" s="35"/>
      <c r="E55" s="35"/>
      <c r="F55" s="35"/>
      <c r="G55" s="35"/>
      <c r="H55" s="35"/>
      <c r="I55" s="48"/>
    </row>
    <row r="56" spans="1:9">
      <c r="A56" s="2"/>
      <c r="B56" s="37" t="s">
        <v>466</v>
      </c>
      <c r="C56" s="39"/>
      <c r="D56" s="39"/>
      <c r="E56" s="153">
        <f>SUM(G46:G47)*0.15</f>
        <v>692.30769230769226</v>
      </c>
      <c r="F56" s="35"/>
      <c r="G56" s="35"/>
      <c r="H56" s="35"/>
      <c r="I56" s="46"/>
    </row>
    <row r="57" spans="1:9">
      <c r="A57" s="2"/>
      <c r="B57" s="37"/>
      <c r="C57" s="39"/>
      <c r="D57" s="1180"/>
      <c r="E57" s="153"/>
      <c r="F57" s="35"/>
      <c r="G57" s="35"/>
      <c r="H57" s="35"/>
      <c r="I57" s="46"/>
    </row>
    <row r="58" spans="1:9">
      <c r="A58" s="2"/>
      <c r="B58" s="37"/>
      <c r="C58" s="39"/>
      <c r="D58" s="1181"/>
      <c r="E58" s="153"/>
      <c r="F58" s="35"/>
      <c r="G58" s="35"/>
      <c r="H58" s="35"/>
      <c r="I58" s="46"/>
    </row>
    <row r="59" spans="1:9">
      <c r="A59" s="2"/>
      <c r="B59" s="33"/>
      <c r="C59" s="35"/>
      <c r="D59" s="35"/>
      <c r="E59" s="35"/>
      <c r="F59" s="35"/>
      <c r="G59" s="35"/>
      <c r="H59" s="35"/>
      <c r="I59" s="36"/>
    </row>
    <row r="60" spans="1:9">
      <c r="A60" s="2"/>
      <c r="B60" s="42" t="s">
        <v>4</v>
      </c>
      <c r="C60" s="35"/>
      <c r="D60" s="35"/>
      <c r="E60" s="35"/>
      <c r="F60" s="35"/>
      <c r="G60" s="35"/>
      <c r="H60" s="35"/>
      <c r="I60" s="1182">
        <v>0</v>
      </c>
    </row>
    <row r="61" spans="1:9">
      <c r="A61" s="2"/>
      <c r="B61" s="33" t="s">
        <v>748</v>
      </c>
      <c r="C61" s="35"/>
      <c r="D61" s="35"/>
      <c r="E61" s="35"/>
      <c r="F61" s="35"/>
      <c r="G61" s="35"/>
      <c r="H61" s="35"/>
      <c r="I61" s="36"/>
    </row>
    <row r="62" spans="1:9">
      <c r="A62" s="2"/>
      <c r="B62" s="37"/>
      <c r="C62" s="35"/>
      <c r="D62" s="35"/>
      <c r="E62" s="35"/>
      <c r="F62" s="35"/>
      <c r="G62" s="35"/>
      <c r="H62" s="35"/>
      <c r="I62" s="36"/>
    </row>
    <row r="63" spans="1:9">
      <c r="A63" s="2"/>
      <c r="B63" s="42" t="s">
        <v>468</v>
      </c>
      <c r="C63" s="35"/>
      <c r="D63" s="35"/>
      <c r="E63" s="35"/>
      <c r="F63" s="35"/>
      <c r="G63" s="35"/>
      <c r="H63" s="35"/>
      <c r="I63" s="1182">
        <f>0.01*(I40+I44+I54)</f>
        <v>46.153846153846153</v>
      </c>
    </row>
    <row r="64" spans="1:9">
      <c r="A64" s="2"/>
      <c r="B64" s="33" t="s">
        <v>749</v>
      </c>
      <c r="C64" s="35"/>
      <c r="D64" s="35"/>
      <c r="E64" s="35"/>
      <c r="F64" s="35"/>
      <c r="G64" s="35"/>
      <c r="H64" s="35"/>
      <c r="I64" s="36"/>
    </row>
    <row r="65" spans="1:9">
      <c r="A65" s="2"/>
      <c r="B65" s="37"/>
      <c r="C65" s="35"/>
      <c r="D65" s="35"/>
      <c r="E65" s="35"/>
      <c r="F65" s="35"/>
      <c r="G65" s="35"/>
      <c r="H65" s="35"/>
      <c r="I65" s="36"/>
    </row>
    <row r="66" spans="1:9">
      <c r="A66" s="2"/>
      <c r="B66" s="42" t="s">
        <v>7</v>
      </c>
      <c r="C66" s="35"/>
      <c r="D66" s="35"/>
      <c r="E66" s="35"/>
      <c r="F66" s="35"/>
      <c r="G66" s="35"/>
      <c r="H66" s="35"/>
      <c r="I66" s="1166">
        <v>0</v>
      </c>
    </row>
    <row r="67" spans="1:9">
      <c r="A67" s="2"/>
      <c r="B67" s="33" t="s">
        <v>104</v>
      </c>
      <c r="C67" s="35"/>
      <c r="D67" s="35"/>
      <c r="E67" s="35"/>
      <c r="F67" s="35"/>
      <c r="G67" s="35"/>
      <c r="H67" s="35"/>
      <c r="I67" s="36"/>
    </row>
    <row r="68" spans="1:9">
      <c r="A68" s="2"/>
      <c r="B68" s="37"/>
      <c r="C68" s="35"/>
      <c r="D68" s="35"/>
      <c r="E68" s="35"/>
      <c r="F68" s="35"/>
      <c r="G68" s="35"/>
      <c r="H68" s="35"/>
      <c r="I68" s="36"/>
    </row>
    <row r="69" spans="1:9">
      <c r="A69" s="2"/>
      <c r="B69" s="42" t="s">
        <v>471</v>
      </c>
      <c r="C69" s="35"/>
      <c r="D69" s="35"/>
      <c r="E69" s="35"/>
      <c r="F69" s="39"/>
      <c r="G69" s="35"/>
      <c r="H69" s="35"/>
      <c r="I69" s="1166">
        <v>0</v>
      </c>
    </row>
    <row r="70" spans="1:9">
      <c r="A70" s="2"/>
      <c r="B70" s="756" t="s">
        <v>104</v>
      </c>
      <c r="C70" s="35"/>
      <c r="D70" s="35"/>
      <c r="E70" s="35"/>
      <c r="F70" s="35"/>
      <c r="G70" s="35"/>
      <c r="H70" s="35"/>
      <c r="I70" s="47"/>
    </row>
    <row r="71" spans="1:9">
      <c r="A71" s="2"/>
      <c r="B71" s="756"/>
      <c r="C71" s="35"/>
      <c r="D71" s="35"/>
      <c r="E71" s="35"/>
      <c r="F71" s="35"/>
      <c r="G71" s="35"/>
      <c r="H71" s="35"/>
      <c r="I71" s="47"/>
    </row>
    <row r="72" spans="1:9">
      <c r="A72" s="2"/>
      <c r="B72" s="37"/>
      <c r="C72" s="35"/>
      <c r="D72" s="35"/>
      <c r="E72" s="35"/>
      <c r="F72" s="35"/>
      <c r="G72" s="35"/>
      <c r="H72" s="35"/>
      <c r="I72" s="36"/>
    </row>
    <row r="73" spans="1:9">
      <c r="A73" s="2"/>
      <c r="B73" s="42" t="s">
        <v>5</v>
      </c>
      <c r="C73" s="35"/>
      <c r="D73" s="35"/>
      <c r="E73" s="35"/>
      <c r="F73" s="35"/>
      <c r="G73" s="35"/>
      <c r="H73" s="35"/>
      <c r="I73" s="1166">
        <v>0</v>
      </c>
    </row>
    <row r="74" spans="1:9">
      <c r="A74" s="2"/>
      <c r="B74" s="33" t="s">
        <v>750</v>
      </c>
      <c r="C74" s="35"/>
      <c r="D74" s="35"/>
      <c r="E74" s="35"/>
      <c r="F74" s="35"/>
      <c r="G74" s="35"/>
      <c r="H74" s="35"/>
      <c r="I74" s="47"/>
    </row>
    <row r="75" spans="1:9">
      <c r="A75" s="2"/>
      <c r="B75" s="37"/>
      <c r="C75" s="35"/>
      <c r="D75" s="35"/>
      <c r="E75" s="35"/>
      <c r="F75" s="35"/>
      <c r="G75" s="35"/>
      <c r="H75" s="35"/>
      <c r="I75" s="36"/>
    </row>
    <row r="76" spans="1:9">
      <c r="A76" s="2"/>
      <c r="B76" s="42" t="s">
        <v>20</v>
      </c>
      <c r="C76" s="35"/>
      <c r="D76" s="35"/>
      <c r="E76" s="35"/>
      <c r="F76" s="35"/>
      <c r="G76" s="35"/>
      <c r="H76" s="35"/>
      <c r="I76" s="1166">
        <v>0</v>
      </c>
    </row>
    <row r="77" spans="1:9">
      <c r="A77" s="2"/>
      <c r="B77" s="33" t="s">
        <v>104</v>
      </c>
      <c r="C77" s="35"/>
      <c r="D77" s="35"/>
      <c r="E77" s="35"/>
      <c r="F77" s="35"/>
      <c r="G77" s="35"/>
      <c r="H77" s="35"/>
      <c r="I77" s="36"/>
    </row>
    <row r="78" spans="1:9">
      <c r="A78" s="2"/>
      <c r="B78" s="40"/>
      <c r="C78" s="35"/>
      <c r="D78" s="35"/>
      <c r="E78" s="35"/>
      <c r="F78" s="35"/>
      <c r="G78" s="35"/>
      <c r="H78" s="35"/>
      <c r="I78" s="36"/>
    </row>
    <row r="79" spans="1:9">
      <c r="A79" s="2"/>
      <c r="B79" s="42" t="s">
        <v>473</v>
      </c>
      <c r="C79" s="35"/>
      <c r="D79" s="35"/>
      <c r="E79" s="35"/>
      <c r="F79" s="35"/>
      <c r="G79" s="35"/>
      <c r="H79" s="35"/>
      <c r="I79" s="1183">
        <f>+I40+I44+I54+I60+I66+I76</f>
        <v>4615.3846153846152</v>
      </c>
    </row>
    <row r="80" spans="1:9" ht="15.75">
      <c r="A80" s="2"/>
      <c r="B80" s="33" t="s">
        <v>474</v>
      </c>
      <c r="C80" s="35"/>
      <c r="D80" s="35"/>
      <c r="E80" s="35"/>
      <c r="F80" s="35"/>
      <c r="G80" s="35"/>
      <c r="H80" s="35"/>
      <c r="I80" s="36"/>
    </row>
    <row r="81" spans="1:9">
      <c r="A81" s="2"/>
      <c r="B81" s="40"/>
      <c r="C81" s="35"/>
      <c r="D81" s="35"/>
      <c r="E81" s="35"/>
      <c r="F81" s="35"/>
      <c r="G81" s="35"/>
      <c r="H81" s="35"/>
      <c r="I81" s="36"/>
    </row>
    <row r="82" spans="1:9">
      <c r="A82" s="2"/>
      <c r="B82" s="43" t="s">
        <v>11</v>
      </c>
      <c r="C82" s="44"/>
      <c r="D82" s="44"/>
      <c r="E82" s="44"/>
      <c r="F82" s="44"/>
      <c r="G82" s="44"/>
      <c r="H82" s="44"/>
      <c r="I82" s="621">
        <f>SUM(I40:I76)</f>
        <v>4661.538461538461</v>
      </c>
    </row>
  </sheetData>
  <mergeCells count="4">
    <mergeCell ref="B1:D1"/>
    <mergeCell ref="E44:H44"/>
    <mergeCell ref="B50:I51"/>
    <mergeCell ref="B55:C55"/>
  </mergeCells>
  <pageMargins left="0.75" right="0.75" top="1" bottom="1" header="0.5" footer="0.5"/>
  <pageSetup scale="53" orientation="portrait" r:id="rId1"/>
  <headerFooter alignWithMargins="0"/>
</worksheet>
</file>

<file path=xl/worksheets/sheet112.xml><?xml version="1.0" encoding="utf-8"?>
<worksheet xmlns="http://schemas.openxmlformats.org/spreadsheetml/2006/main" xmlns:r="http://schemas.openxmlformats.org/officeDocument/2006/relationships">
  <sheetPr>
    <pageSetUpPr fitToPage="1"/>
  </sheetPr>
  <dimension ref="A1:L99"/>
  <sheetViews>
    <sheetView zoomScale="75" zoomScaleNormal="75" workbookViewId="0">
      <selection activeCell="E57" sqref="E57"/>
    </sheetView>
  </sheetViews>
  <sheetFormatPr defaultRowHeight="12.75"/>
  <cols>
    <col min="1" max="1" width="1.85546875" customWidth="1"/>
    <col min="3" max="3" width="24.140625" customWidth="1"/>
    <col min="4" max="4" width="37.7109375" customWidth="1"/>
    <col min="5" max="5" width="57.28515625" customWidth="1"/>
    <col min="6" max="6" width="10.42578125" customWidth="1"/>
    <col min="9" max="9" width="13.5703125" customWidth="1"/>
    <col min="10" max="10" width="11.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380</v>
      </c>
      <c r="C6" s="7" t="str">
        <f>+E12</f>
        <v>EQIP</v>
      </c>
      <c r="D6" s="53" t="s">
        <v>754</v>
      </c>
      <c r="E6" s="110" t="s">
        <v>755</v>
      </c>
      <c r="F6" s="7" t="s">
        <v>756</v>
      </c>
      <c r="G6" s="85">
        <f>+I25/500</f>
        <v>4.5903187500000007</v>
      </c>
    </row>
    <row r="7" spans="1:12">
      <c r="A7" s="2"/>
      <c r="B7" s="54">
        <v>380</v>
      </c>
      <c r="C7" s="7" t="str">
        <f>+C6</f>
        <v>EQIP</v>
      </c>
      <c r="D7" s="53" t="s">
        <v>754</v>
      </c>
      <c r="E7" s="110" t="str">
        <f>CONCATENATE(E6, "-HU")</f>
        <v>Windbreak/Shelterbelt Establishment -HU</v>
      </c>
      <c r="F7" s="7" t="str">
        <f>+F6</f>
        <v>Feet</v>
      </c>
      <c r="G7" s="85">
        <f>+J25/500</f>
        <v>5.5083824999999997</v>
      </c>
    </row>
    <row r="8" spans="1:12">
      <c r="A8" s="2"/>
      <c r="B8" s="54"/>
      <c r="C8" s="7" t="str">
        <f>+G12</f>
        <v>WHIP</v>
      </c>
      <c r="D8" s="53" t="s">
        <v>754</v>
      </c>
      <c r="E8" s="110" t="s">
        <v>755</v>
      </c>
      <c r="F8" s="7" t="s">
        <v>756</v>
      </c>
      <c r="G8" s="85">
        <f>+K25</f>
        <v>0</v>
      </c>
    </row>
    <row r="9" spans="1:12">
      <c r="A9" s="2"/>
      <c r="B9" s="54"/>
      <c r="C9" s="10" t="str">
        <f>+C8</f>
        <v>WHIP</v>
      </c>
      <c r="D9" s="53" t="s">
        <v>754</v>
      </c>
      <c r="E9" s="111" t="str">
        <f>CONCATENATE(E6, "-HU")</f>
        <v>Windbreak/Shelterbelt Establishment -HU</v>
      </c>
      <c r="F9" s="10" t="str">
        <f>+F8</f>
        <v>Feet</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2700</v>
      </c>
      <c r="E16" s="160">
        <f>+'[10]Payment Factors'!D42</f>
        <v>0.75</v>
      </c>
      <c r="F16" s="160">
        <f>+'[10]Payment Factors'!E42</f>
        <v>0.9</v>
      </c>
      <c r="G16" s="160">
        <v>0</v>
      </c>
      <c r="H16" s="160">
        <v>0</v>
      </c>
      <c r="I16" s="1154">
        <f t="shared" ref="I16:L24" si="0">+$D16*E16</f>
        <v>2025</v>
      </c>
      <c r="J16" s="1154">
        <f t="shared" si="0"/>
        <v>2430</v>
      </c>
      <c r="K16" s="1154">
        <f t="shared" si="0"/>
        <v>0</v>
      </c>
      <c r="L16" s="1155">
        <f t="shared" si="0"/>
        <v>0</v>
      </c>
    </row>
    <row r="17" spans="1:12">
      <c r="A17" s="2"/>
      <c r="B17" s="15" t="s">
        <v>2</v>
      </c>
      <c r="C17" s="16"/>
      <c r="D17" s="24">
        <f>+I56</f>
        <v>136.21250000000001</v>
      </c>
      <c r="E17" s="160">
        <f t="shared" ref="E17:H19" si="1">+E16</f>
        <v>0.75</v>
      </c>
      <c r="F17" s="160">
        <f t="shared" si="1"/>
        <v>0.9</v>
      </c>
      <c r="G17" s="160">
        <v>0</v>
      </c>
      <c r="H17" s="160">
        <v>0</v>
      </c>
      <c r="I17" s="1154">
        <f t="shared" si="0"/>
        <v>102.15937500000001</v>
      </c>
      <c r="J17" s="1154">
        <f t="shared" si="0"/>
        <v>122.59125</v>
      </c>
      <c r="K17" s="1154">
        <f t="shared" si="0"/>
        <v>0</v>
      </c>
      <c r="L17" s="1155">
        <f t="shared" si="0"/>
        <v>0</v>
      </c>
    </row>
    <row r="18" spans="1:12">
      <c r="A18" s="2"/>
      <c r="B18" s="15" t="s">
        <v>3</v>
      </c>
      <c r="C18" s="16"/>
      <c r="D18" s="24">
        <f>+I71</f>
        <v>224</v>
      </c>
      <c r="E18" s="160">
        <f t="shared" si="1"/>
        <v>0.75</v>
      </c>
      <c r="F18" s="160">
        <f t="shared" si="1"/>
        <v>0.9</v>
      </c>
      <c r="G18" s="160">
        <v>0</v>
      </c>
      <c r="H18" s="160">
        <v>0</v>
      </c>
      <c r="I18" s="1154">
        <f t="shared" si="0"/>
        <v>168</v>
      </c>
      <c r="J18" s="1154">
        <f t="shared" si="0"/>
        <v>201.6</v>
      </c>
      <c r="K18" s="1154">
        <f t="shared" si="0"/>
        <v>0</v>
      </c>
      <c r="L18" s="1155">
        <f t="shared" si="0"/>
        <v>0</v>
      </c>
    </row>
    <row r="19" spans="1:12">
      <c r="A19" s="2"/>
      <c r="B19" s="15" t="s">
        <v>4</v>
      </c>
      <c r="C19" s="16"/>
      <c r="D19" s="24">
        <f>+I77</f>
        <v>91.806375000000003</v>
      </c>
      <c r="E19" s="160">
        <v>0</v>
      </c>
      <c r="F19" s="160">
        <v>0</v>
      </c>
      <c r="G19" s="160">
        <f t="shared" si="1"/>
        <v>0</v>
      </c>
      <c r="H19" s="160">
        <f t="shared" si="1"/>
        <v>0</v>
      </c>
      <c r="I19" s="1154">
        <f t="shared" si="0"/>
        <v>0</v>
      </c>
      <c r="J19" s="1154">
        <f t="shared" si="0"/>
        <v>0</v>
      </c>
      <c r="K19" s="1154">
        <f t="shared" si="0"/>
        <v>0</v>
      </c>
      <c r="L19" s="1155">
        <f t="shared" si="0"/>
        <v>0</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3167.5188750000002</v>
      </c>
      <c r="E25" s="1158"/>
      <c r="F25" s="1158"/>
      <c r="G25" s="28"/>
      <c r="H25" s="28"/>
      <c r="I25" s="1159">
        <f>SUM(I16:I24)</f>
        <v>2295.1593750000002</v>
      </c>
      <c r="J25" s="1159">
        <f>SUM(J16:J24)</f>
        <v>2754.1912499999999</v>
      </c>
      <c r="K25" s="1159">
        <f>SUM(K16:K24)</f>
        <v>0</v>
      </c>
      <c r="L25" s="1160">
        <f>SUM(L16:L24)</f>
        <v>0</v>
      </c>
    </row>
    <row r="27" spans="1:12" ht="15.75">
      <c r="A27" s="2"/>
      <c r="B27" s="50" t="s">
        <v>28</v>
      </c>
      <c r="C27" s="2"/>
      <c r="D27" s="2"/>
      <c r="E27" s="2"/>
      <c r="F27" s="2"/>
      <c r="G27" s="2"/>
      <c r="H27" s="2"/>
      <c r="I27" s="5"/>
    </row>
    <row r="28" spans="1:12">
      <c r="A28" s="2"/>
      <c r="B28" s="29" t="s">
        <v>757</v>
      </c>
      <c r="C28" s="30"/>
      <c r="D28" s="30"/>
      <c r="E28" s="31"/>
      <c r="F28" s="31"/>
      <c r="G28" s="31"/>
      <c r="H28" s="31"/>
      <c r="I28" s="32"/>
    </row>
    <row r="29" spans="1:12">
      <c r="A29" s="2"/>
      <c r="B29" s="2023" t="s">
        <v>758</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SUM(G42:G51)</f>
        <v>2700</v>
      </c>
    </row>
    <row r="41" spans="1:9">
      <c r="A41" s="2"/>
      <c r="B41" s="1174"/>
      <c r="C41" s="35"/>
      <c r="D41" s="1167" t="s">
        <v>447</v>
      </c>
      <c r="E41" s="1167" t="s">
        <v>448</v>
      </c>
      <c r="F41" s="1167" t="s">
        <v>449</v>
      </c>
      <c r="G41" s="1167" t="s">
        <v>450</v>
      </c>
      <c r="H41" s="35"/>
      <c r="I41" s="46"/>
    </row>
    <row r="42" spans="1:9">
      <c r="A42" s="2"/>
      <c r="B42" s="40" t="s">
        <v>451</v>
      </c>
      <c r="C42" s="6"/>
      <c r="D42" s="1168" t="s">
        <v>452</v>
      </c>
      <c r="E42" s="1169">
        <f>+'[25]Core Rates'!C203</f>
        <v>8.75</v>
      </c>
      <c r="F42" s="1170">
        <v>0</v>
      </c>
      <c r="G42" s="1171">
        <f t="shared" ref="G42:G50" si="2">+F42*E42</f>
        <v>0</v>
      </c>
      <c r="H42" s="35"/>
      <c r="I42" s="36"/>
    </row>
    <row r="43" spans="1:9">
      <c r="A43" s="2"/>
      <c r="B43" s="1184" t="s">
        <v>453</v>
      </c>
      <c r="C43" s="6"/>
      <c r="D43" s="1185" t="s">
        <v>454</v>
      </c>
      <c r="E43" s="1169">
        <f>+'[25]Core Rates'!C228</f>
        <v>0.82427536231884069</v>
      </c>
      <c r="F43" s="1170">
        <v>0</v>
      </c>
      <c r="G43" s="1171">
        <f t="shared" si="2"/>
        <v>0</v>
      </c>
      <c r="H43" s="35"/>
      <c r="I43" s="36"/>
    </row>
    <row r="44" spans="1:9">
      <c r="A44" s="2"/>
      <c r="B44" s="1186" t="s">
        <v>455</v>
      </c>
      <c r="C44" s="1187"/>
      <c r="D44" s="1185" t="s">
        <v>454</v>
      </c>
      <c r="E44" s="1169">
        <f>+'[25]Core Rates'!C235</f>
        <v>1.1702898550724636</v>
      </c>
      <c r="F44" s="1170">
        <v>0</v>
      </c>
      <c r="G44" s="1171">
        <f t="shared" si="2"/>
        <v>0</v>
      </c>
      <c r="H44" s="35"/>
      <c r="I44" s="36"/>
    </row>
    <row r="45" spans="1:9">
      <c r="A45" s="2"/>
      <c r="B45" s="1186" t="s">
        <v>456</v>
      </c>
      <c r="C45" s="1187"/>
      <c r="D45" s="1168" t="s">
        <v>454</v>
      </c>
      <c r="E45" s="1169">
        <f>+'[25]Core Rates'!C246</f>
        <v>0.58825136612021856</v>
      </c>
      <c r="F45" s="1170">
        <v>0</v>
      </c>
      <c r="G45" s="1171">
        <f t="shared" si="2"/>
        <v>0</v>
      </c>
      <c r="H45" s="35"/>
      <c r="I45" s="36"/>
    </row>
    <row r="46" spans="1:9">
      <c r="A46" s="2"/>
      <c r="B46" s="1188" t="str">
        <f>+'[25]Core Rates'!A342</f>
        <v>Tree seedlings</v>
      </c>
      <c r="C46" s="1187"/>
      <c r="D46" s="1189" t="str">
        <f>+'[25]Core Rates'!B342</f>
        <v>Ea</v>
      </c>
      <c r="E46" s="1169">
        <f>+'[25]Core Rates'!C342</f>
        <v>0.5</v>
      </c>
      <c r="F46" s="1170">
        <v>150</v>
      </c>
      <c r="G46" s="1171">
        <f>+F46*E46</f>
        <v>75</v>
      </c>
      <c r="H46" s="35"/>
      <c r="I46" s="36"/>
    </row>
    <row r="47" spans="1:9">
      <c r="A47" s="2"/>
      <c r="B47" s="1186" t="str">
        <f>+'[25]Core Rates'!A310</f>
        <v>Seed (Orchard grass)</v>
      </c>
      <c r="C47" s="1187"/>
      <c r="D47" s="1185" t="s">
        <v>454</v>
      </c>
      <c r="E47" s="1169">
        <f>+'[25]Core Rates 2011'!BE307</f>
        <v>1.68</v>
      </c>
      <c r="F47" s="1170">
        <v>0</v>
      </c>
      <c r="G47" s="1171">
        <f t="shared" si="2"/>
        <v>0</v>
      </c>
      <c r="H47" s="35"/>
      <c r="I47" s="36"/>
    </row>
    <row r="48" spans="1:9">
      <c r="A48" s="2"/>
      <c r="B48" s="1186" t="str">
        <f>+'[25]Core Rates'!A301</f>
        <v>Seed (Virgina Wildrye)</v>
      </c>
      <c r="C48" s="1187"/>
      <c r="D48" s="1185" t="s">
        <v>454</v>
      </c>
      <c r="E48" s="1169">
        <f>+'[25]Core Rates 2011'!BE298</f>
        <v>7</v>
      </c>
      <c r="F48" s="1170">
        <v>0</v>
      </c>
      <c r="G48" s="1171">
        <f t="shared" si="2"/>
        <v>0</v>
      </c>
      <c r="H48" s="35"/>
      <c r="I48" s="36"/>
    </row>
    <row r="49" spans="1:9">
      <c r="A49" s="2"/>
      <c r="B49" s="1186" t="str">
        <f>+'[25]Core Rates'!A315</f>
        <v>Seed (Wheat)</v>
      </c>
      <c r="C49" s="1187"/>
      <c r="D49" s="1185" t="s">
        <v>454</v>
      </c>
      <c r="E49" s="1169">
        <f>+'[25]Core Rates 2011'!BE312</f>
        <v>0.31</v>
      </c>
      <c r="F49" s="1170">
        <v>0</v>
      </c>
      <c r="G49" s="1171">
        <f t="shared" si="2"/>
        <v>0</v>
      </c>
      <c r="H49" s="35"/>
      <c r="I49" s="36"/>
    </row>
    <row r="50" spans="1:9">
      <c r="A50" s="2"/>
      <c r="B50" s="1186" t="str">
        <f>+'[25]Core Rates'!A314</f>
        <v>Seed (Redtop)</v>
      </c>
      <c r="C50" s="1187"/>
      <c r="D50" s="1185" t="s">
        <v>454</v>
      </c>
      <c r="E50" s="1169">
        <f>+'[25]Core Rates 2011'!BE311</f>
        <v>7</v>
      </c>
      <c r="F50" s="1170">
        <v>0</v>
      </c>
      <c r="G50" s="1171">
        <f t="shared" si="2"/>
        <v>0</v>
      </c>
      <c r="H50" s="35"/>
      <c r="I50" s="36"/>
    </row>
    <row r="51" spans="1:9">
      <c r="A51" s="2"/>
      <c r="B51" s="1186" t="s">
        <v>760</v>
      </c>
      <c r="C51" s="6"/>
      <c r="D51" s="1185" t="s">
        <v>761</v>
      </c>
      <c r="E51" s="1169">
        <v>21</v>
      </c>
      <c r="F51" s="1170">
        <v>125</v>
      </c>
      <c r="G51" s="1171">
        <f>F51*E51</f>
        <v>2625</v>
      </c>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136.21250000000001</v>
      </c>
    </row>
    <row r="57" spans="1:9">
      <c r="A57" s="2"/>
      <c r="B57" s="1174"/>
      <c r="C57" s="35"/>
      <c r="D57" s="1167" t="s">
        <v>447</v>
      </c>
      <c r="E57" s="1167" t="s">
        <v>448</v>
      </c>
      <c r="F57" s="1167" t="s">
        <v>449</v>
      </c>
      <c r="G57" s="1167" t="s">
        <v>450</v>
      </c>
      <c r="H57" s="35"/>
      <c r="I57" s="46"/>
    </row>
    <row r="58" spans="1:9">
      <c r="A58" s="2"/>
      <c r="B58" s="1191" t="s">
        <v>460</v>
      </c>
      <c r="C58" s="6"/>
      <c r="D58" s="1168" t="s">
        <v>408</v>
      </c>
      <c r="E58" s="1169">
        <f>+'[25]Core Rates 2011'!BE145</f>
        <v>36.5</v>
      </c>
      <c r="F58" s="1170">
        <v>1.5</v>
      </c>
      <c r="G58" s="1171">
        <f t="shared" ref="G58:G64" si="3">+F58*E58</f>
        <v>54.75</v>
      </c>
      <c r="H58" s="35"/>
      <c r="I58" s="47"/>
    </row>
    <row r="59" spans="1:9">
      <c r="A59" s="2"/>
      <c r="B59" s="1191" t="s">
        <v>762</v>
      </c>
      <c r="C59" s="6"/>
      <c r="D59" s="1168" t="s">
        <v>408</v>
      </c>
      <c r="E59" s="1169">
        <v>90</v>
      </c>
      <c r="F59" s="1170">
        <v>1</v>
      </c>
      <c r="G59" s="1171">
        <f t="shared" si="3"/>
        <v>90</v>
      </c>
      <c r="H59" s="35"/>
      <c r="I59" s="47"/>
    </row>
    <row r="60" spans="1:9">
      <c r="A60" s="2"/>
      <c r="B60" s="40" t="s">
        <v>763</v>
      </c>
      <c r="C60" s="6"/>
      <c r="D60" s="1168" t="s">
        <v>408</v>
      </c>
      <c r="E60" s="1169">
        <f>+'[25]Core Rates'!C104</f>
        <v>20</v>
      </c>
      <c r="F60" s="1170">
        <v>0</v>
      </c>
      <c r="G60" s="1171">
        <f t="shared" si="3"/>
        <v>0</v>
      </c>
      <c r="H60" s="35"/>
      <c r="I60" s="47"/>
    </row>
    <row r="61" spans="1:9">
      <c r="A61" s="2"/>
      <c r="B61" s="1191" t="str">
        <f>+'[25]Core Rates'!A216</f>
        <v>Mowing</v>
      </c>
      <c r="C61" s="6"/>
      <c r="D61" s="1189" t="s">
        <v>408</v>
      </c>
      <c r="E61" s="1189">
        <f>+'[25]Core Rates'!C216</f>
        <v>15.5</v>
      </c>
      <c r="F61" s="1170">
        <v>1</v>
      </c>
      <c r="G61" s="1171">
        <f t="shared" si="3"/>
        <v>15.5</v>
      </c>
      <c r="H61" s="35"/>
      <c r="I61" s="47"/>
    </row>
    <row r="62" spans="1:9">
      <c r="A62" s="2"/>
      <c r="B62" s="40" t="s">
        <v>462</v>
      </c>
      <c r="C62" s="6"/>
      <c r="D62" s="1168" t="s">
        <v>408</v>
      </c>
      <c r="E62" s="1169">
        <f>+'[25]Core Rates'!AN33</f>
        <v>5.416666666666667</v>
      </c>
      <c r="F62" s="1170">
        <v>0</v>
      </c>
      <c r="G62" s="1171">
        <f t="shared" si="3"/>
        <v>0</v>
      </c>
      <c r="H62" s="35"/>
      <c r="I62" s="47"/>
    </row>
    <row r="63" spans="1:9">
      <c r="A63" s="2"/>
      <c r="B63" s="40" t="s">
        <v>463</v>
      </c>
      <c r="C63" s="6"/>
      <c r="D63" s="1168" t="s">
        <v>452</v>
      </c>
      <c r="E63" s="1169">
        <f>+'[25]Core Rates'!AN34</f>
        <v>5.5</v>
      </c>
      <c r="F63" s="1170">
        <v>0</v>
      </c>
      <c r="G63" s="1171">
        <f t="shared" si="3"/>
        <v>0</v>
      </c>
      <c r="H63" s="35"/>
      <c r="I63" s="47"/>
    </row>
    <row r="64" spans="1:9">
      <c r="A64" s="2"/>
      <c r="B64" s="40" t="s">
        <v>464</v>
      </c>
      <c r="C64" s="6"/>
      <c r="D64" s="1168" t="s">
        <v>452</v>
      </c>
      <c r="E64" s="1169">
        <f>+'[25]Core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G74</f>
        <v>224</v>
      </c>
    </row>
    <row r="72" spans="1:9">
      <c r="A72" s="2"/>
      <c r="B72" s="2007" t="s">
        <v>465</v>
      </c>
      <c r="C72" s="2008"/>
      <c r="D72" s="35"/>
      <c r="E72" s="35"/>
      <c r="F72" s="35"/>
      <c r="G72" s="35"/>
      <c r="H72" s="35"/>
      <c r="I72" s="48"/>
    </row>
    <row r="73" spans="1:9">
      <c r="A73" s="2"/>
      <c r="B73" s="1174"/>
      <c r="C73" s="35"/>
      <c r="D73" s="1167" t="s">
        <v>447</v>
      </c>
      <c r="E73" s="1167" t="s">
        <v>448</v>
      </c>
      <c r="F73" s="1167" t="s">
        <v>449</v>
      </c>
      <c r="G73" s="1167" t="s">
        <v>450</v>
      </c>
      <c r="H73" s="35"/>
      <c r="I73" s="46"/>
    </row>
    <row r="74" spans="1:9">
      <c r="A74" s="2"/>
      <c r="B74" s="1192" t="s">
        <v>764</v>
      </c>
      <c r="C74" s="1193"/>
      <c r="D74" s="1194" t="s">
        <v>765</v>
      </c>
      <c r="E74" s="1195">
        <v>14</v>
      </c>
      <c r="F74" s="1196">
        <v>16</v>
      </c>
      <c r="G74" s="1195">
        <f>E74*F74</f>
        <v>224</v>
      </c>
      <c r="H74" s="1197"/>
      <c r="I74" s="1198"/>
    </row>
    <row r="75" spans="1:9">
      <c r="A75" s="2"/>
      <c r="B75" s="37"/>
      <c r="C75" s="39"/>
      <c r="D75" s="1180"/>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91.806375000000003</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+'[25]Core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3152.0188750000002</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3167.5188750000002</v>
      </c>
    </row>
  </sheetData>
  <mergeCells count="5">
    <mergeCell ref="B1:D1"/>
    <mergeCell ref="B29:I31"/>
    <mergeCell ref="E56:H56"/>
    <mergeCell ref="B67:I68"/>
    <mergeCell ref="B72:C72"/>
  </mergeCells>
  <pageMargins left="0.75" right="0.75" top="1" bottom="1" header="0.5" footer="0.5"/>
  <pageSetup scale="48" orientation="portrait" r:id="rId1"/>
  <headerFooter alignWithMargins="0"/>
</worksheet>
</file>

<file path=xl/worksheets/sheet113.xml><?xml version="1.0" encoding="utf-8"?>
<worksheet xmlns="http://schemas.openxmlformats.org/spreadsheetml/2006/main" xmlns:r="http://schemas.openxmlformats.org/officeDocument/2006/relationships">
  <sheetPr>
    <pageSetUpPr fitToPage="1"/>
  </sheetPr>
  <dimension ref="A1:L100"/>
  <sheetViews>
    <sheetView topLeftCell="A4" zoomScale="75" zoomScaleNormal="75" workbookViewId="0">
      <selection activeCell="E57" sqref="E57"/>
    </sheetView>
  </sheetViews>
  <sheetFormatPr defaultRowHeight="12.75"/>
  <cols>
    <col min="1" max="1" width="1.85546875" customWidth="1"/>
    <col min="3" max="3" width="24.140625" customWidth="1"/>
    <col min="4" max="4" width="37.7109375" customWidth="1"/>
    <col min="5" max="5" width="57.28515625" customWidth="1"/>
    <col min="6" max="6" width="10.42578125" customWidth="1"/>
    <col min="9" max="9" width="12.28515625" customWidth="1"/>
    <col min="10" max="10" width="12.710937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380</v>
      </c>
      <c r="C6" s="7" t="str">
        <f>+E12</f>
        <v>EQIP</v>
      </c>
      <c r="D6" s="53" t="s">
        <v>754</v>
      </c>
      <c r="E6" s="110" t="s">
        <v>766</v>
      </c>
      <c r="F6" s="7" t="s">
        <v>756</v>
      </c>
      <c r="G6" s="85">
        <f>+I25/500</f>
        <v>4.6451437499999999</v>
      </c>
    </row>
    <row r="7" spans="1:12" ht="25.5">
      <c r="A7" s="2"/>
      <c r="B7" s="54">
        <v>380</v>
      </c>
      <c r="C7" s="7" t="str">
        <f>+C6</f>
        <v>EQIP</v>
      </c>
      <c r="D7" s="53" t="s">
        <v>754</v>
      </c>
      <c r="E7" s="110" t="str">
        <f>CONCATENATE(E6, "-HU")</f>
        <v>Windbreak/Shelterbelt Establishment - w/establishment of vegetative cover-HU</v>
      </c>
      <c r="F7" s="7" t="str">
        <f>+F6</f>
        <v>Feet</v>
      </c>
      <c r="G7" s="85">
        <f>+J25/500</f>
        <v>5.5741725000000004</v>
      </c>
    </row>
    <row r="8" spans="1:12" ht="25.5">
      <c r="A8" s="2"/>
      <c r="B8" s="54"/>
      <c r="C8" s="7" t="str">
        <f>+G12</f>
        <v>WHIP</v>
      </c>
      <c r="D8" s="53" t="s">
        <v>754</v>
      </c>
      <c r="E8" s="110" t="s">
        <v>766</v>
      </c>
      <c r="F8" s="7" t="s">
        <v>756</v>
      </c>
      <c r="G8" s="85">
        <f>+K25</f>
        <v>0</v>
      </c>
    </row>
    <row r="9" spans="1:12" ht="25.5">
      <c r="A9" s="2"/>
      <c r="B9" s="8"/>
      <c r="C9" s="10" t="str">
        <f>+C8</f>
        <v>WHIP</v>
      </c>
      <c r="D9" s="53" t="s">
        <v>754</v>
      </c>
      <c r="E9" s="111" t="str">
        <f>CONCATENATE(E6, "-HU")</f>
        <v>Windbreak/Shelterbelt Establishment - w/establishment of vegetative cover-HU</v>
      </c>
      <c r="F9" s="10" t="str">
        <f>+F8</f>
        <v>Feet</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2719.55</v>
      </c>
      <c r="E16" s="160">
        <f>+'[10]Payment Factors'!D42</f>
        <v>0.75</v>
      </c>
      <c r="F16" s="160">
        <f>+'[10]Payment Factors'!E42</f>
        <v>0.9</v>
      </c>
      <c r="G16" s="160">
        <v>0</v>
      </c>
      <c r="H16" s="160">
        <v>0</v>
      </c>
      <c r="I16" s="1154">
        <f t="shared" ref="I16:L24" si="0">+$D16*E16</f>
        <v>2039.6625000000001</v>
      </c>
      <c r="J16" s="1154">
        <f t="shared" si="0"/>
        <v>2447.5950000000003</v>
      </c>
      <c r="K16" s="1154">
        <f t="shared" si="0"/>
        <v>0</v>
      </c>
      <c r="L16" s="1155">
        <f t="shared" si="0"/>
        <v>0</v>
      </c>
    </row>
    <row r="17" spans="1:12">
      <c r="A17" s="2"/>
      <c r="B17" s="15" t="s">
        <v>2</v>
      </c>
      <c r="C17" s="16"/>
      <c r="D17" s="24">
        <f>+I56</f>
        <v>153.21250000000001</v>
      </c>
      <c r="E17" s="160">
        <f t="shared" ref="E17:H19" si="1">+E16</f>
        <v>0.75</v>
      </c>
      <c r="F17" s="160">
        <f t="shared" si="1"/>
        <v>0.9</v>
      </c>
      <c r="G17" s="160">
        <f t="shared" si="1"/>
        <v>0</v>
      </c>
      <c r="H17" s="160">
        <f t="shared" si="1"/>
        <v>0</v>
      </c>
      <c r="I17" s="1154">
        <f t="shared" si="0"/>
        <v>114.90937500000001</v>
      </c>
      <c r="J17" s="1154">
        <f t="shared" si="0"/>
        <v>137.89125000000001</v>
      </c>
      <c r="K17" s="1154">
        <f t="shared" si="0"/>
        <v>0</v>
      </c>
      <c r="L17" s="1155">
        <f t="shared" si="0"/>
        <v>0</v>
      </c>
    </row>
    <row r="18" spans="1:12">
      <c r="A18" s="2"/>
      <c r="B18" s="15" t="s">
        <v>3</v>
      </c>
      <c r="C18" s="16"/>
      <c r="D18" s="24">
        <f>+I71</f>
        <v>224</v>
      </c>
      <c r="E18" s="160">
        <f t="shared" si="1"/>
        <v>0.75</v>
      </c>
      <c r="F18" s="160">
        <f t="shared" si="1"/>
        <v>0.9</v>
      </c>
      <c r="G18" s="160">
        <f t="shared" si="1"/>
        <v>0</v>
      </c>
      <c r="H18" s="160">
        <f t="shared" si="1"/>
        <v>0</v>
      </c>
      <c r="I18" s="1154">
        <f t="shared" si="0"/>
        <v>168</v>
      </c>
      <c r="J18" s="1154">
        <f t="shared" si="0"/>
        <v>201.6</v>
      </c>
      <c r="K18" s="1154">
        <f t="shared" si="0"/>
        <v>0</v>
      </c>
      <c r="L18" s="1155">
        <f t="shared" si="0"/>
        <v>0</v>
      </c>
    </row>
    <row r="19" spans="1:12">
      <c r="A19" s="2"/>
      <c r="B19" s="15" t="s">
        <v>4</v>
      </c>
      <c r="C19" s="16"/>
      <c r="D19" s="24">
        <f>+I78</f>
        <v>92.902875000000009</v>
      </c>
      <c r="E19" s="160">
        <v>0</v>
      </c>
      <c r="F19" s="160">
        <v>0</v>
      </c>
      <c r="G19" s="160">
        <f t="shared" si="1"/>
        <v>0</v>
      </c>
      <c r="H19" s="160">
        <f t="shared" si="1"/>
        <v>0</v>
      </c>
      <c r="I19" s="1154">
        <f t="shared" si="0"/>
        <v>0</v>
      </c>
      <c r="J19" s="1154">
        <f t="shared" si="0"/>
        <v>0</v>
      </c>
      <c r="K19" s="1154">
        <f t="shared" si="0"/>
        <v>0</v>
      </c>
      <c r="L19" s="1155">
        <f t="shared" si="0"/>
        <v>0</v>
      </c>
    </row>
    <row r="20" spans="1:12">
      <c r="A20" s="2"/>
      <c r="B20" s="15" t="s">
        <v>26</v>
      </c>
      <c r="C20" s="16"/>
      <c r="D20" s="24">
        <f>+I81</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+I84</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+I87</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+I91</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+I94</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3205.1653750000005</v>
      </c>
      <c r="E25" s="28"/>
      <c r="F25" s="28"/>
      <c r="G25" s="28"/>
      <c r="H25" s="28"/>
      <c r="I25" s="1159">
        <f>SUM(I16:I24)</f>
        <v>2322.5718750000001</v>
      </c>
      <c r="J25" s="1159">
        <f>SUM(J16:J24)</f>
        <v>2787.0862500000003</v>
      </c>
      <c r="K25" s="1159">
        <f>SUM(K16:K24)</f>
        <v>0</v>
      </c>
      <c r="L25" s="1160">
        <f>SUM(L16:L24)</f>
        <v>0</v>
      </c>
    </row>
    <row r="27" spans="1:12" ht="15.75">
      <c r="A27" s="2"/>
      <c r="B27" s="50" t="s">
        <v>28</v>
      </c>
      <c r="C27" s="2"/>
      <c r="D27" s="2"/>
      <c r="E27" s="2"/>
      <c r="F27" s="2"/>
      <c r="G27" s="2"/>
      <c r="H27" s="2"/>
      <c r="I27" s="5"/>
    </row>
    <row r="28" spans="1:12">
      <c r="A28" s="2"/>
      <c r="B28" s="29" t="s">
        <v>757</v>
      </c>
      <c r="C28" s="30"/>
      <c r="D28" s="30"/>
      <c r="E28" s="31"/>
      <c r="F28" s="31"/>
      <c r="G28" s="31"/>
      <c r="H28" s="31"/>
      <c r="I28" s="32"/>
    </row>
    <row r="29" spans="1:12" ht="12.75" customHeight="1">
      <c r="A29" s="2"/>
      <c r="B29" s="2023" t="s">
        <v>767</v>
      </c>
      <c r="C29" s="2024"/>
      <c r="D29" s="2024"/>
      <c r="E29" s="2024"/>
      <c r="F29" s="2024"/>
      <c r="G29" s="2024"/>
      <c r="H29" s="2024"/>
      <c r="I29" s="2025"/>
    </row>
    <row r="30" spans="1:12">
      <c r="A30" s="2"/>
      <c r="B30" s="2026"/>
      <c r="C30" s="2024"/>
      <c r="D30" s="2024"/>
      <c r="E30" s="2024"/>
      <c r="F30" s="2024"/>
      <c r="G30" s="2024"/>
      <c r="H30" s="2024"/>
      <c r="I30" s="2025"/>
    </row>
    <row r="31" spans="1:12" ht="22.5" customHeight="1">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SUM(G42:G51)</f>
        <v>2719.55</v>
      </c>
    </row>
    <row r="41" spans="1:9">
      <c r="A41" s="2"/>
      <c r="B41" s="1174"/>
      <c r="C41" s="35"/>
      <c r="D41" s="1167" t="s">
        <v>447</v>
      </c>
      <c r="E41" s="1167" t="s">
        <v>448</v>
      </c>
      <c r="F41" s="1167" t="s">
        <v>449</v>
      </c>
      <c r="G41" s="1167" t="s">
        <v>450</v>
      </c>
      <c r="H41" s="35"/>
      <c r="I41" s="46"/>
    </row>
    <row r="42" spans="1:9">
      <c r="A42" s="2"/>
      <c r="B42" s="40" t="s">
        <v>451</v>
      </c>
      <c r="C42" s="6"/>
      <c r="D42" s="1168" t="s">
        <v>452</v>
      </c>
      <c r="E42" s="1169">
        <f>+'[25]Core Rates'!C203</f>
        <v>8.75</v>
      </c>
      <c r="F42" s="1170">
        <v>0</v>
      </c>
      <c r="G42" s="1171">
        <f t="shared" ref="G42:G50" si="2">+F42*E42</f>
        <v>0</v>
      </c>
      <c r="H42" s="35"/>
      <c r="I42" s="36"/>
    </row>
    <row r="43" spans="1:9">
      <c r="A43" s="2"/>
      <c r="B43" s="1184" t="s">
        <v>453</v>
      </c>
      <c r="C43" s="6"/>
      <c r="D43" s="1185" t="s">
        <v>454</v>
      </c>
      <c r="E43" s="1169">
        <f>+'[25]Core Rates'!C228</f>
        <v>0.82427536231884069</v>
      </c>
      <c r="F43" s="1170">
        <v>0</v>
      </c>
      <c r="G43" s="1171">
        <f t="shared" si="2"/>
        <v>0</v>
      </c>
      <c r="H43" s="35"/>
      <c r="I43" s="36"/>
    </row>
    <row r="44" spans="1:9">
      <c r="A44" s="2"/>
      <c r="B44" s="1186" t="s">
        <v>455</v>
      </c>
      <c r="C44" s="1187"/>
      <c r="D44" s="1185" t="s">
        <v>454</v>
      </c>
      <c r="E44" s="1169">
        <f>+'[25]Core Rates'!C235</f>
        <v>1.1702898550724636</v>
      </c>
      <c r="F44" s="1170">
        <v>0</v>
      </c>
      <c r="G44" s="1171">
        <f t="shared" si="2"/>
        <v>0</v>
      </c>
      <c r="H44" s="35"/>
      <c r="I44" s="36"/>
    </row>
    <row r="45" spans="1:9">
      <c r="A45" s="2"/>
      <c r="B45" s="1186" t="s">
        <v>456</v>
      </c>
      <c r="C45" s="1187"/>
      <c r="D45" s="1168" t="s">
        <v>454</v>
      </c>
      <c r="E45" s="1169">
        <f>+'[25]Core Rates'!C246</f>
        <v>0.58825136612021856</v>
      </c>
      <c r="F45" s="1170">
        <v>0</v>
      </c>
      <c r="G45" s="1171">
        <f t="shared" si="2"/>
        <v>0</v>
      </c>
      <c r="H45" s="35"/>
      <c r="I45" s="36"/>
    </row>
    <row r="46" spans="1:9">
      <c r="A46" s="2"/>
      <c r="B46" s="1188" t="str">
        <f>+'[25]Core Rates'!A342</f>
        <v>Tree seedlings</v>
      </c>
      <c r="C46" s="1187"/>
      <c r="D46" s="1189" t="str">
        <f>+'[25]Core Rates'!B342</f>
        <v>Ea</v>
      </c>
      <c r="E46" s="1169">
        <f>+'[25]Core Rates'!C342</f>
        <v>0.5</v>
      </c>
      <c r="F46" s="1170">
        <v>150</v>
      </c>
      <c r="G46" s="1171">
        <f t="shared" si="2"/>
        <v>75</v>
      </c>
      <c r="H46" s="35"/>
      <c r="I46" s="36"/>
    </row>
    <row r="47" spans="1:9">
      <c r="A47" s="2"/>
      <c r="B47" s="1186" t="str">
        <f>+'[25]Core Rates'!A310</f>
        <v>Seed (Orchard grass)</v>
      </c>
      <c r="C47" s="1187"/>
      <c r="D47" s="1185" t="s">
        <v>454</v>
      </c>
      <c r="E47" s="1169">
        <f>+'[25]Core Rates 2011'!BE307</f>
        <v>1.68</v>
      </c>
      <c r="F47" s="1170">
        <v>10</v>
      </c>
      <c r="G47" s="1171">
        <f t="shared" si="2"/>
        <v>16.8</v>
      </c>
      <c r="H47" s="35"/>
      <c r="I47" s="36"/>
    </row>
    <row r="48" spans="1:9">
      <c r="A48" s="2"/>
      <c r="B48" s="1186" t="str">
        <f>+'[25]Core Rates'!A312</f>
        <v>Seed (Red Clover)</v>
      </c>
      <c r="C48" s="1187"/>
      <c r="D48" s="1185" t="s">
        <v>454</v>
      </c>
      <c r="E48" s="1169">
        <f>+'[25]Core Rates 2011'!BE309</f>
        <v>2.75</v>
      </c>
      <c r="F48" s="1170">
        <v>1</v>
      </c>
      <c r="G48" s="1171">
        <f t="shared" si="2"/>
        <v>2.75</v>
      </c>
      <c r="H48" s="35"/>
      <c r="I48" s="36"/>
    </row>
    <row r="49" spans="1:9">
      <c r="A49" s="2"/>
      <c r="B49" s="1186" t="str">
        <f>+'[25]Core Rates'!A315</f>
        <v>Seed (Wheat)</v>
      </c>
      <c r="C49" s="1187"/>
      <c r="D49" s="1185" t="s">
        <v>454</v>
      </c>
      <c r="E49" s="1169">
        <f>+'[25]Core Rates 2011'!BE312</f>
        <v>0.31</v>
      </c>
      <c r="F49" s="1170">
        <v>0</v>
      </c>
      <c r="G49" s="1171">
        <f t="shared" si="2"/>
        <v>0</v>
      </c>
      <c r="H49" s="35"/>
      <c r="I49" s="36"/>
    </row>
    <row r="50" spans="1:9">
      <c r="A50" s="2"/>
      <c r="B50" s="1186" t="str">
        <f>+'[25]Core Rates'!A314</f>
        <v>Seed (Redtop)</v>
      </c>
      <c r="C50" s="1187"/>
      <c r="D50" s="1185" t="s">
        <v>454</v>
      </c>
      <c r="E50" s="1169">
        <f>+'[25]Core Rates 2011'!BE311</f>
        <v>7</v>
      </c>
      <c r="F50" s="1170">
        <v>0</v>
      </c>
      <c r="G50" s="1171">
        <f t="shared" si="2"/>
        <v>0</v>
      </c>
      <c r="H50" s="35"/>
      <c r="I50" s="36"/>
    </row>
    <row r="51" spans="1:9">
      <c r="A51" s="2"/>
      <c r="B51" s="1186" t="s">
        <v>768</v>
      </c>
      <c r="C51" s="6"/>
      <c r="D51" s="1185" t="s">
        <v>761</v>
      </c>
      <c r="E51" s="1169">
        <v>21</v>
      </c>
      <c r="F51" s="1170">
        <v>125</v>
      </c>
      <c r="G51" s="1171">
        <f>F51*E51</f>
        <v>2625</v>
      </c>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153.21250000000001</v>
      </c>
    </row>
    <row r="57" spans="1:9">
      <c r="A57" s="2"/>
      <c r="B57" s="1174"/>
      <c r="C57" s="35"/>
      <c r="D57" s="1167" t="s">
        <v>447</v>
      </c>
      <c r="E57" s="1167" t="s">
        <v>448</v>
      </c>
      <c r="F57" s="1167" t="s">
        <v>449</v>
      </c>
      <c r="G57" s="1167" t="s">
        <v>450</v>
      </c>
      <c r="H57" s="35"/>
      <c r="I57" s="46"/>
    </row>
    <row r="58" spans="1:9">
      <c r="A58" s="2"/>
      <c r="B58" s="1191" t="s">
        <v>460</v>
      </c>
      <c r="C58" s="6"/>
      <c r="D58" s="1168" t="s">
        <v>408</v>
      </c>
      <c r="E58" s="1169">
        <f>+'[25]Core Rates 2011'!BE145</f>
        <v>36.5</v>
      </c>
      <c r="F58" s="1170">
        <v>1.5</v>
      </c>
      <c r="G58" s="1171">
        <f t="shared" ref="G58:G64" si="3">+F58*E58</f>
        <v>54.75</v>
      </c>
      <c r="H58" s="35"/>
      <c r="I58" s="47"/>
    </row>
    <row r="59" spans="1:9">
      <c r="A59" s="2"/>
      <c r="B59" s="1191" t="s">
        <v>762</v>
      </c>
      <c r="C59" s="6"/>
      <c r="D59" s="1168" t="s">
        <v>408</v>
      </c>
      <c r="E59" s="1169">
        <f>+'[25]Core Rates'!C340</f>
        <v>90</v>
      </c>
      <c r="F59" s="1170">
        <v>1</v>
      </c>
      <c r="G59" s="1171">
        <f t="shared" si="3"/>
        <v>90</v>
      </c>
      <c r="H59" s="35"/>
      <c r="I59" s="47"/>
    </row>
    <row r="60" spans="1:9">
      <c r="A60" s="2"/>
      <c r="B60" s="40" t="s">
        <v>763</v>
      </c>
      <c r="C60" s="6"/>
      <c r="D60" s="1168" t="s">
        <v>408</v>
      </c>
      <c r="E60" s="1169">
        <f>+'[25]Core Rates'!C104</f>
        <v>20</v>
      </c>
      <c r="F60" s="1170">
        <v>1</v>
      </c>
      <c r="G60" s="1171">
        <f t="shared" si="3"/>
        <v>20</v>
      </c>
      <c r="H60" s="35"/>
      <c r="I60" s="47"/>
    </row>
    <row r="61" spans="1:9">
      <c r="A61" s="2"/>
      <c r="B61" s="1191" t="str">
        <f>+'[25]Core Rates'!A216</f>
        <v>Mowing</v>
      </c>
      <c r="C61" s="6"/>
      <c r="D61" s="1189" t="s">
        <v>408</v>
      </c>
      <c r="E61" s="1189">
        <f>+'[25]Core Rates'!C216</f>
        <v>15.5</v>
      </c>
      <c r="F61" s="1170">
        <v>1</v>
      </c>
      <c r="G61" s="1171">
        <f t="shared" si="3"/>
        <v>15.5</v>
      </c>
      <c r="H61" s="35"/>
      <c r="I61" s="47"/>
    </row>
    <row r="62" spans="1:9">
      <c r="A62" s="2"/>
      <c r="B62" s="40" t="s">
        <v>462</v>
      </c>
      <c r="C62" s="6"/>
      <c r="D62" s="1168" t="s">
        <v>408</v>
      </c>
      <c r="E62" s="1169">
        <f>+'[25]Core Rates'!AN33</f>
        <v>5.416666666666667</v>
      </c>
      <c r="F62" s="1170">
        <v>0</v>
      </c>
      <c r="G62" s="1171">
        <f t="shared" si="3"/>
        <v>0</v>
      </c>
      <c r="H62" s="35"/>
      <c r="I62" s="47"/>
    </row>
    <row r="63" spans="1:9">
      <c r="A63" s="2"/>
      <c r="B63" s="40" t="s">
        <v>463</v>
      </c>
      <c r="C63" s="6"/>
      <c r="D63" s="1168" t="s">
        <v>452</v>
      </c>
      <c r="E63" s="1169">
        <f>+'[25]Core Rates'!AN34</f>
        <v>5.5</v>
      </c>
      <c r="F63" s="1170">
        <v>0</v>
      </c>
      <c r="G63" s="1171">
        <f t="shared" si="3"/>
        <v>0</v>
      </c>
      <c r="H63" s="35"/>
      <c r="I63" s="47"/>
    </row>
    <row r="64" spans="1:9">
      <c r="A64" s="2"/>
      <c r="B64" s="40" t="s">
        <v>464</v>
      </c>
      <c r="C64" s="6"/>
      <c r="D64" s="1168" t="s">
        <v>452</v>
      </c>
      <c r="E64" s="1169">
        <f>+'[25]Core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G74</f>
        <v>224</v>
      </c>
    </row>
    <row r="72" spans="1:9">
      <c r="A72" s="2"/>
      <c r="B72" s="2007" t="s">
        <v>465</v>
      </c>
      <c r="C72" s="2008"/>
      <c r="D72" s="35"/>
      <c r="E72" s="35"/>
      <c r="F72" s="35"/>
      <c r="G72" s="35"/>
      <c r="H72" s="35"/>
      <c r="I72" s="48"/>
    </row>
    <row r="73" spans="1:9">
      <c r="A73" s="2"/>
      <c r="B73" s="1174"/>
      <c r="C73" s="35"/>
      <c r="D73" s="1167" t="s">
        <v>447</v>
      </c>
      <c r="E73" s="1167" t="s">
        <v>448</v>
      </c>
      <c r="F73" s="1167" t="s">
        <v>449</v>
      </c>
      <c r="G73" s="1167" t="s">
        <v>450</v>
      </c>
      <c r="H73" s="35"/>
      <c r="I73" s="46"/>
    </row>
    <row r="74" spans="1:9" s="1199" customFormat="1" ht="12">
      <c r="B74" s="1192" t="s">
        <v>764</v>
      </c>
      <c r="C74" s="1193"/>
      <c r="D74" s="1194" t="s">
        <v>765</v>
      </c>
      <c r="E74" s="1195">
        <v>14</v>
      </c>
      <c r="F74" s="1196">
        <v>16</v>
      </c>
      <c r="G74" s="1195">
        <f>E74*F74</f>
        <v>224</v>
      </c>
      <c r="H74" s="1197"/>
      <c r="I74" s="1198"/>
    </row>
    <row r="75" spans="1:9">
      <c r="A75" s="2"/>
      <c r="B75" s="37"/>
      <c r="C75" s="39"/>
      <c r="D75" s="1180"/>
      <c r="E75" s="153"/>
      <c r="F75" s="35"/>
      <c r="G75" s="35"/>
      <c r="H75" s="35"/>
      <c r="I75" s="46"/>
    </row>
    <row r="76" spans="1:9">
      <c r="A76" s="2"/>
      <c r="B76" s="37"/>
      <c r="C76" s="39"/>
      <c r="D76" s="1181"/>
      <c r="E76" s="153"/>
      <c r="F76" s="35"/>
      <c r="G76" s="35"/>
      <c r="H76" s="35"/>
      <c r="I76" s="46"/>
    </row>
    <row r="77" spans="1:9">
      <c r="A77" s="2"/>
      <c r="B77" s="33"/>
      <c r="C77" s="35"/>
      <c r="D77" s="35"/>
      <c r="E77" s="35"/>
      <c r="F77" s="35"/>
      <c r="G77" s="35"/>
      <c r="H77" s="35"/>
      <c r="I77" s="36"/>
    </row>
    <row r="78" spans="1:9">
      <c r="A78" s="2"/>
      <c r="B78" s="42" t="s">
        <v>4</v>
      </c>
      <c r="C78" s="35"/>
      <c r="D78" s="35"/>
      <c r="E78" s="35"/>
      <c r="F78" s="35"/>
      <c r="G78" s="35"/>
      <c r="H78" s="35"/>
      <c r="I78" s="1182">
        <f>0.03*(I40+I56+I71)</f>
        <v>92.902875000000009</v>
      </c>
    </row>
    <row r="79" spans="1:9">
      <c r="A79" s="2"/>
      <c r="B79" s="33" t="s">
        <v>467</v>
      </c>
      <c r="C79" s="35"/>
      <c r="D79" s="35"/>
      <c r="E79" s="35"/>
      <c r="F79" s="35"/>
      <c r="G79" s="35"/>
      <c r="H79" s="35"/>
      <c r="I79" s="36"/>
    </row>
    <row r="80" spans="1:9">
      <c r="A80" s="2"/>
      <c r="B80" s="37"/>
      <c r="C80" s="35"/>
      <c r="D80" s="35"/>
      <c r="E80" s="35"/>
      <c r="F80" s="35"/>
      <c r="G80" s="35"/>
      <c r="H80" s="35"/>
      <c r="I80" s="36"/>
    </row>
    <row r="81" spans="1:9">
      <c r="A81" s="2"/>
      <c r="B81" s="42" t="s">
        <v>468</v>
      </c>
      <c r="C81" s="35"/>
      <c r="D81" s="35"/>
      <c r="E81" s="35"/>
      <c r="F81" s="35"/>
      <c r="G81" s="35"/>
      <c r="H81" s="35"/>
      <c r="I81" s="1182">
        <f>+'[25]Core Rates'!C216</f>
        <v>15.5</v>
      </c>
    </row>
    <row r="82" spans="1:9">
      <c r="A82" s="2"/>
      <c r="B82" s="33" t="s">
        <v>469</v>
      </c>
      <c r="C82" s="35"/>
      <c r="D82" s="35"/>
      <c r="E82" s="35"/>
      <c r="F82" s="35"/>
      <c r="G82" s="35"/>
      <c r="H82" s="35"/>
      <c r="I82" s="36"/>
    </row>
    <row r="83" spans="1:9">
      <c r="A83" s="2"/>
      <c r="B83" s="37"/>
      <c r="C83" s="35"/>
      <c r="D83" s="35"/>
      <c r="E83" s="35"/>
      <c r="F83" s="35"/>
      <c r="G83" s="35"/>
      <c r="H83" s="35"/>
      <c r="I83" s="36"/>
    </row>
    <row r="84" spans="1:9">
      <c r="A84" s="2"/>
      <c r="B84" s="42" t="s">
        <v>7</v>
      </c>
      <c r="C84" s="35"/>
      <c r="D84" s="35"/>
      <c r="E84" s="35"/>
      <c r="F84" s="35"/>
      <c r="G84" s="35"/>
      <c r="H84" s="35"/>
      <c r="I84" s="1166">
        <v>0</v>
      </c>
    </row>
    <row r="85" spans="1:9">
      <c r="A85" s="2"/>
      <c r="B85" s="33" t="s">
        <v>470</v>
      </c>
      <c r="C85" s="35"/>
      <c r="D85" s="35"/>
      <c r="E85" s="35"/>
      <c r="F85" s="35"/>
      <c r="G85" s="35"/>
      <c r="H85" s="35"/>
      <c r="I85" s="36"/>
    </row>
    <row r="86" spans="1:9">
      <c r="A86" s="2"/>
      <c r="B86" s="37"/>
      <c r="C86" s="35"/>
      <c r="D86" s="35"/>
      <c r="E86" s="35"/>
      <c r="F86" s="35"/>
      <c r="G86" s="35"/>
      <c r="H86" s="35"/>
      <c r="I86" s="36"/>
    </row>
    <row r="87" spans="1:9">
      <c r="A87" s="2"/>
      <c r="B87" s="42" t="s">
        <v>471</v>
      </c>
      <c r="C87" s="35"/>
      <c r="D87" s="35"/>
      <c r="E87" s="35"/>
      <c r="F87" s="39"/>
      <c r="G87" s="35"/>
      <c r="H87" s="35"/>
      <c r="I87" s="1166">
        <v>0</v>
      </c>
    </row>
    <row r="88" spans="1:9">
      <c r="A88" s="2"/>
      <c r="B88" s="756" t="s">
        <v>104</v>
      </c>
      <c r="C88" s="35"/>
      <c r="D88" s="35"/>
      <c r="E88" s="35"/>
      <c r="F88" s="35"/>
      <c r="G88" s="35"/>
      <c r="H88" s="35"/>
      <c r="I88" s="47"/>
    </row>
    <row r="89" spans="1:9">
      <c r="A89" s="2"/>
      <c r="B89" s="756"/>
      <c r="C89" s="35"/>
      <c r="D89" s="35"/>
      <c r="E89" s="35"/>
      <c r="F89" s="35"/>
      <c r="G89" s="35"/>
      <c r="H89" s="35"/>
      <c r="I89" s="47"/>
    </row>
    <row r="90" spans="1:9">
      <c r="A90" s="2"/>
      <c r="B90" s="37"/>
      <c r="C90" s="35"/>
      <c r="D90" s="35"/>
      <c r="E90" s="35"/>
      <c r="F90" s="35"/>
      <c r="G90" s="35"/>
      <c r="H90" s="35"/>
      <c r="I90" s="36"/>
    </row>
    <row r="91" spans="1:9">
      <c r="A91" s="2"/>
      <c r="B91" s="42" t="s">
        <v>5</v>
      </c>
      <c r="C91" s="35"/>
      <c r="D91" s="35"/>
      <c r="E91" s="35"/>
      <c r="F91" s="35"/>
      <c r="G91" s="35"/>
      <c r="H91" s="35"/>
      <c r="I91" s="1166">
        <v>0</v>
      </c>
    </row>
    <row r="92" spans="1:9">
      <c r="A92" s="2"/>
      <c r="B92" s="33" t="s">
        <v>104</v>
      </c>
      <c r="C92" s="35"/>
      <c r="D92" s="35"/>
      <c r="E92" s="35"/>
      <c r="F92" s="35"/>
      <c r="G92" s="35"/>
      <c r="H92" s="35"/>
      <c r="I92" s="47"/>
    </row>
    <row r="93" spans="1:9">
      <c r="A93" s="2"/>
      <c r="B93" s="37"/>
      <c r="C93" s="35"/>
      <c r="D93" s="35"/>
      <c r="E93" s="35"/>
      <c r="F93" s="35"/>
      <c r="G93" s="35"/>
      <c r="H93" s="35"/>
      <c r="I93" s="36"/>
    </row>
    <row r="94" spans="1:9">
      <c r="A94" s="2"/>
      <c r="B94" s="42" t="s">
        <v>20</v>
      </c>
      <c r="C94" s="35"/>
      <c r="D94" s="35"/>
      <c r="E94" s="35"/>
      <c r="F94" s="35"/>
      <c r="G94" s="35"/>
      <c r="H94" s="35"/>
      <c r="I94" s="1166">
        <v>0</v>
      </c>
    </row>
    <row r="95" spans="1:9">
      <c r="A95" s="2"/>
      <c r="B95" s="33" t="s">
        <v>104</v>
      </c>
      <c r="C95" s="35"/>
      <c r="D95" s="35"/>
      <c r="E95" s="35"/>
      <c r="F95" s="35"/>
      <c r="G95" s="35"/>
      <c r="H95" s="35"/>
      <c r="I95" s="36"/>
    </row>
    <row r="96" spans="1:9">
      <c r="A96" s="2"/>
      <c r="B96" s="40"/>
      <c r="C96" s="35"/>
      <c r="D96" s="35"/>
      <c r="E96" s="35"/>
      <c r="F96" s="35"/>
      <c r="G96" s="35"/>
      <c r="H96" s="35"/>
      <c r="I96" s="36"/>
    </row>
    <row r="97" spans="1:9">
      <c r="A97" s="2"/>
      <c r="B97" s="42" t="s">
        <v>473</v>
      </c>
      <c r="C97" s="35"/>
      <c r="D97" s="35"/>
      <c r="E97" s="35"/>
      <c r="F97" s="35"/>
      <c r="G97" s="35"/>
      <c r="H97" s="35"/>
      <c r="I97" s="1183">
        <f>+I40+I56+I71+I78+I84+I94</f>
        <v>3189.6653750000005</v>
      </c>
    </row>
    <row r="98" spans="1:9" ht="15.75">
      <c r="A98" s="2"/>
      <c r="B98" s="33" t="s">
        <v>474</v>
      </c>
      <c r="C98" s="35"/>
      <c r="D98" s="35"/>
      <c r="E98" s="35"/>
      <c r="F98" s="35"/>
      <c r="G98" s="35"/>
      <c r="H98" s="35"/>
      <c r="I98" s="36"/>
    </row>
    <row r="99" spans="1:9">
      <c r="A99" s="2"/>
      <c r="B99" s="40"/>
      <c r="C99" s="35"/>
      <c r="D99" s="35"/>
      <c r="E99" s="35"/>
      <c r="F99" s="35"/>
      <c r="G99" s="35"/>
      <c r="H99" s="35"/>
      <c r="I99" s="36"/>
    </row>
    <row r="100" spans="1:9">
      <c r="A100" s="2"/>
      <c r="B100" s="43" t="s">
        <v>11</v>
      </c>
      <c r="C100" s="44"/>
      <c r="D100" s="44"/>
      <c r="E100" s="44"/>
      <c r="F100" s="44"/>
      <c r="G100" s="44"/>
      <c r="H100" s="44"/>
      <c r="I100" s="621">
        <f>SUM(I40:I94)</f>
        <v>3205.1653750000005</v>
      </c>
    </row>
  </sheetData>
  <mergeCells count="5">
    <mergeCell ref="B1:D1"/>
    <mergeCell ref="B29:I31"/>
    <mergeCell ref="E56:H56"/>
    <mergeCell ref="B67:I68"/>
    <mergeCell ref="B72:C72"/>
  </mergeCells>
  <pageMargins left="0.75" right="0.75" top="1" bottom="1" header="0.5" footer="0.5"/>
  <pageSetup scale="47" orientation="portrait" r:id="rId1"/>
  <headerFooter alignWithMargins="0"/>
</worksheet>
</file>

<file path=xl/worksheets/sheet114.xml><?xml version="1.0" encoding="utf-8"?>
<worksheet xmlns="http://schemas.openxmlformats.org/spreadsheetml/2006/main" xmlns:r="http://schemas.openxmlformats.org/officeDocument/2006/relationships">
  <sheetPr>
    <pageSetUpPr fitToPage="1"/>
  </sheetPr>
  <dimension ref="A1:L87"/>
  <sheetViews>
    <sheetView zoomScale="75" zoomScaleNormal="75" workbookViewId="0">
      <selection activeCell="A2" sqref="A2:XFD27"/>
    </sheetView>
  </sheetViews>
  <sheetFormatPr defaultRowHeight="12.75"/>
  <cols>
    <col min="1" max="1" width="1.85546875" customWidth="1"/>
    <col min="3" max="3" width="24.140625" customWidth="1"/>
    <col min="4" max="4" width="29" bestFit="1" customWidth="1"/>
    <col min="5" max="5" width="57.28515625"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381</v>
      </c>
      <c r="C6" s="7" t="str">
        <f>+E12</f>
        <v>EQIP</v>
      </c>
      <c r="D6" s="53" t="s">
        <v>1375</v>
      </c>
      <c r="E6" s="110" t="s">
        <v>1376</v>
      </c>
      <c r="F6" s="7" t="s">
        <v>394</v>
      </c>
      <c r="G6" s="85">
        <f>+I25</f>
        <v>190.45187775330396</v>
      </c>
    </row>
    <row r="7" spans="1:12" ht="25.5">
      <c r="A7" s="2"/>
      <c r="B7" s="54">
        <f>+B6</f>
        <v>381</v>
      </c>
      <c r="C7" s="7" t="str">
        <f>+C6</f>
        <v>EQIP</v>
      </c>
      <c r="D7" s="53" t="s">
        <v>1375</v>
      </c>
      <c r="E7" s="110" t="str">
        <f>CONCATENATE(E6, "-HU")</f>
        <v>Silvopasture Establishment  - Conifer Trees Only - No fertilizer or vegetative cover-HU</v>
      </c>
      <c r="F7" s="7" t="str">
        <f>+F6</f>
        <v>Acre</v>
      </c>
      <c r="G7" s="85">
        <f>+J25</f>
        <v>228.54225330396477</v>
      </c>
    </row>
    <row r="8" spans="1:12" ht="25.5">
      <c r="A8" s="2"/>
      <c r="B8" s="54">
        <v>381</v>
      </c>
      <c r="C8" s="7" t="str">
        <f>+G12</f>
        <v>WHIP</v>
      </c>
      <c r="D8" s="53" t="s">
        <v>1375</v>
      </c>
      <c r="E8" s="110" t="s">
        <v>1376</v>
      </c>
      <c r="F8" s="7" t="s">
        <v>394</v>
      </c>
      <c r="G8" s="85">
        <f>+K25</f>
        <v>0</v>
      </c>
    </row>
    <row r="9" spans="1:12" ht="25.5">
      <c r="A9" s="2"/>
      <c r="B9" s="8">
        <f>+B8</f>
        <v>381</v>
      </c>
      <c r="C9" s="10" t="str">
        <f>+C8</f>
        <v>WHIP</v>
      </c>
      <c r="D9" s="9" t="s">
        <v>1375</v>
      </c>
      <c r="E9" s="111" t="str">
        <f>CONCATENATE(E6, "-HU")</f>
        <v>Silvopasture Establishment  - Conifer Trees Only - No fertilizer or vegetative cover-HU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125</v>
      </c>
      <c r="E16" s="160">
        <f>+'[10]Payment Factors'!D33</f>
        <v>0.75</v>
      </c>
      <c r="F16" s="160">
        <f>+'[10]Payment Factors'!E33</f>
        <v>0.9</v>
      </c>
      <c r="G16" s="160">
        <f>+'[10]Payment Factors'!F33</f>
        <v>0</v>
      </c>
      <c r="H16" s="160">
        <f>+'[10]Payment Factors'!G33</f>
        <v>0</v>
      </c>
      <c r="I16" s="1154">
        <f t="shared" ref="I16:L24" si="0">+$D16*E16</f>
        <v>93.75</v>
      </c>
      <c r="J16" s="1154">
        <f t="shared" si="0"/>
        <v>112.5</v>
      </c>
      <c r="K16" s="1154">
        <f t="shared" si="0"/>
        <v>0</v>
      </c>
      <c r="L16" s="1155">
        <f t="shared" si="0"/>
        <v>0</v>
      </c>
    </row>
    <row r="17" spans="1:12">
      <c r="A17" s="2"/>
      <c r="B17" s="15" t="s">
        <v>2</v>
      </c>
      <c r="C17" s="16"/>
      <c r="D17" s="24">
        <f>+I48</f>
        <v>103.30870044052864</v>
      </c>
      <c r="E17" s="160">
        <f t="shared" ref="E17:H19" si="1">+E16</f>
        <v>0.75</v>
      </c>
      <c r="F17" s="160">
        <f t="shared" si="1"/>
        <v>0.9</v>
      </c>
      <c r="G17" s="160">
        <f t="shared" si="1"/>
        <v>0</v>
      </c>
      <c r="H17" s="160">
        <f t="shared" si="1"/>
        <v>0</v>
      </c>
      <c r="I17" s="1154">
        <f t="shared" si="0"/>
        <v>77.481525330396479</v>
      </c>
      <c r="J17" s="1154">
        <f t="shared" si="0"/>
        <v>92.977830396475781</v>
      </c>
      <c r="K17" s="1154">
        <f t="shared" si="0"/>
        <v>0</v>
      </c>
      <c r="L17" s="1155">
        <f t="shared" si="0"/>
        <v>0</v>
      </c>
    </row>
    <row r="18" spans="1:12">
      <c r="A18" s="2"/>
      <c r="B18" s="15" t="s">
        <v>3</v>
      </c>
      <c r="C18" s="16"/>
      <c r="D18" s="24">
        <f>+I59</f>
        <v>18.230947136563877</v>
      </c>
      <c r="E18" s="160">
        <f t="shared" si="1"/>
        <v>0.75</v>
      </c>
      <c r="F18" s="160">
        <f t="shared" si="1"/>
        <v>0.9</v>
      </c>
      <c r="G18" s="160">
        <f t="shared" si="1"/>
        <v>0</v>
      </c>
      <c r="H18" s="160">
        <f t="shared" si="1"/>
        <v>0</v>
      </c>
      <c r="I18" s="1154">
        <f t="shared" si="0"/>
        <v>13.673210352422908</v>
      </c>
      <c r="J18" s="1154">
        <f t="shared" si="0"/>
        <v>16.407852422907489</v>
      </c>
      <c r="K18" s="1154">
        <f t="shared" si="0"/>
        <v>0</v>
      </c>
      <c r="L18" s="1155">
        <f t="shared" si="0"/>
        <v>0</v>
      </c>
    </row>
    <row r="19" spans="1:12">
      <c r="A19" s="2"/>
      <c r="B19" s="15" t="s">
        <v>4</v>
      </c>
      <c r="C19" s="16"/>
      <c r="D19" s="24">
        <f>+I65</f>
        <v>7.3961894273127751</v>
      </c>
      <c r="E19" s="160">
        <f t="shared" si="1"/>
        <v>0.75</v>
      </c>
      <c r="F19" s="160">
        <f t="shared" si="1"/>
        <v>0.9</v>
      </c>
      <c r="G19" s="160">
        <f t="shared" si="1"/>
        <v>0</v>
      </c>
      <c r="H19" s="160">
        <f t="shared" si="1"/>
        <v>0</v>
      </c>
      <c r="I19" s="1154">
        <f t="shared" si="0"/>
        <v>5.5471420704845809</v>
      </c>
      <c r="J19" s="1154">
        <f t="shared" si="0"/>
        <v>6.6565704845814979</v>
      </c>
      <c r="K19" s="1154">
        <f t="shared" si="0"/>
        <v>0</v>
      </c>
      <c r="L19" s="1155">
        <f t="shared" si="0"/>
        <v>0</v>
      </c>
    </row>
    <row r="20" spans="1:12">
      <c r="A20" s="2"/>
      <c r="B20" s="15" t="s">
        <v>26</v>
      </c>
      <c r="C20" s="16"/>
      <c r="D20" s="24">
        <f>+I68</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+I71</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+I74</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+I78</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+I81</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269.4358370044053</v>
      </c>
      <c r="E25" s="1158"/>
      <c r="F25" s="1158"/>
      <c r="G25" s="28"/>
      <c r="H25" s="28"/>
      <c r="I25" s="1159">
        <f>SUM(I16:I24)</f>
        <v>190.45187775330396</v>
      </c>
      <c r="J25" s="1159">
        <f>SUM(J16:J24)</f>
        <v>228.54225330396477</v>
      </c>
      <c r="K25" s="1159">
        <f>SUM(K16:K24)</f>
        <v>0</v>
      </c>
      <c r="L25" s="1160">
        <f>SUM(L16:L24)</f>
        <v>0</v>
      </c>
    </row>
    <row r="27" spans="1:12" ht="15.75">
      <c r="A27" s="2"/>
      <c r="B27" s="50" t="s">
        <v>28</v>
      </c>
      <c r="C27" s="2"/>
      <c r="D27" s="2"/>
      <c r="E27" s="2"/>
      <c r="F27" s="2"/>
      <c r="G27" s="2"/>
      <c r="H27" s="2"/>
      <c r="I27" s="5"/>
    </row>
    <row r="28" spans="1:12">
      <c r="A28" s="2"/>
      <c r="B28" s="29" t="s">
        <v>1377</v>
      </c>
      <c r="C28" s="30"/>
      <c r="D28" s="30"/>
      <c r="E28" s="31"/>
      <c r="F28" s="31"/>
      <c r="G28" s="31"/>
      <c r="H28" s="31"/>
      <c r="I28" s="32"/>
    </row>
    <row r="29" spans="1:12" ht="12.75" customHeight="1">
      <c r="A29" s="2"/>
      <c r="B29" s="2023" t="s">
        <v>1378</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125</v>
      </c>
    </row>
    <row r="41" spans="1:9">
      <c r="A41" s="2"/>
      <c r="B41" s="1174"/>
      <c r="C41" s="35"/>
      <c r="D41" s="1167" t="s">
        <v>447</v>
      </c>
      <c r="E41" s="1167" t="s">
        <v>448</v>
      </c>
      <c r="F41" s="1167" t="s">
        <v>449</v>
      </c>
      <c r="G41" s="1167" t="s">
        <v>450</v>
      </c>
      <c r="H41" s="35"/>
      <c r="I41" s="46"/>
    </row>
    <row r="42" spans="1:9">
      <c r="A42" s="2"/>
      <c r="B42" s="37" t="str">
        <f>+'[26]Core Rates'!A342</f>
        <v>Tree seedlings</v>
      </c>
      <c r="C42" s="35"/>
      <c r="D42" s="1169" t="str">
        <f>+'[26]Core Rates'!B342</f>
        <v>Ea</v>
      </c>
      <c r="E42" s="1169">
        <f>+'[26]Core Rates'!C342</f>
        <v>0.5</v>
      </c>
      <c r="F42" s="1170">
        <v>250</v>
      </c>
      <c r="G42" s="1171">
        <f>+F42*E42</f>
        <v>125</v>
      </c>
      <c r="H42" s="35"/>
      <c r="I42" s="36"/>
    </row>
    <row r="43" spans="1:9">
      <c r="A43" s="2"/>
      <c r="B43" s="1172"/>
      <c r="C43" s="6"/>
      <c r="D43" s="1173"/>
      <c r="E43" s="35"/>
      <c r="F43" s="35"/>
      <c r="G43" s="35"/>
      <c r="H43" s="35"/>
      <c r="I43" s="36"/>
    </row>
    <row r="44" spans="1:9">
      <c r="A44" s="2"/>
      <c r="B44" s="37" t="s">
        <v>43</v>
      </c>
      <c r="C44" s="35"/>
      <c r="D44" s="35"/>
      <c r="E44" s="60"/>
      <c r="F44" s="60"/>
      <c r="G44" s="60"/>
      <c r="H44" s="35"/>
      <c r="I44" s="46"/>
    </row>
    <row r="45" spans="1:9" ht="12.75" customHeight="1">
      <c r="A45" s="2"/>
      <c r="B45" s="2004" t="s">
        <v>1379</v>
      </c>
      <c r="C45" s="2005"/>
      <c r="D45" s="2005"/>
      <c r="E45" s="2005"/>
      <c r="F45" s="2005"/>
      <c r="G45" s="2005"/>
      <c r="H45" s="2005"/>
      <c r="I45" s="2006"/>
    </row>
    <row r="46" spans="1:9">
      <c r="A46" s="2"/>
      <c r="B46" s="2004"/>
      <c r="C46" s="2005"/>
      <c r="D46" s="2005"/>
      <c r="E46" s="2005"/>
      <c r="F46" s="2005"/>
      <c r="G46" s="2005"/>
      <c r="H46" s="2005"/>
      <c r="I46" s="2006"/>
    </row>
    <row r="47" spans="1:9">
      <c r="A47" s="2"/>
      <c r="B47" s="1177"/>
      <c r="C47" s="1178"/>
      <c r="D47" s="1178"/>
      <c r="E47" s="1178"/>
      <c r="F47" s="1178"/>
      <c r="G47" s="1178"/>
      <c r="H47" s="1178"/>
      <c r="I47" s="1179"/>
    </row>
    <row r="48" spans="1:9">
      <c r="A48" s="2"/>
      <c r="B48" s="42" t="s">
        <v>2</v>
      </c>
      <c r="C48" s="35"/>
      <c r="D48" s="35"/>
      <c r="E48" s="2003" t="s">
        <v>459</v>
      </c>
      <c r="F48" s="2003"/>
      <c r="G48" s="2003"/>
      <c r="H48" s="2003"/>
      <c r="I48" s="1166">
        <f>(SUM(G50:G52)*0.85)</f>
        <v>103.30870044052864</v>
      </c>
    </row>
    <row r="49" spans="1:9">
      <c r="A49" s="2"/>
      <c r="B49" s="1174"/>
      <c r="C49" s="35"/>
      <c r="D49" s="1167" t="s">
        <v>447</v>
      </c>
      <c r="E49" s="1167" t="s">
        <v>448</v>
      </c>
      <c r="F49" s="1167" t="s">
        <v>449</v>
      </c>
      <c r="G49" s="1167" t="s">
        <v>450</v>
      </c>
      <c r="H49" s="35"/>
      <c r="I49" s="46"/>
    </row>
    <row r="50" spans="1:9">
      <c r="A50" s="2"/>
      <c r="B50" s="1191" t="s">
        <v>460</v>
      </c>
      <c r="C50" s="6"/>
      <c r="D50" s="1168" t="s">
        <v>408</v>
      </c>
      <c r="E50" s="1169">
        <f>+'[26]Core Rates 2011'!BE145</f>
        <v>36.5</v>
      </c>
      <c r="F50" s="1170">
        <v>2</v>
      </c>
      <c r="G50" s="1171">
        <f>+F50*E50</f>
        <v>73</v>
      </c>
      <c r="H50" s="35"/>
      <c r="I50" s="47"/>
    </row>
    <row r="51" spans="1:9">
      <c r="A51" s="2"/>
      <c r="B51" s="1191" t="str">
        <f>+'[26]Core Rates'!A340</f>
        <v>Tree Planting</v>
      </c>
      <c r="C51" s="6"/>
      <c r="D51" s="1168" t="s">
        <v>408</v>
      </c>
      <c r="E51" s="1169">
        <f>+'[26]Core Rates'!C340</f>
        <v>90</v>
      </c>
      <c r="F51" s="1170">
        <f>1*0.367107195301028</f>
        <v>0.36710719530102798</v>
      </c>
      <c r="G51" s="1171">
        <f>+F51*E51</f>
        <v>33.039647577092516</v>
      </c>
      <c r="H51" s="35"/>
      <c r="I51" s="47"/>
    </row>
    <row r="52" spans="1:9">
      <c r="A52" s="2"/>
      <c r="B52" s="1191" t="str">
        <f>+'[26]Core Rates'!A216</f>
        <v>Mowing</v>
      </c>
      <c r="C52" s="6"/>
      <c r="D52" s="1189" t="s">
        <v>408</v>
      </c>
      <c r="E52" s="1189">
        <f>+'[26]Core Rates'!C216</f>
        <v>15.5</v>
      </c>
      <c r="F52" s="1170">
        <v>1</v>
      </c>
      <c r="G52" s="1171">
        <f>+F52*E52</f>
        <v>15.5</v>
      </c>
      <c r="H52" s="35"/>
      <c r="I52" s="47"/>
    </row>
    <row r="53" spans="1:9">
      <c r="A53" s="2"/>
      <c r="B53" s="40"/>
      <c r="C53" s="6"/>
      <c r="D53" s="63"/>
      <c r="E53" s="150"/>
      <c r="F53" s="150"/>
      <c r="G53" s="1169"/>
      <c r="H53" s="35"/>
      <c r="I53" s="47"/>
    </row>
    <row r="54" spans="1:9">
      <c r="A54" s="2"/>
      <c r="B54" s="37" t="s">
        <v>43</v>
      </c>
      <c r="C54" s="35"/>
      <c r="D54" s="35"/>
      <c r="E54" s="60"/>
      <c r="F54" s="60"/>
      <c r="G54" s="60"/>
      <c r="H54" s="35"/>
      <c r="I54" s="46"/>
    </row>
    <row r="55" spans="1:9" ht="12.75" customHeight="1">
      <c r="A55" s="2"/>
      <c r="B55" s="2004" t="s">
        <v>1379</v>
      </c>
      <c r="C55" s="2005"/>
      <c r="D55" s="2005"/>
      <c r="E55" s="2005"/>
      <c r="F55" s="2005"/>
      <c r="G55" s="2005"/>
      <c r="H55" s="2005"/>
      <c r="I55" s="2006"/>
    </row>
    <row r="56" spans="1:9">
      <c r="A56" s="2"/>
      <c r="B56" s="2004"/>
      <c r="C56" s="2005"/>
      <c r="D56" s="2005"/>
      <c r="E56" s="2005"/>
      <c r="F56" s="2005"/>
      <c r="G56" s="2005"/>
      <c r="H56" s="2005"/>
      <c r="I56" s="2006"/>
    </row>
    <row r="57" spans="1:9">
      <c r="A57" s="2"/>
      <c r="B57" s="1177"/>
      <c r="C57" s="1178"/>
      <c r="D57" s="1178"/>
      <c r="E57" s="1178"/>
      <c r="F57" s="1178"/>
      <c r="G57" s="1178"/>
      <c r="H57" s="1178"/>
      <c r="I57" s="1179"/>
    </row>
    <row r="58" spans="1:9">
      <c r="A58" s="2"/>
      <c r="B58" s="1177"/>
      <c r="C58" s="1178"/>
      <c r="D58" s="1178"/>
      <c r="E58" s="1178"/>
      <c r="F58" s="1178"/>
      <c r="G58" s="1178"/>
      <c r="H58" s="1178"/>
      <c r="I58" s="1179"/>
    </row>
    <row r="59" spans="1:9">
      <c r="A59" s="2"/>
      <c r="B59" s="42" t="s">
        <v>3</v>
      </c>
      <c r="C59" s="35"/>
      <c r="D59" s="35"/>
      <c r="E59" s="35"/>
      <c r="F59" s="39"/>
      <c r="G59" s="35"/>
      <c r="H59" s="35"/>
      <c r="I59" s="1182">
        <f>E61</f>
        <v>18.230947136563877</v>
      </c>
    </row>
    <row r="60" spans="1:9">
      <c r="A60" s="2"/>
      <c r="B60" s="2007" t="s">
        <v>465</v>
      </c>
      <c r="C60" s="2008"/>
      <c r="D60" s="35"/>
      <c r="E60" s="35"/>
      <c r="F60" s="35"/>
      <c r="G60" s="35"/>
      <c r="H60" s="35"/>
      <c r="I60" s="48"/>
    </row>
    <row r="61" spans="1:9">
      <c r="A61" s="2"/>
      <c r="B61" s="37" t="s">
        <v>466</v>
      </c>
      <c r="C61" s="39"/>
      <c r="D61" s="39"/>
      <c r="E61" s="153">
        <f>SUM(G50:G52)*0.15</f>
        <v>18.230947136563877</v>
      </c>
      <c r="F61" s="35"/>
      <c r="G61" s="35"/>
      <c r="H61" s="35"/>
      <c r="I61" s="46"/>
    </row>
    <row r="62" spans="1:9">
      <c r="A62" s="2"/>
      <c r="B62" s="37"/>
      <c r="C62" s="39"/>
      <c r="D62" s="1180"/>
      <c r="E62" s="153"/>
      <c r="F62" s="35"/>
      <c r="G62" s="35"/>
      <c r="H62" s="35"/>
      <c r="I62" s="46"/>
    </row>
    <row r="63" spans="1:9">
      <c r="A63" s="2"/>
      <c r="B63" s="37"/>
      <c r="C63" s="39"/>
      <c r="D63" s="1181"/>
      <c r="E63" s="153"/>
      <c r="F63" s="35"/>
      <c r="G63" s="35"/>
      <c r="H63" s="35"/>
      <c r="I63" s="46"/>
    </row>
    <row r="64" spans="1:9">
      <c r="A64" s="2"/>
      <c r="B64" s="33"/>
      <c r="C64" s="35"/>
      <c r="D64" s="35"/>
      <c r="E64" s="35"/>
      <c r="F64" s="35"/>
      <c r="G64" s="35"/>
      <c r="H64" s="35"/>
      <c r="I64" s="36"/>
    </row>
    <row r="65" spans="1:9">
      <c r="A65" s="2"/>
      <c r="B65" s="42" t="s">
        <v>4</v>
      </c>
      <c r="C65" s="35"/>
      <c r="D65" s="35"/>
      <c r="E65" s="35"/>
      <c r="F65" s="35"/>
      <c r="G65" s="35"/>
      <c r="H65" s="35"/>
      <c r="I65" s="1182">
        <f>0.03*(I40+I48+I59)</f>
        <v>7.3961894273127751</v>
      </c>
    </row>
    <row r="66" spans="1:9">
      <c r="A66" s="2"/>
      <c r="B66" s="33" t="s">
        <v>467</v>
      </c>
      <c r="C66" s="35"/>
      <c r="D66" s="35"/>
      <c r="E66" s="35"/>
      <c r="F66" s="35"/>
      <c r="G66" s="35"/>
      <c r="H66" s="35"/>
      <c r="I66" s="36"/>
    </row>
    <row r="67" spans="1:9">
      <c r="A67" s="2"/>
      <c r="B67" s="37"/>
      <c r="C67" s="35"/>
      <c r="D67" s="35"/>
      <c r="E67" s="35"/>
      <c r="F67" s="35"/>
      <c r="G67" s="35"/>
      <c r="H67" s="35"/>
      <c r="I67" s="36"/>
    </row>
    <row r="68" spans="1:9">
      <c r="A68" s="2"/>
      <c r="B68" s="42" t="s">
        <v>468</v>
      </c>
      <c r="C68" s="35"/>
      <c r="D68" s="35"/>
      <c r="E68" s="35"/>
      <c r="F68" s="35"/>
      <c r="G68" s="35"/>
      <c r="H68" s="35"/>
      <c r="I68" s="1182">
        <f>+'[26]Core Rates'!C216</f>
        <v>15.5</v>
      </c>
    </row>
    <row r="69" spans="1:9">
      <c r="A69" s="2"/>
      <c r="B69" s="33" t="s">
        <v>469</v>
      </c>
      <c r="C69" s="35"/>
      <c r="D69" s="35"/>
      <c r="E69" s="35"/>
      <c r="F69" s="35"/>
      <c r="G69" s="35"/>
      <c r="H69" s="35"/>
      <c r="I69" s="36"/>
    </row>
    <row r="70" spans="1:9">
      <c r="A70" s="2"/>
      <c r="B70" s="37"/>
      <c r="C70" s="35"/>
      <c r="D70" s="35"/>
      <c r="E70" s="35"/>
      <c r="F70" s="35"/>
      <c r="G70" s="35"/>
      <c r="H70" s="35"/>
      <c r="I70" s="36"/>
    </row>
    <row r="71" spans="1:9">
      <c r="A71" s="2"/>
      <c r="B71" s="42" t="s">
        <v>7</v>
      </c>
      <c r="C71" s="35"/>
      <c r="D71" s="35"/>
      <c r="E71" s="35"/>
      <c r="F71" s="35"/>
      <c r="G71" s="35"/>
      <c r="H71" s="35"/>
      <c r="I71" s="1166">
        <v>0</v>
      </c>
    </row>
    <row r="72" spans="1:9">
      <c r="A72" s="2"/>
      <c r="B72" s="33" t="s">
        <v>104</v>
      </c>
      <c r="C72" s="35"/>
      <c r="D72" s="35"/>
      <c r="E72" s="35"/>
      <c r="F72" s="35"/>
      <c r="G72" s="35"/>
      <c r="H72" s="35"/>
      <c r="I72" s="36"/>
    </row>
    <row r="73" spans="1:9">
      <c r="A73" s="2"/>
      <c r="B73" s="37"/>
      <c r="C73" s="35"/>
      <c r="D73" s="35"/>
      <c r="E73" s="35"/>
      <c r="F73" s="35"/>
      <c r="G73" s="35"/>
      <c r="H73" s="35"/>
      <c r="I73" s="36"/>
    </row>
    <row r="74" spans="1:9">
      <c r="A74" s="2"/>
      <c r="B74" s="42" t="s">
        <v>471</v>
      </c>
      <c r="C74" s="35"/>
      <c r="D74" s="35"/>
      <c r="E74" s="35"/>
      <c r="F74" s="39"/>
      <c r="G74" s="35"/>
      <c r="H74" s="35"/>
      <c r="I74" s="1166">
        <v>0</v>
      </c>
    </row>
    <row r="75" spans="1:9">
      <c r="A75" s="2"/>
      <c r="B75" s="33" t="s">
        <v>104</v>
      </c>
      <c r="C75" s="35"/>
      <c r="D75" s="35"/>
      <c r="E75" s="35"/>
      <c r="F75" s="35"/>
      <c r="G75" s="35"/>
      <c r="H75" s="35"/>
      <c r="I75" s="47"/>
    </row>
    <row r="76" spans="1:9">
      <c r="A76" s="2"/>
      <c r="B76" s="756"/>
      <c r="C76" s="35"/>
      <c r="D76" s="35"/>
      <c r="E76" s="35"/>
      <c r="F76" s="35"/>
      <c r="G76" s="35"/>
      <c r="H76" s="35"/>
      <c r="I76" s="47"/>
    </row>
    <row r="77" spans="1:9">
      <c r="A77" s="2"/>
      <c r="B77" s="37"/>
      <c r="C77" s="35"/>
      <c r="D77" s="35"/>
      <c r="E77" s="35"/>
      <c r="F77" s="35"/>
      <c r="G77" s="35"/>
      <c r="H77" s="35"/>
      <c r="I77" s="36"/>
    </row>
    <row r="78" spans="1:9">
      <c r="A78" s="2"/>
      <c r="B78" s="42" t="s">
        <v>5</v>
      </c>
      <c r="C78" s="35"/>
      <c r="D78" s="35"/>
      <c r="E78" s="35"/>
      <c r="F78" s="35"/>
      <c r="G78" s="35"/>
      <c r="H78" s="35"/>
      <c r="I78" s="1166">
        <v>0</v>
      </c>
    </row>
    <row r="79" spans="1:9">
      <c r="A79" s="2"/>
      <c r="B79" s="33" t="s">
        <v>104</v>
      </c>
      <c r="C79" s="35"/>
      <c r="D79" s="35"/>
      <c r="E79" s="35"/>
      <c r="F79" s="35"/>
      <c r="G79" s="35"/>
      <c r="H79" s="35"/>
      <c r="I79" s="47"/>
    </row>
    <row r="80" spans="1:9">
      <c r="A80" s="2"/>
      <c r="B80" s="37"/>
      <c r="C80" s="35"/>
      <c r="D80" s="35"/>
      <c r="E80" s="35"/>
      <c r="F80" s="35"/>
      <c r="G80" s="35"/>
      <c r="H80" s="35"/>
      <c r="I80" s="36"/>
    </row>
    <row r="81" spans="1:9">
      <c r="A81" s="2"/>
      <c r="B81" s="42" t="s">
        <v>20</v>
      </c>
      <c r="C81" s="35"/>
      <c r="D81" s="35"/>
      <c r="E81" s="35"/>
      <c r="F81" s="35"/>
      <c r="G81" s="35"/>
      <c r="H81" s="35"/>
      <c r="I81" s="1166">
        <v>0</v>
      </c>
    </row>
    <row r="82" spans="1:9">
      <c r="A82" s="2"/>
      <c r="B82" s="33" t="s">
        <v>104</v>
      </c>
      <c r="C82" s="35"/>
      <c r="D82" s="35"/>
      <c r="E82" s="35"/>
      <c r="F82" s="35"/>
      <c r="G82" s="35"/>
      <c r="H82" s="35"/>
      <c r="I82" s="36"/>
    </row>
    <row r="83" spans="1:9">
      <c r="A83" s="2"/>
      <c r="B83" s="40"/>
      <c r="C83" s="35"/>
      <c r="D83" s="35"/>
      <c r="E83" s="35"/>
      <c r="F83" s="35"/>
      <c r="G83" s="35"/>
      <c r="H83" s="35"/>
      <c r="I83" s="36"/>
    </row>
    <row r="84" spans="1:9">
      <c r="A84" s="2"/>
      <c r="B84" s="42" t="s">
        <v>473</v>
      </c>
      <c r="C84" s="35"/>
      <c r="D84" s="35"/>
      <c r="E84" s="35"/>
      <c r="F84" s="35"/>
      <c r="G84" s="35"/>
      <c r="H84" s="35"/>
      <c r="I84" s="1183">
        <f>+I40+I48+I59+I65+I71+I81</f>
        <v>253.9358370044053</v>
      </c>
    </row>
    <row r="85" spans="1:9" ht="15.75">
      <c r="A85" s="2"/>
      <c r="B85" s="33" t="s">
        <v>474</v>
      </c>
      <c r="C85" s="35"/>
      <c r="D85" s="35"/>
      <c r="E85" s="35"/>
      <c r="F85" s="35"/>
      <c r="G85" s="35"/>
      <c r="H85" s="35"/>
      <c r="I85" s="36"/>
    </row>
    <row r="86" spans="1:9">
      <c r="A86" s="2"/>
      <c r="B86" s="40"/>
      <c r="C86" s="35"/>
      <c r="D86" s="35"/>
      <c r="E86" s="35"/>
      <c r="F86" s="35"/>
      <c r="G86" s="35"/>
      <c r="H86" s="35"/>
      <c r="I86" s="36"/>
    </row>
    <row r="87" spans="1:9">
      <c r="A87" s="2"/>
      <c r="B87" s="43" t="s">
        <v>11</v>
      </c>
      <c r="C87" s="44"/>
      <c r="D87" s="44"/>
      <c r="E87" s="44"/>
      <c r="F87" s="44"/>
      <c r="G87" s="44"/>
      <c r="H87" s="44"/>
      <c r="I87" s="621">
        <f>SUM(I40:I81)</f>
        <v>269.4358370044053</v>
      </c>
    </row>
  </sheetData>
  <mergeCells count="6">
    <mergeCell ref="B60:C60"/>
    <mergeCell ref="B1:D1"/>
    <mergeCell ref="B29:I31"/>
    <mergeCell ref="B45:I46"/>
    <mergeCell ref="E48:H48"/>
    <mergeCell ref="B55:I56"/>
  </mergeCells>
  <pageMargins left="0.75" right="0.75" top="1" bottom="1" header="0.5" footer="0.5"/>
  <pageSetup scale="48" orientation="portrait" r:id="rId1"/>
  <headerFooter alignWithMargins="0"/>
</worksheet>
</file>

<file path=xl/worksheets/sheet115.xml><?xml version="1.0" encoding="utf-8"?>
<worksheet xmlns="http://schemas.openxmlformats.org/spreadsheetml/2006/main" xmlns:r="http://schemas.openxmlformats.org/officeDocument/2006/relationships">
  <sheetPr>
    <pageSetUpPr fitToPage="1"/>
  </sheetPr>
  <dimension ref="A1:L87"/>
  <sheetViews>
    <sheetView workbookViewId="0">
      <selection activeCell="A2" sqref="A2:XFD27"/>
    </sheetView>
  </sheetViews>
  <sheetFormatPr defaultRowHeight="12.75"/>
  <cols>
    <col min="1" max="1" width="1.85546875" customWidth="1"/>
    <col min="3" max="3" width="24.140625" customWidth="1"/>
    <col min="4" max="4" width="29" bestFit="1" customWidth="1"/>
    <col min="5" max="5" width="57.28515625"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381</v>
      </c>
      <c r="C6" s="7" t="str">
        <f>+E12</f>
        <v>EQIP</v>
      </c>
      <c r="D6" s="53" t="s">
        <v>1375</v>
      </c>
      <c r="E6" s="110" t="s">
        <v>1380</v>
      </c>
      <c r="F6" s="7" t="s">
        <v>394</v>
      </c>
      <c r="G6" s="85">
        <f>+I25</f>
        <v>132.51437775330396</v>
      </c>
    </row>
    <row r="7" spans="1:12" ht="25.5">
      <c r="A7" s="2"/>
      <c r="B7" s="54">
        <f>+B6</f>
        <v>381</v>
      </c>
      <c r="C7" s="7" t="str">
        <f>+C6</f>
        <v>EQIP</v>
      </c>
      <c r="D7" s="53" t="s">
        <v>1375</v>
      </c>
      <c r="E7" s="110" t="str">
        <f>CONCATENATE(E6, "-HU")</f>
        <v>Silvopasture Establishment  - Deciduous Trees Only - No fertilizer or vegetative cover-HU</v>
      </c>
      <c r="F7" s="7" t="str">
        <f>+F6</f>
        <v>Acre</v>
      </c>
      <c r="G7" s="85">
        <f>+J25</f>
        <v>159.01725330396476</v>
      </c>
    </row>
    <row r="8" spans="1:12" ht="25.5">
      <c r="A8" s="2"/>
      <c r="B8" s="54">
        <v>381</v>
      </c>
      <c r="C8" s="7" t="str">
        <f>+G12</f>
        <v>WHIP</v>
      </c>
      <c r="D8" s="53" t="s">
        <v>1375</v>
      </c>
      <c r="E8" s="110" t="s">
        <v>1380</v>
      </c>
      <c r="F8" s="7" t="s">
        <v>394</v>
      </c>
      <c r="G8" s="85">
        <f>+K25</f>
        <v>0</v>
      </c>
    </row>
    <row r="9" spans="1:12" ht="25.5">
      <c r="A9" s="2"/>
      <c r="B9" s="8">
        <f>+B8</f>
        <v>381</v>
      </c>
      <c r="C9" s="10" t="str">
        <f>+C8</f>
        <v>WHIP</v>
      </c>
      <c r="D9" s="9" t="s">
        <v>1375</v>
      </c>
      <c r="E9" s="111" t="str">
        <f>CONCATENATE(E6, "-HU")</f>
        <v>Silvopasture Establishment  - Deciduous Trees Only - No fertilizer or vegetative cover-HU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50</v>
      </c>
      <c r="E16" s="160">
        <f>+'[10]Payment Factors'!D33</f>
        <v>0.75</v>
      </c>
      <c r="F16" s="160">
        <f>+'[10]Payment Factors'!E33</f>
        <v>0.9</v>
      </c>
      <c r="G16" s="160">
        <f>+'[10]Payment Factors'!F33</f>
        <v>0</v>
      </c>
      <c r="H16" s="160">
        <f>+'[10]Payment Factors'!G33</f>
        <v>0</v>
      </c>
      <c r="I16" s="1154">
        <f t="shared" ref="I16:L24" si="0">+$D16*E16</f>
        <v>37.5</v>
      </c>
      <c r="J16" s="1154">
        <f t="shared" si="0"/>
        <v>45</v>
      </c>
      <c r="K16" s="1154">
        <f t="shared" si="0"/>
        <v>0</v>
      </c>
      <c r="L16" s="1155">
        <f t="shared" si="0"/>
        <v>0</v>
      </c>
    </row>
    <row r="17" spans="1:12">
      <c r="A17" s="2"/>
      <c r="B17" s="15" t="s">
        <v>2</v>
      </c>
      <c r="C17" s="16"/>
      <c r="D17" s="24">
        <f>+I48</f>
        <v>103.30870044052864</v>
      </c>
      <c r="E17" s="160">
        <f t="shared" ref="E17:H19" si="1">+E16</f>
        <v>0.75</v>
      </c>
      <c r="F17" s="160">
        <f t="shared" si="1"/>
        <v>0.9</v>
      </c>
      <c r="G17" s="160">
        <f t="shared" si="1"/>
        <v>0</v>
      </c>
      <c r="H17" s="160">
        <f t="shared" si="1"/>
        <v>0</v>
      </c>
      <c r="I17" s="1154">
        <f t="shared" si="0"/>
        <v>77.481525330396479</v>
      </c>
      <c r="J17" s="1154">
        <f t="shared" si="0"/>
        <v>92.977830396475781</v>
      </c>
      <c r="K17" s="1154">
        <f t="shared" si="0"/>
        <v>0</v>
      </c>
      <c r="L17" s="1155">
        <f t="shared" si="0"/>
        <v>0</v>
      </c>
    </row>
    <row r="18" spans="1:12">
      <c r="A18" s="2"/>
      <c r="B18" s="15" t="s">
        <v>3</v>
      </c>
      <c r="C18" s="16"/>
      <c r="D18" s="24">
        <f>+I59</f>
        <v>18.230947136563877</v>
      </c>
      <c r="E18" s="160">
        <f t="shared" si="1"/>
        <v>0.75</v>
      </c>
      <c r="F18" s="160">
        <f t="shared" si="1"/>
        <v>0.9</v>
      </c>
      <c r="G18" s="160">
        <f t="shared" si="1"/>
        <v>0</v>
      </c>
      <c r="H18" s="160">
        <f t="shared" si="1"/>
        <v>0</v>
      </c>
      <c r="I18" s="1154">
        <f t="shared" si="0"/>
        <v>13.673210352422908</v>
      </c>
      <c r="J18" s="1154">
        <f t="shared" si="0"/>
        <v>16.407852422907489</v>
      </c>
      <c r="K18" s="1154">
        <f t="shared" si="0"/>
        <v>0</v>
      </c>
      <c r="L18" s="1155">
        <f t="shared" si="0"/>
        <v>0</v>
      </c>
    </row>
    <row r="19" spans="1:12">
      <c r="A19" s="2"/>
      <c r="B19" s="15" t="s">
        <v>4</v>
      </c>
      <c r="C19" s="16"/>
      <c r="D19" s="24">
        <f>+I65</f>
        <v>5.146189427312776</v>
      </c>
      <c r="E19" s="160">
        <f t="shared" si="1"/>
        <v>0.75</v>
      </c>
      <c r="F19" s="160">
        <f t="shared" si="1"/>
        <v>0.9</v>
      </c>
      <c r="G19" s="160">
        <f t="shared" si="1"/>
        <v>0</v>
      </c>
      <c r="H19" s="160">
        <f t="shared" si="1"/>
        <v>0</v>
      </c>
      <c r="I19" s="1154">
        <f t="shared" si="0"/>
        <v>3.8596420704845817</v>
      </c>
      <c r="J19" s="1154">
        <f t="shared" si="0"/>
        <v>4.6315704845814984</v>
      </c>
      <c r="K19" s="1154">
        <f t="shared" si="0"/>
        <v>0</v>
      </c>
      <c r="L19" s="1155">
        <f t="shared" si="0"/>
        <v>0</v>
      </c>
    </row>
    <row r="20" spans="1:12">
      <c r="A20" s="2"/>
      <c r="B20" s="15" t="s">
        <v>26</v>
      </c>
      <c r="C20" s="16"/>
      <c r="D20" s="24">
        <f>+I68</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+I71</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+I74</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+I78</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+I81</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192.1858370044053</v>
      </c>
      <c r="E25" s="1158"/>
      <c r="F25" s="1158"/>
      <c r="G25" s="28"/>
      <c r="H25" s="28"/>
      <c r="I25" s="1159">
        <f>SUM(I16:I24)</f>
        <v>132.51437775330396</v>
      </c>
      <c r="J25" s="1159">
        <f>SUM(J16:J24)</f>
        <v>159.01725330396476</v>
      </c>
      <c r="K25" s="1159">
        <f>SUM(K16:K24)</f>
        <v>0</v>
      </c>
      <c r="L25" s="1160">
        <f>SUM(L16:L24)</f>
        <v>0</v>
      </c>
    </row>
    <row r="27" spans="1:12" ht="15.75">
      <c r="A27" s="2"/>
      <c r="B27" s="50" t="s">
        <v>28</v>
      </c>
      <c r="C27" s="2"/>
      <c r="D27" s="2"/>
      <c r="E27" s="2"/>
      <c r="F27" s="2"/>
      <c r="G27" s="2"/>
      <c r="H27" s="2"/>
      <c r="I27" s="5"/>
    </row>
    <row r="28" spans="1:12">
      <c r="A28" s="2"/>
      <c r="B28" s="29" t="s">
        <v>1377</v>
      </c>
      <c r="C28" s="30"/>
      <c r="D28" s="30"/>
      <c r="E28" s="31"/>
      <c r="F28" s="31"/>
      <c r="G28" s="31"/>
      <c r="H28" s="31"/>
      <c r="I28" s="32"/>
    </row>
    <row r="29" spans="1:12" ht="12.75" customHeight="1">
      <c r="A29" s="2"/>
      <c r="B29" s="2023" t="s">
        <v>1378</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50</v>
      </c>
    </row>
    <row r="41" spans="1:9">
      <c r="A41" s="2"/>
      <c r="B41" s="1174"/>
      <c r="C41" s="35"/>
      <c r="D41" s="1167" t="s">
        <v>447</v>
      </c>
      <c r="E41" s="1167" t="s">
        <v>448</v>
      </c>
      <c r="F41" s="1167" t="s">
        <v>449</v>
      </c>
      <c r="G41" s="1167" t="s">
        <v>450</v>
      </c>
      <c r="H41" s="35"/>
      <c r="I41" s="46"/>
    </row>
    <row r="42" spans="1:9">
      <c r="A42" s="2"/>
      <c r="B42" s="37" t="str">
        <f>+'[26]Core Rates'!A342</f>
        <v>Tree seedlings</v>
      </c>
      <c r="C42" s="35"/>
      <c r="D42" s="1169" t="str">
        <f>+'[26]Core Rates'!B342</f>
        <v>Ea</v>
      </c>
      <c r="E42" s="1169">
        <f>+'[26]Core Rates'!C342</f>
        <v>0.5</v>
      </c>
      <c r="F42" s="1170">
        <v>100</v>
      </c>
      <c r="G42" s="1171">
        <f>+F42*E42</f>
        <v>50</v>
      </c>
      <c r="H42" s="35"/>
      <c r="I42" s="36"/>
    </row>
    <row r="43" spans="1:9">
      <c r="A43" s="2"/>
      <c r="B43" s="1172"/>
      <c r="C43" s="6"/>
      <c r="D43" s="1173"/>
      <c r="E43" s="35"/>
      <c r="F43" s="35"/>
      <c r="G43" s="35"/>
      <c r="H43" s="35"/>
      <c r="I43" s="36"/>
    </row>
    <row r="44" spans="1:9">
      <c r="A44" s="2"/>
      <c r="B44" s="37" t="s">
        <v>43</v>
      </c>
      <c r="C44" s="35"/>
      <c r="D44" s="35"/>
      <c r="E44" s="60"/>
      <c r="F44" s="60"/>
      <c r="G44" s="60"/>
      <c r="H44" s="35"/>
      <c r="I44" s="46"/>
    </row>
    <row r="45" spans="1:9" ht="12.75" customHeight="1">
      <c r="A45" s="2"/>
      <c r="B45" s="2004" t="s">
        <v>1381</v>
      </c>
      <c r="C45" s="2005"/>
      <c r="D45" s="2005"/>
      <c r="E45" s="2005"/>
      <c r="F45" s="2005"/>
      <c r="G45" s="2005"/>
      <c r="H45" s="2005"/>
      <c r="I45" s="2006"/>
    </row>
    <row r="46" spans="1:9">
      <c r="A46" s="2"/>
      <c r="B46" s="2004"/>
      <c r="C46" s="2005"/>
      <c r="D46" s="2005"/>
      <c r="E46" s="2005"/>
      <c r="F46" s="2005"/>
      <c r="G46" s="2005"/>
      <c r="H46" s="2005"/>
      <c r="I46" s="2006"/>
    </row>
    <row r="47" spans="1:9">
      <c r="A47" s="2"/>
      <c r="B47" s="1177"/>
      <c r="C47" s="1178"/>
      <c r="D47" s="1178"/>
      <c r="E47" s="1178"/>
      <c r="F47" s="1178"/>
      <c r="G47" s="1178"/>
      <c r="H47" s="1178"/>
      <c r="I47" s="1179"/>
    </row>
    <row r="48" spans="1:9">
      <c r="A48" s="2"/>
      <c r="B48" s="42" t="s">
        <v>2</v>
      </c>
      <c r="C48" s="35"/>
      <c r="D48" s="35"/>
      <c r="E48" s="2003" t="s">
        <v>459</v>
      </c>
      <c r="F48" s="2003"/>
      <c r="G48" s="2003"/>
      <c r="H48" s="2003"/>
      <c r="I48" s="1166">
        <f>(SUM(G50:G52)*0.85)</f>
        <v>103.30870044052864</v>
      </c>
    </row>
    <row r="49" spans="1:9">
      <c r="A49" s="2"/>
      <c r="B49" s="1174"/>
      <c r="C49" s="35"/>
      <c r="D49" s="1167" t="s">
        <v>447</v>
      </c>
      <c r="E49" s="1167" t="s">
        <v>448</v>
      </c>
      <c r="F49" s="1167" t="s">
        <v>449</v>
      </c>
      <c r="G49" s="1167" t="s">
        <v>450</v>
      </c>
      <c r="H49" s="35"/>
      <c r="I49" s="46"/>
    </row>
    <row r="50" spans="1:9">
      <c r="A50" s="2"/>
      <c r="B50" s="1191" t="s">
        <v>460</v>
      </c>
      <c r="C50" s="6"/>
      <c r="D50" s="1168" t="s">
        <v>408</v>
      </c>
      <c r="E50" s="1169">
        <f>+'[26]Core Rates 2011'!BE145</f>
        <v>36.5</v>
      </c>
      <c r="F50" s="1170">
        <v>2</v>
      </c>
      <c r="G50" s="1171">
        <f>+F50*E50</f>
        <v>73</v>
      </c>
      <c r="H50" s="35"/>
      <c r="I50" s="47"/>
    </row>
    <row r="51" spans="1:9">
      <c r="A51" s="2"/>
      <c r="B51" s="1191" t="str">
        <f>+'[26]Core Rates'!A340</f>
        <v>Tree Planting</v>
      </c>
      <c r="C51" s="6"/>
      <c r="D51" s="1168" t="s">
        <v>408</v>
      </c>
      <c r="E51" s="1169">
        <f>+'[26]Core Rates'!C340</f>
        <v>90</v>
      </c>
      <c r="F51" s="1170">
        <f>1*0.367107195301028</f>
        <v>0.36710719530102798</v>
      </c>
      <c r="G51" s="1171">
        <f>+F51*E51</f>
        <v>33.039647577092516</v>
      </c>
      <c r="H51" s="35"/>
      <c r="I51" s="47"/>
    </row>
    <row r="52" spans="1:9">
      <c r="A52" s="2"/>
      <c r="B52" s="1191" t="str">
        <f>+'[26]Core Rates'!A216</f>
        <v>Mowing</v>
      </c>
      <c r="C52" s="6"/>
      <c r="D52" s="1189" t="s">
        <v>408</v>
      </c>
      <c r="E52" s="1189">
        <f>+'[26]Core Rates'!C216</f>
        <v>15.5</v>
      </c>
      <c r="F52" s="1170">
        <v>1</v>
      </c>
      <c r="G52" s="1171">
        <f>+F52*E52</f>
        <v>15.5</v>
      </c>
      <c r="H52" s="35"/>
      <c r="I52" s="47"/>
    </row>
    <row r="53" spans="1:9">
      <c r="A53" s="2"/>
      <c r="B53" s="40"/>
      <c r="C53" s="6"/>
      <c r="D53" s="63"/>
      <c r="E53" s="150"/>
      <c r="F53" s="150"/>
      <c r="G53" s="1169"/>
      <c r="H53" s="35"/>
      <c r="I53" s="47"/>
    </row>
    <row r="54" spans="1:9">
      <c r="A54" s="2"/>
      <c r="B54" s="37" t="s">
        <v>43</v>
      </c>
      <c r="C54" s="35"/>
      <c r="D54" s="35"/>
      <c r="E54" s="60"/>
      <c r="F54" s="60"/>
      <c r="G54" s="60"/>
      <c r="H54" s="35"/>
      <c r="I54" s="46"/>
    </row>
    <row r="55" spans="1:9" ht="12.75" customHeight="1">
      <c r="A55" s="2"/>
      <c r="B55" s="2004" t="s">
        <v>1381</v>
      </c>
      <c r="C55" s="2005"/>
      <c r="D55" s="2005"/>
      <c r="E55" s="2005"/>
      <c r="F55" s="2005"/>
      <c r="G55" s="2005"/>
      <c r="H55" s="2005"/>
      <c r="I55" s="2006"/>
    </row>
    <row r="56" spans="1:9">
      <c r="A56" s="2"/>
      <c r="B56" s="2004"/>
      <c r="C56" s="2005"/>
      <c r="D56" s="2005"/>
      <c r="E56" s="2005"/>
      <c r="F56" s="2005"/>
      <c r="G56" s="2005"/>
      <c r="H56" s="2005"/>
      <c r="I56" s="2006"/>
    </row>
    <row r="57" spans="1:9">
      <c r="A57" s="2"/>
      <c r="B57" s="1177"/>
      <c r="C57" s="1178"/>
      <c r="D57" s="1178"/>
      <c r="E57" s="1178"/>
      <c r="F57" s="1178"/>
      <c r="G57" s="1178"/>
      <c r="H57" s="1178"/>
      <c r="I57" s="1179"/>
    </row>
    <row r="58" spans="1:9">
      <c r="A58" s="2"/>
      <c r="B58" s="1177"/>
      <c r="C58" s="1178"/>
      <c r="D58" s="1178"/>
      <c r="E58" s="1178"/>
      <c r="F58" s="1178"/>
      <c r="G58" s="1178"/>
      <c r="H58" s="1178"/>
      <c r="I58" s="1179"/>
    </row>
    <row r="59" spans="1:9">
      <c r="A59" s="2"/>
      <c r="B59" s="42" t="s">
        <v>3</v>
      </c>
      <c r="C59" s="35"/>
      <c r="D59" s="35"/>
      <c r="E59" s="35"/>
      <c r="F59" s="39"/>
      <c r="G59" s="35"/>
      <c r="H59" s="35"/>
      <c r="I59" s="1182">
        <f>E61</f>
        <v>18.230947136563877</v>
      </c>
    </row>
    <row r="60" spans="1:9">
      <c r="A60" s="2"/>
      <c r="B60" s="2007" t="s">
        <v>465</v>
      </c>
      <c r="C60" s="2008"/>
      <c r="D60" s="35"/>
      <c r="E60" s="35"/>
      <c r="F60" s="35"/>
      <c r="G60" s="35"/>
      <c r="H60" s="35"/>
      <c r="I60" s="48"/>
    </row>
    <row r="61" spans="1:9">
      <c r="A61" s="2"/>
      <c r="B61" s="37" t="s">
        <v>466</v>
      </c>
      <c r="C61" s="39"/>
      <c r="D61" s="39"/>
      <c r="E61" s="153">
        <f>SUM(G50:G52)*0.15</f>
        <v>18.230947136563877</v>
      </c>
      <c r="F61" s="35"/>
      <c r="G61" s="35"/>
      <c r="H61" s="35"/>
      <c r="I61" s="46"/>
    </row>
    <row r="62" spans="1:9">
      <c r="A62" s="2"/>
      <c r="B62" s="37"/>
      <c r="C62" s="39"/>
      <c r="D62" s="1180"/>
      <c r="E62" s="153"/>
      <c r="F62" s="35"/>
      <c r="G62" s="35"/>
      <c r="H62" s="35"/>
      <c r="I62" s="46"/>
    </row>
    <row r="63" spans="1:9">
      <c r="A63" s="2"/>
      <c r="B63" s="37"/>
      <c r="C63" s="39"/>
      <c r="D63" s="1181"/>
      <c r="E63" s="153"/>
      <c r="F63" s="35"/>
      <c r="G63" s="35"/>
      <c r="H63" s="35"/>
      <c r="I63" s="46"/>
    </row>
    <row r="64" spans="1:9">
      <c r="A64" s="2"/>
      <c r="B64" s="33"/>
      <c r="C64" s="35"/>
      <c r="D64" s="35"/>
      <c r="E64" s="35"/>
      <c r="F64" s="35"/>
      <c r="G64" s="35"/>
      <c r="H64" s="35"/>
      <c r="I64" s="36"/>
    </row>
    <row r="65" spans="1:9">
      <c r="A65" s="2"/>
      <c r="B65" s="42" t="s">
        <v>4</v>
      </c>
      <c r="C65" s="35"/>
      <c r="D65" s="35"/>
      <c r="E65" s="35"/>
      <c r="F65" s="35"/>
      <c r="G65" s="35"/>
      <c r="H65" s="35"/>
      <c r="I65" s="1182">
        <f>0.03*(I40+I48+I59)</f>
        <v>5.146189427312776</v>
      </c>
    </row>
    <row r="66" spans="1:9">
      <c r="A66" s="2"/>
      <c r="B66" s="33" t="s">
        <v>467</v>
      </c>
      <c r="C66" s="35"/>
      <c r="D66" s="35"/>
      <c r="E66" s="35"/>
      <c r="F66" s="35"/>
      <c r="G66" s="35"/>
      <c r="H66" s="35"/>
      <c r="I66" s="36"/>
    </row>
    <row r="67" spans="1:9">
      <c r="A67" s="2"/>
      <c r="B67" s="37"/>
      <c r="C67" s="35"/>
      <c r="D67" s="35"/>
      <c r="E67" s="35"/>
      <c r="F67" s="35"/>
      <c r="G67" s="35"/>
      <c r="H67" s="35"/>
      <c r="I67" s="36"/>
    </row>
    <row r="68" spans="1:9">
      <c r="A68" s="2"/>
      <c r="B68" s="42" t="s">
        <v>468</v>
      </c>
      <c r="C68" s="35"/>
      <c r="D68" s="35"/>
      <c r="E68" s="35"/>
      <c r="F68" s="35"/>
      <c r="G68" s="35"/>
      <c r="H68" s="35"/>
      <c r="I68" s="1182">
        <f>+'[26]Core Rates'!C216</f>
        <v>15.5</v>
      </c>
    </row>
    <row r="69" spans="1:9">
      <c r="A69" s="2"/>
      <c r="B69" s="33" t="s">
        <v>469</v>
      </c>
      <c r="C69" s="35"/>
      <c r="D69" s="35"/>
      <c r="E69" s="35"/>
      <c r="F69" s="35"/>
      <c r="G69" s="35"/>
      <c r="H69" s="35"/>
      <c r="I69" s="36"/>
    </row>
    <row r="70" spans="1:9">
      <c r="A70" s="2"/>
      <c r="B70" s="37"/>
      <c r="C70" s="35"/>
      <c r="D70" s="35"/>
      <c r="E70" s="35"/>
      <c r="F70" s="35"/>
      <c r="G70" s="35"/>
      <c r="H70" s="35"/>
      <c r="I70" s="36"/>
    </row>
    <row r="71" spans="1:9">
      <c r="A71" s="2"/>
      <c r="B71" s="42" t="s">
        <v>7</v>
      </c>
      <c r="C71" s="35"/>
      <c r="D71" s="35"/>
      <c r="E71" s="35"/>
      <c r="F71" s="35"/>
      <c r="G71" s="35"/>
      <c r="H71" s="35"/>
      <c r="I71" s="1166">
        <v>0</v>
      </c>
    </row>
    <row r="72" spans="1:9">
      <c r="A72" s="2"/>
      <c r="B72" s="33" t="s">
        <v>104</v>
      </c>
      <c r="C72" s="35"/>
      <c r="D72" s="35"/>
      <c r="E72" s="35"/>
      <c r="F72" s="35"/>
      <c r="G72" s="35"/>
      <c r="H72" s="35"/>
      <c r="I72" s="36"/>
    </row>
    <row r="73" spans="1:9">
      <c r="A73" s="2"/>
      <c r="B73" s="37"/>
      <c r="C73" s="35"/>
      <c r="D73" s="35"/>
      <c r="E73" s="35"/>
      <c r="F73" s="35"/>
      <c r="G73" s="35"/>
      <c r="H73" s="35"/>
      <c r="I73" s="36"/>
    </row>
    <row r="74" spans="1:9">
      <c r="A74" s="2"/>
      <c r="B74" s="42" t="s">
        <v>471</v>
      </c>
      <c r="C74" s="35"/>
      <c r="D74" s="35"/>
      <c r="E74" s="35"/>
      <c r="F74" s="39"/>
      <c r="G74" s="35"/>
      <c r="H74" s="35"/>
      <c r="I74" s="1166">
        <v>0</v>
      </c>
    </row>
    <row r="75" spans="1:9">
      <c r="A75" s="2"/>
      <c r="B75" s="33" t="s">
        <v>104</v>
      </c>
      <c r="C75" s="35"/>
      <c r="D75" s="35"/>
      <c r="E75" s="35"/>
      <c r="F75" s="35"/>
      <c r="G75" s="35"/>
      <c r="H75" s="35"/>
      <c r="I75" s="47"/>
    </row>
    <row r="76" spans="1:9">
      <c r="A76" s="2"/>
      <c r="B76" s="756"/>
      <c r="C76" s="35"/>
      <c r="D76" s="35"/>
      <c r="E76" s="35"/>
      <c r="F76" s="35"/>
      <c r="G76" s="35"/>
      <c r="H76" s="35"/>
      <c r="I76" s="47"/>
    </row>
    <row r="77" spans="1:9">
      <c r="A77" s="2"/>
      <c r="B77" s="37"/>
      <c r="C77" s="35"/>
      <c r="D77" s="35"/>
      <c r="E77" s="35"/>
      <c r="F77" s="35"/>
      <c r="G77" s="35"/>
      <c r="H77" s="35"/>
      <c r="I77" s="36"/>
    </row>
    <row r="78" spans="1:9">
      <c r="A78" s="2"/>
      <c r="B78" s="42" t="s">
        <v>5</v>
      </c>
      <c r="C78" s="35"/>
      <c r="D78" s="35"/>
      <c r="E78" s="35"/>
      <c r="F78" s="35"/>
      <c r="G78" s="35"/>
      <c r="H78" s="35"/>
      <c r="I78" s="1166">
        <v>0</v>
      </c>
    </row>
    <row r="79" spans="1:9">
      <c r="A79" s="2"/>
      <c r="B79" s="33" t="s">
        <v>104</v>
      </c>
      <c r="C79" s="35"/>
      <c r="D79" s="35"/>
      <c r="E79" s="35"/>
      <c r="F79" s="35"/>
      <c r="G79" s="35"/>
      <c r="H79" s="35"/>
      <c r="I79" s="47"/>
    </row>
    <row r="80" spans="1:9">
      <c r="A80" s="2"/>
      <c r="B80" s="37"/>
      <c r="C80" s="35"/>
      <c r="D80" s="35"/>
      <c r="E80" s="35"/>
      <c r="F80" s="35"/>
      <c r="G80" s="35"/>
      <c r="H80" s="35"/>
      <c r="I80" s="36"/>
    </row>
    <row r="81" spans="1:9">
      <c r="A81" s="2"/>
      <c r="B81" s="42" t="s">
        <v>20</v>
      </c>
      <c r="C81" s="35"/>
      <c r="D81" s="35"/>
      <c r="E81" s="35"/>
      <c r="F81" s="35"/>
      <c r="G81" s="35"/>
      <c r="H81" s="35"/>
      <c r="I81" s="1166">
        <v>0</v>
      </c>
    </row>
    <row r="82" spans="1:9">
      <c r="A82" s="2"/>
      <c r="B82" s="33" t="s">
        <v>104</v>
      </c>
      <c r="C82" s="35"/>
      <c r="D82" s="35"/>
      <c r="E82" s="35"/>
      <c r="F82" s="35"/>
      <c r="G82" s="35"/>
      <c r="H82" s="35"/>
      <c r="I82" s="36"/>
    </row>
    <row r="83" spans="1:9">
      <c r="A83" s="2"/>
      <c r="B83" s="40"/>
      <c r="C83" s="35"/>
      <c r="D83" s="35"/>
      <c r="E83" s="35"/>
      <c r="F83" s="35"/>
      <c r="G83" s="35"/>
      <c r="H83" s="35"/>
      <c r="I83" s="36"/>
    </row>
    <row r="84" spans="1:9">
      <c r="A84" s="2"/>
      <c r="B84" s="42" t="s">
        <v>473</v>
      </c>
      <c r="C84" s="35"/>
      <c r="D84" s="35"/>
      <c r="E84" s="35"/>
      <c r="F84" s="35"/>
      <c r="G84" s="35"/>
      <c r="H84" s="35"/>
      <c r="I84" s="1183">
        <f>+I40+I48+I59+I65+I71+I81</f>
        <v>176.6858370044053</v>
      </c>
    </row>
    <row r="85" spans="1:9" ht="15.75">
      <c r="A85" s="2"/>
      <c r="B85" s="33" t="s">
        <v>474</v>
      </c>
      <c r="C85" s="35"/>
      <c r="D85" s="35"/>
      <c r="E85" s="35"/>
      <c r="F85" s="35"/>
      <c r="G85" s="35"/>
      <c r="H85" s="35"/>
      <c r="I85" s="36"/>
    </row>
    <row r="86" spans="1:9">
      <c r="A86" s="2"/>
      <c r="B86" s="40"/>
      <c r="C86" s="35"/>
      <c r="D86" s="35"/>
      <c r="E86" s="35"/>
      <c r="F86" s="35"/>
      <c r="G86" s="35"/>
      <c r="H86" s="35"/>
      <c r="I86" s="36"/>
    </row>
    <row r="87" spans="1:9">
      <c r="A87" s="2"/>
      <c r="B87" s="43" t="s">
        <v>11</v>
      </c>
      <c r="C87" s="44"/>
      <c r="D87" s="44"/>
      <c r="E87" s="44"/>
      <c r="F87" s="44"/>
      <c r="G87" s="44"/>
      <c r="H87" s="44"/>
      <c r="I87" s="621">
        <f>SUM(I40:I81)</f>
        <v>192.1858370044053</v>
      </c>
    </row>
  </sheetData>
  <mergeCells count="6">
    <mergeCell ref="B60:C60"/>
    <mergeCell ref="B1:D1"/>
    <mergeCell ref="B29:I31"/>
    <mergeCell ref="B45:I46"/>
    <mergeCell ref="E48:H48"/>
    <mergeCell ref="B55:I56"/>
  </mergeCells>
  <pageMargins left="0.75" right="0.75" top="1" bottom="1" header="0.5" footer="0.5"/>
  <pageSetup scale="48" orientation="portrait" r:id="rId1"/>
  <headerFooter alignWithMargins="0"/>
</worksheet>
</file>

<file path=xl/worksheets/sheet116.xml><?xml version="1.0" encoding="utf-8"?>
<worksheet xmlns="http://schemas.openxmlformats.org/spreadsheetml/2006/main" xmlns:r="http://schemas.openxmlformats.org/officeDocument/2006/relationships">
  <sheetPr>
    <pageSetUpPr fitToPage="1"/>
  </sheetPr>
  <dimension ref="A1:K109"/>
  <sheetViews>
    <sheetView topLeftCell="A22" zoomScale="75" zoomScaleNormal="75" workbookViewId="0">
      <selection activeCell="C12" sqref="C12:G12"/>
    </sheetView>
  </sheetViews>
  <sheetFormatPr defaultRowHeight="12.75"/>
  <cols>
    <col min="1" max="1" width="34.5703125" style="2" customWidth="1"/>
    <col min="2" max="2" width="25.42578125" style="2" customWidth="1"/>
    <col min="3" max="3" width="42.5703125" style="2" customWidth="1"/>
    <col min="4" max="4" width="40.5703125" style="2" customWidth="1"/>
    <col min="5" max="5" width="15.140625" style="2" customWidth="1"/>
    <col min="6" max="6" width="11" style="2" customWidth="1"/>
    <col min="7" max="7" width="10.7109375" style="2" bestFit="1" customWidth="1"/>
    <col min="8" max="8" width="11.5703125" style="2" customWidth="1"/>
    <col min="9" max="9" width="10.5703125" style="2" bestFit="1" customWidth="1"/>
    <col min="10"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769</v>
      </c>
      <c r="D6" s="456"/>
      <c r="E6" s="457"/>
      <c r="F6" s="458"/>
      <c r="G6" s="458"/>
    </row>
    <row r="7" spans="1:7" ht="21" customHeight="1">
      <c r="A7" s="454" t="s">
        <v>1</v>
      </c>
      <c r="B7" s="454" t="s">
        <v>381</v>
      </c>
      <c r="C7" s="459">
        <v>15</v>
      </c>
      <c r="D7" s="456"/>
      <c r="E7" s="457"/>
      <c r="F7" s="458"/>
      <c r="G7" s="458"/>
    </row>
    <row r="8" spans="1:7" ht="21" customHeight="1">
      <c r="A8" s="454" t="s">
        <v>382</v>
      </c>
      <c r="B8" s="454" t="s">
        <v>383</v>
      </c>
      <c r="C8" s="460" t="s">
        <v>770</v>
      </c>
      <c r="D8" s="461"/>
      <c r="E8" s="457"/>
      <c r="F8" s="457"/>
      <c r="G8" s="461"/>
    </row>
    <row r="9" spans="1:7" ht="57" customHeight="1">
      <c r="A9" s="454" t="s">
        <v>382</v>
      </c>
      <c r="B9" s="454" t="s">
        <v>385</v>
      </c>
      <c r="C9" s="2009" t="s">
        <v>771</v>
      </c>
      <c r="D9" s="2010"/>
      <c r="E9" s="2010"/>
      <c r="F9" s="2010"/>
      <c r="G9" s="2011"/>
    </row>
    <row r="10" spans="1:7" ht="51.75" customHeight="1">
      <c r="A10" s="454" t="s">
        <v>382</v>
      </c>
      <c r="B10" s="454" t="s">
        <v>387</v>
      </c>
      <c r="C10" s="2009" t="s">
        <v>772</v>
      </c>
      <c r="D10" s="2010"/>
      <c r="E10" s="2010"/>
      <c r="F10" s="2010"/>
      <c r="G10" s="2011"/>
    </row>
    <row r="11" spans="1:7" ht="51.75" customHeight="1">
      <c r="A11" s="454" t="s">
        <v>382</v>
      </c>
      <c r="B11" s="454" t="s">
        <v>389</v>
      </c>
      <c r="C11" s="2009" t="s">
        <v>773</v>
      </c>
      <c r="D11" s="2010"/>
      <c r="E11" s="2010"/>
      <c r="F11" s="2010"/>
      <c r="G11" s="2011"/>
    </row>
    <row r="12" spans="1:7" ht="51.75" customHeight="1">
      <c r="A12" s="454" t="s">
        <v>382</v>
      </c>
      <c r="B12" s="454" t="s">
        <v>391</v>
      </c>
      <c r="C12" s="2009" t="s">
        <v>774</v>
      </c>
      <c r="D12" s="2010"/>
      <c r="E12" s="2010"/>
      <c r="F12" s="2010"/>
      <c r="G12" s="2011"/>
    </row>
    <row r="13" spans="1:7" ht="21" customHeight="1">
      <c r="A13" s="454" t="s">
        <v>382</v>
      </c>
      <c r="B13" s="454" t="s">
        <v>393</v>
      </c>
      <c r="C13" s="455" t="s">
        <v>775</v>
      </c>
      <c r="D13" s="456"/>
      <c r="E13" s="457"/>
      <c r="F13" s="457"/>
      <c r="G13" s="456"/>
    </row>
    <row r="14" spans="1:7" ht="21" customHeight="1">
      <c r="A14" s="454" t="s">
        <v>382</v>
      </c>
      <c r="B14" s="454" t="s">
        <v>395</v>
      </c>
      <c r="C14" s="459">
        <v>2500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9" ht="15">
      <c r="A17" s="452" t="s">
        <v>16</v>
      </c>
      <c r="B17" s="453" t="s">
        <v>397</v>
      </c>
      <c r="C17" s="453" t="s">
        <v>398</v>
      </c>
      <c r="D17" s="49"/>
      <c r="E17" s="89"/>
      <c r="F17" s="89"/>
      <c r="G17" s="49"/>
    </row>
    <row r="18" spans="1:9" ht="15">
      <c r="A18" s="454" t="s">
        <v>0</v>
      </c>
      <c r="B18" s="465">
        <f>SUM(H31:H35)</f>
        <v>2498.3199999999997</v>
      </c>
      <c r="C18" s="466">
        <f>B18/C$14</f>
        <v>0.99932799999999988</v>
      </c>
      <c r="D18" s="49"/>
      <c r="E18" s="89"/>
      <c r="F18" s="89"/>
      <c r="G18" s="49"/>
    </row>
    <row r="19" spans="1:9" ht="15">
      <c r="A19" s="454" t="s">
        <v>2</v>
      </c>
      <c r="B19" s="465">
        <f>SUM(H36:H39)</f>
        <v>940.96999999999991</v>
      </c>
      <c r="C19" s="466">
        <f t="shared" ref="C19:C27" si="0">B19/C$14</f>
        <v>0.37638799999999994</v>
      </c>
      <c r="D19" s="49"/>
      <c r="E19" s="89"/>
      <c r="F19" s="89"/>
      <c r="G19" s="49"/>
    </row>
    <row r="20" spans="1:9" ht="15">
      <c r="A20" s="454" t="s">
        <v>3</v>
      </c>
      <c r="B20" s="465">
        <f>SUM(H40:H42)</f>
        <v>2809.0499999999997</v>
      </c>
      <c r="C20" s="466">
        <f t="shared" si="0"/>
        <v>1.1236199999999998</v>
      </c>
      <c r="D20" s="49"/>
      <c r="E20" s="89"/>
      <c r="F20" s="89"/>
      <c r="G20" s="49"/>
    </row>
    <row r="21" spans="1:9" ht="15">
      <c r="A21" s="454" t="s">
        <v>4</v>
      </c>
      <c r="B21" s="465">
        <f>H43</f>
        <v>312.41699999999997</v>
      </c>
      <c r="C21" s="466">
        <f t="shared" si="0"/>
        <v>0.12496679999999999</v>
      </c>
      <c r="D21" s="49"/>
      <c r="E21" s="89"/>
      <c r="F21" s="89"/>
      <c r="G21" s="49"/>
    </row>
    <row r="22" spans="1:9" ht="15">
      <c r="A22" s="454" t="s">
        <v>26</v>
      </c>
      <c r="B22" s="465">
        <f>H44</f>
        <v>0</v>
      </c>
      <c r="C22" s="466">
        <f t="shared" si="0"/>
        <v>0</v>
      </c>
      <c r="D22" s="49"/>
      <c r="E22" s="89"/>
      <c r="F22" s="89"/>
      <c r="G22" s="49"/>
    </row>
    <row r="23" spans="1:9" ht="15">
      <c r="A23" s="454" t="s">
        <v>7</v>
      </c>
      <c r="B23" s="465">
        <f>SUM(H45:H47)</f>
        <v>0</v>
      </c>
      <c r="C23" s="466">
        <f t="shared" si="0"/>
        <v>0</v>
      </c>
      <c r="D23" s="49"/>
      <c r="E23" s="89"/>
      <c r="F23" s="89"/>
      <c r="G23" s="49"/>
    </row>
    <row r="24" spans="1:9" ht="15">
      <c r="A24" s="454" t="s">
        <v>27</v>
      </c>
      <c r="B24" s="465">
        <f>SUM(H48:H50)</f>
        <v>0</v>
      </c>
      <c r="C24" s="466">
        <f t="shared" si="0"/>
        <v>0</v>
      </c>
      <c r="D24" s="49"/>
      <c r="E24" s="89"/>
      <c r="F24" s="89"/>
      <c r="G24" s="49"/>
    </row>
    <row r="25" spans="1:9" ht="15">
      <c r="A25" s="454" t="s">
        <v>5</v>
      </c>
      <c r="B25" s="465">
        <f>G51</f>
        <v>0</v>
      </c>
      <c r="C25" s="466">
        <f t="shared" si="0"/>
        <v>0</v>
      </c>
      <c r="D25" s="49"/>
      <c r="E25" s="89"/>
      <c r="F25" s="89"/>
      <c r="G25" s="49"/>
    </row>
    <row r="26" spans="1:9" ht="15">
      <c r="A26" s="454" t="s">
        <v>20</v>
      </c>
      <c r="B26" s="465">
        <f>H51</f>
        <v>0</v>
      </c>
      <c r="C26" s="466">
        <f t="shared" si="0"/>
        <v>0</v>
      </c>
      <c r="D26" s="49"/>
      <c r="E26" s="89"/>
      <c r="F26" s="89"/>
      <c r="G26" s="49"/>
    </row>
    <row r="27" spans="1:9" ht="15">
      <c r="A27" s="454" t="s">
        <v>399</v>
      </c>
      <c r="B27" s="465">
        <f>SUM(B18:B26)</f>
        <v>6560.7569999999996</v>
      </c>
      <c r="C27" s="466">
        <f t="shared" si="0"/>
        <v>2.6243027999999997</v>
      </c>
      <c r="D27" s="49">
        <f>C27*0.75</f>
        <v>1.9682270999999998</v>
      </c>
      <c r="E27" s="89"/>
      <c r="F27" s="89"/>
      <c r="G27" s="49"/>
    </row>
    <row r="28" spans="1:9">
      <c r="A28" s="467"/>
      <c r="B28" s="126"/>
      <c r="C28" s="126"/>
      <c r="D28" s="49"/>
      <c r="E28" s="49"/>
      <c r="F28" s="49"/>
      <c r="G28" s="49"/>
    </row>
    <row r="29" spans="1:9" ht="15.75">
      <c r="A29" s="468" t="s">
        <v>400</v>
      </c>
      <c r="B29" s="49"/>
      <c r="C29" s="49"/>
      <c r="D29" s="126"/>
      <c r="E29" s="49"/>
      <c r="F29" s="49"/>
      <c r="G29" s="49"/>
    </row>
    <row r="30" spans="1:9" ht="15">
      <c r="A30" s="452" t="s">
        <v>16</v>
      </c>
      <c r="B30" s="452" t="s">
        <v>401</v>
      </c>
      <c r="C30" s="453" t="s">
        <v>402</v>
      </c>
      <c r="D30" s="453" t="s">
        <v>403</v>
      </c>
      <c r="E30" s="452" t="s">
        <v>46</v>
      </c>
      <c r="F30" s="453" t="s">
        <v>404</v>
      </c>
      <c r="G30" s="453" t="s">
        <v>405</v>
      </c>
      <c r="H30" s="453" t="s">
        <v>397</v>
      </c>
    </row>
    <row r="31" spans="1:9" ht="15">
      <c r="A31" s="454" t="s">
        <v>0</v>
      </c>
      <c r="B31" s="470">
        <v>11</v>
      </c>
      <c r="C31" s="470" t="s">
        <v>776</v>
      </c>
      <c r="D31" s="470" t="s">
        <v>777</v>
      </c>
      <c r="E31" s="471" t="s">
        <v>778</v>
      </c>
      <c r="F31" s="472">
        <v>10.36</v>
      </c>
      <c r="G31" s="486">
        <v>60</v>
      </c>
      <c r="H31" s="474">
        <f>IF(G31&lt;=0, 0, F31*G31)</f>
        <v>621.59999999999991</v>
      </c>
      <c r="I31" s="1200"/>
    </row>
    <row r="32" spans="1:9" ht="15">
      <c r="A32" s="454" t="s">
        <v>0</v>
      </c>
      <c r="B32" s="470">
        <v>15</v>
      </c>
      <c r="C32" s="470" t="s">
        <v>779</v>
      </c>
      <c r="D32" s="470"/>
      <c r="E32" s="471" t="s">
        <v>778</v>
      </c>
      <c r="F32" s="472">
        <v>6.64</v>
      </c>
      <c r="G32" s="486">
        <v>120</v>
      </c>
      <c r="H32" s="474">
        <f t="shared" ref="H32:H52" si="1">IF(G32&lt;=0, 0, F32*G32)</f>
        <v>796.8</v>
      </c>
      <c r="I32" s="1200"/>
    </row>
    <row r="33" spans="1:11" ht="15">
      <c r="A33" s="454" t="s">
        <v>0</v>
      </c>
      <c r="B33" s="470">
        <v>12</v>
      </c>
      <c r="C33" s="470" t="s">
        <v>780</v>
      </c>
      <c r="D33" s="470" t="s">
        <v>781</v>
      </c>
      <c r="E33" s="471" t="s">
        <v>778</v>
      </c>
      <c r="F33" s="472">
        <v>14.12</v>
      </c>
      <c r="G33" s="486">
        <v>24</v>
      </c>
      <c r="H33" s="474">
        <f t="shared" si="1"/>
        <v>338.88</v>
      </c>
      <c r="I33" s="1200"/>
    </row>
    <row r="34" spans="1:11" ht="15">
      <c r="A34" s="454" t="s">
        <v>0</v>
      </c>
      <c r="B34" s="470">
        <v>1059</v>
      </c>
      <c r="C34" s="470" t="s">
        <v>782</v>
      </c>
      <c r="D34" s="470"/>
      <c r="E34" s="471" t="s">
        <v>778</v>
      </c>
      <c r="F34" s="472">
        <v>195.52</v>
      </c>
      <c r="G34" s="486">
        <v>2</v>
      </c>
      <c r="H34" s="474">
        <f t="shared" si="1"/>
        <v>391.04</v>
      </c>
      <c r="I34" s="1200"/>
    </row>
    <row r="35" spans="1:11" ht="15">
      <c r="A35" s="454" t="s">
        <v>0</v>
      </c>
      <c r="B35" s="470">
        <v>30</v>
      </c>
      <c r="C35" s="470" t="s">
        <v>783</v>
      </c>
      <c r="D35" s="470" t="s">
        <v>784</v>
      </c>
      <c r="E35" s="471" t="s">
        <v>785</v>
      </c>
      <c r="F35" s="472">
        <v>0.14000000000000001</v>
      </c>
      <c r="G35" s="486">
        <v>2500</v>
      </c>
      <c r="H35" s="474">
        <f t="shared" si="1"/>
        <v>350.00000000000006</v>
      </c>
      <c r="I35" s="1200"/>
    </row>
    <row r="36" spans="1:11" ht="15">
      <c r="A36" s="454" t="s">
        <v>2</v>
      </c>
      <c r="B36" s="470">
        <v>1</v>
      </c>
      <c r="C36" s="470" t="s">
        <v>786</v>
      </c>
      <c r="D36" s="470" t="s">
        <v>787</v>
      </c>
      <c r="E36" s="1201" t="s">
        <v>778</v>
      </c>
      <c r="F36" s="472">
        <v>57.37</v>
      </c>
      <c r="G36" s="486">
        <v>8</v>
      </c>
      <c r="H36" s="474">
        <f t="shared" si="1"/>
        <v>458.96</v>
      </c>
      <c r="I36" s="1200"/>
    </row>
    <row r="37" spans="1:11" ht="15">
      <c r="A37" s="454" t="s">
        <v>2</v>
      </c>
      <c r="B37" s="470">
        <v>963</v>
      </c>
      <c r="C37" s="470" t="s">
        <v>600</v>
      </c>
      <c r="D37" s="470"/>
      <c r="E37" s="471" t="s">
        <v>533</v>
      </c>
      <c r="F37" s="472">
        <v>17.420000000000002</v>
      </c>
      <c r="G37" s="1202">
        <v>15</v>
      </c>
      <c r="H37" s="474">
        <f t="shared" si="1"/>
        <v>261.3</v>
      </c>
      <c r="I37" s="1200"/>
    </row>
    <row r="38" spans="1:11" ht="15">
      <c r="A38" s="454" t="s">
        <v>2</v>
      </c>
      <c r="B38" s="470">
        <v>939</v>
      </c>
      <c r="C38" s="470" t="s">
        <v>788</v>
      </c>
      <c r="D38" s="470"/>
      <c r="E38" s="471" t="s">
        <v>533</v>
      </c>
      <c r="F38" s="472">
        <v>24.54</v>
      </c>
      <c r="G38" s="486">
        <v>4</v>
      </c>
      <c r="H38" s="474">
        <f t="shared" si="1"/>
        <v>98.16</v>
      </c>
      <c r="I38" s="1200"/>
    </row>
    <row r="39" spans="1:11" ht="15">
      <c r="A39" s="454" t="s">
        <v>2</v>
      </c>
      <c r="B39" s="470">
        <v>934</v>
      </c>
      <c r="C39" s="470" t="s">
        <v>789</v>
      </c>
      <c r="D39" s="470"/>
      <c r="E39" s="471" t="s">
        <v>533</v>
      </c>
      <c r="F39" s="472">
        <v>8.17</v>
      </c>
      <c r="G39" s="1202">
        <v>15</v>
      </c>
      <c r="H39" s="474">
        <f t="shared" si="1"/>
        <v>122.55</v>
      </c>
      <c r="I39" s="1200"/>
    </row>
    <row r="40" spans="1:11" ht="15">
      <c r="A40" s="454" t="s">
        <v>3</v>
      </c>
      <c r="B40" s="470"/>
      <c r="C40" s="470"/>
      <c r="D40" s="470"/>
      <c r="E40" s="471"/>
      <c r="F40" s="472"/>
      <c r="G40" s="486"/>
      <c r="H40" s="474">
        <f t="shared" si="1"/>
        <v>0</v>
      </c>
      <c r="I40" s="1200"/>
    </row>
    <row r="41" spans="1:11" ht="15">
      <c r="A41" s="454" t="s">
        <v>3</v>
      </c>
      <c r="B41" s="470">
        <v>231</v>
      </c>
      <c r="C41" s="470" t="s">
        <v>578</v>
      </c>
      <c r="D41" s="470"/>
      <c r="E41" s="471" t="s">
        <v>533</v>
      </c>
      <c r="F41" s="472">
        <v>20.58</v>
      </c>
      <c r="G41" s="486">
        <v>120</v>
      </c>
      <c r="H41" s="474">
        <f t="shared" si="1"/>
        <v>2469.6</v>
      </c>
      <c r="I41" s="1200"/>
    </row>
    <row r="42" spans="1:11" ht="15">
      <c r="A42" s="454" t="s">
        <v>3</v>
      </c>
      <c r="B42" s="470">
        <v>382</v>
      </c>
      <c r="C42" s="470" t="s">
        <v>790</v>
      </c>
      <c r="D42" s="470"/>
      <c r="E42" s="471" t="s">
        <v>533</v>
      </c>
      <c r="F42" s="472">
        <v>22.63</v>
      </c>
      <c r="G42" s="486">
        <v>15</v>
      </c>
      <c r="H42" s="474">
        <f t="shared" si="1"/>
        <v>339.45</v>
      </c>
      <c r="I42" s="1200"/>
    </row>
    <row r="43" spans="1:11" ht="15">
      <c r="A43" s="454" t="s">
        <v>4</v>
      </c>
      <c r="B43" s="470">
        <v>382</v>
      </c>
      <c r="C43" s="470" t="s">
        <v>4</v>
      </c>
      <c r="D43" s="470" t="s">
        <v>791</v>
      </c>
      <c r="E43" s="471" t="s">
        <v>533</v>
      </c>
      <c r="F43" s="472">
        <v>0.05</v>
      </c>
      <c r="G43" s="486">
        <f>SUM(H31:H42)</f>
        <v>6248.3399999999992</v>
      </c>
      <c r="H43" s="474">
        <f t="shared" si="1"/>
        <v>312.41699999999997</v>
      </c>
      <c r="I43" s="1203"/>
      <c r="J43" s="1203"/>
      <c r="K43" s="1203"/>
    </row>
    <row r="44" spans="1:11" ht="16.5" customHeight="1">
      <c r="A44" s="454" t="s">
        <v>419</v>
      </c>
      <c r="B44" s="470"/>
      <c r="C44" s="470"/>
      <c r="D44" s="470"/>
      <c r="E44" s="471"/>
      <c r="F44" s="472"/>
      <c r="G44" s="486"/>
      <c r="H44" s="474">
        <f t="shared" si="1"/>
        <v>0</v>
      </c>
    </row>
    <row r="45" spans="1:11" ht="15">
      <c r="A45" s="454" t="s">
        <v>7</v>
      </c>
      <c r="B45" s="470"/>
      <c r="C45" s="470"/>
      <c r="D45" s="470"/>
      <c r="E45" s="471"/>
      <c r="F45" s="472"/>
      <c r="G45" s="486"/>
      <c r="H45" s="474">
        <f t="shared" si="1"/>
        <v>0</v>
      </c>
    </row>
    <row r="46" spans="1:11" ht="15">
      <c r="A46" s="454" t="s">
        <v>7</v>
      </c>
      <c r="B46" s="470"/>
      <c r="C46" s="470"/>
      <c r="D46" s="471"/>
      <c r="E46" s="471"/>
      <c r="F46" s="472"/>
      <c r="G46" s="486"/>
      <c r="H46" s="474">
        <f t="shared" si="1"/>
        <v>0</v>
      </c>
    </row>
    <row r="47" spans="1:11" ht="15">
      <c r="A47" s="454" t="s">
        <v>7</v>
      </c>
      <c r="B47" s="470"/>
      <c r="C47" s="470"/>
      <c r="D47" s="471"/>
      <c r="E47" s="471"/>
      <c r="F47" s="472"/>
      <c r="G47" s="486"/>
      <c r="H47" s="474">
        <f t="shared" si="1"/>
        <v>0</v>
      </c>
    </row>
    <row r="48" spans="1:11" ht="15">
      <c r="A48" s="454" t="s">
        <v>421</v>
      </c>
      <c r="B48" s="470"/>
      <c r="C48" s="470"/>
      <c r="D48" s="471"/>
      <c r="E48" s="471"/>
      <c r="F48" s="472"/>
      <c r="G48" s="486"/>
      <c r="H48" s="474">
        <f t="shared" si="1"/>
        <v>0</v>
      </c>
    </row>
    <row r="49" spans="1:8" ht="15">
      <c r="A49" s="454" t="s">
        <v>421</v>
      </c>
      <c r="B49" s="470"/>
      <c r="C49" s="470"/>
      <c r="D49" s="471"/>
      <c r="E49" s="471"/>
      <c r="F49" s="472"/>
      <c r="G49" s="486"/>
      <c r="H49" s="474">
        <f t="shared" si="1"/>
        <v>0</v>
      </c>
    </row>
    <row r="50" spans="1:8" ht="15">
      <c r="A50" s="454" t="s">
        <v>421</v>
      </c>
      <c r="B50" s="470"/>
      <c r="C50" s="470"/>
      <c r="D50" s="471"/>
      <c r="E50" s="471"/>
      <c r="F50" s="472"/>
      <c r="G50" s="486"/>
      <c r="H50" s="474">
        <f t="shared" si="1"/>
        <v>0</v>
      </c>
    </row>
    <row r="51" spans="1:8" ht="15">
      <c r="A51" s="454" t="s">
        <v>5</v>
      </c>
      <c r="B51" s="470"/>
      <c r="C51" s="470"/>
      <c r="D51" s="471"/>
      <c r="E51" s="471"/>
      <c r="F51" s="472"/>
      <c r="G51" s="486"/>
      <c r="H51" s="474">
        <f t="shared" si="1"/>
        <v>0</v>
      </c>
    </row>
    <row r="52" spans="1:8" ht="15">
      <c r="A52" s="454" t="s">
        <v>20</v>
      </c>
      <c r="B52" s="470"/>
      <c r="C52" s="470"/>
      <c r="D52" s="471"/>
      <c r="E52" s="471"/>
      <c r="F52" s="472"/>
      <c r="G52" s="486"/>
      <c r="H52" s="474">
        <f t="shared" si="1"/>
        <v>0</v>
      </c>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97" spans="4:4">
      <c r="D97" s="57"/>
    </row>
    <row r="98" spans="4:4">
      <c r="D98" s="57"/>
    </row>
    <row r="99" spans="4:4">
      <c r="D99" s="57"/>
    </row>
    <row r="100" spans="4:4">
      <c r="D100" s="57"/>
    </row>
    <row r="101" spans="4:4">
      <c r="D101" s="57"/>
    </row>
    <row r="102" spans="4:4">
      <c r="D102" s="57"/>
    </row>
    <row r="103" spans="4:4">
      <c r="D103" s="57"/>
    </row>
    <row r="105" spans="4:4">
      <c r="D105" s="57"/>
    </row>
    <row r="107" spans="4:4">
      <c r="D107" s="56"/>
    </row>
    <row r="109" spans="4:4">
      <c r="D109"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117.xml><?xml version="1.0" encoding="utf-8"?>
<worksheet xmlns="http://schemas.openxmlformats.org/spreadsheetml/2006/main" xmlns:r="http://schemas.openxmlformats.org/officeDocument/2006/relationships">
  <dimension ref="A1:K117"/>
  <sheetViews>
    <sheetView zoomScaleNormal="100" workbookViewId="0">
      <selection activeCell="E14" sqref="E14"/>
    </sheetView>
  </sheetViews>
  <sheetFormatPr defaultRowHeight="12.75"/>
  <cols>
    <col min="1" max="1" width="34.5703125" style="2" customWidth="1"/>
    <col min="2" max="2" width="25.42578125" style="2" customWidth="1"/>
    <col min="3" max="3" width="38.140625" style="2" customWidth="1"/>
    <col min="4" max="4" width="18.85546875" style="2" customWidth="1"/>
    <col min="5" max="5" width="15.140625" style="2" customWidth="1"/>
    <col min="6" max="6" width="11" style="2" customWidth="1"/>
    <col min="7" max="7" width="10.7109375" style="2" bestFit="1" customWidth="1"/>
    <col min="8" max="8" width="11.140625" style="2" customWidth="1"/>
    <col min="9" max="9" width="9.7109375" style="2" bestFit="1" customWidth="1"/>
    <col min="10"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769</v>
      </c>
      <c r="D6" s="456"/>
      <c r="E6" s="457"/>
      <c r="F6" s="458"/>
      <c r="G6" s="458"/>
    </row>
    <row r="7" spans="1:7" ht="21" customHeight="1">
      <c r="A7" s="454" t="s">
        <v>1</v>
      </c>
      <c r="B7" s="454" t="s">
        <v>381</v>
      </c>
      <c r="C7" s="459">
        <v>15</v>
      </c>
      <c r="D7" s="456"/>
      <c r="E7" s="457"/>
      <c r="F7" s="458"/>
      <c r="G7" s="458"/>
    </row>
    <row r="8" spans="1:7" ht="21" customHeight="1">
      <c r="A8" s="454" t="s">
        <v>382</v>
      </c>
      <c r="B8" s="454" t="s">
        <v>383</v>
      </c>
      <c r="C8" s="460" t="s">
        <v>792</v>
      </c>
      <c r="D8" s="461"/>
      <c r="E8" s="457"/>
      <c r="F8" s="457"/>
      <c r="G8" s="461"/>
    </row>
    <row r="9" spans="1:7" ht="69" customHeight="1">
      <c r="A9" s="454" t="s">
        <v>382</v>
      </c>
      <c r="B9" s="454" t="s">
        <v>385</v>
      </c>
      <c r="C9" s="2009" t="s">
        <v>793</v>
      </c>
      <c r="D9" s="2010"/>
      <c r="E9" s="2010"/>
      <c r="F9" s="2010"/>
      <c r="G9" s="2011"/>
    </row>
    <row r="10" spans="1:7" ht="51.75" customHeight="1">
      <c r="A10" s="454" t="s">
        <v>382</v>
      </c>
      <c r="B10" s="454" t="s">
        <v>387</v>
      </c>
      <c r="C10" s="2009" t="s">
        <v>794</v>
      </c>
      <c r="D10" s="2010"/>
      <c r="E10" s="2010"/>
      <c r="F10" s="2010"/>
      <c r="G10" s="2011"/>
    </row>
    <row r="11" spans="1:7" ht="51.75" customHeight="1">
      <c r="A11" s="454" t="s">
        <v>382</v>
      </c>
      <c r="B11" s="454" t="s">
        <v>389</v>
      </c>
      <c r="C11" s="2009" t="s">
        <v>795</v>
      </c>
      <c r="D11" s="2010"/>
      <c r="E11" s="2010"/>
      <c r="F11" s="2010"/>
      <c r="G11" s="2011"/>
    </row>
    <row r="12" spans="1:7" ht="51.75" customHeight="1">
      <c r="A12" s="454" t="s">
        <v>382</v>
      </c>
      <c r="B12" s="454" t="s">
        <v>391</v>
      </c>
      <c r="C12" s="2009" t="s">
        <v>796</v>
      </c>
      <c r="D12" s="2010"/>
      <c r="E12" s="2010"/>
      <c r="F12" s="2010"/>
      <c r="G12" s="2011"/>
    </row>
    <row r="13" spans="1:7" ht="21" customHeight="1">
      <c r="A13" s="454" t="s">
        <v>382</v>
      </c>
      <c r="B13" s="454" t="s">
        <v>393</v>
      </c>
      <c r="C13" s="455" t="s">
        <v>775</v>
      </c>
      <c r="D13" s="456"/>
      <c r="E13" s="457"/>
      <c r="F13" s="457"/>
      <c r="G13" s="456"/>
    </row>
    <row r="14" spans="1:7" ht="21" customHeight="1">
      <c r="A14" s="454" t="s">
        <v>382</v>
      </c>
      <c r="B14" s="454" t="s">
        <v>395</v>
      </c>
      <c r="C14" s="459">
        <v>2500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SUM(H31:H44)</f>
        <v>2808.96</v>
      </c>
      <c r="C18" s="466">
        <f>B18/C$14</f>
        <v>1.1235839999999999</v>
      </c>
      <c r="D18" s="49"/>
      <c r="E18" s="89"/>
      <c r="F18" s="89"/>
      <c r="G18" s="49"/>
    </row>
    <row r="19" spans="1:8" ht="15">
      <c r="A19" s="454" t="s">
        <v>2</v>
      </c>
      <c r="B19" s="465">
        <f>SUM(H45:H47)</f>
        <v>204.72000000000003</v>
      </c>
      <c r="C19" s="466">
        <f t="shared" ref="C19:C27" si="0">B19/C$14</f>
        <v>8.1888000000000016E-2</v>
      </c>
      <c r="D19" s="49"/>
      <c r="E19" s="89"/>
      <c r="F19" s="89"/>
      <c r="G19" s="49"/>
    </row>
    <row r="20" spans="1:8" ht="15">
      <c r="A20" s="454" t="s">
        <v>3</v>
      </c>
      <c r="B20" s="465">
        <f>SUM(H48:H50)</f>
        <v>1308.2</v>
      </c>
      <c r="C20" s="466">
        <f t="shared" si="0"/>
        <v>0.52327999999999997</v>
      </c>
      <c r="D20" s="49"/>
      <c r="E20" s="89"/>
      <c r="F20" s="89"/>
      <c r="G20" s="49"/>
    </row>
    <row r="21" spans="1:8" ht="15">
      <c r="A21" s="454" t="s">
        <v>4</v>
      </c>
      <c r="B21" s="465">
        <f>H51</f>
        <v>216.09400000000002</v>
      </c>
      <c r="C21" s="466">
        <f t="shared" si="0"/>
        <v>8.6437600000000003E-2</v>
      </c>
      <c r="D21" s="49"/>
      <c r="E21" s="89"/>
      <c r="F21" s="89"/>
      <c r="G21" s="49"/>
    </row>
    <row r="22" spans="1:8" ht="15">
      <c r="A22" s="454" t="s">
        <v>26</v>
      </c>
      <c r="B22" s="465">
        <f>H52</f>
        <v>0</v>
      </c>
      <c r="C22" s="466">
        <f t="shared" si="0"/>
        <v>0</v>
      </c>
      <c r="D22" s="49"/>
      <c r="E22" s="89"/>
      <c r="F22" s="89"/>
      <c r="G22" s="49"/>
    </row>
    <row r="23" spans="1:8" ht="15">
      <c r="A23" s="454" t="s">
        <v>7</v>
      </c>
      <c r="B23" s="465">
        <f>SUM(H53:H55)</f>
        <v>0</v>
      </c>
      <c r="C23" s="466">
        <f t="shared" si="0"/>
        <v>0</v>
      </c>
      <c r="D23" s="49"/>
      <c r="E23" s="89"/>
      <c r="F23" s="89"/>
      <c r="G23" s="49"/>
    </row>
    <row r="24" spans="1:8" ht="15">
      <c r="A24" s="454" t="s">
        <v>27</v>
      </c>
      <c r="B24" s="465">
        <f>SUM(H56:H58)</f>
        <v>0</v>
      </c>
      <c r="C24" s="466">
        <f t="shared" si="0"/>
        <v>0</v>
      </c>
      <c r="D24" s="49"/>
      <c r="E24" s="89"/>
      <c r="F24" s="89"/>
      <c r="G24" s="49"/>
    </row>
    <row r="25" spans="1:8" ht="15">
      <c r="A25" s="454" t="s">
        <v>5</v>
      </c>
      <c r="B25" s="465">
        <f>G59</f>
        <v>0</v>
      </c>
      <c r="C25" s="466">
        <f t="shared" si="0"/>
        <v>0</v>
      </c>
      <c r="D25" s="49"/>
      <c r="E25" s="89"/>
      <c r="F25" s="89"/>
      <c r="G25" s="49"/>
    </row>
    <row r="26" spans="1:8" ht="15">
      <c r="A26" s="454" t="s">
        <v>20</v>
      </c>
      <c r="B26" s="465">
        <f>H59</f>
        <v>0</v>
      </c>
      <c r="C26" s="466">
        <f t="shared" si="0"/>
        <v>0</v>
      </c>
      <c r="D26" s="49"/>
      <c r="E26" s="89"/>
      <c r="F26" s="89"/>
      <c r="G26" s="49"/>
    </row>
    <row r="27" spans="1:8" ht="15">
      <c r="A27" s="454" t="s">
        <v>399</v>
      </c>
      <c r="B27" s="465">
        <f>SUM(B18:B26)</f>
        <v>4537.9740000000002</v>
      </c>
      <c r="C27" s="466">
        <f t="shared" si="0"/>
        <v>1.8151896000000001</v>
      </c>
      <c r="D27" s="49">
        <f>C27*0.75</f>
        <v>1.3613922000000001</v>
      </c>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25</v>
      </c>
      <c r="C31" s="470" t="s">
        <v>797</v>
      </c>
      <c r="D31" s="471"/>
      <c r="E31" s="471" t="s">
        <v>778</v>
      </c>
      <c r="F31" s="472">
        <v>7.48</v>
      </c>
      <c r="G31" s="486">
        <v>1</v>
      </c>
      <c r="H31" s="474">
        <f>IF(G31&lt;=0, 0, F31*G31)</f>
        <v>7.48</v>
      </c>
    </row>
    <row r="32" spans="1:8" ht="15">
      <c r="A32" s="454" t="s">
        <v>0</v>
      </c>
      <c r="B32" s="470">
        <v>29</v>
      </c>
      <c r="C32" s="470" t="s">
        <v>798</v>
      </c>
      <c r="D32" s="471"/>
      <c r="E32" s="471" t="s">
        <v>778</v>
      </c>
      <c r="F32" s="472">
        <v>332.57</v>
      </c>
      <c r="G32" s="486">
        <v>1</v>
      </c>
      <c r="H32" s="474">
        <f t="shared" ref="H32:H60" si="1">IF(G32&lt;=0, 0, F32*G32)</f>
        <v>332.57</v>
      </c>
    </row>
    <row r="33" spans="1:8" ht="15">
      <c r="A33" s="454" t="s">
        <v>0</v>
      </c>
      <c r="B33" s="470">
        <v>21</v>
      </c>
      <c r="C33" s="470" t="s">
        <v>799</v>
      </c>
      <c r="D33" s="471"/>
      <c r="E33" s="471" t="s">
        <v>778</v>
      </c>
      <c r="F33" s="472">
        <v>1.88</v>
      </c>
      <c r="G33" s="486">
        <v>3</v>
      </c>
      <c r="H33" s="474">
        <f t="shared" si="1"/>
        <v>5.64</v>
      </c>
    </row>
    <row r="34" spans="1:8" ht="15">
      <c r="A34" s="454" t="s">
        <v>0</v>
      </c>
      <c r="B34" s="470">
        <v>20</v>
      </c>
      <c r="C34" s="470" t="s">
        <v>800</v>
      </c>
      <c r="D34" s="471"/>
      <c r="E34" s="471" t="s">
        <v>778</v>
      </c>
      <c r="F34" s="472">
        <v>10.25</v>
      </c>
      <c r="G34" s="486">
        <v>3</v>
      </c>
      <c r="H34" s="474">
        <f t="shared" si="1"/>
        <v>30.75</v>
      </c>
    </row>
    <row r="35" spans="1:8" ht="15">
      <c r="A35" s="454" t="s">
        <v>0</v>
      </c>
      <c r="B35" s="470">
        <v>23</v>
      </c>
      <c r="C35" s="470" t="s">
        <v>801</v>
      </c>
      <c r="D35" s="471"/>
      <c r="E35" s="471" t="s">
        <v>785</v>
      </c>
      <c r="F35" s="472">
        <v>28.93</v>
      </c>
      <c r="G35" s="486">
        <v>40</v>
      </c>
      <c r="H35" s="474">
        <f t="shared" si="1"/>
        <v>1157.2</v>
      </c>
    </row>
    <row r="36" spans="1:8" ht="15">
      <c r="A36" s="454" t="s">
        <v>0</v>
      </c>
      <c r="B36" s="470">
        <v>22</v>
      </c>
      <c r="C36" s="470" t="s">
        <v>802</v>
      </c>
      <c r="D36" s="471"/>
      <c r="E36" s="471" t="s">
        <v>778</v>
      </c>
      <c r="F36" s="472">
        <v>9.06</v>
      </c>
      <c r="G36" s="486">
        <v>1</v>
      </c>
      <c r="H36" s="474">
        <f t="shared" si="1"/>
        <v>9.06</v>
      </c>
    </row>
    <row r="37" spans="1:8" ht="15">
      <c r="A37" s="454" t="s">
        <v>0</v>
      </c>
      <c r="B37" s="470">
        <v>24</v>
      </c>
      <c r="C37" s="470" t="s">
        <v>803</v>
      </c>
      <c r="D37" s="471"/>
      <c r="E37" s="471" t="s">
        <v>778</v>
      </c>
      <c r="F37" s="472">
        <v>23.45</v>
      </c>
      <c r="G37" s="486">
        <v>1</v>
      </c>
      <c r="H37" s="474">
        <f t="shared" si="1"/>
        <v>23.45</v>
      </c>
    </row>
    <row r="38" spans="1:8" ht="15">
      <c r="A38" s="454" t="s">
        <v>0</v>
      </c>
      <c r="B38" s="470">
        <v>26</v>
      </c>
      <c r="C38" s="470" t="s">
        <v>804</v>
      </c>
      <c r="D38" s="471"/>
      <c r="E38" s="471" t="s">
        <v>778</v>
      </c>
      <c r="F38" s="472">
        <v>29.07</v>
      </c>
      <c r="G38" s="486">
        <v>1</v>
      </c>
      <c r="H38" s="474">
        <f t="shared" si="1"/>
        <v>29.07</v>
      </c>
    </row>
    <row r="39" spans="1:8" ht="15">
      <c r="A39" s="454" t="s">
        <v>0</v>
      </c>
      <c r="B39" s="470">
        <v>33</v>
      </c>
      <c r="C39" s="470" t="s">
        <v>805</v>
      </c>
      <c r="D39" s="471"/>
      <c r="E39" s="471" t="s">
        <v>785</v>
      </c>
      <c r="F39" s="472">
        <v>0.06</v>
      </c>
      <c r="G39" s="486">
        <v>2500</v>
      </c>
      <c r="H39" s="474">
        <f t="shared" si="1"/>
        <v>150</v>
      </c>
    </row>
    <row r="40" spans="1:8" ht="15">
      <c r="A40" s="454" t="s">
        <v>0</v>
      </c>
      <c r="B40" s="470">
        <v>10</v>
      </c>
      <c r="C40" s="470" t="s">
        <v>806</v>
      </c>
      <c r="D40" s="471"/>
      <c r="E40" s="471" t="s">
        <v>778</v>
      </c>
      <c r="F40" s="472">
        <v>7.34</v>
      </c>
      <c r="G40" s="486">
        <v>33</v>
      </c>
      <c r="H40" s="474">
        <f t="shared" si="1"/>
        <v>242.22</v>
      </c>
    </row>
    <row r="41" spans="1:8" ht="15">
      <c r="A41" s="454" t="s">
        <v>0</v>
      </c>
      <c r="B41" s="470">
        <v>2</v>
      </c>
      <c r="C41" s="470" t="s">
        <v>807</v>
      </c>
      <c r="D41" s="471"/>
      <c r="E41" s="471" t="s">
        <v>778</v>
      </c>
      <c r="F41" s="472">
        <v>109.34</v>
      </c>
      <c r="G41" s="486">
        <v>2</v>
      </c>
      <c r="H41" s="474">
        <f t="shared" si="1"/>
        <v>218.68</v>
      </c>
    </row>
    <row r="42" spans="1:8" ht="15">
      <c r="A42" s="454" t="s">
        <v>0</v>
      </c>
      <c r="B42" s="470">
        <v>12</v>
      </c>
      <c r="C42" s="470" t="s">
        <v>780</v>
      </c>
      <c r="D42" s="471"/>
      <c r="E42" s="471" t="s">
        <v>778</v>
      </c>
      <c r="F42" s="472">
        <v>14.12</v>
      </c>
      <c r="G42" s="486">
        <v>15</v>
      </c>
      <c r="H42" s="474">
        <f t="shared" si="1"/>
        <v>211.79999999999998</v>
      </c>
    </row>
    <row r="43" spans="1:8" ht="15">
      <c r="A43" s="454" t="s">
        <v>0</v>
      </c>
      <c r="B43" s="470">
        <v>1059</v>
      </c>
      <c r="C43" s="470" t="s">
        <v>808</v>
      </c>
      <c r="D43" s="471" t="s">
        <v>809</v>
      </c>
      <c r="E43" s="471" t="s">
        <v>778</v>
      </c>
      <c r="F43" s="1204">
        <v>195.52</v>
      </c>
      <c r="G43" s="486">
        <v>2</v>
      </c>
      <c r="H43" s="474">
        <f t="shared" si="1"/>
        <v>391.04</v>
      </c>
    </row>
    <row r="44" spans="1:8" ht="15">
      <c r="A44" s="454" t="s">
        <v>0</v>
      </c>
      <c r="B44" s="470"/>
      <c r="C44" s="470"/>
      <c r="D44" s="471"/>
      <c r="E44" s="471"/>
      <c r="F44" s="472"/>
      <c r="G44" s="486"/>
      <c r="H44" s="474">
        <f t="shared" si="1"/>
        <v>0</v>
      </c>
    </row>
    <row r="45" spans="1:8" ht="15">
      <c r="A45" s="454" t="s">
        <v>2</v>
      </c>
      <c r="B45" s="470">
        <v>963</v>
      </c>
      <c r="C45" s="470" t="s">
        <v>600</v>
      </c>
      <c r="D45" s="471"/>
      <c r="E45" s="1201" t="s">
        <v>411</v>
      </c>
      <c r="F45" s="472">
        <v>17.420000000000002</v>
      </c>
      <c r="G45" s="486">
        <v>8</v>
      </c>
      <c r="H45" s="474">
        <f t="shared" si="1"/>
        <v>139.36000000000001</v>
      </c>
    </row>
    <row r="46" spans="1:8" ht="15">
      <c r="A46" s="454" t="s">
        <v>2</v>
      </c>
      <c r="B46" s="470">
        <v>934</v>
      </c>
      <c r="C46" s="470" t="s">
        <v>789</v>
      </c>
      <c r="D46" s="471"/>
      <c r="E46" s="471" t="s">
        <v>411</v>
      </c>
      <c r="F46" s="1205">
        <v>8.17</v>
      </c>
      <c r="G46" s="486">
        <v>8</v>
      </c>
      <c r="H46" s="474">
        <f t="shared" si="1"/>
        <v>65.36</v>
      </c>
    </row>
    <row r="47" spans="1:8" ht="15">
      <c r="A47" s="454" t="s">
        <v>2</v>
      </c>
      <c r="B47" s="470"/>
      <c r="C47" s="470"/>
      <c r="D47" s="471"/>
      <c r="E47" s="471"/>
      <c r="F47" s="472"/>
      <c r="G47" s="486"/>
      <c r="H47" s="474">
        <f t="shared" si="1"/>
        <v>0</v>
      </c>
    </row>
    <row r="48" spans="1:8" ht="15">
      <c r="A48" s="454" t="s">
        <v>3</v>
      </c>
      <c r="B48" s="470">
        <v>231</v>
      </c>
      <c r="C48" s="470" t="s">
        <v>578</v>
      </c>
      <c r="D48" s="471"/>
      <c r="E48" s="471" t="s">
        <v>411</v>
      </c>
      <c r="F48" s="472">
        <v>20.58</v>
      </c>
      <c r="G48" s="486">
        <v>50</v>
      </c>
      <c r="H48" s="474">
        <f t="shared" si="1"/>
        <v>1029</v>
      </c>
    </row>
    <row r="49" spans="1:11" ht="15">
      <c r="A49" s="454" t="s">
        <v>3</v>
      </c>
      <c r="B49" s="470">
        <v>232</v>
      </c>
      <c r="C49" s="470" t="s">
        <v>790</v>
      </c>
      <c r="D49" s="471"/>
      <c r="E49" s="471" t="s">
        <v>411</v>
      </c>
      <c r="F49" s="472">
        <v>22.63</v>
      </c>
      <c r="G49" s="486">
        <v>8</v>
      </c>
      <c r="H49" s="474">
        <f t="shared" si="1"/>
        <v>181.04</v>
      </c>
    </row>
    <row r="50" spans="1:11" ht="15">
      <c r="A50" s="454" t="s">
        <v>3</v>
      </c>
      <c r="B50" s="470">
        <v>939</v>
      </c>
      <c r="C50" s="470" t="s">
        <v>788</v>
      </c>
      <c r="D50" s="471"/>
      <c r="E50" s="471" t="s">
        <v>411</v>
      </c>
      <c r="F50" s="472">
        <v>24.54</v>
      </c>
      <c r="G50" s="486">
        <v>4</v>
      </c>
      <c r="H50" s="474">
        <f t="shared" si="1"/>
        <v>98.16</v>
      </c>
    </row>
    <row r="51" spans="1:11" ht="15">
      <c r="A51" s="454" t="s">
        <v>4</v>
      </c>
      <c r="B51" s="470">
        <v>1043</v>
      </c>
      <c r="C51" s="470" t="s">
        <v>4</v>
      </c>
      <c r="D51" s="471"/>
      <c r="E51" s="471" t="s">
        <v>418</v>
      </c>
      <c r="F51" s="481">
        <v>0.05</v>
      </c>
      <c r="G51" s="486">
        <f>SUM(H31:H50)</f>
        <v>4321.88</v>
      </c>
      <c r="H51" s="474">
        <f t="shared" si="1"/>
        <v>216.09400000000002</v>
      </c>
      <c r="I51" s="1203"/>
      <c r="J51" s="1203"/>
      <c r="K51" s="1203"/>
    </row>
    <row r="52" spans="1:11" ht="16.5" customHeight="1">
      <c r="A52" s="454" t="s">
        <v>419</v>
      </c>
      <c r="B52" s="470"/>
      <c r="C52" s="470"/>
      <c r="D52" s="471"/>
      <c r="E52" s="471"/>
      <c r="F52" s="481"/>
      <c r="G52" s="486"/>
      <c r="H52" s="474">
        <f t="shared" si="1"/>
        <v>0</v>
      </c>
    </row>
    <row r="53" spans="1:11" ht="15">
      <c r="A53" s="454" t="s">
        <v>7</v>
      </c>
      <c r="B53" s="470"/>
      <c r="C53" s="470"/>
      <c r="D53" s="471"/>
      <c r="E53" s="471"/>
      <c r="F53" s="472"/>
      <c r="G53" s="486"/>
      <c r="H53" s="474">
        <f t="shared" si="1"/>
        <v>0</v>
      </c>
    </row>
    <row r="54" spans="1:11" ht="15">
      <c r="A54" s="454" t="s">
        <v>7</v>
      </c>
      <c r="B54" s="470"/>
      <c r="C54" s="470"/>
      <c r="D54" s="471"/>
      <c r="E54" s="471"/>
      <c r="F54" s="472"/>
      <c r="G54" s="486"/>
      <c r="H54" s="474">
        <f t="shared" si="1"/>
        <v>0</v>
      </c>
    </row>
    <row r="55" spans="1:11" ht="15">
      <c r="A55" s="454" t="s">
        <v>7</v>
      </c>
      <c r="B55" s="470"/>
      <c r="C55" s="470"/>
      <c r="D55" s="471"/>
      <c r="E55" s="471"/>
      <c r="F55" s="472"/>
      <c r="G55" s="486"/>
      <c r="H55" s="474">
        <f t="shared" si="1"/>
        <v>0</v>
      </c>
    </row>
    <row r="56" spans="1:11" ht="15">
      <c r="A56" s="454" t="s">
        <v>421</v>
      </c>
      <c r="B56" s="470"/>
      <c r="C56" s="470"/>
      <c r="D56" s="471"/>
      <c r="E56" s="471"/>
      <c r="F56" s="472"/>
      <c r="G56" s="486"/>
      <c r="H56" s="474">
        <f t="shared" si="1"/>
        <v>0</v>
      </c>
    </row>
    <row r="57" spans="1:11" ht="15">
      <c r="A57" s="454" t="s">
        <v>421</v>
      </c>
      <c r="B57" s="470"/>
      <c r="C57" s="470"/>
      <c r="D57" s="471"/>
      <c r="E57" s="471"/>
      <c r="F57" s="472"/>
      <c r="G57" s="486"/>
      <c r="H57" s="474">
        <f t="shared" si="1"/>
        <v>0</v>
      </c>
    </row>
    <row r="58" spans="1:11" ht="15">
      <c r="A58" s="454" t="s">
        <v>421</v>
      </c>
      <c r="B58" s="470"/>
      <c r="C58" s="470"/>
      <c r="D58" s="471"/>
      <c r="E58" s="471"/>
      <c r="F58" s="472"/>
      <c r="G58" s="486"/>
      <c r="H58" s="474">
        <f t="shared" si="1"/>
        <v>0</v>
      </c>
    </row>
    <row r="59" spans="1:11" ht="15">
      <c r="A59" s="454" t="s">
        <v>5</v>
      </c>
      <c r="B59" s="470"/>
      <c r="C59" s="470"/>
      <c r="D59" s="471"/>
      <c r="E59" s="471"/>
      <c r="F59" s="472"/>
      <c r="G59" s="486"/>
      <c r="H59" s="474">
        <f t="shared" si="1"/>
        <v>0</v>
      </c>
    </row>
    <row r="60" spans="1:11" ht="15">
      <c r="A60" s="454" t="s">
        <v>20</v>
      </c>
      <c r="B60" s="470"/>
      <c r="C60" s="470"/>
      <c r="D60" s="471"/>
      <c r="E60" s="471"/>
      <c r="F60" s="472"/>
      <c r="G60" s="486"/>
      <c r="H60" s="474">
        <f t="shared" si="1"/>
        <v>0</v>
      </c>
    </row>
    <row r="61" spans="1:11">
      <c r="A61" s="82"/>
      <c r="B61" s="82"/>
      <c r="C61" s="82"/>
      <c r="D61" s="82"/>
      <c r="E61" s="82"/>
      <c r="F61" s="82"/>
      <c r="G61" s="82"/>
    </row>
    <row r="62" spans="1:11">
      <c r="A62" s="82"/>
      <c r="B62" s="82"/>
      <c r="C62" s="82"/>
      <c r="D62" s="82"/>
      <c r="E62" s="82"/>
      <c r="F62" s="82"/>
      <c r="G62" s="82"/>
    </row>
    <row r="63" spans="1:11">
      <c r="A63" s="82"/>
      <c r="B63" s="82"/>
      <c r="C63" s="82"/>
      <c r="D63" s="82"/>
      <c r="E63" s="82"/>
      <c r="F63" s="82"/>
      <c r="G63" s="82"/>
    </row>
    <row r="64" spans="1:11">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87" spans="1:7">
      <c r="A87" s="82"/>
      <c r="B87" s="82"/>
      <c r="C87" s="82"/>
      <c r="D87" s="82"/>
      <c r="E87" s="82"/>
      <c r="F87" s="82"/>
      <c r="G87" s="82"/>
    </row>
    <row r="88" spans="1:7">
      <c r="A88" s="82"/>
      <c r="B88" s="82"/>
      <c r="C88" s="82"/>
      <c r="D88" s="82"/>
      <c r="E88" s="82"/>
      <c r="F88" s="82"/>
      <c r="G88" s="82"/>
    </row>
    <row r="89" spans="1:7">
      <c r="A89" s="82"/>
      <c r="B89" s="82"/>
      <c r="C89" s="82"/>
      <c r="D89" s="82"/>
      <c r="E89" s="82"/>
      <c r="F89" s="82"/>
      <c r="G89" s="82"/>
    </row>
    <row r="90" spans="1:7">
      <c r="A90" s="82"/>
      <c r="B90" s="82"/>
      <c r="C90" s="82"/>
      <c r="D90" s="82"/>
      <c r="E90" s="82"/>
      <c r="F90" s="82"/>
      <c r="G90" s="82"/>
    </row>
    <row r="91" spans="1:7">
      <c r="A91" s="82"/>
      <c r="B91" s="82"/>
      <c r="C91" s="82"/>
      <c r="D91" s="82"/>
      <c r="E91" s="82"/>
      <c r="F91" s="82"/>
      <c r="G91" s="82"/>
    </row>
    <row r="92" spans="1:7">
      <c r="A92" s="82"/>
      <c r="B92" s="82"/>
      <c r="C92" s="82"/>
      <c r="D92" s="82"/>
      <c r="E92" s="82"/>
      <c r="F92" s="82"/>
      <c r="G92" s="82"/>
    </row>
    <row r="93" spans="1:7">
      <c r="A93" s="82"/>
      <c r="B93" s="82"/>
      <c r="C93" s="82"/>
      <c r="D93" s="82"/>
      <c r="E93" s="82"/>
      <c r="F93" s="82"/>
      <c r="G93" s="82"/>
    </row>
    <row r="94" spans="1:7">
      <c r="A94" s="82"/>
      <c r="B94" s="82"/>
      <c r="C94" s="82"/>
      <c r="D94" s="82"/>
      <c r="E94" s="82"/>
      <c r="F94" s="82"/>
      <c r="G94" s="82"/>
    </row>
    <row r="105" spans="4:4">
      <c r="D105" s="57"/>
    </row>
    <row r="106" spans="4:4">
      <c r="D106" s="57"/>
    </row>
    <row r="107" spans="4:4">
      <c r="D107" s="57"/>
    </row>
    <row r="108" spans="4:4">
      <c r="D108" s="57"/>
    </row>
    <row r="109" spans="4:4">
      <c r="D109" s="57"/>
    </row>
    <row r="110" spans="4:4">
      <c r="D110" s="57"/>
    </row>
    <row r="111" spans="4:4">
      <c r="D111" s="57"/>
    </row>
    <row r="113" spans="4:4">
      <c r="D113" s="57"/>
    </row>
    <row r="115" spans="4:4">
      <c r="D115" s="56"/>
    </row>
    <row r="117" spans="4:4">
      <c r="D117"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worksheet>
</file>

<file path=xl/worksheets/sheet118.xml><?xml version="1.0" encoding="utf-8"?>
<worksheet xmlns="http://schemas.openxmlformats.org/spreadsheetml/2006/main" xmlns:r="http://schemas.openxmlformats.org/officeDocument/2006/relationships">
  <sheetPr>
    <pageSetUpPr fitToPage="1"/>
  </sheetPr>
  <dimension ref="A1:L98"/>
  <sheetViews>
    <sheetView zoomScale="75" zoomScaleNormal="75" workbookViewId="0">
      <selection activeCell="B54" sqref="B54:I55"/>
    </sheetView>
  </sheetViews>
  <sheetFormatPr defaultRowHeight="12.75"/>
  <cols>
    <col min="1" max="1" width="1.85546875" customWidth="1"/>
    <col min="3" max="3" width="24.140625" customWidth="1"/>
    <col min="4" max="4" width="23.140625" customWidth="1"/>
    <col min="5" max="5" width="42.7109375" customWidth="1"/>
    <col min="6" max="6" width="10.42578125" customWidth="1"/>
    <col min="9" max="9" width="13.710937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386</v>
      </c>
      <c r="C6" s="7" t="str">
        <f>+E12</f>
        <v>EQIP</v>
      </c>
      <c r="D6" s="53" t="s">
        <v>810</v>
      </c>
      <c r="E6" s="110" t="s">
        <v>811</v>
      </c>
      <c r="F6" s="7" t="s">
        <v>394</v>
      </c>
      <c r="G6" s="85">
        <f>+I25</f>
        <v>219.99447803813257</v>
      </c>
    </row>
    <row r="7" spans="1:12" ht="25.5">
      <c r="A7" s="2"/>
      <c r="B7" s="54">
        <f>+B6</f>
        <v>386</v>
      </c>
      <c r="C7" s="7" t="str">
        <f>+C6</f>
        <v>EQIP</v>
      </c>
      <c r="D7" s="53" t="s">
        <v>810</v>
      </c>
      <c r="E7" s="110" t="str">
        <f>CONCATENATE(E6, "-HU")</f>
        <v xml:space="preserve"> Field Border - Introduced Grasses - Conv. Till-HU</v>
      </c>
      <c r="F7" s="7" t="str">
        <f>+F6</f>
        <v>Acre</v>
      </c>
      <c r="G7" s="85">
        <f>+J25</f>
        <v>263.99337364575911</v>
      </c>
    </row>
    <row r="8" spans="1:12">
      <c r="A8" s="2"/>
      <c r="B8" s="54">
        <v>386</v>
      </c>
      <c r="C8" s="7" t="str">
        <f>+G12</f>
        <v>WHIP</v>
      </c>
      <c r="D8" s="53" t="s">
        <v>810</v>
      </c>
      <c r="E8" s="110" t="s">
        <v>811</v>
      </c>
      <c r="F8" s="7" t="s">
        <v>394</v>
      </c>
      <c r="G8" s="85">
        <f>+K25</f>
        <v>219.99447803813257</v>
      </c>
    </row>
    <row r="9" spans="1:12" ht="25.5">
      <c r="A9" s="2"/>
      <c r="B9" s="8">
        <f>+B8</f>
        <v>386</v>
      </c>
      <c r="C9" s="10" t="str">
        <f>+C8</f>
        <v>WHIP</v>
      </c>
      <c r="D9" s="9" t="s">
        <v>810</v>
      </c>
      <c r="E9" s="111" t="str">
        <f>CONCATENATE(E6, "-HU")</f>
        <v xml:space="preserve"> Field Border - Introduced Grasses - Conv. Till-HU</v>
      </c>
      <c r="F9" s="10" t="str">
        <f>+F8</f>
        <v>Acre</v>
      </c>
      <c r="G9" s="86">
        <f>+L25</f>
        <v>263.99337364575911</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179.74082917557618</v>
      </c>
      <c r="E16" s="160">
        <f>+'[10]Payment Factors'!D14</f>
        <v>0.75</v>
      </c>
      <c r="F16" s="160">
        <f>+'[10]Payment Factors'!E14</f>
        <v>0.9</v>
      </c>
      <c r="G16" s="160">
        <f>+'[10]Payment Factors'!F14</f>
        <v>0.75</v>
      </c>
      <c r="H16" s="160">
        <f>+'[10]Payment Factors'!G14</f>
        <v>0.9</v>
      </c>
      <c r="I16" s="1154">
        <f t="shared" ref="I16:L24" si="0">+$D16*E16</f>
        <v>134.80562188168213</v>
      </c>
      <c r="J16" s="1154">
        <f t="shared" si="0"/>
        <v>161.76674625801857</v>
      </c>
      <c r="K16" s="1154">
        <f t="shared" si="0"/>
        <v>134.80562188168213</v>
      </c>
      <c r="L16" s="1155">
        <f t="shared" si="0"/>
        <v>161.76674625801857</v>
      </c>
    </row>
    <row r="17" spans="1:12">
      <c r="A17" s="2"/>
      <c r="B17" s="15" t="s">
        <v>2</v>
      </c>
      <c r="C17" s="16"/>
      <c r="D17" s="24">
        <f>+I55</f>
        <v>89.285416666666663</v>
      </c>
      <c r="E17" s="160">
        <f t="shared" ref="E17:H19" si="1">+E16</f>
        <v>0.75</v>
      </c>
      <c r="F17" s="160">
        <f t="shared" si="1"/>
        <v>0.9</v>
      </c>
      <c r="G17" s="160">
        <f t="shared" si="1"/>
        <v>0.75</v>
      </c>
      <c r="H17" s="160">
        <f t="shared" si="1"/>
        <v>0.9</v>
      </c>
      <c r="I17" s="1154">
        <f t="shared" si="0"/>
        <v>66.964062499999997</v>
      </c>
      <c r="J17" s="1154">
        <f t="shared" si="0"/>
        <v>80.356875000000002</v>
      </c>
      <c r="K17" s="1154">
        <f t="shared" si="0"/>
        <v>66.964062499999997</v>
      </c>
      <c r="L17" s="1155">
        <f t="shared" si="0"/>
        <v>80.356875000000002</v>
      </c>
    </row>
    <row r="18" spans="1:12">
      <c r="A18" s="2"/>
      <c r="B18" s="15" t="s">
        <v>3</v>
      </c>
      <c r="C18" s="16"/>
      <c r="D18" s="24">
        <f>+I70</f>
        <v>15.75625</v>
      </c>
      <c r="E18" s="160">
        <f t="shared" si="1"/>
        <v>0.75</v>
      </c>
      <c r="F18" s="160">
        <f t="shared" si="1"/>
        <v>0.9</v>
      </c>
      <c r="G18" s="160">
        <f t="shared" si="1"/>
        <v>0.75</v>
      </c>
      <c r="H18" s="160">
        <f t="shared" si="1"/>
        <v>0.9</v>
      </c>
      <c r="I18" s="1154">
        <f t="shared" si="0"/>
        <v>11.817187499999999</v>
      </c>
      <c r="J18" s="1154">
        <f t="shared" si="0"/>
        <v>14.180624999999999</v>
      </c>
      <c r="K18" s="1154">
        <f t="shared" si="0"/>
        <v>11.817187499999999</v>
      </c>
      <c r="L18" s="1155">
        <f t="shared" si="0"/>
        <v>14.180624999999999</v>
      </c>
    </row>
    <row r="19" spans="1:12">
      <c r="A19" s="2"/>
      <c r="B19" s="15" t="s">
        <v>4</v>
      </c>
      <c r="C19" s="16"/>
      <c r="D19" s="24">
        <f>+I76</f>
        <v>8.5434748752672842</v>
      </c>
      <c r="E19" s="160">
        <f t="shared" si="1"/>
        <v>0.75</v>
      </c>
      <c r="F19" s="160">
        <f t="shared" si="1"/>
        <v>0.9</v>
      </c>
      <c r="G19" s="160">
        <f t="shared" si="1"/>
        <v>0.75</v>
      </c>
      <c r="H19" s="160">
        <f t="shared" si="1"/>
        <v>0.9</v>
      </c>
      <c r="I19" s="1154">
        <f t="shared" si="0"/>
        <v>6.4076061564504627</v>
      </c>
      <c r="J19" s="1154">
        <f t="shared" si="0"/>
        <v>7.6891273877405562</v>
      </c>
      <c r="K19" s="1154">
        <f t="shared" si="0"/>
        <v>6.4076061564504627</v>
      </c>
      <c r="L19" s="1155">
        <f t="shared" si="0"/>
        <v>7.6891273877405562</v>
      </c>
    </row>
    <row r="20" spans="1:12">
      <c r="A20" s="2"/>
      <c r="B20" s="15" t="s">
        <v>26</v>
      </c>
      <c r="C20" s="16"/>
      <c r="D20" s="24">
        <f>+I79</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+I85</f>
        <v>80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388.82597071751013</v>
      </c>
      <c r="E25" s="1158"/>
      <c r="F25" s="1158"/>
      <c r="G25" s="28"/>
      <c r="H25" s="28"/>
      <c r="I25" s="1159">
        <f>SUM(I16:I24)</f>
        <v>219.99447803813257</v>
      </c>
      <c r="J25" s="1159">
        <f>SUM(J16:J24)</f>
        <v>263.99337364575911</v>
      </c>
      <c r="K25" s="1159">
        <f>SUM(K16:K24)</f>
        <v>219.99447803813257</v>
      </c>
      <c r="L25" s="1160">
        <f>SUM(L16:L24)</f>
        <v>263.99337364575911</v>
      </c>
    </row>
    <row r="27" spans="1:12" ht="15.75">
      <c r="A27" s="2"/>
      <c r="B27" s="50" t="s">
        <v>28</v>
      </c>
      <c r="C27" s="2"/>
      <c r="D27" s="2"/>
      <c r="E27" s="2"/>
      <c r="F27" s="2"/>
      <c r="G27" s="2"/>
      <c r="H27" s="2"/>
      <c r="I27" s="5"/>
    </row>
    <row r="28" spans="1:12">
      <c r="A28" s="2"/>
      <c r="B28" s="29" t="s">
        <v>476</v>
      </c>
      <c r="C28" s="30"/>
      <c r="D28" s="30"/>
      <c r="E28" s="31"/>
      <c r="F28" s="31"/>
      <c r="G28" s="31"/>
      <c r="H28" s="31"/>
      <c r="I28" s="32"/>
    </row>
    <row r="29" spans="1:12">
      <c r="A29" s="2"/>
      <c r="B29" s="1161" t="s">
        <v>443</v>
      </c>
      <c r="C29" s="34"/>
      <c r="D29" s="34"/>
      <c r="E29" s="35"/>
      <c r="F29" s="35"/>
      <c r="G29" s="35"/>
      <c r="H29" s="35"/>
      <c r="I29" s="36"/>
    </row>
    <row r="30" spans="1:12">
      <c r="A30" s="2"/>
      <c r="B30" s="37" t="s">
        <v>477</v>
      </c>
      <c r="C30" s="34"/>
      <c r="D30" s="34"/>
      <c r="E30" s="35"/>
      <c r="F30" s="1163"/>
      <c r="G30" s="35"/>
      <c r="H30" s="35"/>
      <c r="I30" s="36"/>
    </row>
    <row r="31" spans="1:12">
      <c r="A31" s="2"/>
      <c r="B31" s="1161" t="s">
        <v>478</v>
      </c>
      <c r="C31" s="34"/>
      <c r="D31" s="34"/>
      <c r="E31" s="35"/>
      <c r="F31" s="35"/>
      <c r="G31" s="35"/>
      <c r="H31" s="35"/>
      <c r="I31" s="36"/>
    </row>
    <row r="32" spans="1:12">
      <c r="A32" s="2"/>
      <c r="B32" s="37" t="s">
        <v>446</v>
      </c>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+F42*E42</f>
        <v>0</v>
      </c>
      <c r="H42" s="35"/>
      <c r="I42" s="47"/>
    </row>
    <row r="43" spans="1:9">
      <c r="A43" s="2"/>
      <c r="B43" s="40" t="s">
        <v>451</v>
      </c>
      <c r="C43" s="6"/>
      <c r="D43" s="1168" t="s">
        <v>452</v>
      </c>
      <c r="E43" s="1169">
        <f>+'[27]Core Rates'!C203</f>
        <v>8.75</v>
      </c>
      <c r="F43" s="1170">
        <v>2</v>
      </c>
      <c r="G43" s="1171">
        <f t="shared" ref="G43:G49" si="2">+F43*E43</f>
        <v>17.5</v>
      </c>
      <c r="H43" s="35"/>
      <c r="I43" s="36"/>
    </row>
    <row r="44" spans="1:9">
      <c r="A44" s="2"/>
      <c r="B44" s="1184" t="s">
        <v>453</v>
      </c>
      <c r="C44" s="6"/>
      <c r="D44" s="1185" t="s">
        <v>454</v>
      </c>
      <c r="E44" s="1169">
        <f>+'[27]Core Rates'!C228</f>
        <v>0.82427536231884069</v>
      </c>
      <c r="F44" s="1170">
        <v>50</v>
      </c>
      <c r="G44" s="1171">
        <f t="shared" si="2"/>
        <v>41.213768115942031</v>
      </c>
      <c r="H44" s="35"/>
      <c r="I44" s="36"/>
    </row>
    <row r="45" spans="1:9">
      <c r="A45" s="2"/>
      <c r="B45" s="1186" t="s">
        <v>455</v>
      </c>
      <c r="C45" s="1187"/>
      <c r="D45" s="1185" t="s">
        <v>454</v>
      </c>
      <c r="E45" s="1169">
        <f>+'[27]Core Rates'!C235</f>
        <v>1.1702898550724636</v>
      </c>
      <c r="F45" s="1170">
        <v>50</v>
      </c>
      <c r="G45" s="1171">
        <f t="shared" si="2"/>
        <v>58.51449275362318</v>
      </c>
      <c r="H45" s="35"/>
      <c r="I45" s="36"/>
    </row>
    <row r="46" spans="1:9">
      <c r="A46" s="2"/>
      <c r="B46" s="1186" t="s">
        <v>456</v>
      </c>
      <c r="C46" s="1187"/>
      <c r="D46" s="1168" t="s">
        <v>454</v>
      </c>
      <c r="E46" s="1169">
        <f>+'[27]Core Rates'!C246</f>
        <v>0.58825136612021856</v>
      </c>
      <c r="F46" s="1170">
        <v>50</v>
      </c>
      <c r="G46" s="1171">
        <f t="shared" si="2"/>
        <v>29.412568306010929</v>
      </c>
      <c r="H46" s="35"/>
      <c r="I46" s="36"/>
    </row>
    <row r="47" spans="1:9">
      <c r="A47" s="2"/>
      <c r="B47" s="1186" t="s">
        <v>479</v>
      </c>
      <c r="C47" s="1187"/>
      <c r="D47" s="1185" t="s">
        <v>454</v>
      </c>
      <c r="E47" s="1169">
        <f>+'[27]Core Rates 2011'!BE307</f>
        <v>1.68</v>
      </c>
      <c r="F47" s="1170">
        <v>10</v>
      </c>
      <c r="G47" s="1171">
        <f t="shared" si="2"/>
        <v>16.8</v>
      </c>
      <c r="H47" s="35"/>
      <c r="I47" s="36"/>
    </row>
    <row r="48" spans="1:9">
      <c r="A48" s="2"/>
      <c r="B48" s="1186" t="s">
        <v>480</v>
      </c>
      <c r="C48" s="1187"/>
      <c r="D48" s="1185" t="s">
        <v>454</v>
      </c>
      <c r="E48" s="1169">
        <f>+'[27]Core Rates 2011'!BE308</f>
        <v>1.61</v>
      </c>
      <c r="F48" s="1170">
        <v>5</v>
      </c>
      <c r="G48" s="1171">
        <f t="shared" si="2"/>
        <v>8.0500000000000007</v>
      </c>
      <c r="H48" s="35"/>
      <c r="I48" s="36"/>
    </row>
    <row r="49" spans="1:9">
      <c r="A49" s="2"/>
      <c r="B49" s="1186" t="s">
        <v>481</v>
      </c>
      <c r="C49" s="1187"/>
      <c r="D49" s="1185" t="s">
        <v>454</v>
      </c>
      <c r="E49" s="1169">
        <f>+'[27]Core Rates 2011'!BE309</f>
        <v>2.75</v>
      </c>
      <c r="F49" s="1170">
        <v>3</v>
      </c>
      <c r="G49" s="1171">
        <f t="shared" si="2"/>
        <v>8.25</v>
      </c>
      <c r="H49" s="35"/>
      <c r="I49" s="36"/>
    </row>
    <row r="50" spans="1:9">
      <c r="A50" s="2"/>
      <c r="B50" s="1172"/>
      <c r="C50" s="6"/>
      <c r="D50" s="1173"/>
      <c r="E50" s="35"/>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(SUM(G57:G63)*0.85)</f>
        <v>89.285416666666663</v>
      </c>
    </row>
    <row r="56" spans="1:9">
      <c r="A56" s="2"/>
      <c r="B56" s="1174"/>
      <c r="C56" s="35"/>
      <c r="D56" s="1167" t="s">
        <v>447</v>
      </c>
      <c r="E56" s="1167" t="s">
        <v>448</v>
      </c>
      <c r="F56" s="1167" t="s">
        <v>449</v>
      </c>
      <c r="G56" s="1167" t="s">
        <v>450</v>
      </c>
      <c r="H56" s="35"/>
      <c r="I56" s="46"/>
    </row>
    <row r="57" spans="1:9">
      <c r="A57" s="2"/>
      <c r="B57" s="1191" t="str">
        <f>+'[27]Core Rates'!A99</f>
        <v>Disking</v>
      </c>
      <c r="C57" s="6"/>
      <c r="D57" s="1168" t="s">
        <v>408</v>
      </c>
      <c r="E57" s="1169">
        <f>+'[27]Core Rates'!C99</f>
        <v>15</v>
      </c>
      <c r="F57" s="1170">
        <v>2</v>
      </c>
      <c r="G57" s="1171">
        <f t="shared" ref="G57:G63" si="3">+F57*E57</f>
        <v>30</v>
      </c>
      <c r="H57" s="35"/>
      <c r="I57" s="47"/>
    </row>
    <row r="58" spans="1:9">
      <c r="A58" s="2"/>
      <c r="B58" s="40" t="s">
        <v>482</v>
      </c>
      <c r="C58" s="6"/>
      <c r="D58" s="1168" t="s">
        <v>408</v>
      </c>
      <c r="E58" s="1169">
        <f>+'[27]Core Rates'!C144</f>
        <v>10.5</v>
      </c>
      <c r="F58" s="1170">
        <v>1</v>
      </c>
      <c r="G58" s="1171">
        <f t="shared" si="3"/>
        <v>10.5</v>
      </c>
      <c r="H58" s="35"/>
      <c r="I58" s="47"/>
    </row>
    <row r="59" spans="1:9">
      <c r="A59" s="2"/>
      <c r="B59" s="40" t="s">
        <v>461</v>
      </c>
      <c r="C59" s="6"/>
      <c r="D59" s="1168" t="s">
        <v>408</v>
      </c>
      <c r="E59" s="1169">
        <f>+'[27]Core Rates'!C104</f>
        <v>20</v>
      </c>
      <c r="F59" s="1170">
        <v>1</v>
      </c>
      <c r="G59" s="1171">
        <f t="shared" si="3"/>
        <v>20</v>
      </c>
      <c r="H59" s="35"/>
      <c r="I59" s="47"/>
    </row>
    <row r="60" spans="1:9">
      <c r="A60" s="2"/>
      <c r="B60" s="1191" t="str">
        <f>+'[27]Core Rates'!A216</f>
        <v>Mowing</v>
      </c>
      <c r="C60" s="6"/>
      <c r="D60" s="1189" t="s">
        <v>408</v>
      </c>
      <c r="E60" s="1189">
        <f>+'[27]Core Rates'!C216</f>
        <v>15.5</v>
      </c>
      <c r="F60" s="1170">
        <v>1</v>
      </c>
      <c r="G60" s="1171">
        <f t="shared" si="3"/>
        <v>15.5</v>
      </c>
      <c r="H60" s="35"/>
      <c r="I60" s="47"/>
    </row>
    <row r="61" spans="1:9">
      <c r="A61" s="2"/>
      <c r="B61" s="40" t="s">
        <v>462</v>
      </c>
      <c r="C61" s="6"/>
      <c r="D61" s="1168" t="s">
        <v>408</v>
      </c>
      <c r="E61" s="1169">
        <f>+'[27]Core Rates'!AN33</f>
        <v>5.416666666666667</v>
      </c>
      <c r="F61" s="1170">
        <v>1</v>
      </c>
      <c r="G61" s="1171">
        <f t="shared" si="3"/>
        <v>5.416666666666667</v>
      </c>
      <c r="H61" s="35"/>
      <c r="I61" s="47"/>
    </row>
    <row r="62" spans="1:9">
      <c r="A62" s="2"/>
      <c r="B62" s="40" t="s">
        <v>463</v>
      </c>
      <c r="C62" s="6"/>
      <c r="D62" s="1168" t="s">
        <v>452</v>
      </c>
      <c r="E62" s="1169">
        <f>+'[27]Core Rates'!AN34</f>
        <v>5.5</v>
      </c>
      <c r="F62" s="1170">
        <v>2</v>
      </c>
      <c r="G62" s="1171">
        <f t="shared" si="3"/>
        <v>11</v>
      </c>
      <c r="H62" s="35"/>
      <c r="I62" s="47"/>
    </row>
    <row r="63" spans="1:9">
      <c r="A63" s="2"/>
      <c r="B63" s="40" t="s">
        <v>464</v>
      </c>
      <c r="C63" s="6"/>
      <c r="D63" s="1168" t="s">
        <v>452</v>
      </c>
      <c r="E63" s="1169">
        <f>+'[27]Core Rates'!AN32</f>
        <v>6.3125</v>
      </c>
      <c r="F63" s="1170">
        <v>2</v>
      </c>
      <c r="G63" s="1171">
        <f t="shared" si="3"/>
        <v>12.625</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457</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15.75625</v>
      </c>
    </row>
    <row r="71" spans="1:9">
      <c r="A71" s="2"/>
      <c r="B71" s="2007" t="s">
        <v>465</v>
      </c>
      <c r="C71" s="2008"/>
      <c r="D71" s="35"/>
      <c r="E71" s="35"/>
      <c r="F71" s="35"/>
      <c r="G71" s="35"/>
      <c r="H71" s="35"/>
      <c r="I71" s="48"/>
    </row>
    <row r="72" spans="1:9">
      <c r="A72" s="2"/>
      <c r="B72" s="37" t="s">
        <v>466</v>
      </c>
      <c r="C72" s="39"/>
      <c r="D72" s="39"/>
      <c r="E72" s="153">
        <f>SUM(G57:G63)*0.15</f>
        <v>15.75625</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0.03*(I40+I55+I70)</f>
        <v>8.5434748752672842</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+'[27]Core Rates'!C216</f>
        <v>15.5</v>
      </c>
    </row>
    <row r="80" spans="1:9">
      <c r="A80" s="2"/>
      <c r="B80" s="33" t="s">
        <v>469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470</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80</v>
      </c>
    </row>
    <row r="86" spans="1:9">
      <c r="A86" s="2"/>
      <c r="B86" s="756" t="s">
        <v>812</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104</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+I40+I55+I70+I76+I82+I92</f>
        <v>293.32597071751013</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388.82597071751013</v>
      </c>
    </row>
  </sheetData>
  <mergeCells count="4">
    <mergeCell ref="B1:D1"/>
    <mergeCell ref="E55:H55"/>
    <mergeCell ref="B66:I67"/>
    <mergeCell ref="B71:C71"/>
  </mergeCells>
  <pageMargins left="0.75" right="0.75" top="1" bottom="1" header="0.5" footer="0.5"/>
  <pageSetup scale="51" orientation="portrait" r:id="rId1"/>
  <headerFooter alignWithMargins="0"/>
</worksheet>
</file>

<file path=xl/worksheets/sheet119.xml><?xml version="1.0" encoding="utf-8"?>
<worksheet xmlns="http://schemas.openxmlformats.org/spreadsheetml/2006/main" xmlns:r="http://schemas.openxmlformats.org/officeDocument/2006/relationships">
  <sheetPr>
    <pageSetUpPr fitToPage="1"/>
  </sheetPr>
  <dimension ref="A1:L97"/>
  <sheetViews>
    <sheetView zoomScale="75" zoomScaleNormal="75" workbookViewId="0">
      <selection activeCell="B54" sqref="B54:I55"/>
    </sheetView>
  </sheetViews>
  <sheetFormatPr defaultRowHeight="12.75"/>
  <cols>
    <col min="1" max="1" width="1.85546875" customWidth="1"/>
    <col min="3" max="3" width="24.140625" customWidth="1"/>
    <col min="4" max="4" width="23.140625" customWidth="1"/>
    <col min="5" max="5" width="42.7109375"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386</v>
      </c>
      <c r="C6" s="7" t="str">
        <f>+E12</f>
        <v>EQIP</v>
      </c>
      <c r="D6" s="53" t="s">
        <v>810</v>
      </c>
      <c r="E6" s="110" t="s">
        <v>813</v>
      </c>
      <c r="F6" s="7" t="s">
        <v>394</v>
      </c>
      <c r="G6" s="85">
        <f>+I25</f>
        <v>245.10072803813259</v>
      </c>
    </row>
    <row r="7" spans="1:12">
      <c r="A7" s="2"/>
      <c r="B7" s="54">
        <f>+B6</f>
        <v>386</v>
      </c>
      <c r="C7" s="7" t="str">
        <f>+C6</f>
        <v>EQIP</v>
      </c>
      <c r="D7" s="53" t="s">
        <v>810</v>
      </c>
      <c r="E7" s="110" t="str">
        <f>CONCATENATE(E6, "-HU")</f>
        <v xml:space="preserve"> Field Border - Introduced Grasses - No Till-HU</v>
      </c>
      <c r="F7" s="7" t="str">
        <f>+F6</f>
        <v>Acre</v>
      </c>
      <c r="G7" s="85">
        <f>+J25</f>
        <v>294.1208736457591</v>
      </c>
    </row>
    <row r="8" spans="1:12">
      <c r="A8" s="2"/>
      <c r="B8" s="54">
        <v>386</v>
      </c>
      <c r="C8" s="7" t="str">
        <f>+G12</f>
        <v>WHIP</v>
      </c>
      <c r="D8" s="53" t="s">
        <v>810</v>
      </c>
      <c r="E8" s="110" t="s">
        <v>813</v>
      </c>
      <c r="F8" s="7" t="s">
        <v>394</v>
      </c>
      <c r="G8" s="85">
        <f>+K25</f>
        <v>245.10072803813259</v>
      </c>
    </row>
    <row r="9" spans="1:12">
      <c r="A9" s="2"/>
      <c r="B9" s="8">
        <f>+B8</f>
        <v>386</v>
      </c>
      <c r="C9" s="10" t="str">
        <f>+C8</f>
        <v>WHIP</v>
      </c>
      <c r="D9" s="9" t="s">
        <v>810</v>
      </c>
      <c r="E9" s="111" t="str">
        <f>CONCATENATE(E6, "-HU")</f>
        <v xml:space="preserve"> Field Border - Introduced Grasses - No Till-HU</v>
      </c>
      <c r="F9" s="10" t="str">
        <f>+F8</f>
        <v>Acre</v>
      </c>
      <c r="G9" s="86">
        <f>+L25</f>
        <v>294.1208736457591</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179.74082917557618</v>
      </c>
      <c r="E16" s="160">
        <f>+'[10]Payment Factors'!D14</f>
        <v>0.75</v>
      </c>
      <c r="F16" s="160">
        <f>+'[10]Payment Factors'!E14</f>
        <v>0.9</v>
      </c>
      <c r="G16" s="160">
        <f>+'[10]Payment Factors'!F14</f>
        <v>0.75</v>
      </c>
      <c r="H16" s="160">
        <f>+'[10]Payment Factors'!G14</f>
        <v>0.9</v>
      </c>
      <c r="I16" s="1154">
        <f t="shared" ref="I16:L24" si="0">+$D16*E16</f>
        <v>134.80562188168213</v>
      </c>
      <c r="J16" s="1154">
        <f t="shared" si="0"/>
        <v>161.76674625801857</v>
      </c>
      <c r="K16" s="1154">
        <f t="shared" si="0"/>
        <v>134.80562188168213</v>
      </c>
      <c r="L16" s="1155">
        <f t="shared" si="0"/>
        <v>161.76674625801857</v>
      </c>
    </row>
    <row r="17" spans="1:12">
      <c r="A17" s="2"/>
      <c r="B17" s="15" t="s">
        <v>2</v>
      </c>
      <c r="C17" s="16"/>
      <c r="D17" s="24">
        <f>+I55</f>
        <v>116.91041666666668</v>
      </c>
      <c r="E17" s="160">
        <f t="shared" ref="E17:H19" si="1">+E16</f>
        <v>0.75</v>
      </c>
      <c r="F17" s="160">
        <f t="shared" si="1"/>
        <v>0.9</v>
      </c>
      <c r="G17" s="160">
        <f t="shared" si="1"/>
        <v>0.75</v>
      </c>
      <c r="H17" s="160">
        <f t="shared" si="1"/>
        <v>0.9</v>
      </c>
      <c r="I17" s="1154">
        <f t="shared" si="0"/>
        <v>87.682812500000011</v>
      </c>
      <c r="J17" s="1154">
        <f t="shared" si="0"/>
        <v>105.21937500000001</v>
      </c>
      <c r="K17" s="1154">
        <f t="shared" si="0"/>
        <v>87.682812500000011</v>
      </c>
      <c r="L17" s="1155">
        <f t="shared" si="0"/>
        <v>105.21937500000001</v>
      </c>
    </row>
    <row r="18" spans="1:12">
      <c r="A18" s="2"/>
      <c r="B18" s="15" t="s">
        <v>3</v>
      </c>
      <c r="C18" s="16"/>
      <c r="D18" s="24">
        <f>+I69</f>
        <v>20.631250000000001</v>
      </c>
      <c r="E18" s="160">
        <f t="shared" si="1"/>
        <v>0.75</v>
      </c>
      <c r="F18" s="160">
        <f t="shared" si="1"/>
        <v>0.9</v>
      </c>
      <c r="G18" s="160">
        <f t="shared" si="1"/>
        <v>0.75</v>
      </c>
      <c r="H18" s="160">
        <f t="shared" si="1"/>
        <v>0.9</v>
      </c>
      <c r="I18" s="1154">
        <f t="shared" si="0"/>
        <v>15.473437500000001</v>
      </c>
      <c r="J18" s="1154">
        <f t="shared" si="0"/>
        <v>18.568125000000002</v>
      </c>
      <c r="K18" s="1154">
        <f t="shared" si="0"/>
        <v>15.473437500000001</v>
      </c>
      <c r="L18" s="1155">
        <f t="shared" si="0"/>
        <v>18.568125000000002</v>
      </c>
    </row>
    <row r="19" spans="1:12">
      <c r="A19" s="2"/>
      <c r="B19" s="15" t="s">
        <v>4</v>
      </c>
      <c r="C19" s="16"/>
      <c r="D19" s="24">
        <f>+I75</f>
        <v>9.5184748752672856</v>
      </c>
      <c r="E19" s="160">
        <f t="shared" si="1"/>
        <v>0.75</v>
      </c>
      <c r="F19" s="160">
        <f t="shared" si="1"/>
        <v>0.9</v>
      </c>
      <c r="G19" s="160">
        <f t="shared" si="1"/>
        <v>0.75</v>
      </c>
      <c r="H19" s="160">
        <f t="shared" si="1"/>
        <v>0.9</v>
      </c>
      <c r="I19" s="1154">
        <f t="shared" si="0"/>
        <v>7.1388561564504638</v>
      </c>
      <c r="J19" s="1154">
        <f t="shared" si="0"/>
        <v>8.5666273877405565</v>
      </c>
      <c r="K19" s="1154">
        <f t="shared" si="0"/>
        <v>7.1388561564504638</v>
      </c>
      <c r="L19" s="1155">
        <f t="shared" si="0"/>
        <v>8.5666273877405565</v>
      </c>
    </row>
    <row r="20" spans="1:12">
      <c r="A20" s="2"/>
      <c r="B20" s="15" t="s">
        <v>26</v>
      </c>
      <c r="C20" s="16"/>
      <c r="D20" s="24">
        <f>+I78</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+I84</f>
        <v>80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422.30097071751015</v>
      </c>
      <c r="E25" s="1158"/>
      <c r="F25" s="1158"/>
      <c r="G25" s="28"/>
      <c r="H25" s="28"/>
      <c r="I25" s="1159">
        <f>SUM(I16:I24)</f>
        <v>245.10072803813259</v>
      </c>
      <c r="J25" s="1159">
        <f>SUM(J16:J24)</f>
        <v>294.1208736457591</v>
      </c>
      <c r="K25" s="1159">
        <f>SUM(K16:K24)</f>
        <v>245.10072803813259</v>
      </c>
      <c r="L25" s="1160">
        <f>SUM(L16:L24)</f>
        <v>294.1208736457591</v>
      </c>
    </row>
    <row r="27" spans="1:12" ht="15.75">
      <c r="A27" s="2"/>
      <c r="B27" s="50" t="s">
        <v>28</v>
      </c>
      <c r="C27" s="2"/>
      <c r="D27" s="2"/>
      <c r="E27" s="2"/>
      <c r="F27" s="2"/>
      <c r="G27" s="2"/>
      <c r="H27" s="2"/>
      <c r="I27" s="5"/>
    </row>
    <row r="28" spans="1:12">
      <c r="A28" s="2"/>
      <c r="B28" s="29" t="s">
        <v>485</v>
      </c>
      <c r="C28" s="30"/>
      <c r="D28" s="30"/>
      <c r="E28" s="31"/>
      <c r="F28" s="31"/>
      <c r="G28" s="31"/>
      <c r="H28" s="31"/>
      <c r="I28" s="32"/>
    </row>
    <row r="29" spans="1:12">
      <c r="A29" s="2"/>
      <c r="B29" s="1161" t="s">
        <v>443</v>
      </c>
      <c r="C29" s="34"/>
      <c r="D29" s="34"/>
      <c r="E29" s="35"/>
      <c r="F29" s="35"/>
      <c r="G29" s="35"/>
      <c r="H29" s="35"/>
      <c r="I29" s="36"/>
    </row>
    <row r="30" spans="1:12">
      <c r="A30" s="2"/>
      <c r="B30" s="37" t="s">
        <v>477</v>
      </c>
      <c r="C30" s="34"/>
      <c r="D30" s="34"/>
      <c r="E30" s="35"/>
      <c r="F30" s="1163"/>
      <c r="G30" s="35"/>
      <c r="H30" s="35"/>
      <c r="I30" s="36"/>
    </row>
    <row r="31" spans="1:12">
      <c r="A31" s="2"/>
      <c r="B31" s="1161" t="s">
        <v>478</v>
      </c>
      <c r="C31" s="34"/>
      <c r="D31" s="34"/>
      <c r="E31" s="35"/>
      <c r="F31" s="35"/>
      <c r="G31" s="35"/>
      <c r="H31" s="35"/>
      <c r="I31" s="36"/>
    </row>
    <row r="32" spans="1:12">
      <c r="A32" s="2"/>
      <c r="B32" s="37" t="s">
        <v>446</v>
      </c>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+'[27]Core Rates'!C203</f>
        <v>8.75</v>
      </c>
      <c r="F43" s="1170">
        <v>2</v>
      </c>
      <c r="G43" s="1171">
        <f t="shared" si="2"/>
        <v>17.5</v>
      </c>
      <c r="H43" s="35"/>
      <c r="I43" s="36"/>
    </row>
    <row r="44" spans="1:9">
      <c r="A44" s="2"/>
      <c r="B44" s="1184" t="s">
        <v>453</v>
      </c>
      <c r="C44" s="6"/>
      <c r="D44" s="1185" t="s">
        <v>454</v>
      </c>
      <c r="E44" s="1169">
        <f>+'[27]Core Rates'!C228</f>
        <v>0.82427536231884069</v>
      </c>
      <c r="F44" s="1170">
        <v>50</v>
      </c>
      <c r="G44" s="1171">
        <f t="shared" si="2"/>
        <v>41.213768115942031</v>
      </c>
      <c r="H44" s="35"/>
      <c r="I44" s="36"/>
    </row>
    <row r="45" spans="1:9">
      <c r="A45" s="2"/>
      <c r="B45" s="1186" t="s">
        <v>455</v>
      </c>
      <c r="C45" s="1187"/>
      <c r="D45" s="1185" t="s">
        <v>454</v>
      </c>
      <c r="E45" s="1169">
        <f>+'[27]Core Rates'!C235</f>
        <v>1.1702898550724636</v>
      </c>
      <c r="F45" s="1170">
        <v>50</v>
      </c>
      <c r="G45" s="1171">
        <f t="shared" si="2"/>
        <v>58.51449275362318</v>
      </c>
      <c r="H45" s="35"/>
      <c r="I45" s="36"/>
    </row>
    <row r="46" spans="1:9">
      <c r="A46" s="2"/>
      <c r="B46" s="1186" t="s">
        <v>456</v>
      </c>
      <c r="C46" s="1187"/>
      <c r="D46" s="1168" t="s">
        <v>454</v>
      </c>
      <c r="E46" s="1169">
        <f>+'[27]Core Rates'!C246</f>
        <v>0.58825136612021856</v>
      </c>
      <c r="F46" s="1170">
        <v>50</v>
      </c>
      <c r="G46" s="1171">
        <f t="shared" si="2"/>
        <v>29.412568306010929</v>
      </c>
      <c r="H46" s="35"/>
      <c r="I46" s="36"/>
    </row>
    <row r="47" spans="1:9">
      <c r="A47" s="2"/>
      <c r="B47" s="1186" t="s">
        <v>479</v>
      </c>
      <c r="C47" s="1187"/>
      <c r="D47" s="1185" t="s">
        <v>454</v>
      </c>
      <c r="E47" s="1169">
        <f>+'[27]Core Rates 2011'!BE307</f>
        <v>1.68</v>
      </c>
      <c r="F47" s="1170">
        <v>10</v>
      </c>
      <c r="G47" s="1171">
        <f t="shared" si="2"/>
        <v>16.8</v>
      </c>
      <c r="H47" s="35"/>
      <c r="I47" s="36"/>
    </row>
    <row r="48" spans="1:9">
      <c r="A48" s="2"/>
      <c r="B48" s="1186" t="s">
        <v>480</v>
      </c>
      <c r="C48" s="1187"/>
      <c r="D48" s="1185" t="s">
        <v>454</v>
      </c>
      <c r="E48" s="1169">
        <f>+'[27]Core Rates 2011'!BE308</f>
        <v>1.61</v>
      </c>
      <c r="F48" s="1170">
        <v>5</v>
      </c>
      <c r="G48" s="1171">
        <f t="shared" si="2"/>
        <v>8.0500000000000007</v>
      </c>
      <c r="H48" s="35"/>
      <c r="I48" s="36"/>
    </row>
    <row r="49" spans="1:9">
      <c r="A49" s="2"/>
      <c r="B49" s="1184" t="str">
        <f>+'[27]Core Rates'!A312</f>
        <v>Seed (Red Clover)</v>
      </c>
      <c r="C49" s="1187"/>
      <c r="D49" s="1185" t="s">
        <v>454</v>
      </c>
      <c r="E49" s="1169">
        <f>+'[27]Core Rates 2011'!BE309</f>
        <v>2.75</v>
      </c>
      <c r="F49" s="1170">
        <v>3</v>
      </c>
      <c r="G49" s="1171">
        <f t="shared" si="2"/>
        <v>8.25</v>
      </c>
      <c r="H49" s="35"/>
      <c r="I49" s="36"/>
    </row>
    <row r="50" spans="1:9">
      <c r="A50" s="2"/>
      <c r="B50" s="1172"/>
      <c r="C50" s="6"/>
      <c r="D50" s="1173"/>
      <c r="E50" s="35"/>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(SUM(G57:G62)*0.85)</f>
        <v>116.91041666666668</v>
      </c>
    </row>
    <row r="56" spans="1:9">
      <c r="A56" s="2"/>
      <c r="B56" s="1174"/>
      <c r="C56" s="35"/>
      <c r="D56" s="1167" t="s">
        <v>447</v>
      </c>
      <c r="E56" s="1167" t="s">
        <v>448</v>
      </c>
      <c r="F56" s="1167" t="s">
        <v>449</v>
      </c>
      <c r="G56" s="1167" t="s">
        <v>450</v>
      </c>
      <c r="H56" s="35"/>
      <c r="I56" s="46"/>
    </row>
    <row r="57" spans="1:9">
      <c r="A57" s="2"/>
      <c r="B57" s="1191" t="s">
        <v>460</v>
      </c>
      <c r="C57" s="6"/>
      <c r="D57" s="1168" t="s">
        <v>408</v>
      </c>
      <c r="E57" s="1169">
        <f>+'[27]Core Rates 2011'!BE146</f>
        <v>36.5</v>
      </c>
      <c r="F57" s="1170">
        <v>2</v>
      </c>
      <c r="G57" s="1171">
        <f t="shared" ref="G57:G62" si="3">+F57*E57</f>
        <v>73</v>
      </c>
      <c r="H57" s="35"/>
      <c r="I57" s="47"/>
    </row>
    <row r="58" spans="1:9">
      <c r="A58" s="2"/>
      <c r="B58" s="40" t="s">
        <v>461</v>
      </c>
      <c r="C58" s="6"/>
      <c r="D58" s="1168" t="s">
        <v>408</v>
      </c>
      <c r="E58" s="1169">
        <f>+'[27]Core Rates'!C104</f>
        <v>20</v>
      </c>
      <c r="F58" s="1170">
        <v>1</v>
      </c>
      <c r="G58" s="1171">
        <f t="shared" si="3"/>
        <v>20</v>
      </c>
      <c r="H58" s="35"/>
      <c r="I58" s="47"/>
    </row>
    <row r="59" spans="1:9">
      <c r="A59" s="2"/>
      <c r="B59" s="1191" t="str">
        <f>+'[27]Core Rates'!A216</f>
        <v>Mowing</v>
      </c>
      <c r="C59" s="6"/>
      <c r="D59" s="1189" t="s">
        <v>408</v>
      </c>
      <c r="E59" s="1189">
        <f>+'[27]Core Rates'!C216</f>
        <v>15.5</v>
      </c>
      <c r="F59" s="1170">
        <v>1</v>
      </c>
      <c r="G59" s="1171">
        <f t="shared" si="3"/>
        <v>15.5</v>
      </c>
      <c r="H59" s="35"/>
      <c r="I59" s="47"/>
    </row>
    <row r="60" spans="1:9">
      <c r="A60" s="2"/>
      <c r="B60" s="40" t="s">
        <v>462</v>
      </c>
      <c r="C60" s="6"/>
      <c r="D60" s="1168" t="s">
        <v>408</v>
      </c>
      <c r="E60" s="1169">
        <f>+'[27]Core Rates'!AN33</f>
        <v>5.416666666666667</v>
      </c>
      <c r="F60" s="1170">
        <v>1</v>
      </c>
      <c r="G60" s="1171">
        <f t="shared" si="3"/>
        <v>5.416666666666667</v>
      </c>
      <c r="H60" s="35"/>
      <c r="I60" s="47"/>
    </row>
    <row r="61" spans="1:9">
      <c r="A61" s="2"/>
      <c r="B61" s="40" t="s">
        <v>463</v>
      </c>
      <c r="C61" s="6"/>
      <c r="D61" s="1168" t="s">
        <v>452</v>
      </c>
      <c r="E61" s="1169">
        <f>+'[27]Core Rates'!AN34</f>
        <v>5.5</v>
      </c>
      <c r="F61" s="1170">
        <v>2</v>
      </c>
      <c r="G61" s="1171">
        <f t="shared" si="3"/>
        <v>11</v>
      </c>
      <c r="H61" s="35"/>
      <c r="I61" s="47"/>
    </row>
    <row r="62" spans="1:9">
      <c r="A62" s="2"/>
      <c r="B62" s="40" t="s">
        <v>464</v>
      </c>
      <c r="C62" s="6"/>
      <c r="D62" s="1168" t="s">
        <v>452</v>
      </c>
      <c r="E62" s="1169">
        <f>+'[27]Core Rates'!AN32</f>
        <v>6.3125</v>
      </c>
      <c r="F62" s="1170">
        <v>2</v>
      </c>
      <c r="G62" s="1171">
        <f t="shared" si="3"/>
        <v>12.625</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20.631250000000001</v>
      </c>
    </row>
    <row r="70" spans="1:9">
      <c r="A70" s="2"/>
      <c r="B70" s="2007" t="s">
        <v>465</v>
      </c>
      <c r="C70" s="2008"/>
      <c r="D70" s="35"/>
      <c r="E70" s="35"/>
      <c r="F70" s="35"/>
      <c r="G70" s="35"/>
      <c r="H70" s="35"/>
      <c r="I70" s="48"/>
    </row>
    <row r="71" spans="1:9">
      <c r="A71" s="2"/>
      <c r="B71" s="37" t="s">
        <v>466</v>
      </c>
      <c r="C71" s="39"/>
      <c r="D71" s="39"/>
      <c r="E71" s="153">
        <f>SUM(G57:G62)*0.15</f>
        <v>20.631250000000001</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0.03*(I40+I55+I69)</f>
        <v>9.5184748752672856</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+'[27]Core Rates'!C216</f>
        <v>15.5</v>
      </c>
    </row>
    <row r="79" spans="1:9">
      <c r="A79" s="2"/>
      <c r="B79" s="33" t="s">
        <v>469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470</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80</v>
      </c>
    </row>
    <row r="85" spans="1:9">
      <c r="A85" s="2"/>
      <c r="B85" s="756" t="s">
        <v>812</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104</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+I40+I55+I69+I75+I81+I91</f>
        <v>326.80097071751015</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422.30097071751015</v>
      </c>
    </row>
  </sheetData>
  <mergeCells count="4">
    <mergeCell ref="B1:D1"/>
    <mergeCell ref="E55:H55"/>
    <mergeCell ref="B65:I66"/>
    <mergeCell ref="B70:C70"/>
  </mergeCells>
  <pageMargins left="0.75" right="0.75" top="1" bottom="1" header="0.5" footer="0.5"/>
  <pageSetup scale="53" orientation="portrait" r:id="rId1"/>
  <headerFooter alignWithMargins="0"/>
</worksheet>
</file>

<file path=xl/worksheets/sheet12.xml><?xml version="1.0" encoding="utf-8"?>
<worksheet xmlns="http://schemas.openxmlformats.org/spreadsheetml/2006/main" xmlns:r="http://schemas.openxmlformats.org/officeDocument/2006/relationships">
  <dimension ref="B1:F52"/>
  <sheetViews>
    <sheetView topLeftCell="A5" workbookViewId="0">
      <selection activeCell="C17" sqref="C17"/>
    </sheetView>
  </sheetViews>
  <sheetFormatPr defaultRowHeight="12.75"/>
  <cols>
    <col min="1" max="1" width="2" customWidth="1"/>
    <col min="2" max="2" width="7.7109375" customWidth="1"/>
    <col min="3" max="3" width="63.140625" customWidth="1"/>
    <col min="4" max="4" width="14.7109375" customWidth="1"/>
    <col min="6" max="6" width="9.140625" hidden="1" customWidth="1"/>
  </cols>
  <sheetData>
    <row r="1" spans="2:3" ht="12.75" customHeight="1"/>
    <row r="3" spans="2:3">
      <c r="B3" t="s">
        <v>43</v>
      </c>
    </row>
    <row r="4" spans="2:3">
      <c r="C4" s="112" t="s">
        <v>57</v>
      </c>
    </row>
    <row r="5" spans="2:3">
      <c r="C5" s="112" t="s">
        <v>58</v>
      </c>
    </row>
    <row r="6" spans="2:3">
      <c r="C6" s="2" t="s">
        <v>59</v>
      </c>
    </row>
    <row r="8" spans="2:3">
      <c r="C8" t="s">
        <v>60</v>
      </c>
    </row>
    <row r="9" spans="2:3" ht="12.75" customHeight="1">
      <c r="C9" t="s">
        <v>61</v>
      </c>
    </row>
    <row r="10" spans="2:3">
      <c r="C10" t="s">
        <v>63</v>
      </c>
    </row>
    <row r="11" spans="2:3">
      <c r="C11" t="s">
        <v>62</v>
      </c>
    </row>
    <row r="13" spans="2:3">
      <c r="C13" s="2" t="s">
        <v>74</v>
      </c>
    </row>
    <row r="14" spans="2:3">
      <c r="B14" s="114" t="s">
        <v>73</v>
      </c>
    </row>
    <row r="17" ht="12.75" customHeight="1"/>
    <row r="35" ht="12.75" customHeight="1"/>
    <row r="38" ht="12.75" customHeight="1"/>
    <row r="41" ht="12.75" customHeight="1"/>
    <row r="46" ht="12.75" customHeight="1"/>
    <row r="49" ht="12.75" customHeight="1"/>
    <row r="52" ht="12.75" customHeight="1"/>
  </sheetData>
  <hyperlinks>
    <hyperlink ref="B14" r:id="rId1"/>
  </hyperlinks>
  <pageMargins left="0.47" right="0.42" top="0.75" bottom="0.75" header="0.3" footer="0.3"/>
  <pageSetup orientation="portrait" r:id="rId2"/>
</worksheet>
</file>

<file path=xl/worksheets/sheet120.xml><?xml version="1.0" encoding="utf-8"?>
<worksheet xmlns="http://schemas.openxmlformats.org/spreadsheetml/2006/main" xmlns:r="http://schemas.openxmlformats.org/officeDocument/2006/relationships">
  <sheetPr>
    <pageSetUpPr fitToPage="1"/>
  </sheetPr>
  <dimension ref="A1:L98"/>
  <sheetViews>
    <sheetView zoomScale="75" zoomScaleNormal="75" workbookViewId="0">
      <selection activeCell="B54" sqref="B54:I55"/>
    </sheetView>
  </sheetViews>
  <sheetFormatPr defaultRowHeight="12.75"/>
  <cols>
    <col min="1" max="1" width="1.85546875" customWidth="1"/>
    <col min="3" max="3" width="24.140625" customWidth="1"/>
    <col min="4" max="4" width="23.140625" customWidth="1"/>
    <col min="5" max="5" width="71.1406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386</v>
      </c>
      <c r="C6" s="7" t="str">
        <f>+E12</f>
        <v>EQIP</v>
      </c>
      <c r="D6" s="53" t="s">
        <v>810</v>
      </c>
      <c r="E6" s="110" t="s">
        <v>814</v>
      </c>
      <c r="F6" s="7" t="s">
        <v>394</v>
      </c>
      <c r="G6" s="85">
        <f>+I25</f>
        <v>135.26474999999999</v>
      </c>
    </row>
    <row r="7" spans="1:12">
      <c r="A7" s="2"/>
      <c r="B7" s="54">
        <f>+B6</f>
        <v>386</v>
      </c>
      <c r="C7" s="7" t="str">
        <f>+C6</f>
        <v>EQIP</v>
      </c>
      <c r="D7" s="53" t="s">
        <v>810</v>
      </c>
      <c r="E7" s="110" t="str">
        <f>CONCATENATE(E6, "-HU")</f>
        <v xml:space="preserve"> Field Border - Native Grass - Legumes - No Till-HU</v>
      </c>
      <c r="F7" s="7" t="str">
        <f>+F6</f>
        <v>Acre</v>
      </c>
      <c r="G7" s="85">
        <f>+J25</f>
        <v>162.3177</v>
      </c>
    </row>
    <row r="8" spans="1:12">
      <c r="A8" s="2"/>
      <c r="B8" s="54">
        <v>386</v>
      </c>
      <c r="C8" s="7" t="str">
        <f>+G12</f>
        <v>WHIP</v>
      </c>
      <c r="D8" s="53" t="s">
        <v>810</v>
      </c>
      <c r="E8" s="110" t="s">
        <v>814</v>
      </c>
      <c r="F8" s="7" t="s">
        <v>394</v>
      </c>
      <c r="G8" s="85">
        <f>+K25</f>
        <v>135.26474999999999</v>
      </c>
    </row>
    <row r="9" spans="1:12">
      <c r="A9" s="2"/>
      <c r="B9" s="8">
        <f>+B8</f>
        <v>386</v>
      </c>
      <c r="C9" s="10" t="str">
        <f>+C8</f>
        <v>WHIP</v>
      </c>
      <c r="D9" s="9" t="s">
        <v>810</v>
      </c>
      <c r="E9" s="111" t="str">
        <f>CONCATENATE(E6, "-HU")</f>
        <v xml:space="preserve"> Field Border - Native Grass - Legumes - No Till-HU</v>
      </c>
      <c r="F9" s="10" t="str">
        <f>+F8</f>
        <v>Acre</v>
      </c>
      <c r="G9" s="86">
        <f>+L25</f>
        <v>162.3177</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51.1</v>
      </c>
      <c r="E16" s="160">
        <f>+'[10]Payment Factors'!D14</f>
        <v>0.75</v>
      </c>
      <c r="F16" s="160">
        <f>+'[10]Payment Factors'!E14</f>
        <v>0.9</v>
      </c>
      <c r="G16" s="160">
        <f>+'[10]Payment Factors'!F14</f>
        <v>0.75</v>
      </c>
      <c r="H16" s="160">
        <f>+'[10]Payment Factors'!G14</f>
        <v>0.9</v>
      </c>
      <c r="I16" s="1154">
        <f t="shared" ref="I16:L24" si="0">+$D16*E16</f>
        <v>38.325000000000003</v>
      </c>
      <c r="J16" s="1154">
        <f t="shared" si="0"/>
        <v>45.99</v>
      </c>
      <c r="K16" s="1154">
        <f t="shared" si="0"/>
        <v>38.325000000000003</v>
      </c>
      <c r="L16" s="1155">
        <f t="shared" si="0"/>
        <v>45.99</v>
      </c>
    </row>
    <row r="17" spans="1:12">
      <c r="A17" s="2"/>
      <c r="B17" s="15" t="s">
        <v>2</v>
      </c>
      <c r="C17" s="16"/>
      <c r="D17" s="24">
        <f>+I56</f>
        <v>105.39999999999999</v>
      </c>
      <c r="E17" s="160">
        <f t="shared" ref="E17:H19" si="1">+E16</f>
        <v>0.75</v>
      </c>
      <c r="F17" s="160">
        <f t="shared" si="1"/>
        <v>0.9</v>
      </c>
      <c r="G17" s="160">
        <f t="shared" si="1"/>
        <v>0.75</v>
      </c>
      <c r="H17" s="160">
        <f t="shared" si="1"/>
        <v>0.9</v>
      </c>
      <c r="I17" s="1154">
        <f t="shared" si="0"/>
        <v>79.05</v>
      </c>
      <c r="J17" s="1154">
        <f t="shared" si="0"/>
        <v>94.86</v>
      </c>
      <c r="K17" s="1154">
        <f t="shared" si="0"/>
        <v>79.05</v>
      </c>
      <c r="L17" s="1155">
        <f t="shared" si="0"/>
        <v>94.86</v>
      </c>
    </row>
    <row r="18" spans="1:12">
      <c r="A18" s="2"/>
      <c r="B18" s="15" t="s">
        <v>3</v>
      </c>
      <c r="C18" s="16"/>
      <c r="D18" s="24">
        <f>+I70</f>
        <v>18.599999999999998</v>
      </c>
      <c r="E18" s="160">
        <f t="shared" si="1"/>
        <v>0.75</v>
      </c>
      <c r="F18" s="160">
        <f t="shared" si="1"/>
        <v>0.9</v>
      </c>
      <c r="G18" s="160">
        <f t="shared" si="1"/>
        <v>0.75</v>
      </c>
      <c r="H18" s="160">
        <f t="shared" si="1"/>
        <v>0.9</v>
      </c>
      <c r="I18" s="1154">
        <f t="shared" si="0"/>
        <v>13.95</v>
      </c>
      <c r="J18" s="1154">
        <f t="shared" si="0"/>
        <v>16.739999999999998</v>
      </c>
      <c r="K18" s="1154">
        <f t="shared" si="0"/>
        <v>13.95</v>
      </c>
      <c r="L18" s="1155">
        <f t="shared" si="0"/>
        <v>16.739999999999998</v>
      </c>
    </row>
    <row r="19" spans="1:12">
      <c r="A19" s="2"/>
      <c r="B19" s="15" t="s">
        <v>4</v>
      </c>
      <c r="C19" s="16"/>
      <c r="D19" s="24">
        <f>+I76</f>
        <v>5.2529999999999992</v>
      </c>
      <c r="E19" s="160">
        <f t="shared" si="1"/>
        <v>0.75</v>
      </c>
      <c r="F19" s="160">
        <f t="shared" si="1"/>
        <v>0.9</v>
      </c>
      <c r="G19" s="160">
        <f t="shared" si="1"/>
        <v>0.75</v>
      </c>
      <c r="H19" s="160">
        <f t="shared" si="1"/>
        <v>0.9</v>
      </c>
      <c r="I19" s="1154">
        <f t="shared" si="0"/>
        <v>3.9397499999999992</v>
      </c>
      <c r="J19" s="1154">
        <f t="shared" si="0"/>
        <v>4.7276999999999996</v>
      </c>
      <c r="K19" s="1154">
        <f t="shared" si="0"/>
        <v>3.9397499999999992</v>
      </c>
      <c r="L19" s="1155">
        <f t="shared" si="0"/>
        <v>4.7276999999999996</v>
      </c>
    </row>
    <row r="20" spans="1:12">
      <c r="A20" s="2"/>
      <c r="B20" s="15" t="s">
        <v>26</v>
      </c>
      <c r="C20" s="16"/>
      <c r="D20" s="24">
        <f>+I79</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+I85</f>
        <v>80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275.85299999999995</v>
      </c>
      <c r="E25" s="1158"/>
      <c r="F25" s="1158"/>
      <c r="G25" s="28"/>
      <c r="H25" s="28"/>
      <c r="I25" s="1159">
        <f>SUM(I16:I24)</f>
        <v>135.26474999999999</v>
      </c>
      <c r="J25" s="1159">
        <f>SUM(J16:J24)</f>
        <v>162.3177</v>
      </c>
      <c r="K25" s="1159">
        <f>SUM(K16:K24)</f>
        <v>135.26474999999999</v>
      </c>
      <c r="L25" s="1160">
        <f>SUM(L16:L24)</f>
        <v>162.3177</v>
      </c>
    </row>
    <row r="27" spans="1:12" ht="15" customHeight="1">
      <c r="A27" s="2"/>
      <c r="B27" s="50" t="s">
        <v>28</v>
      </c>
      <c r="C27" s="2"/>
      <c r="D27" s="2"/>
      <c r="E27" s="2"/>
      <c r="F27" s="2"/>
      <c r="G27" s="2"/>
      <c r="H27" s="2"/>
      <c r="I27" s="5"/>
    </row>
    <row r="28" spans="1:12">
      <c r="A28" s="2"/>
      <c r="B28" s="29" t="s">
        <v>487</v>
      </c>
      <c r="C28" s="30"/>
      <c r="D28" s="30"/>
      <c r="E28" s="31"/>
      <c r="F28" s="31"/>
      <c r="G28" s="31"/>
      <c r="H28" s="31"/>
      <c r="I28" s="32"/>
    </row>
    <row r="29" spans="1:12">
      <c r="A29" s="2"/>
      <c r="B29" s="1161" t="s">
        <v>443</v>
      </c>
      <c r="C29" s="34"/>
      <c r="D29" s="34"/>
      <c r="E29" s="35"/>
      <c r="F29" s="35"/>
      <c r="G29" s="35"/>
      <c r="H29" s="35"/>
      <c r="I29" s="36"/>
    </row>
    <row r="30" spans="1:12">
      <c r="A30" s="2"/>
      <c r="B30" s="1161" t="s">
        <v>444</v>
      </c>
      <c r="C30" s="143"/>
      <c r="D30" s="34"/>
      <c r="E30" s="35"/>
      <c r="F30" s="1163"/>
      <c r="G30" s="35"/>
      <c r="H30" s="35"/>
      <c r="I30" s="36"/>
    </row>
    <row r="31" spans="1:12">
      <c r="A31" s="2"/>
      <c r="B31" s="37" t="s">
        <v>445</v>
      </c>
      <c r="C31" s="34"/>
      <c r="D31" s="34"/>
      <c r="E31" s="35"/>
      <c r="F31" s="35"/>
      <c r="G31" s="35"/>
      <c r="H31" s="35"/>
      <c r="I31" s="36"/>
    </row>
    <row r="32" spans="1:12">
      <c r="A32" s="2"/>
      <c r="B32" s="37" t="s">
        <v>446</v>
      </c>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51.1</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50" si="2">+F42*E42</f>
        <v>0</v>
      </c>
      <c r="H42" s="35"/>
      <c r="I42" s="47"/>
    </row>
    <row r="43" spans="1:9">
      <c r="A43" s="2"/>
      <c r="B43" s="40" t="s">
        <v>451</v>
      </c>
      <c r="C43" s="6"/>
      <c r="D43" s="1168" t="s">
        <v>452</v>
      </c>
      <c r="E43" s="1169">
        <f>+'[27]Core Rates'!C203</f>
        <v>8.75</v>
      </c>
      <c r="F43" s="1170">
        <v>0</v>
      </c>
      <c r="G43" s="1171">
        <f t="shared" si="2"/>
        <v>0</v>
      </c>
      <c r="H43" s="35"/>
      <c r="I43" s="36"/>
    </row>
    <row r="44" spans="1:9">
      <c r="A44" s="2"/>
      <c r="B44" s="1184" t="s">
        <v>453</v>
      </c>
      <c r="C44" s="6"/>
      <c r="D44" s="1185" t="s">
        <v>454</v>
      </c>
      <c r="E44" s="1169">
        <f>+'[27]Core Rates'!C228</f>
        <v>0.82427536231884069</v>
      </c>
      <c r="F44" s="1170">
        <v>0</v>
      </c>
      <c r="G44" s="1171">
        <f t="shared" si="2"/>
        <v>0</v>
      </c>
      <c r="H44" s="35"/>
      <c r="I44" s="36"/>
    </row>
    <row r="45" spans="1:9">
      <c r="A45" s="2"/>
      <c r="B45" s="1186" t="s">
        <v>455</v>
      </c>
      <c r="C45" s="1187"/>
      <c r="D45" s="1185" t="s">
        <v>454</v>
      </c>
      <c r="E45" s="1169">
        <f>+'[27]Core Rates'!C235</f>
        <v>1.1702898550724636</v>
      </c>
      <c r="F45" s="1170">
        <v>0</v>
      </c>
      <c r="G45" s="1171">
        <f t="shared" si="2"/>
        <v>0</v>
      </c>
      <c r="H45" s="35"/>
      <c r="I45" s="36"/>
    </row>
    <row r="46" spans="1:9">
      <c r="A46" s="2"/>
      <c r="B46" s="1186" t="s">
        <v>456</v>
      </c>
      <c r="C46" s="1187"/>
      <c r="D46" s="1168" t="s">
        <v>454</v>
      </c>
      <c r="E46" s="1169">
        <f>+'[27]Core Rates'!C246</f>
        <v>0.58825136612021856</v>
      </c>
      <c r="F46" s="1170">
        <v>0</v>
      </c>
      <c r="G46" s="1171">
        <f t="shared" si="2"/>
        <v>0</v>
      </c>
      <c r="H46" s="35"/>
      <c r="I46" s="36"/>
    </row>
    <row r="47" spans="1:9">
      <c r="A47" s="2"/>
      <c r="B47" s="1206" t="str">
        <f>+'[27]Core Rates'!A309</f>
        <v>Seed (Native grass except Prairie Dropseed and Splitbeard Bluestem)</v>
      </c>
      <c r="C47" s="1187"/>
      <c r="D47" s="1185" t="s">
        <v>454</v>
      </c>
      <c r="E47" s="1169">
        <f>+'[27]Core Rates 2011'!BE306</f>
        <v>8.57</v>
      </c>
      <c r="F47" s="1170">
        <v>5</v>
      </c>
      <c r="G47" s="1171">
        <f t="shared" si="2"/>
        <v>42.85</v>
      </c>
      <c r="H47" s="35"/>
      <c r="I47" s="36"/>
    </row>
    <row r="48" spans="1:9">
      <c r="A48" s="2"/>
      <c r="B48" s="1206" t="str">
        <f>+'[27]Core Rates'!A307</f>
        <v>Seed (Prairie Dropseed)</v>
      </c>
      <c r="C48" s="1187"/>
      <c r="D48" s="1185" t="s">
        <v>454</v>
      </c>
      <c r="E48" s="1169">
        <f>+'[27]Core Rates 2011'!BE304</f>
        <v>165.75</v>
      </c>
      <c r="F48" s="1170">
        <v>0</v>
      </c>
      <c r="G48" s="1171">
        <f t="shared" si="2"/>
        <v>0</v>
      </c>
      <c r="H48" s="35"/>
      <c r="I48" s="36"/>
    </row>
    <row r="49" spans="1:9">
      <c r="A49" s="2"/>
      <c r="B49" s="1206" t="str">
        <f>+'[27]Core Rates'!A308</f>
        <v>Seed (Splitbeard Bluestem)</v>
      </c>
      <c r="C49" s="1187"/>
      <c r="D49" s="1185" t="s">
        <v>454</v>
      </c>
      <c r="E49" s="1169">
        <f>+'[27]Core Rates 2011'!BE305</f>
        <v>78.666666666666671</v>
      </c>
      <c r="F49" s="1170">
        <v>0</v>
      </c>
      <c r="G49" s="1171">
        <f t="shared" si="2"/>
        <v>0</v>
      </c>
      <c r="H49" s="35"/>
      <c r="I49" s="36"/>
    </row>
    <row r="50" spans="1:9" s="2" customFormat="1">
      <c r="B50" s="1184" t="str">
        <f>+'[27]Core Rates'!A312</f>
        <v>Seed (Red Clover)</v>
      </c>
      <c r="C50" s="6"/>
      <c r="D50" s="1207" t="s">
        <v>454</v>
      </c>
      <c r="E50" s="1169">
        <f>+'[27]Core Rates 2011'!BE309</f>
        <v>2.75</v>
      </c>
      <c r="F50" s="1170">
        <v>3</v>
      </c>
      <c r="G50" s="1171">
        <f t="shared" si="2"/>
        <v>8.25</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1172"/>
      <c r="C55" s="6"/>
      <c r="D55" s="1173"/>
      <c r="E55" s="35"/>
      <c r="F55" s="35"/>
      <c r="G55" s="35"/>
      <c r="H55" s="35"/>
      <c r="I55" s="36"/>
    </row>
    <row r="56" spans="1:9">
      <c r="A56" s="2"/>
      <c r="B56" s="42" t="s">
        <v>2</v>
      </c>
      <c r="C56" s="35"/>
      <c r="D56" s="35"/>
      <c r="E56" s="2003" t="s">
        <v>459</v>
      </c>
      <c r="F56" s="2003"/>
      <c r="G56" s="2003"/>
      <c r="H56" s="2003"/>
      <c r="I56" s="1166">
        <f>(SUM(G58:G63)*0.85)</f>
        <v>105.39999999999999</v>
      </c>
    </row>
    <row r="57" spans="1:9">
      <c r="A57" s="2"/>
      <c r="B57" s="1174"/>
      <c r="C57" s="35"/>
      <c r="D57" s="1167" t="s">
        <v>447</v>
      </c>
      <c r="E57" s="1167" t="s">
        <v>448</v>
      </c>
      <c r="F57" s="1167" t="s">
        <v>449</v>
      </c>
      <c r="G57" s="1167" t="s">
        <v>450</v>
      </c>
      <c r="H57" s="35"/>
      <c r="I57" s="46"/>
    </row>
    <row r="58" spans="1:9">
      <c r="A58" s="2"/>
      <c r="B58" s="1191" t="s">
        <v>460</v>
      </c>
      <c r="C58" s="6"/>
      <c r="D58" s="1168" t="s">
        <v>408</v>
      </c>
      <c r="E58" s="1169">
        <f>+'[27]Core Rates 2011'!BE146</f>
        <v>36.5</v>
      </c>
      <c r="F58" s="1170">
        <v>2</v>
      </c>
      <c r="G58" s="1171">
        <f t="shared" ref="G58:G63" si="3">+F58*E58</f>
        <v>73</v>
      </c>
      <c r="H58" s="35"/>
      <c r="I58" s="47"/>
    </row>
    <row r="59" spans="1:9">
      <c r="A59" s="2"/>
      <c r="B59" s="40" t="s">
        <v>461</v>
      </c>
      <c r="C59" s="6"/>
      <c r="D59" s="1168" t="s">
        <v>408</v>
      </c>
      <c r="E59" s="1169">
        <f>+'[27]Core Rates'!C104</f>
        <v>20</v>
      </c>
      <c r="F59" s="1170">
        <v>1</v>
      </c>
      <c r="G59" s="1171">
        <f t="shared" si="3"/>
        <v>20</v>
      </c>
      <c r="H59" s="35"/>
      <c r="I59" s="47"/>
    </row>
    <row r="60" spans="1:9">
      <c r="A60" s="2"/>
      <c r="B60" s="1191" t="str">
        <f>+'[27]Core Rates'!A216</f>
        <v>Mowing</v>
      </c>
      <c r="C60" s="6"/>
      <c r="D60" s="1189" t="s">
        <v>408</v>
      </c>
      <c r="E60" s="1189">
        <f>+'[27]Core Rates'!C216</f>
        <v>15.5</v>
      </c>
      <c r="F60" s="1170">
        <v>2</v>
      </c>
      <c r="G60" s="1171">
        <f t="shared" si="3"/>
        <v>31</v>
      </c>
      <c r="H60" s="35"/>
      <c r="I60" s="47"/>
    </row>
    <row r="61" spans="1:9">
      <c r="A61" s="2"/>
      <c r="B61" s="40" t="s">
        <v>462</v>
      </c>
      <c r="C61" s="6"/>
      <c r="D61" s="1168" t="s">
        <v>408</v>
      </c>
      <c r="E61" s="1169">
        <f>+'[27]Core Rates'!AN33</f>
        <v>5.416666666666667</v>
      </c>
      <c r="F61" s="1170">
        <v>0</v>
      </c>
      <c r="G61" s="1171">
        <f t="shared" si="3"/>
        <v>0</v>
      </c>
      <c r="H61" s="35"/>
      <c r="I61" s="47"/>
    </row>
    <row r="62" spans="1:9">
      <c r="A62" s="2"/>
      <c r="B62" s="40" t="s">
        <v>463</v>
      </c>
      <c r="C62" s="6"/>
      <c r="D62" s="1168" t="s">
        <v>452</v>
      </c>
      <c r="E62" s="1169">
        <f>+'[27]Core Rates'!AN34</f>
        <v>5.5</v>
      </c>
      <c r="F62" s="1170">
        <v>0</v>
      </c>
      <c r="G62" s="1171">
        <f t="shared" si="3"/>
        <v>0</v>
      </c>
      <c r="H62" s="35"/>
      <c r="I62" s="47"/>
    </row>
    <row r="63" spans="1:9">
      <c r="A63" s="2"/>
      <c r="B63" s="40" t="s">
        <v>464</v>
      </c>
      <c r="C63" s="6"/>
      <c r="D63" s="1168" t="s">
        <v>452</v>
      </c>
      <c r="E63" s="1169">
        <f>+'[27]Core Rates'!AN32</f>
        <v>6.3125</v>
      </c>
      <c r="F63" s="1170">
        <v>0</v>
      </c>
      <c r="G63" s="1171">
        <f t="shared" si="3"/>
        <v>0</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457</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18.599999999999998</v>
      </c>
    </row>
    <row r="71" spans="1:9">
      <c r="A71" s="2"/>
      <c r="B71" s="2007" t="s">
        <v>465</v>
      </c>
      <c r="C71" s="2008"/>
      <c r="D71" s="35"/>
      <c r="E71" s="35"/>
      <c r="F71" s="35"/>
      <c r="G71" s="35"/>
      <c r="H71" s="35"/>
      <c r="I71" s="48"/>
    </row>
    <row r="72" spans="1:9">
      <c r="A72" s="2"/>
      <c r="B72" s="37" t="s">
        <v>466</v>
      </c>
      <c r="C72" s="39"/>
      <c r="D72" s="39"/>
      <c r="E72" s="153">
        <f>SUM(G58:G63)*0.15</f>
        <v>18.599999999999998</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0.03*(I40+I56+I70)</f>
        <v>5.2529999999999992</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+'[27]Core Rates'!C216</f>
        <v>15.5</v>
      </c>
    </row>
    <row r="80" spans="1:9">
      <c r="A80" s="2"/>
      <c r="B80" s="33" t="s">
        <v>469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470</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80</v>
      </c>
    </row>
    <row r="86" spans="1:9">
      <c r="A86" s="2"/>
      <c r="B86" s="756" t="s">
        <v>812</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104</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+I40+I56+I70+I76+I82+I92</f>
        <v>180.35299999999998</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275.85299999999995</v>
      </c>
    </row>
  </sheetData>
  <mergeCells count="4">
    <mergeCell ref="B1:D1"/>
    <mergeCell ref="E56:H56"/>
    <mergeCell ref="B66:I67"/>
    <mergeCell ref="B71:C71"/>
  </mergeCells>
  <pageMargins left="0.75" right="0.75" top="1" bottom="1" header="0.5" footer="0.5"/>
  <pageSetup scale="46" orientation="portrait" r:id="rId1"/>
  <headerFooter alignWithMargins="0"/>
</worksheet>
</file>

<file path=xl/worksheets/sheet121.xml><?xml version="1.0" encoding="utf-8"?>
<worksheet xmlns="http://schemas.openxmlformats.org/spreadsheetml/2006/main" xmlns:r="http://schemas.openxmlformats.org/officeDocument/2006/relationships">
  <sheetPr>
    <pageSetUpPr fitToPage="1"/>
  </sheetPr>
  <dimension ref="A1:L96"/>
  <sheetViews>
    <sheetView zoomScale="75" zoomScaleNormal="75" workbookViewId="0">
      <selection activeCell="B54" sqref="B54:I55"/>
    </sheetView>
  </sheetViews>
  <sheetFormatPr defaultRowHeight="12.75"/>
  <cols>
    <col min="1" max="1" width="1.85546875" customWidth="1"/>
    <col min="3" max="3" width="24.140625" customWidth="1"/>
    <col min="4" max="4" width="23.140625" customWidth="1"/>
    <col min="5" max="5" width="54.285156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1208"/>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386</v>
      </c>
      <c r="C6" s="7" t="str">
        <f>+E12</f>
        <v>EQIP</v>
      </c>
      <c r="D6" s="53" t="s">
        <v>810</v>
      </c>
      <c r="E6" s="110" t="s">
        <v>815</v>
      </c>
      <c r="F6" s="7" t="s">
        <v>394</v>
      </c>
      <c r="G6" s="85">
        <f>+I25</f>
        <v>151.09327500000001</v>
      </c>
    </row>
    <row r="7" spans="1:12">
      <c r="A7" s="2"/>
      <c r="B7" s="54">
        <f>+B6</f>
        <v>386</v>
      </c>
      <c r="C7" s="7" t="str">
        <f>+C6</f>
        <v>EQIP</v>
      </c>
      <c r="D7" s="53" t="s">
        <v>810</v>
      </c>
      <c r="E7" s="110" t="str">
        <f>CONCATENATE(E6, "-HU")</f>
        <v xml:space="preserve"> Field Border - Native Grass - 1# Forbs Mix -HU</v>
      </c>
      <c r="F7" s="7" t="str">
        <f>+F6</f>
        <v>Acre</v>
      </c>
      <c r="G7" s="85">
        <f>+J25</f>
        <v>181.31193000000002</v>
      </c>
    </row>
    <row r="8" spans="1:12">
      <c r="A8" s="2"/>
      <c r="B8" s="54">
        <v>386</v>
      </c>
      <c r="C8" s="7" t="str">
        <f>+G12</f>
        <v>WHIP</v>
      </c>
      <c r="D8" s="53" t="s">
        <v>810</v>
      </c>
      <c r="E8" s="110" t="s">
        <v>815</v>
      </c>
      <c r="F8" s="7" t="s">
        <v>394</v>
      </c>
      <c r="G8" s="85">
        <f>+K25</f>
        <v>151.09327500000001</v>
      </c>
    </row>
    <row r="9" spans="1:12">
      <c r="A9" s="2"/>
      <c r="B9" s="8">
        <f>+B8</f>
        <v>386</v>
      </c>
      <c r="C9" s="10" t="str">
        <f>+C8</f>
        <v>WHIP</v>
      </c>
      <c r="D9" s="9" t="s">
        <v>810</v>
      </c>
      <c r="E9" s="111" t="str">
        <f>CONCATENATE(E6, "-HU")</f>
        <v xml:space="preserve"> Field Border - Native Grass - 1# Forbs Mix -HU</v>
      </c>
      <c r="F9" s="10" t="str">
        <f>+F8</f>
        <v>Acre</v>
      </c>
      <c r="G9" s="86">
        <f>+L25</f>
        <v>181.31193000000002</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71.59</v>
      </c>
      <c r="E16" s="160">
        <f>+'[10]Payment Factors'!D14</f>
        <v>0.75</v>
      </c>
      <c r="F16" s="160">
        <f>+'[10]Payment Factors'!E14</f>
        <v>0.9</v>
      </c>
      <c r="G16" s="160">
        <f>+'[10]Payment Factors'!F14</f>
        <v>0.75</v>
      </c>
      <c r="H16" s="160">
        <f>+'[10]Payment Factors'!G14</f>
        <v>0.9</v>
      </c>
      <c r="I16" s="1154">
        <f t="shared" ref="I16:L24" si="0">+$D16*E16</f>
        <v>53.692500000000003</v>
      </c>
      <c r="J16" s="1154">
        <f t="shared" si="0"/>
        <v>64.431000000000012</v>
      </c>
      <c r="K16" s="1154">
        <f t="shared" si="0"/>
        <v>53.692500000000003</v>
      </c>
      <c r="L16" s="1155">
        <f t="shared" si="0"/>
        <v>64.431000000000012</v>
      </c>
    </row>
    <row r="17" spans="1:12">
      <c r="A17" s="2"/>
      <c r="B17" s="15" t="s">
        <v>2</v>
      </c>
      <c r="C17" s="16"/>
      <c r="D17" s="24">
        <f>+I54</f>
        <v>105.39999999999999</v>
      </c>
      <c r="E17" s="160">
        <f t="shared" ref="E17:H19" si="1">+E16</f>
        <v>0.75</v>
      </c>
      <c r="F17" s="160">
        <f t="shared" si="1"/>
        <v>0.9</v>
      </c>
      <c r="G17" s="160">
        <f t="shared" si="1"/>
        <v>0.75</v>
      </c>
      <c r="H17" s="160">
        <f t="shared" si="1"/>
        <v>0.9</v>
      </c>
      <c r="I17" s="1154">
        <f t="shared" si="0"/>
        <v>79.05</v>
      </c>
      <c r="J17" s="1154">
        <f t="shared" si="0"/>
        <v>94.86</v>
      </c>
      <c r="K17" s="1154">
        <f t="shared" si="0"/>
        <v>79.05</v>
      </c>
      <c r="L17" s="1155">
        <f t="shared" si="0"/>
        <v>94.86</v>
      </c>
    </row>
    <row r="18" spans="1:12">
      <c r="A18" s="2"/>
      <c r="B18" s="15" t="s">
        <v>3</v>
      </c>
      <c r="C18" s="16"/>
      <c r="D18" s="24">
        <f>+I68</f>
        <v>18.599999999999998</v>
      </c>
      <c r="E18" s="160">
        <f t="shared" si="1"/>
        <v>0.75</v>
      </c>
      <c r="F18" s="160">
        <f t="shared" si="1"/>
        <v>0.9</v>
      </c>
      <c r="G18" s="160">
        <f t="shared" si="1"/>
        <v>0.75</v>
      </c>
      <c r="H18" s="160">
        <f t="shared" si="1"/>
        <v>0.9</v>
      </c>
      <c r="I18" s="1154">
        <f t="shared" si="0"/>
        <v>13.95</v>
      </c>
      <c r="J18" s="1154">
        <f t="shared" si="0"/>
        <v>16.739999999999998</v>
      </c>
      <c r="K18" s="1154">
        <f t="shared" si="0"/>
        <v>13.95</v>
      </c>
      <c r="L18" s="1155">
        <f t="shared" si="0"/>
        <v>16.739999999999998</v>
      </c>
    </row>
    <row r="19" spans="1:12">
      <c r="A19" s="2"/>
      <c r="B19" s="15" t="s">
        <v>4</v>
      </c>
      <c r="C19" s="16"/>
      <c r="D19" s="24">
        <f>+I74</f>
        <v>5.8677000000000001</v>
      </c>
      <c r="E19" s="160">
        <f t="shared" si="1"/>
        <v>0.75</v>
      </c>
      <c r="F19" s="160">
        <f t="shared" si="1"/>
        <v>0.9</v>
      </c>
      <c r="G19" s="160">
        <f t="shared" si="1"/>
        <v>0.75</v>
      </c>
      <c r="H19" s="160">
        <f t="shared" si="1"/>
        <v>0.9</v>
      </c>
      <c r="I19" s="1154">
        <f t="shared" si="0"/>
        <v>4.4007750000000003</v>
      </c>
      <c r="J19" s="1154">
        <f t="shared" si="0"/>
        <v>5.2809300000000006</v>
      </c>
      <c r="K19" s="1154">
        <f t="shared" si="0"/>
        <v>4.4007750000000003</v>
      </c>
      <c r="L19" s="1155">
        <f t="shared" si="0"/>
        <v>5.2809300000000006</v>
      </c>
    </row>
    <row r="20" spans="1:12">
      <c r="A20" s="2"/>
      <c r="B20" s="15" t="s">
        <v>26</v>
      </c>
      <c r="C20" s="16"/>
      <c r="D20" s="24">
        <f>+I77</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+I80</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+I83</f>
        <v>80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+I87</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+I90</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296.95770000000005</v>
      </c>
      <c r="E25" s="28"/>
      <c r="F25" s="28"/>
      <c r="G25" s="28"/>
      <c r="H25" s="28"/>
      <c r="I25" s="1159">
        <f>SUM(I16:I24)</f>
        <v>151.09327500000001</v>
      </c>
      <c r="J25" s="1159">
        <f>SUM(J16:J24)</f>
        <v>181.31193000000002</v>
      </c>
      <c r="K25" s="1159">
        <f>SUM(K16:K24)</f>
        <v>151.09327500000001</v>
      </c>
      <c r="L25" s="1160">
        <f>SUM(L16:L24)</f>
        <v>181.31193000000002</v>
      </c>
    </row>
    <row r="27" spans="1:12" ht="15.75">
      <c r="A27" s="2"/>
      <c r="B27" s="50" t="s">
        <v>28</v>
      </c>
      <c r="C27" s="2"/>
      <c r="D27" s="2"/>
      <c r="E27" s="2"/>
      <c r="F27" s="2"/>
      <c r="G27" s="2"/>
      <c r="H27" s="2"/>
      <c r="I27" s="5"/>
    </row>
    <row r="28" spans="1:12">
      <c r="A28" s="2"/>
      <c r="B28" s="29" t="s">
        <v>816</v>
      </c>
      <c r="C28" s="30"/>
      <c r="D28" s="30"/>
      <c r="E28" s="31"/>
      <c r="F28" s="31"/>
      <c r="G28" s="31"/>
      <c r="H28" s="31"/>
      <c r="I28" s="32"/>
    </row>
    <row r="29" spans="1:12">
      <c r="A29" s="2"/>
      <c r="B29" s="1161" t="s">
        <v>443</v>
      </c>
      <c r="C29" s="34"/>
      <c r="D29" s="34"/>
      <c r="E29" s="35"/>
      <c r="F29" s="35"/>
      <c r="G29" s="35"/>
      <c r="H29" s="35"/>
      <c r="I29" s="36"/>
    </row>
    <row r="30" spans="1:12">
      <c r="A30" s="2"/>
      <c r="B30" s="1161" t="s">
        <v>444</v>
      </c>
      <c r="C30" s="143"/>
      <c r="D30" s="34"/>
      <c r="E30" s="35"/>
      <c r="F30" s="1163"/>
      <c r="G30" s="35"/>
      <c r="H30" s="35"/>
      <c r="I30" s="36"/>
    </row>
    <row r="31" spans="1:12">
      <c r="A31" s="2"/>
      <c r="B31" s="37" t="s">
        <v>445</v>
      </c>
      <c r="C31" s="34"/>
      <c r="D31" s="34"/>
      <c r="E31" s="35"/>
      <c r="F31" s="35"/>
      <c r="G31" s="35"/>
      <c r="H31" s="35"/>
      <c r="I31" s="36"/>
    </row>
    <row r="32" spans="1:12">
      <c r="A32" s="2"/>
      <c r="B32" s="37" t="s">
        <v>446</v>
      </c>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v>0</v>
      </c>
      <c r="F40" s="39"/>
      <c r="G40" s="35"/>
      <c r="H40" s="35"/>
      <c r="I40" s="1166">
        <f>SUM(G42:G48)</f>
        <v>71.59</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8" si="2">+F42*E42</f>
        <v>0</v>
      </c>
      <c r="H42" s="35"/>
      <c r="I42" s="47"/>
    </row>
    <row r="43" spans="1:9">
      <c r="A43" s="2"/>
      <c r="B43" s="40" t="s">
        <v>451</v>
      </c>
      <c r="C43" s="6"/>
      <c r="D43" s="1168" t="s">
        <v>452</v>
      </c>
      <c r="E43" s="1169">
        <f>+'[27]Core Rates'!C203</f>
        <v>8.75</v>
      </c>
      <c r="F43" s="1170">
        <v>0</v>
      </c>
      <c r="G43" s="1171">
        <f t="shared" si="2"/>
        <v>0</v>
      </c>
      <c r="H43" s="35"/>
      <c r="I43" s="36"/>
    </row>
    <row r="44" spans="1:9">
      <c r="A44" s="2"/>
      <c r="B44" s="1184" t="s">
        <v>453</v>
      </c>
      <c r="C44" s="6"/>
      <c r="D44" s="1185" t="s">
        <v>454</v>
      </c>
      <c r="E44" s="1169">
        <f>+'[27]Core Rates'!C228</f>
        <v>0.82427536231884069</v>
      </c>
      <c r="F44" s="1170">
        <v>0</v>
      </c>
      <c r="G44" s="1171">
        <f t="shared" si="2"/>
        <v>0</v>
      </c>
      <c r="H44" s="35"/>
      <c r="I44" s="36"/>
    </row>
    <row r="45" spans="1:9">
      <c r="A45" s="2"/>
      <c r="B45" s="1186" t="s">
        <v>455</v>
      </c>
      <c r="C45" s="1187"/>
      <c r="D45" s="1185" t="s">
        <v>454</v>
      </c>
      <c r="E45" s="1169">
        <f>+'[27]Core Rates'!C235</f>
        <v>1.1702898550724636</v>
      </c>
      <c r="F45" s="1170">
        <v>0</v>
      </c>
      <c r="G45" s="1171">
        <f t="shared" si="2"/>
        <v>0</v>
      </c>
      <c r="H45" s="35"/>
      <c r="I45" s="36"/>
    </row>
    <row r="46" spans="1:9">
      <c r="A46" s="2"/>
      <c r="B46" s="1186" t="s">
        <v>456</v>
      </c>
      <c r="C46" s="1187"/>
      <c r="D46" s="1168" t="s">
        <v>454</v>
      </c>
      <c r="E46" s="1169">
        <f>+'[27]Core Rates'!C246</f>
        <v>0.58825136612021856</v>
      </c>
      <c r="F46" s="1170">
        <v>0</v>
      </c>
      <c r="G46" s="1171">
        <f t="shared" si="2"/>
        <v>0</v>
      </c>
      <c r="H46" s="35"/>
      <c r="I46" s="36"/>
    </row>
    <row r="47" spans="1:9">
      <c r="A47" s="2"/>
      <c r="B47" s="1206" t="str">
        <f>+'[27]Core Rates'!A309</f>
        <v>Seed (Native grass except Prairie Dropseed and Splitbeard Bluestem)</v>
      </c>
      <c r="C47" s="1187"/>
      <c r="D47" s="1185" t="s">
        <v>454</v>
      </c>
      <c r="E47" s="1169">
        <f>+'[27]Core Rates 2011'!BE306</f>
        <v>8.57</v>
      </c>
      <c r="F47" s="1170">
        <v>5</v>
      </c>
      <c r="G47" s="1171">
        <f t="shared" si="2"/>
        <v>42.85</v>
      </c>
      <c r="H47" s="35"/>
      <c r="I47" s="36"/>
    </row>
    <row r="48" spans="1:9">
      <c r="A48" s="2"/>
      <c r="B48" s="1206" t="str">
        <f>+'[27]Core Rates 2011'!A291</f>
        <v>Seed (4 native forb species mix)</v>
      </c>
      <c r="C48" s="1187"/>
      <c r="D48" s="1185" t="s">
        <v>454</v>
      </c>
      <c r="E48" s="1169">
        <f>+'[27]Core Rates 2011'!BE291</f>
        <v>28.74</v>
      </c>
      <c r="F48" s="1170">
        <v>1</v>
      </c>
      <c r="G48" s="1171">
        <f t="shared" si="2"/>
        <v>28.74</v>
      </c>
      <c r="H48" s="35"/>
      <c r="I48" s="36"/>
    </row>
    <row r="49" spans="1:9">
      <c r="A49" s="2"/>
      <c r="B49" s="1172"/>
      <c r="C49" s="6"/>
      <c r="D49" s="1173"/>
      <c r="E49" s="35"/>
      <c r="F49" s="35"/>
      <c r="G49" s="35"/>
      <c r="H49" s="35"/>
      <c r="I49" s="36"/>
    </row>
    <row r="50" spans="1:9">
      <c r="A50" s="2"/>
      <c r="B50" s="37" t="s">
        <v>43</v>
      </c>
      <c r="C50" s="6"/>
      <c r="D50" s="1173"/>
      <c r="E50" s="35"/>
      <c r="F50" s="35"/>
      <c r="G50" s="35"/>
      <c r="H50" s="35"/>
      <c r="I50" s="36"/>
    </row>
    <row r="51" spans="1:9">
      <c r="A51" s="2"/>
      <c r="B51" s="40" t="s">
        <v>457</v>
      </c>
      <c r="C51" s="6"/>
      <c r="D51" s="1173"/>
      <c r="E51" s="35"/>
      <c r="F51" s="35"/>
      <c r="G51" s="35"/>
      <c r="H51" s="35"/>
      <c r="I51" s="36"/>
    </row>
    <row r="52" spans="1:9">
      <c r="A52" s="2"/>
      <c r="B52" s="40" t="s">
        <v>458</v>
      </c>
      <c r="C52" s="6"/>
      <c r="D52" s="1173"/>
      <c r="E52" s="1190"/>
      <c r="F52" s="35"/>
      <c r="G52" s="35"/>
      <c r="H52" s="35"/>
      <c r="I52" s="3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(SUM(G56:G61)*0.85)</f>
        <v>105.39999999999999</v>
      </c>
    </row>
    <row r="55" spans="1:9">
      <c r="A55" s="2"/>
      <c r="B55" s="1174"/>
      <c r="C55" s="35"/>
      <c r="D55" s="1167" t="s">
        <v>447</v>
      </c>
      <c r="E55" s="1167" t="s">
        <v>448</v>
      </c>
      <c r="F55" s="1167" t="s">
        <v>449</v>
      </c>
      <c r="G55" s="1167" t="s">
        <v>450</v>
      </c>
      <c r="H55" s="35"/>
      <c r="I55" s="46"/>
    </row>
    <row r="56" spans="1:9">
      <c r="A56" s="2"/>
      <c r="B56" s="1191" t="s">
        <v>460</v>
      </c>
      <c r="C56" s="6"/>
      <c r="D56" s="1168" t="s">
        <v>408</v>
      </c>
      <c r="E56" s="1169">
        <f>+'[27]Core Rates 2011'!BE145</f>
        <v>36.5</v>
      </c>
      <c r="F56" s="1170">
        <v>2</v>
      </c>
      <c r="G56" s="1171">
        <f t="shared" ref="G56:G61" si="3">+F56*E56</f>
        <v>73</v>
      </c>
      <c r="H56" s="35"/>
      <c r="I56" s="47"/>
    </row>
    <row r="57" spans="1:9">
      <c r="A57" s="2"/>
      <c r="B57" s="40" t="s">
        <v>461</v>
      </c>
      <c r="C57" s="6"/>
      <c r="D57" s="1168" t="s">
        <v>408</v>
      </c>
      <c r="E57" s="1169">
        <f>+'[27]Core Rates'!C104</f>
        <v>20</v>
      </c>
      <c r="F57" s="1170">
        <v>1</v>
      </c>
      <c r="G57" s="1171">
        <f t="shared" si="3"/>
        <v>20</v>
      </c>
      <c r="H57" s="35"/>
      <c r="I57" s="47"/>
    </row>
    <row r="58" spans="1:9">
      <c r="A58" s="2"/>
      <c r="B58" s="1191" t="str">
        <f>+'[27]Core Rates'!A216</f>
        <v>Mowing</v>
      </c>
      <c r="C58" s="6"/>
      <c r="D58" s="1189" t="s">
        <v>408</v>
      </c>
      <c r="E58" s="1189">
        <f>+'[27]Core Rates'!C216</f>
        <v>15.5</v>
      </c>
      <c r="F58" s="1170">
        <v>2</v>
      </c>
      <c r="G58" s="1171">
        <f t="shared" si="3"/>
        <v>31</v>
      </c>
      <c r="H58" s="35"/>
      <c r="I58" s="47"/>
    </row>
    <row r="59" spans="1:9">
      <c r="A59" s="2"/>
      <c r="B59" s="40" t="s">
        <v>462</v>
      </c>
      <c r="C59" s="6"/>
      <c r="D59" s="1168" t="s">
        <v>408</v>
      </c>
      <c r="E59" s="1169">
        <f>+'[27]Core Rates'!AN33</f>
        <v>5.416666666666667</v>
      </c>
      <c r="F59" s="1170">
        <v>0</v>
      </c>
      <c r="G59" s="1171">
        <f t="shared" si="3"/>
        <v>0</v>
      </c>
      <c r="H59" s="35"/>
      <c r="I59" s="47"/>
    </row>
    <row r="60" spans="1:9">
      <c r="A60" s="2"/>
      <c r="B60" s="40" t="s">
        <v>463</v>
      </c>
      <c r="C60" s="6"/>
      <c r="D60" s="1168" t="s">
        <v>452</v>
      </c>
      <c r="E60" s="1169">
        <f>+'[27]Core Rates'!AN34</f>
        <v>5.5</v>
      </c>
      <c r="F60" s="1170">
        <v>0</v>
      </c>
      <c r="G60" s="1171">
        <f t="shared" si="3"/>
        <v>0</v>
      </c>
      <c r="H60" s="35"/>
      <c r="I60" s="47"/>
    </row>
    <row r="61" spans="1:9">
      <c r="A61" s="2"/>
      <c r="B61" s="40" t="s">
        <v>464</v>
      </c>
      <c r="C61" s="6"/>
      <c r="D61" s="1168" t="s">
        <v>452</v>
      </c>
      <c r="E61" s="1169">
        <f>+'[27]Core Rates'!AN32</f>
        <v>6.3125</v>
      </c>
      <c r="F61" s="1170">
        <v>0</v>
      </c>
      <c r="G61" s="1171">
        <f t="shared" si="3"/>
        <v>0</v>
      </c>
      <c r="H61" s="35"/>
      <c r="I61" s="47"/>
    </row>
    <row r="62" spans="1:9">
      <c r="A62" s="2"/>
      <c r="B62" s="40"/>
      <c r="C62" s="6"/>
      <c r="D62" s="63"/>
      <c r="E62" s="150"/>
      <c r="F62" s="150"/>
      <c r="G62" s="1169"/>
      <c r="H62" s="35"/>
      <c r="I62" s="47"/>
    </row>
    <row r="63" spans="1:9">
      <c r="A63" s="2"/>
      <c r="B63" s="37" t="s">
        <v>43</v>
      </c>
      <c r="C63" s="35"/>
      <c r="D63" s="35"/>
      <c r="E63" s="60"/>
      <c r="F63" s="60"/>
      <c r="G63" s="60"/>
      <c r="H63" s="35"/>
      <c r="I63" s="46"/>
    </row>
    <row r="64" spans="1:9" ht="12.75" customHeight="1">
      <c r="A64" s="2"/>
      <c r="B64" s="2004" t="s">
        <v>457</v>
      </c>
      <c r="C64" s="2005"/>
      <c r="D64" s="2005"/>
      <c r="E64" s="2005"/>
      <c r="F64" s="2005"/>
      <c r="G64" s="2005"/>
      <c r="H64" s="2005"/>
      <c r="I64" s="2006"/>
    </row>
    <row r="65" spans="1:9">
      <c r="A65" s="2"/>
      <c r="B65" s="2004"/>
      <c r="C65" s="2005"/>
      <c r="D65" s="2005"/>
      <c r="E65" s="2005"/>
      <c r="F65" s="2005"/>
      <c r="G65" s="2005"/>
      <c r="H65" s="2005"/>
      <c r="I65" s="2006"/>
    </row>
    <row r="66" spans="1:9">
      <c r="A66" s="2"/>
      <c r="B66" s="1177"/>
      <c r="C66" s="1178"/>
      <c r="D66" s="1178"/>
      <c r="E66" s="1178"/>
      <c r="F66" s="1178"/>
      <c r="G66" s="1178"/>
      <c r="H66" s="1178"/>
      <c r="I66" s="1179"/>
    </row>
    <row r="67" spans="1:9">
      <c r="A67" s="2"/>
      <c r="B67" s="1177"/>
      <c r="C67" s="1178"/>
      <c r="D67" s="1178"/>
      <c r="E67" s="1178"/>
      <c r="F67" s="1178"/>
      <c r="G67" s="1178"/>
      <c r="H67" s="1178"/>
      <c r="I67" s="1179"/>
    </row>
    <row r="68" spans="1:9">
      <c r="A68" s="2"/>
      <c r="B68" s="42" t="s">
        <v>3</v>
      </c>
      <c r="C68" s="35"/>
      <c r="D68" s="35"/>
      <c r="E68" s="35"/>
      <c r="F68" s="39"/>
      <c r="G68" s="35"/>
      <c r="H68" s="35"/>
      <c r="I68" s="1182">
        <f>E70</f>
        <v>18.599999999999998</v>
      </c>
    </row>
    <row r="69" spans="1:9">
      <c r="A69" s="2"/>
      <c r="B69" s="2007" t="s">
        <v>465</v>
      </c>
      <c r="C69" s="2008"/>
      <c r="D69" s="35"/>
      <c r="E69" s="35"/>
      <c r="F69" s="35"/>
      <c r="G69" s="35"/>
      <c r="H69" s="35"/>
      <c r="I69" s="48"/>
    </row>
    <row r="70" spans="1:9">
      <c r="A70" s="2"/>
      <c r="B70" s="37" t="s">
        <v>466</v>
      </c>
      <c r="C70" s="39"/>
      <c r="D70" s="39"/>
      <c r="E70" s="153">
        <f>SUM(G56:G61)*0.15</f>
        <v>18.599999999999998</v>
      </c>
      <c r="F70" s="35"/>
      <c r="G70" s="35"/>
      <c r="H70" s="35"/>
      <c r="I70" s="46"/>
    </row>
    <row r="71" spans="1:9">
      <c r="A71" s="2"/>
      <c r="B71" s="37"/>
      <c r="C71" s="39"/>
      <c r="D71" s="1180"/>
      <c r="E71" s="153"/>
      <c r="F71" s="35"/>
      <c r="G71" s="35"/>
      <c r="H71" s="35"/>
      <c r="I71" s="46"/>
    </row>
    <row r="72" spans="1:9">
      <c r="A72" s="2"/>
      <c r="B72" s="37"/>
      <c r="C72" s="39"/>
      <c r="D72" s="1181"/>
      <c r="E72" s="153"/>
      <c r="F72" s="35"/>
      <c r="G72" s="35"/>
      <c r="H72" s="35"/>
      <c r="I72" s="46"/>
    </row>
    <row r="73" spans="1:9">
      <c r="A73" s="2"/>
      <c r="B73" s="33"/>
      <c r="C73" s="35"/>
      <c r="D73" s="35"/>
      <c r="E73" s="35"/>
      <c r="F73" s="35"/>
      <c r="G73" s="35"/>
      <c r="H73" s="35"/>
      <c r="I73" s="36"/>
    </row>
    <row r="74" spans="1:9">
      <c r="A74" s="2"/>
      <c r="B74" s="42" t="s">
        <v>4</v>
      </c>
      <c r="C74" s="35"/>
      <c r="D74" s="35"/>
      <c r="E74" s="35"/>
      <c r="F74" s="35"/>
      <c r="G74" s="35"/>
      <c r="H74" s="35"/>
      <c r="I74" s="1182">
        <f>0.03*(I40+I54+I68)</f>
        <v>5.8677000000000001</v>
      </c>
    </row>
    <row r="75" spans="1:9">
      <c r="A75" s="2"/>
      <c r="B75" s="33" t="s">
        <v>467</v>
      </c>
      <c r="C75" s="35"/>
      <c r="D75" s="35"/>
      <c r="E75" s="35"/>
      <c r="F75" s="35"/>
      <c r="G75" s="35"/>
      <c r="H75" s="35"/>
      <c r="I75" s="36"/>
    </row>
    <row r="76" spans="1:9">
      <c r="A76" s="2"/>
      <c r="B76" s="37"/>
      <c r="C76" s="35"/>
      <c r="D76" s="35"/>
      <c r="E76" s="35"/>
      <c r="F76" s="35"/>
      <c r="G76" s="35"/>
      <c r="H76" s="35"/>
      <c r="I76" s="36"/>
    </row>
    <row r="77" spans="1:9">
      <c r="A77" s="2"/>
      <c r="B77" s="42" t="s">
        <v>468</v>
      </c>
      <c r="C77" s="35"/>
      <c r="D77" s="35"/>
      <c r="E77" s="35"/>
      <c r="F77" s="35"/>
      <c r="G77" s="35"/>
      <c r="H77" s="35"/>
      <c r="I77" s="1182">
        <f>+'[27]Core Rates'!C216</f>
        <v>15.5</v>
      </c>
    </row>
    <row r="78" spans="1:9">
      <c r="A78" s="2"/>
      <c r="B78" s="33" t="s">
        <v>469</v>
      </c>
      <c r="C78" s="35"/>
      <c r="D78" s="35"/>
      <c r="E78" s="35"/>
      <c r="F78" s="35"/>
      <c r="G78" s="35"/>
      <c r="H78" s="35"/>
      <c r="I78" s="36"/>
    </row>
    <row r="79" spans="1:9">
      <c r="A79" s="2"/>
      <c r="B79" s="37"/>
      <c r="C79" s="35"/>
      <c r="D79" s="35"/>
      <c r="E79" s="35"/>
      <c r="F79" s="35"/>
      <c r="G79" s="35"/>
      <c r="H79" s="35"/>
      <c r="I79" s="36"/>
    </row>
    <row r="80" spans="1:9">
      <c r="A80" s="2"/>
      <c r="B80" s="42" t="s">
        <v>7</v>
      </c>
      <c r="C80" s="35"/>
      <c r="D80" s="35"/>
      <c r="E80" s="35"/>
      <c r="F80" s="35"/>
      <c r="G80" s="35"/>
      <c r="H80" s="35"/>
      <c r="I80" s="1166">
        <v>0</v>
      </c>
    </row>
    <row r="81" spans="1:9">
      <c r="A81" s="2"/>
      <c r="B81" s="33" t="s">
        <v>470</v>
      </c>
      <c r="C81" s="35"/>
      <c r="D81" s="35"/>
      <c r="E81" s="35"/>
      <c r="F81" s="35"/>
      <c r="G81" s="35"/>
      <c r="H81" s="35"/>
      <c r="I81" s="36"/>
    </row>
    <row r="82" spans="1:9">
      <c r="A82" s="2"/>
      <c r="B82" s="37"/>
      <c r="C82" s="35"/>
      <c r="D82" s="35"/>
      <c r="E82" s="35"/>
      <c r="F82" s="35"/>
      <c r="G82" s="35"/>
      <c r="H82" s="35"/>
      <c r="I82" s="36"/>
    </row>
    <row r="83" spans="1:9">
      <c r="A83" s="2"/>
      <c r="B83" s="42" t="s">
        <v>471</v>
      </c>
      <c r="C83" s="35"/>
      <c r="D83" s="35"/>
      <c r="E83" s="35"/>
      <c r="F83" s="39"/>
      <c r="G83" s="35"/>
      <c r="H83" s="35"/>
      <c r="I83" s="1166">
        <v>80</v>
      </c>
    </row>
    <row r="84" spans="1:9">
      <c r="A84" s="2"/>
      <c r="B84" s="756" t="s">
        <v>812</v>
      </c>
      <c r="C84" s="35"/>
      <c r="D84" s="35"/>
      <c r="E84" s="35"/>
      <c r="F84" s="35"/>
      <c r="G84" s="35"/>
      <c r="H84" s="35"/>
      <c r="I84" s="47"/>
    </row>
    <row r="85" spans="1:9">
      <c r="A85" s="2"/>
      <c r="B85" s="756"/>
      <c r="C85" s="35"/>
      <c r="D85" s="35"/>
      <c r="E85" s="35"/>
      <c r="F85" s="35"/>
      <c r="G85" s="35"/>
      <c r="H85" s="35"/>
      <c r="I85" s="47"/>
    </row>
    <row r="86" spans="1:9">
      <c r="A86" s="2"/>
      <c r="B86" s="37"/>
      <c r="C86" s="35"/>
      <c r="D86" s="35"/>
      <c r="E86" s="35"/>
      <c r="F86" s="35"/>
      <c r="G86" s="35"/>
      <c r="H86" s="35"/>
      <c r="I86" s="36"/>
    </row>
    <row r="87" spans="1:9">
      <c r="A87" s="2"/>
      <c r="B87" s="42" t="s">
        <v>5</v>
      </c>
      <c r="C87" s="35"/>
      <c r="D87" s="35"/>
      <c r="E87" s="35"/>
      <c r="F87" s="35"/>
      <c r="G87" s="35"/>
      <c r="H87" s="35"/>
      <c r="I87" s="1166">
        <v>0</v>
      </c>
    </row>
    <row r="88" spans="1:9">
      <c r="A88" s="2"/>
      <c r="B88" s="33" t="s">
        <v>104</v>
      </c>
      <c r="C88" s="35"/>
      <c r="D88" s="35"/>
      <c r="E88" s="35"/>
      <c r="F88" s="35"/>
      <c r="G88" s="35"/>
      <c r="H88" s="35"/>
      <c r="I88" s="47"/>
    </row>
    <row r="89" spans="1:9">
      <c r="A89" s="2"/>
      <c r="B89" s="37"/>
      <c r="C89" s="35"/>
      <c r="D89" s="35"/>
      <c r="E89" s="35"/>
      <c r="F89" s="35"/>
      <c r="G89" s="35"/>
      <c r="H89" s="35"/>
      <c r="I89" s="36"/>
    </row>
    <row r="90" spans="1:9">
      <c r="A90" s="2"/>
      <c r="B90" s="42" t="s">
        <v>20</v>
      </c>
      <c r="C90" s="35"/>
      <c r="D90" s="35"/>
      <c r="E90" s="35"/>
      <c r="F90" s="35"/>
      <c r="G90" s="35"/>
      <c r="H90" s="35"/>
      <c r="I90" s="1166">
        <v>0</v>
      </c>
    </row>
    <row r="91" spans="1:9">
      <c r="A91" s="2"/>
      <c r="B91" s="33" t="s">
        <v>104</v>
      </c>
      <c r="C91" s="35"/>
      <c r="D91" s="35"/>
      <c r="E91" s="35"/>
      <c r="F91" s="35"/>
      <c r="G91" s="35"/>
      <c r="H91" s="35"/>
      <c r="I91" s="36"/>
    </row>
    <row r="92" spans="1:9">
      <c r="A92" s="2"/>
      <c r="B92" s="40"/>
      <c r="C92" s="35"/>
      <c r="D92" s="35"/>
      <c r="E92" s="35"/>
      <c r="F92" s="35"/>
      <c r="G92" s="35"/>
      <c r="H92" s="35"/>
      <c r="I92" s="36"/>
    </row>
    <row r="93" spans="1:9">
      <c r="A93" s="2"/>
      <c r="B93" s="42" t="s">
        <v>473</v>
      </c>
      <c r="C93" s="35"/>
      <c r="D93" s="35"/>
      <c r="E93" s="35"/>
      <c r="F93" s="35"/>
      <c r="G93" s="35"/>
      <c r="H93" s="35"/>
      <c r="I93" s="1183">
        <f>+I40+I54+I68+I74+I80+I90</f>
        <v>201.45770000000002</v>
      </c>
    </row>
    <row r="94" spans="1:9" ht="15.75">
      <c r="A94" s="2"/>
      <c r="B94" s="33" t="s">
        <v>474</v>
      </c>
      <c r="C94" s="35"/>
      <c r="D94" s="35"/>
      <c r="E94" s="35"/>
      <c r="F94" s="35"/>
      <c r="G94" s="35"/>
      <c r="H94" s="35"/>
      <c r="I94" s="36"/>
    </row>
    <row r="95" spans="1:9">
      <c r="A95" s="2"/>
      <c r="B95" s="40"/>
      <c r="C95" s="35"/>
      <c r="D95" s="35"/>
      <c r="E95" s="35"/>
      <c r="F95" s="35"/>
      <c r="G95" s="35"/>
      <c r="H95" s="35"/>
      <c r="I95" s="36"/>
    </row>
    <row r="96" spans="1:9">
      <c r="A96" s="2"/>
      <c r="B96" s="43" t="s">
        <v>11</v>
      </c>
      <c r="C96" s="44"/>
      <c r="D96" s="44"/>
      <c r="E96" s="44"/>
      <c r="F96" s="44"/>
      <c r="G96" s="44"/>
      <c r="H96" s="44"/>
      <c r="I96" s="621">
        <f>SUM(I39:I90)</f>
        <v>296.95770000000005</v>
      </c>
    </row>
  </sheetData>
  <mergeCells count="4">
    <mergeCell ref="B1:D1"/>
    <mergeCell ref="E54:H54"/>
    <mergeCell ref="B64:I65"/>
    <mergeCell ref="B69:C69"/>
  </mergeCells>
  <pageMargins left="0.75" right="0.75" top="1" bottom="1" header="0.5" footer="0.5"/>
  <pageSetup scale="51" orientation="portrait" r:id="rId1"/>
  <headerFooter alignWithMargins="0"/>
</worksheet>
</file>

<file path=xl/worksheets/sheet122.xml><?xml version="1.0" encoding="utf-8"?>
<worksheet xmlns="http://schemas.openxmlformats.org/spreadsheetml/2006/main" xmlns:r="http://schemas.openxmlformats.org/officeDocument/2006/relationships">
  <sheetPr>
    <pageSetUpPr fitToPage="1"/>
  </sheetPr>
  <dimension ref="A1:L96"/>
  <sheetViews>
    <sheetView zoomScale="75" zoomScaleNormal="75" workbookViewId="0">
      <selection activeCell="B54" sqref="B54:I55"/>
    </sheetView>
  </sheetViews>
  <sheetFormatPr defaultRowHeight="12.75"/>
  <cols>
    <col min="1" max="1" width="1.85546875" customWidth="1"/>
    <col min="3" max="3" width="24.140625" customWidth="1"/>
    <col min="4" max="4" width="23.140625" customWidth="1"/>
    <col min="5" max="5" width="54.28515625" bestFit="1" customWidth="1"/>
    <col min="6" max="6" width="10.42578125" customWidth="1"/>
    <col min="9" max="9" width="16.5703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386</v>
      </c>
      <c r="C6" s="7" t="str">
        <f>+E12</f>
        <v>EQIP</v>
      </c>
      <c r="D6" s="53" t="s">
        <v>810</v>
      </c>
      <c r="E6" s="110" t="s">
        <v>817</v>
      </c>
      <c r="F6" s="7" t="s">
        <v>394</v>
      </c>
      <c r="G6" s="85">
        <f>+I25</f>
        <v>173.29492500000001</v>
      </c>
    </row>
    <row r="7" spans="1:12">
      <c r="A7" s="2"/>
      <c r="B7" s="54">
        <f>+B6</f>
        <v>386</v>
      </c>
      <c r="C7" s="7" t="str">
        <f>+C6</f>
        <v>EQIP</v>
      </c>
      <c r="D7" s="53" t="s">
        <v>810</v>
      </c>
      <c r="E7" s="110" t="str">
        <f>CONCATENATE(E6, "-HU")</f>
        <v xml:space="preserve"> Field Border - Native Grass - 2# Forbs Mix -HU</v>
      </c>
      <c r="F7" s="7" t="str">
        <f>+F6</f>
        <v>Acre</v>
      </c>
      <c r="G7" s="85">
        <f>+J25</f>
        <v>207.95390999999998</v>
      </c>
    </row>
    <row r="8" spans="1:12">
      <c r="A8" s="2"/>
      <c r="B8" s="54">
        <v>386</v>
      </c>
      <c r="C8" s="7" t="str">
        <f>+G12</f>
        <v>WHIP</v>
      </c>
      <c r="D8" s="53" t="s">
        <v>810</v>
      </c>
      <c r="E8" s="110" t="s">
        <v>817</v>
      </c>
      <c r="F8" s="7" t="s">
        <v>394</v>
      </c>
      <c r="G8" s="85">
        <f>+K25</f>
        <v>173.29492500000001</v>
      </c>
    </row>
    <row r="9" spans="1:12">
      <c r="A9" s="2"/>
      <c r="B9" s="8">
        <f>+B8</f>
        <v>386</v>
      </c>
      <c r="C9" s="10" t="str">
        <f>+C8</f>
        <v>WHIP</v>
      </c>
      <c r="D9" s="9" t="s">
        <v>810</v>
      </c>
      <c r="E9" s="111" t="str">
        <f>CONCATENATE(E6, "-HU")</f>
        <v xml:space="preserve"> Field Border - Native Grass - 2# Forbs Mix -HU</v>
      </c>
      <c r="F9" s="10" t="str">
        <f>+F8</f>
        <v>Acre</v>
      </c>
      <c r="G9" s="86">
        <f>+L25</f>
        <v>207.95390999999998</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100.33</v>
      </c>
      <c r="E16" s="160">
        <f>+'[10]Payment Factors'!D14</f>
        <v>0.75</v>
      </c>
      <c r="F16" s="160">
        <f>+'[10]Payment Factors'!E14</f>
        <v>0.9</v>
      </c>
      <c r="G16" s="160">
        <f>+'[10]Payment Factors'!F14</f>
        <v>0.75</v>
      </c>
      <c r="H16" s="160">
        <f>+'[10]Payment Factors'!G14</f>
        <v>0.9</v>
      </c>
      <c r="I16" s="1154">
        <f t="shared" ref="I16:L24" si="0">+$D16*E16</f>
        <v>75.247500000000002</v>
      </c>
      <c r="J16" s="1154">
        <f t="shared" si="0"/>
        <v>90.296999999999997</v>
      </c>
      <c r="K16" s="1154">
        <f t="shared" si="0"/>
        <v>75.247500000000002</v>
      </c>
      <c r="L16" s="1155">
        <f t="shared" si="0"/>
        <v>90.296999999999997</v>
      </c>
    </row>
    <row r="17" spans="1:12">
      <c r="A17" s="2"/>
      <c r="B17" s="15" t="s">
        <v>2</v>
      </c>
      <c r="C17" s="16"/>
      <c r="D17" s="24">
        <f>+I54</f>
        <v>105.39999999999999</v>
      </c>
      <c r="E17" s="160">
        <f t="shared" ref="E17:H19" si="1">+E16</f>
        <v>0.75</v>
      </c>
      <c r="F17" s="160">
        <f t="shared" si="1"/>
        <v>0.9</v>
      </c>
      <c r="G17" s="160">
        <f t="shared" si="1"/>
        <v>0.75</v>
      </c>
      <c r="H17" s="160">
        <f t="shared" si="1"/>
        <v>0.9</v>
      </c>
      <c r="I17" s="1154">
        <f t="shared" si="0"/>
        <v>79.05</v>
      </c>
      <c r="J17" s="1154">
        <f t="shared" si="0"/>
        <v>94.86</v>
      </c>
      <c r="K17" s="1154">
        <f t="shared" si="0"/>
        <v>79.05</v>
      </c>
      <c r="L17" s="1155">
        <f t="shared" si="0"/>
        <v>94.86</v>
      </c>
    </row>
    <row r="18" spans="1:12">
      <c r="A18" s="2"/>
      <c r="B18" s="15" t="s">
        <v>3</v>
      </c>
      <c r="C18" s="16"/>
      <c r="D18" s="24">
        <f>+I68</f>
        <v>18.599999999999998</v>
      </c>
      <c r="E18" s="160">
        <f t="shared" si="1"/>
        <v>0.75</v>
      </c>
      <c r="F18" s="160">
        <f t="shared" si="1"/>
        <v>0.9</v>
      </c>
      <c r="G18" s="160">
        <f t="shared" si="1"/>
        <v>0.75</v>
      </c>
      <c r="H18" s="160">
        <f t="shared" si="1"/>
        <v>0.9</v>
      </c>
      <c r="I18" s="1154">
        <f t="shared" si="0"/>
        <v>13.95</v>
      </c>
      <c r="J18" s="1154">
        <f t="shared" si="0"/>
        <v>16.739999999999998</v>
      </c>
      <c r="K18" s="1154">
        <f t="shared" si="0"/>
        <v>13.95</v>
      </c>
      <c r="L18" s="1155">
        <f t="shared" si="0"/>
        <v>16.739999999999998</v>
      </c>
    </row>
    <row r="19" spans="1:12">
      <c r="A19" s="2"/>
      <c r="B19" s="15" t="s">
        <v>4</v>
      </c>
      <c r="C19" s="16"/>
      <c r="D19" s="24">
        <f>+I74</f>
        <v>6.7298999999999989</v>
      </c>
      <c r="E19" s="160">
        <f t="shared" si="1"/>
        <v>0.75</v>
      </c>
      <c r="F19" s="160">
        <f t="shared" si="1"/>
        <v>0.9</v>
      </c>
      <c r="G19" s="160">
        <f t="shared" si="1"/>
        <v>0.75</v>
      </c>
      <c r="H19" s="160">
        <f t="shared" si="1"/>
        <v>0.9</v>
      </c>
      <c r="I19" s="1154">
        <f t="shared" si="0"/>
        <v>5.0474249999999987</v>
      </c>
      <c r="J19" s="1154">
        <f t="shared" si="0"/>
        <v>6.0569099999999993</v>
      </c>
      <c r="K19" s="1154">
        <f t="shared" si="0"/>
        <v>5.0474249999999987</v>
      </c>
      <c r="L19" s="1155">
        <f t="shared" si="0"/>
        <v>6.0569099999999993</v>
      </c>
    </row>
    <row r="20" spans="1:12">
      <c r="A20" s="2"/>
      <c r="B20" s="15" t="s">
        <v>26</v>
      </c>
      <c r="C20" s="16"/>
      <c r="D20" s="24">
        <f>+I77</f>
        <v>13.04</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+I80</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+I83</f>
        <v>80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+I87</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+I90</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324.09989999999993</v>
      </c>
      <c r="E25" s="1158"/>
      <c r="F25" s="1158"/>
      <c r="G25" s="28"/>
      <c r="H25" s="28"/>
      <c r="I25" s="1159">
        <f>SUM(I16:I24)</f>
        <v>173.29492500000001</v>
      </c>
      <c r="J25" s="1159">
        <f>SUM(J16:J24)</f>
        <v>207.95390999999998</v>
      </c>
      <c r="K25" s="1159">
        <f>SUM(K16:K24)</f>
        <v>173.29492500000001</v>
      </c>
      <c r="L25" s="1160">
        <f>SUM(L16:L24)</f>
        <v>207.95390999999998</v>
      </c>
    </row>
    <row r="27" spans="1:12" ht="15.75">
      <c r="A27" s="2"/>
      <c r="B27" s="50" t="s">
        <v>28</v>
      </c>
      <c r="C27" s="2"/>
      <c r="D27" s="2"/>
      <c r="E27" s="2"/>
      <c r="F27" s="2"/>
      <c r="G27" s="2"/>
      <c r="H27" s="2"/>
      <c r="I27" s="5"/>
    </row>
    <row r="28" spans="1:12">
      <c r="A28" s="2"/>
      <c r="B28" s="29" t="s">
        <v>816</v>
      </c>
      <c r="C28" s="30"/>
      <c r="D28" s="30"/>
      <c r="E28" s="31"/>
      <c r="F28" s="31"/>
      <c r="G28" s="31"/>
      <c r="H28" s="31"/>
      <c r="I28" s="32"/>
    </row>
    <row r="29" spans="1:12">
      <c r="A29" s="2"/>
      <c r="B29" s="1161" t="s">
        <v>443</v>
      </c>
      <c r="C29" s="34"/>
      <c r="D29" s="34"/>
      <c r="E29" s="35"/>
      <c r="F29" s="35"/>
      <c r="G29" s="35"/>
      <c r="H29" s="35"/>
      <c r="I29" s="36"/>
    </row>
    <row r="30" spans="1:12">
      <c r="A30" s="2"/>
      <c r="B30" s="1161" t="s">
        <v>444</v>
      </c>
      <c r="C30" s="143"/>
      <c r="D30" s="34"/>
      <c r="E30" s="35"/>
      <c r="F30" s="1163"/>
      <c r="G30" s="35"/>
      <c r="H30" s="35"/>
      <c r="I30" s="36"/>
    </row>
    <row r="31" spans="1:12">
      <c r="A31" s="2"/>
      <c r="B31" s="37" t="s">
        <v>445</v>
      </c>
      <c r="C31" s="34"/>
      <c r="D31" s="34"/>
      <c r="E31" s="35"/>
      <c r="F31" s="35"/>
      <c r="G31" s="35"/>
      <c r="H31" s="35"/>
      <c r="I31" s="36"/>
    </row>
    <row r="32" spans="1:12">
      <c r="A32" s="2"/>
      <c r="B32" s="37" t="s">
        <v>446</v>
      </c>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f>+'[10]Payment Factors'!C14</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SUM(G42:G48)</f>
        <v>100.33</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8" si="2">+F42*E42</f>
        <v>0</v>
      </c>
      <c r="H42" s="35"/>
      <c r="I42" s="47"/>
    </row>
    <row r="43" spans="1:9">
      <c r="A43" s="2"/>
      <c r="B43" s="40" t="s">
        <v>451</v>
      </c>
      <c r="C43" s="6"/>
      <c r="D43" s="1168" t="s">
        <v>452</v>
      </c>
      <c r="E43" s="1169">
        <f>+'[27]Core Rates'!C203</f>
        <v>8.75</v>
      </c>
      <c r="F43" s="1170">
        <v>0</v>
      </c>
      <c r="G43" s="1171">
        <f t="shared" si="2"/>
        <v>0</v>
      </c>
      <c r="H43" s="35"/>
      <c r="I43" s="36"/>
    </row>
    <row r="44" spans="1:9">
      <c r="A44" s="2"/>
      <c r="B44" s="1184" t="s">
        <v>453</v>
      </c>
      <c r="C44" s="6"/>
      <c r="D44" s="1185" t="s">
        <v>454</v>
      </c>
      <c r="E44" s="1169">
        <f>+'[27]Core Rates'!C228</f>
        <v>0.82427536231884069</v>
      </c>
      <c r="F44" s="1170">
        <v>0</v>
      </c>
      <c r="G44" s="1171">
        <f t="shared" si="2"/>
        <v>0</v>
      </c>
      <c r="H44" s="35"/>
      <c r="I44" s="36"/>
    </row>
    <row r="45" spans="1:9">
      <c r="A45" s="2"/>
      <c r="B45" s="1186" t="s">
        <v>455</v>
      </c>
      <c r="C45" s="1187"/>
      <c r="D45" s="1185" t="s">
        <v>454</v>
      </c>
      <c r="E45" s="1169">
        <f>+'[27]Core Rates'!C235</f>
        <v>1.1702898550724636</v>
      </c>
      <c r="F45" s="1170">
        <v>0</v>
      </c>
      <c r="G45" s="1171">
        <f t="shared" si="2"/>
        <v>0</v>
      </c>
      <c r="H45" s="35"/>
      <c r="I45" s="36"/>
    </row>
    <row r="46" spans="1:9">
      <c r="A46" s="2"/>
      <c r="B46" s="1186" t="s">
        <v>456</v>
      </c>
      <c r="C46" s="1187"/>
      <c r="D46" s="1168" t="s">
        <v>454</v>
      </c>
      <c r="E46" s="1169">
        <f>+'[27]Core Rates'!C246</f>
        <v>0.58825136612021856</v>
      </c>
      <c r="F46" s="1170">
        <v>0</v>
      </c>
      <c r="G46" s="1171">
        <f t="shared" si="2"/>
        <v>0</v>
      </c>
      <c r="H46" s="35"/>
      <c r="I46" s="36"/>
    </row>
    <row r="47" spans="1:9">
      <c r="A47" s="2"/>
      <c r="B47" s="1206" t="str">
        <f>+'[27]Core Rates'!A309</f>
        <v>Seed (Native grass except Prairie Dropseed and Splitbeard Bluestem)</v>
      </c>
      <c r="C47" s="1187"/>
      <c r="D47" s="1185" t="s">
        <v>454</v>
      </c>
      <c r="E47" s="1169">
        <f>+'[27]Core Rates 2011'!BE306</f>
        <v>8.57</v>
      </c>
      <c r="F47" s="1170">
        <v>5</v>
      </c>
      <c r="G47" s="1171">
        <f t="shared" si="2"/>
        <v>42.85</v>
      </c>
      <c r="H47" s="35"/>
      <c r="I47" s="36"/>
    </row>
    <row r="48" spans="1:9">
      <c r="A48" s="2"/>
      <c r="B48" s="1206" t="str">
        <f>+'[27]Core Rates 2011'!A291</f>
        <v>Seed (4 native forb species mix)</v>
      </c>
      <c r="C48" s="1187"/>
      <c r="D48" s="1185" t="s">
        <v>454</v>
      </c>
      <c r="E48" s="1169">
        <f>+'[27]Core Rates 2011'!BE291</f>
        <v>28.74</v>
      </c>
      <c r="F48" s="1170">
        <v>2</v>
      </c>
      <c r="G48" s="1171">
        <f t="shared" si="2"/>
        <v>57.48</v>
      </c>
      <c r="H48" s="35"/>
      <c r="I48" s="36"/>
    </row>
    <row r="49" spans="1:9">
      <c r="A49" s="2"/>
      <c r="B49" s="1172"/>
      <c r="C49" s="6"/>
      <c r="D49" s="1173"/>
      <c r="E49" s="35"/>
      <c r="F49" s="35"/>
      <c r="G49" s="35"/>
      <c r="H49" s="35"/>
      <c r="I49" s="36"/>
    </row>
    <row r="50" spans="1:9">
      <c r="A50" s="2"/>
      <c r="B50" s="37" t="s">
        <v>43</v>
      </c>
      <c r="C50" s="6"/>
      <c r="D50" s="1173"/>
      <c r="E50" s="35"/>
      <c r="F50" s="35"/>
      <c r="G50" s="35"/>
      <c r="H50" s="35"/>
      <c r="I50" s="36"/>
    </row>
    <row r="51" spans="1:9">
      <c r="A51" s="2"/>
      <c r="B51" s="40" t="s">
        <v>457</v>
      </c>
      <c r="C51" s="6"/>
      <c r="D51" s="1173"/>
      <c r="E51" s="35"/>
      <c r="F51" s="35"/>
      <c r="G51" s="35"/>
      <c r="H51" s="35"/>
      <c r="I51" s="36"/>
    </row>
    <row r="52" spans="1:9">
      <c r="A52" s="2"/>
      <c r="B52" s="40" t="s">
        <v>458</v>
      </c>
      <c r="C52" s="6"/>
      <c r="D52" s="1173"/>
      <c r="E52" s="1190"/>
      <c r="F52" s="35"/>
      <c r="G52" s="35"/>
      <c r="H52" s="35"/>
      <c r="I52" s="3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(SUM(G56:G61)*0.85)</f>
        <v>105.39999999999999</v>
      </c>
    </row>
    <row r="55" spans="1:9">
      <c r="A55" s="2"/>
      <c r="B55" s="1174"/>
      <c r="C55" s="35"/>
      <c r="D55" s="1167" t="s">
        <v>447</v>
      </c>
      <c r="E55" s="1167" t="s">
        <v>448</v>
      </c>
      <c r="F55" s="1167" t="s">
        <v>449</v>
      </c>
      <c r="G55" s="1167" t="s">
        <v>450</v>
      </c>
      <c r="H55" s="35"/>
      <c r="I55" s="46"/>
    </row>
    <row r="56" spans="1:9">
      <c r="A56" s="2"/>
      <c r="B56" s="1191" t="s">
        <v>460</v>
      </c>
      <c r="C56" s="6"/>
      <c r="D56" s="1168" t="s">
        <v>408</v>
      </c>
      <c r="E56" s="1169">
        <f>+'[27]Core Rates 2011'!BE146</f>
        <v>36.5</v>
      </c>
      <c r="F56" s="1170">
        <v>2</v>
      </c>
      <c r="G56" s="1171">
        <f t="shared" ref="G56:G61" si="3">+F56*E56</f>
        <v>73</v>
      </c>
      <c r="H56" s="35"/>
      <c r="I56" s="47"/>
    </row>
    <row r="57" spans="1:9">
      <c r="A57" s="2"/>
      <c r="B57" s="1191" t="str">
        <f>+'[27]Core Rates'!A216</f>
        <v>Mowing</v>
      </c>
      <c r="C57" s="6"/>
      <c r="D57" s="1189" t="s">
        <v>408</v>
      </c>
      <c r="E57" s="1189">
        <f>+'[27]Core Rates'!C216</f>
        <v>15.5</v>
      </c>
      <c r="F57" s="1170">
        <v>2</v>
      </c>
      <c r="G57" s="1171">
        <f t="shared" si="3"/>
        <v>31</v>
      </c>
      <c r="H57" s="35"/>
      <c r="I57" s="47"/>
    </row>
    <row r="58" spans="1:9">
      <c r="A58" s="2"/>
      <c r="B58" s="40" t="s">
        <v>461</v>
      </c>
      <c r="C58" s="6"/>
      <c r="D58" s="1168" t="s">
        <v>408</v>
      </c>
      <c r="E58" s="1169">
        <f>+'[27]Core Rates'!C104</f>
        <v>20</v>
      </c>
      <c r="F58" s="1170">
        <v>1</v>
      </c>
      <c r="G58" s="1171">
        <f t="shared" si="3"/>
        <v>20</v>
      </c>
      <c r="H58" s="35"/>
      <c r="I58" s="47"/>
    </row>
    <row r="59" spans="1:9">
      <c r="A59" s="2"/>
      <c r="B59" s="40" t="s">
        <v>462</v>
      </c>
      <c r="C59" s="6"/>
      <c r="D59" s="1168" t="s">
        <v>408</v>
      </c>
      <c r="E59" s="1169">
        <f>+'[27]Core Rates'!AN33</f>
        <v>5.416666666666667</v>
      </c>
      <c r="F59" s="1170">
        <v>0</v>
      </c>
      <c r="G59" s="1171">
        <f t="shared" si="3"/>
        <v>0</v>
      </c>
      <c r="H59" s="35"/>
      <c r="I59" s="47"/>
    </row>
    <row r="60" spans="1:9">
      <c r="A60" s="2"/>
      <c r="B60" s="40" t="s">
        <v>463</v>
      </c>
      <c r="C60" s="6"/>
      <c r="D60" s="1168" t="s">
        <v>452</v>
      </c>
      <c r="E60" s="1169">
        <f>+'[27]Core Rates'!AN34</f>
        <v>5.5</v>
      </c>
      <c r="F60" s="1170">
        <v>0</v>
      </c>
      <c r="G60" s="1171">
        <f t="shared" si="3"/>
        <v>0</v>
      </c>
      <c r="H60" s="35"/>
      <c r="I60" s="47"/>
    </row>
    <row r="61" spans="1:9">
      <c r="A61" s="2"/>
      <c r="B61" s="40" t="s">
        <v>464</v>
      </c>
      <c r="C61" s="6"/>
      <c r="D61" s="1168" t="s">
        <v>452</v>
      </c>
      <c r="E61" s="1169">
        <f>+'[27]Core Rates'!AN32</f>
        <v>6.3125</v>
      </c>
      <c r="F61" s="1170">
        <v>0</v>
      </c>
      <c r="G61" s="1171">
        <f t="shared" si="3"/>
        <v>0</v>
      </c>
      <c r="H61" s="35"/>
      <c r="I61" s="47"/>
    </row>
    <row r="62" spans="1:9">
      <c r="A62" s="2"/>
      <c r="B62" s="40"/>
      <c r="C62" s="6"/>
      <c r="D62" s="63"/>
      <c r="E62" s="150"/>
      <c r="F62" s="150"/>
      <c r="G62" s="1169"/>
      <c r="H62" s="35"/>
      <c r="I62" s="47"/>
    </row>
    <row r="63" spans="1:9">
      <c r="A63" s="2"/>
      <c r="B63" s="37" t="s">
        <v>43</v>
      </c>
      <c r="C63" s="35"/>
      <c r="D63" s="35"/>
      <c r="E63" s="60"/>
      <c r="F63" s="60"/>
      <c r="G63" s="60"/>
      <c r="H63" s="35"/>
      <c r="I63" s="46"/>
    </row>
    <row r="64" spans="1:9" ht="12.75" customHeight="1">
      <c r="A64" s="2"/>
      <c r="B64" s="2004" t="s">
        <v>457</v>
      </c>
      <c r="C64" s="2005"/>
      <c r="D64" s="2005"/>
      <c r="E64" s="2005"/>
      <c r="F64" s="2005"/>
      <c r="G64" s="2005"/>
      <c r="H64" s="2005"/>
      <c r="I64" s="2006"/>
    </row>
    <row r="65" spans="1:9">
      <c r="A65" s="2"/>
      <c r="B65" s="2004"/>
      <c r="C65" s="2005"/>
      <c r="D65" s="2005"/>
      <c r="E65" s="2005"/>
      <c r="F65" s="2005"/>
      <c r="G65" s="2005"/>
      <c r="H65" s="2005"/>
      <c r="I65" s="2006"/>
    </row>
    <row r="66" spans="1:9">
      <c r="A66" s="2"/>
      <c r="B66" s="1177"/>
      <c r="C66" s="1178"/>
      <c r="D66" s="1178"/>
      <c r="E66" s="1178"/>
      <c r="F66" s="1178"/>
      <c r="G66" s="1178"/>
      <c r="H66" s="1178"/>
      <c r="I66" s="1179"/>
    </row>
    <row r="67" spans="1:9">
      <c r="A67" s="2"/>
      <c r="B67" s="1177"/>
      <c r="C67" s="1178"/>
      <c r="D67" s="1178"/>
      <c r="E67" s="1178"/>
      <c r="F67" s="1178"/>
      <c r="G67" s="1178"/>
      <c r="H67" s="1178"/>
      <c r="I67" s="1179"/>
    </row>
    <row r="68" spans="1:9">
      <c r="A68" s="2"/>
      <c r="B68" s="42" t="s">
        <v>3</v>
      </c>
      <c r="C68" s="35"/>
      <c r="D68" s="35"/>
      <c r="E68" s="35"/>
      <c r="F68" s="39"/>
      <c r="G68" s="35"/>
      <c r="H68" s="35"/>
      <c r="I68" s="1182">
        <f>E70</f>
        <v>18.599999999999998</v>
      </c>
    </row>
    <row r="69" spans="1:9">
      <c r="A69" s="2"/>
      <c r="B69" s="2007" t="s">
        <v>465</v>
      </c>
      <c r="C69" s="2008"/>
      <c r="D69" s="35"/>
      <c r="E69" s="35"/>
      <c r="F69" s="35"/>
      <c r="G69" s="35"/>
      <c r="H69" s="35"/>
      <c r="I69" s="48"/>
    </row>
    <row r="70" spans="1:9">
      <c r="A70" s="2"/>
      <c r="B70" s="37" t="s">
        <v>466</v>
      </c>
      <c r="C70" s="39"/>
      <c r="D70" s="39"/>
      <c r="E70" s="153">
        <f>SUM(G56:G61)*0.15</f>
        <v>18.599999999999998</v>
      </c>
      <c r="F70" s="35"/>
      <c r="G70" s="35"/>
      <c r="H70" s="35"/>
      <c r="I70" s="46"/>
    </row>
    <row r="71" spans="1:9">
      <c r="A71" s="2"/>
      <c r="B71" s="37"/>
      <c r="C71" s="39"/>
      <c r="D71" s="1180"/>
      <c r="E71" s="153"/>
      <c r="F71" s="35"/>
      <c r="G71" s="35"/>
      <c r="H71" s="35"/>
      <c r="I71" s="46"/>
    </row>
    <row r="72" spans="1:9">
      <c r="A72" s="2"/>
      <c r="B72" s="37"/>
      <c r="C72" s="39"/>
      <c r="D72" s="1181"/>
      <c r="E72" s="153"/>
      <c r="F72" s="35"/>
      <c r="G72" s="35"/>
      <c r="H72" s="35"/>
      <c r="I72" s="46"/>
    </row>
    <row r="73" spans="1:9">
      <c r="A73" s="2"/>
      <c r="B73" s="33"/>
      <c r="C73" s="35"/>
      <c r="D73" s="35"/>
      <c r="E73" s="35"/>
      <c r="F73" s="35"/>
      <c r="G73" s="35"/>
      <c r="H73" s="35"/>
      <c r="I73" s="36"/>
    </row>
    <row r="74" spans="1:9">
      <c r="A74" s="2"/>
      <c r="B74" s="42" t="s">
        <v>4</v>
      </c>
      <c r="C74" s="35"/>
      <c r="D74" s="35"/>
      <c r="E74" s="35"/>
      <c r="F74" s="35"/>
      <c r="G74" s="35"/>
      <c r="H74" s="35"/>
      <c r="I74" s="1182">
        <f>0.03*(I40+I54+I68)</f>
        <v>6.7298999999999989</v>
      </c>
    </row>
    <row r="75" spans="1:9">
      <c r="A75" s="2"/>
      <c r="B75" s="33" t="s">
        <v>467</v>
      </c>
      <c r="C75" s="35"/>
      <c r="D75" s="35"/>
      <c r="E75" s="35"/>
      <c r="F75" s="35"/>
      <c r="G75" s="35"/>
      <c r="H75" s="35"/>
      <c r="I75" s="36"/>
    </row>
    <row r="76" spans="1:9">
      <c r="A76" s="2"/>
      <c r="B76" s="37"/>
      <c r="C76" s="35"/>
      <c r="D76" s="35"/>
      <c r="E76" s="35"/>
      <c r="F76" s="35"/>
      <c r="G76" s="35"/>
      <c r="H76" s="35"/>
      <c r="I76" s="36"/>
    </row>
    <row r="77" spans="1:9">
      <c r="A77" s="2"/>
      <c r="B77" s="42" t="s">
        <v>468</v>
      </c>
      <c r="C77" s="35"/>
      <c r="D77" s="35"/>
      <c r="E77" s="35"/>
      <c r="F77" s="35"/>
      <c r="G77" s="35"/>
      <c r="H77" s="35"/>
      <c r="I77" s="1166">
        <v>13.04</v>
      </c>
    </row>
    <row r="78" spans="1:9">
      <c r="A78" s="2"/>
      <c r="B78" s="33" t="s">
        <v>469</v>
      </c>
      <c r="C78" s="35"/>
      <c r="D78" s="35"/>
      <c r="E78" s="35"/>
      <c r="F78" s="35"/>
      <c r="G78" s="35"/>
      <c r="H78" s="35"/>
      <c r="I78" s="36"/>
    </row>
    <row r="79" spans="1:9">
      <c r="A79" s="2"/>
      <c r="B79" s="37"/>
      <c r="C79" s="35"/>
      <c r="D79" s="35"/>
      <c r="E79" s="35"/>
      <c r="F79" s="35"/>
      <c r="G79" s="35"/>
      <c r="H79" s="35"/>
      <c r="I79" s="36"/>
    </row>
    <row r="80" spans="1:9">
      <c r="A80" s="2"/>
      <c r="B80" s="42" t="s">
        <v>7</v>
      </c>
      <c r="C80" s="35"/>
      <c r="D80" s="35"/>
      <c r="E80" s="35"/>
      <c r="F80" s="35"/>
      <c r="G80" s="35"/>
      <c r="H80" s="35"/>
      <c r="I80" s="1166">
        <v>0</v>
      </c>
    </row>
    <row r="81" spans="1:9">
      <c r="A81" s="2"/>
      <c r="B81" s="33" t="s">
        <v>470</v>
      </c>
      <c r="C81" s="35"/>
      <c r="D81" s="35"/>
      <c r="E81" s="35"/>
      <c r="F81" s="35"/>
      <c r="G81" s="35"/>
      <c r="H81" s="35"/>
      <c r="I81" s="36"/>
    </row>
    <row r="82" spans="1:9">
      <c r="A82" s="2"/>
      <c r="B82" s="37"/>
      <c r="C82" s="35"/>
      <c r="D82" s="35"/>
      <c r="E82" s="35"/>
      <c r="F82" s="35"/>
      <c r="G82" s="35"/>
      <c r="H82" s="35"/>
      <c r="I82" s="36"/>
    </row>
    <row r="83" spans="1:9">
      <c r="A83" s="2"/>
      <c r="B83" s="42" t="s">
        <v>471</v>
      </c>
      <c r="C83" s="35"/>
      <c r="D83" s="35"/>
      <c r="E83" s="35"/>
      <c r="F83" s="39"/>
      <c r="G83" s="35"/>
      <c r="H83" s="35"/>
      <c r="I83" s="1166">
        <v>80</v>
      </c>
    </row>
    <row r="84" spans="1:9">
      <c r="A84" s="2"/>
      <c r="B84" s="756" t="s">
        <v>812</v>
      </c>
      <c r="C84" s="35"/>
      <c r="D84" s="35"/>
      <c r="E84" s="35"/>
      <c r="F84" s="35"/>
      <c r="G84" s="35"/>
      <c r="H84" s="35"/>
      <c r="I84" s="47"/>
    </row>
    <row r="85" spans="1:9">
      <c r="A85" s="2"/>
      <c r="B85" s="756"/>
      <c r="C85" s="35"/>
      <c r="D85" s="35"/>
      <c r="E85" s="35"/>
      <c r="F85" s="35"/>
      <c r="G85" s="35"/>
      <c r="H85" s="35"/>
      <c r="I85" s="47"/>
    </row>
    <row r="86" spans="1:9">
      <c r="A86" s="2"/>
      <c r="B86" s="37"/>
      <c r="C86" s="35"/>
      <c r="D86" s="35"/>
      <c r="E86" s="35"/>
      <c r="F86" s="35"/>
      <c r="G86" s="35"/>
      <c r="H86" s="35"/>
      <c r="I86" s="36"/>
    </row>
    <row r="87" spans="1:9">
      <c r="A87" s="2"/>
      <c r="B87" s="42" t="s">
        <v>5</v>
      </c>
      <c r="C87" s="35"/>
      <c r="D87" s="35"/>
      <c r="E87" s="35"/>
      <c r="F87" s="35"/>
      <c r="G87" s="35"/>
      <c r="H87" s="35"/>
      <c r="I87" s="1166">
        <v>0</v>
      </c>
    </row>
    <row r="88" spans="1:9">
      <c r="A88" s="2"/>
      <c r="B88" s="33" t="s">
        <v>104</v>
      </c>
      <c r="C88" s="35"/>
      <c r="D88" s="35"/>
      <c r="E88" s="35"/>
      <c r="F88" s="35"/>
      <c r="G88" s="35"/>
      <c r="H88" s="35"/>
      <c r="I88" s="47"/>
    </row>
    <row r="89" spans="1:9">
      <c r="A89" s="2"/>
      <c r="B89" s="37"/>
      <c r="C89" s="35"/>
      <c r="D89" s="35"/>
      <c r="E89" s="35"/>
      <c r="F89" s="35"/>
      <c r="G89" s="35"/>
      <c r="H89" s="35"/>
      <c r="I89" s="36"/>
    </row>
    <row r="90" spans="1:9">
      <c r="A90" s="2"/>
      <c r="B90" s="42" t="s">
        <v>20</v>
      </c>
      <c r="C90" s="35"/>
      <c r="D90" s="35"/>
      <c r="E90" s="35"/>
      <c r="F90" s="35"/>
      <c r="G90" s="35"/>
      <c r="H90" s="35"/>
      <c r="I90" s="1166">
        <v>0</v>
      </c>
    </row>
    <row r="91" spans="1:9">
      <c r="A91" s="2"/>
      <c r="B91" s="33" t="s">
        <v>104</v>
      </c>
      <c r="C91" s="35"/>
      <c r="D91" s="35"/>
      <c r="E91" s="35"/>
      <c r="F91" s="35"/>
      <c r="G91" s="35"/>
      <c r="H91" s="35"/>
      <c r="I91" s="36"/>
    </row>
    <row r="92" spans="1:9">
      <c r="A92" s="2"/>
      <c r="B92" s="40"/>
      <c r="C92" s="35"/>
      <c r="D92" s="35"/>
      <c r="E92" s="35"/>
      <c r="F92" s="35"/>
      <c r="G92" s="35"/>
      <c r="H92" s="35"/>
      <c r="I92" s="36"/>
    </row>
    <row r="93" spans="1:9">
      <c r="A93" s="2"/>
      <c r="B93" s="42" t="s">
        <v>473</v>
      </c>
      <c r="C93" s="35"/>
      <c r="D93" s="35"/>
      <c r="E93" s="35"/>
      <c r="F93" s="35"/>
      <c r="G93" s="35"/>
      <c r="H93" s="35"/>
      <c r="I93" s="1183">
        <f>+I40+I54+I68+I74+I80+I90</f>
        <v>231.05989999999997</v>
      </c>
    </row>
    <row r="94" spans="1:9" ht="15.75">
      <c r="A94" s="2"/>
      <c r="B94" s="33" t="s">
        <v>474</v>
      </c>
      <c r="C94" s="35"/>
      <c r="D94" s="35"/>
      <c r="E94" s="35"/>
      <c r="F94" s="35"/>
      <c r="G94" s="35"/>
      <c r="H94" s="35"/>
      <c r="I94" s="36"/>
    </row>
    <row r="95" spans="1:9">
      <c r="A95" s="2"/>
      <c r="B95" s="40"/>
      <c r="C95" s="35"/>
      <c r="D95" s="35"/>
      <c r="E95" s="35"/>
      <c r="F95" s="35"/>
      <c r="G95" s="35"/>
      <c r="H95" s="35"/>
      <c r="I95" s="36"/>
    </row>
    <row r="96" spans="1:9">
      <c r="A96" s="2"/>
      <c r="B96" s="43" t="s">
        <v>11</v>
      </c>
      <c r="C96" s="44"/>
      <c r="D96" s="44"/>
      <c r="E96" s="44"/>
      <c r="F96" s="44"/>
      <c r="G96" s="44"/>
      <c r="H96" s="44"/>
      <c r="I96" s="621">
        <f>SUM(I40:I90)</f>
        <v>324.09989999999993</v>
      </c>
    </row>
  </sheetData>
  <mergeCells count="4">
    <mergeCell ref="B1:D1"/>
    <mergeCell ref="E54:H54"/>
    <mergeCell ref="B64:I65"/>
    <mergeCell ref="B69:C69"/>
  </mergeCells>
  <pageMargins left="0.75" right="0.75" top="1" bottom="1" header="0.5" footer="0.5"/>
  <pageSetup scale="49" orientation="portrait" r:id="rId1"/>
  <headerFooter alignWithMargins="0"/>
</worksheet>
</file>

<file path=xl/worksheets/sheet123.xml><?xml version="1.0" encoding="utf-8"?>
<worksheet xmlns="http://schemas.openxmlformats.org/spreadsheetml/2006/main" xmlns:r="http://schemas.openxmlformats.org/officeDocument/2006/relationships">
  <sheetPr>
    <pageSetUpPr fitToPage="1"/>
  </sheetPr>
  <dimension ref="A1:L97"/>
  <sheetViews>
    <sheetView topLeftCell="A4" zoomScale="75" zoomScaleNormal="75" workbookViewId="0">
      <selection activeCell="B29" sqref="B29:E32"/>
    </sheetView>
  </sheetViews>
  <sheetFormatPr defaultRowHeight="12.75"/>
  <cols>
    <col min="1" max="1" width="1.85546875" style="517" customWidth="1"/>
    <col min="2" max="2" width="9.140625" style="517"/>
    <col min="3" max="3" width="24.140625" style="517" customWidth="1"/>
    <col min="4" max="4" width="29" style="517" customWidth="1"/>
    <col min="5" max="5" width="42.7109375" style="517" customWidth="1"/>
    <col min="6" max="6" width="10.42578125" style="517" customWidth="1"/>
    <col min="7"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c r="A3" s="515"/>
      <c r="B3" s="519" t="s">
        <v>17</v>
      </c>
      <c r="C3" s="515"/>
      <c r="D3" s="515"/>
      <c r="E3" s="515"/>
      <c r="F3" s="515"/>
      <c r="G3" s="515"/>
      <c r="H3" s="515"/>
      <c r="I3" s="515"/>
    </row>
    <row r="4" spans="1:12">
      <c r="A4" s="515"/>
      <c r="B4" s="520" t="s">
        <v>1</v>
      </c>
      <c r="C4" s="521" t="s">
        <v>21</v>
      </c>
      <c r="D4" s="522"/>
      <c r="E4" s="522"/>
      <c r="F4" s="522"/>
      <c r="G4" s="523" t="s">
        <v>12</v>
      </c>
    </row>
    <row r="5" spans="1:12">
      <c r="A5" s="515"/>
      <c r="B5" s="524" t="s">
        <v>13</v>
      </c>
      <c r="C5" s="525" t="s">
        <v>22</v>
      </c>
      <c r="D5" s="525" t="s">
        <v>29</v>
      </c>
      <c r="E5" s="525" t="s">
        <v>30</v>
      </c>
      <c r="F5" s="525" t="s">
        <v>23</v>
      </c>
      <c r="G5" s="526" t="s">
        <v>14</v>
      </c>
    </row>
    <row r="6" spans="1:12" ht="25.5">
      <c r="A6" s="515"/>
      <c r="B6" s="631">
        <v>390</v>
      </c>
      <c r="C6" s="531" t="str">
        <f>+E12</f>
        <v>EQIP</v>
      </c>
      <c r="D6" s="632" t="s">
        <v>851</v>
      </c>
      <c r="E6" s="622" t="s">
        <v>852</v>
      </c>
      <c r="F6" s="531" t="s">
        <v>394</v>
      </c>
      <c r="G6" s="532">
        <f>+I25</f>
        <v>245.10072803813259</v>
      </c>
    </row>
    <row r="7" spans="1:12" ht="25.5">
      <c r="A7" s="515"/>
      <c r="B7" s="631">
        <f>+B6</f>
        <v>390</v>
      </c>
      <c r="C7" s="531" t="str">
        <f>+C6</f>
        <v>EQIP</v>
      </c>
      <c r="D7" s="632" t="s">
        <v>851</v>
      </c>
      <c r="E7" s="622" t="s">
        <v>853</v>
      </c>
      <c r="F7" s="531" t="str">
        <f>+F6</f>
        <v>Acre</v>
      </c>
      <c r="G7" s="532">
        <f>+J25</f>
        <v>294.1208736457591</v>
      </c>
    </row>
    <row r="8" spans="1:12" ht="25.5">
      <c r="A8" s="515"/>
      <c r="B8" s="631">
        <v>390</v>
      </c>
      <c r="C8" s="531" t="str">
        <f>+G12</f>
        <v>WHIP</v>
      </c>
      <c r="D8" s="632" t="s">
        <v>851</v>
      </c>
      <c r="E8" s="622" t="s">
        <v>852</v>
      </c>
      <c r="F8" s="531" t="s">
        <v>394</v>
      </c>
      <c r="G8" s="532">
        <f>+K25</f>
        <v>245.10072803813259</v>
      </c>
    </row>
    <row r="9" spans="1:12" ht="25.5">
      <c r="A9" s="515"/>
      <c r="B9" s="633">
        <f>+B8</f>
        <v>390</v>
      </c>
      <c r="C9" s="536" t="str">
        <f>+C8</f>
        <v>WHIP</v>
      </c>
      <c r="D9" s="632" t="s">
        <v>851</v>
      </c>
      <c r="E9" s="622" t="s">
        <v>853</v>
      </c>
      <c r="F9" s="536" t="str">
        <f>+F8</f>
        <v>Acre</v>
      </c>
      <c r="G9" s="537">
        <f>+L25</f>
        <v>294.1208736457591</v>
      </c>
    </row>
    <row r="10" spans="1:12">
      <c r="A10" s="515"/>
      <c r="B10" s="538"/>
      <c r="C10" s="539"/>
      <c r="D10" s="539"/>
      <c r="E10" s="515"/>
      <c r="F10" s="515"/>
    </row>
    <row r="11" spans="1:12" ht="15.75">
      <c r="A11" s="515"/>
      <c r="B11" s="519" t="s">
        <v>18</v>
      </c>
      <c r="C11" s="539"/>
      <c r="D11" s="539"/>
      <c r="E11" s="515"/>
      <c r="F11" s="515"/>
    </row>
    <row r="12" spans="1:12">
      <c r="A12" s="515"/>
      <c r="B12" s="540"/>
      <c r="C12" s="541"/>
      <c r="D12" s="542"/>
      <c r="E12" s="543" t="s">
        <v>15</v>
      </c>
      <c r="F12" s="543" t="s">
        <v>31</v>
      </c>
      <c r="G12" s="543" t="s">
        <v>86</v>
      </c>
      <c r="H12" s="543" t="s">
        <v>441</v>
      </c>
      <c r="I12" s="543"/>
      <c r="J12" s="543"/>
      <c r="K12" s="543"/>
      <c r="L12" s="624"/>
    </row>
    <row r="13" spans="1:12">
      <c r="A13" s="515"/>
      <c r="B13" s="544"/>
      <c r="C13" s="545"/>
      <c r="D13" s="546"/>
      <c r="E13" s="547" t="s">
        <v>22</v>
      </c>
      <c r="F13" s="547" t="s">
        <v>22</v>
      </c>
      <c r="G13" s="547" t="s">
        <v>22</v>
      </c>
      <c r="H13" s="547" t="s">
        <v>22</v>
      </c>
      <c r="I13" s="547" t="s">
        <v>15</v>
      </c>
      <c r="J13" s="547" t="s">
        <v>31</v>
      </c>
      <c r="K13" s="547" t="s">
        <v>86</v>
      </c>
      <c r="L13" s="625" t="s">
        <v>441</v>
      </c>
    </row>
    <row r="14" spans="1:12">
      <c r="A14" s="515"/>
      <c r="B14" s="548"/>
      <c r="C14" s="546"/>
      <c r="D14" s="546"/>
      <c r="E14" s="547" t="s">
        <v>12</v>
      </c>
      <c r="F14" s="547" t="s">
        <v>12</v>
      </c>
      <c r="G14" s="547" t="s">
        <v>12</v>
      </c>
      <c r="H14" s="547" t="s">
        <v>12</v>
      </c>
      <c r="I14" s="547" t="s">
        <v>12</v>
      </c>
      <c r="J14" s="547" t="s">
        <v>12</v>
      </c>
      <c r="K14" s="547" t="s">
        <v>12</v>
      </c>
      <c r="L14" s="625" t="s">
        <v>12</v>
      </c>
    </row>
    <row r="15" spans="1:12">
      <c r="A15" s="515"/>
      <c r="B15" s="549" t="s">
        <v>16</v>
      </c>
      <c r="C15" s="546"/>
      <c r="D15" s="550" t="s">
        <v>6</v>
      </c>
      <c r="E15" s="551" t="s">
        <v>24</v>
      </c>
      <c r="F15" s="551" t="s">
        <v>24</v>
      </c>
      <c r="G15" s="551" t="s">
        <v>24</v>
      </c>
      <c r="H15" s="551" t="s">
        <v>24</v>
      </c>
      <c r="I15" s="551" t="s">
        <v>14</v>
      </c>
      <c r="J15" s="551" t="s">
        <v>14</v>
      </c>
      <c r="K15" s="551" t="s">
        <v>14</v>
      </c>
      <c r="L15" s="626" t="s">
        <v>14</v>
      </c>
    </row>
    <row r="16" spans="1:12">
      <c r="A16" s="515"/>
      <c r="B16" s="544" t="s">
        <v>0</v>
      </c>
      <c r="C16" s="546"/>
      <c r="D16" s="552">
        <f>+I40</f>
        <v>179.74082917557618</v>
      </c>
      <c r="E16" s="553">
        <f>+'[10]Payment Factors'!D14</f>
        <v>0.75</v>
      </c>
      <c r="F16" s="553">
        <f>+'[10]Payment Factors'!E14</f>
        <v>0.9</v>
      </c>
      <c r="G16" s="553">
        <f>+'[10]Payment Factors'!F14</f>
        <v>0.75</v>
      </c>
      <c r="H16" s="553">
        <f>+'[10]Payment Factors'!G14</f>
        <v>0.9</v>
      </c>
      <c r="I16" s="554">
        <f t="shared" ref="I16:L24" si="0">+$D16*E16</f>
        <v>134.80562188168213</v>
      </c>
      <c r="J16" s="554">
        <f t="shared" si="0"/>
        <v>161.76674625801857</v>
      </c>
      <c r="K16" s="554">
        <f t="shared" si="0"/>
        <v>134.80562188168213</v>
      </c>
      <c r="L16" s="627">
        <f t="shared" si="0"/>
        <v>161.76674625801857</v>
      </c>
    </row>
    <row r="17" spans="1:12">
      <c r="A17" s="515"/>
      <c r="B17" s="544" t="s">
        <v>2</v>
      </c>
      <c r="C17" s="546"/>
      <c r="D17" s="552">
        <f>+I55</f>
        <v>116.91041666666668</v>
      </c>
      <c r="E17" s="553">
        <f t="shared" ref="E17:H19" si="1">+E16</f>
        <v>0.75</v>
      </c>
      <c r="F17" s="553">
        <f t="shared" si="1"/>
        <v>0.9</v>
      </c>
      <c r="G17" s="553">
        <f t="shared" si="1"/>
        <v>0.75</v>
      </c>
      <c r="H17" s="553">
        <f t="shared" si="1"/>
        <v>0.9</v>
      </c>
      <c r="I17" s="554">
        <f t="shared" si="0"/>
        <v>87.682812500000011</v>
      </c>
      <c r="J17" s="554">
        <f t="shared" si="0"/>
        <v>105.21937500000001</v>
      </c>
      <c r="K17" s="554">
        <f t="shared" si="0"/>
        <v>87.682812500000011</v>
      </c>
      <c r="L17" s="627">
        <f t="shared" si="0"/>
        <v>105.21937500000001</v>
      </c>
    </row>
    <row r="18" spans="1:12">
      <c r="A18" s="515"/>
      <c r="B18" s="544" t="s">
        <v>3</v>
      </c>
      <c r="C18" s="546"/>
      <c r="D18" s="552">
        <f>+I69</f>
        <v>20.631250000000001</v>
      </c>
      <c r="E18" s="553">
        <f t="shared" si="1"/>
        <v>0.75</v>
      </c>
      <c r="F18" s="553">
        <f t="shared" si="1"/>
        <v>0.9</v>
      </c>
      <c r="G18" s="553">
        <f t="shared" si="1"/>
        <v>0.75</v>
      </c>
      <c r="H18" s="553">
        <f t="shared" si="1"/>
        <v>0.9</v>
      </c>
      <c r="I18" s="554">
        <f t="shared" si="0"/>
        <v>15.473437500000001</v>
      </c>
      <c r="J18" s="554">
        <f t="shared" si="0"/>
        <v>18.568125000000002</v>
      </c>
      <c r="K18" s="554">
        <f t="shared" si="0"/>
        <v>15.473437500000001</v>
      </c>
      <c r="L18" s="627">
        <f t="shared" si="0"/>
        <v>18.568125000000002</v>
      </c>
    </row>
    <row r="19" spans="1:12">
      <c r="A19" s="515"/>
      <c r="B19" s="544" t="s">
        <v>4</v>
      </c>
      <c r="C19" s="546"/>
      <c r="D19" s="552">
        <f>+I75</f>
        <v>9.5184748752672856</v>
      </c>
      <c r="E19" s="553">
        <f t="shared" si="1"/>
        <v>0.75</v>
      </c>
      <c r="F19" s="553">
        <f t="shared" si="1"/>
        <v>0.9</v>
      </c>
      <c r="G19" s="553">
        <f t="shared" si="1"/>
        <v>0.75</v>
      </c>
      <c r="H19" s="553">
        <f t="shared" si="1"/>
        <v>0.9</v>
      </c>
      <c r="I19" s="554">
        <f t="shared" si="0"/>
        <v>7.1388561564504638</v>
      </c>
      <c r="J19" s="554">
        <f t="shared" si="0"/>
        <v>8.5666273877405565</v>
      </c>
      <c r="K19" s="554">
        <f t="shared" si="0"/>
        <v>7.1388561564504638</v>
      </c>
      <c r="L19" s="627">
        <f t="shared" si="0"/>
        <v>8.5666273877405565</v>
      </c>
    </row>
    <row r="20" spans="1:12">
      <c r="A20" s="515"/>
      <c r="B20" s="544" t="s">
        <v>26</v>
      </c>
      <c r="C20" s="546"/>
      <c r="D20" s="552">
        <f>+I78</f>
        <v>15.5</v>
      </c>
      <c r="E20" s="553">
        <v>0</v>
      </c>
      <c r="F20" s="553">
        <v>0</v>
      </c>
      <c r="G20" s="553">
        <v>0</v>
      </c>
      <c r="H20" s="553">
        <v>0</v>
      </c>
      <c r="I20" s="554">
        <f t="shared" si="0"/>
        <v>0</v>
      </c>
      <c r="J20" s="554">
        <f t="shared" si="0"/>
        <v>0</v>
      </c>
      <c r="K20" s="554">
        <f t="shared" si="0"/>
        <v>0</v>
      </c>
      <c r="L20" s="627">
        <f t="shared" si="0"/>
        <v>0</v>
      </c>
    </row>
    <row r="21" spans="1:12">
      <c r="A21" s="515"/>
      <c r="B21" s="544" t="s">
        <v>7</v>
      </c>
      <c r="C21" s="546"/>
      <c r="D21" s="552">
        <f>+I81</f>
        <v>0</v>
      </c>
      <c r="E21" s="553">
        <v>0</v>
      </c>
      <c r="F21" s="553">
        <v>0</v>
      </c>
      <c r="G21" s="553">
        <v>0</v>
      </c>
      <c r="H21" s="553">
        <v>0</v>
      </c>
      <c r="I21" s="554">
        <f t="shared" si="0"/>
        <v>0</v>
      </c>
      <c r="J21" s="554">
        <f t="shared" si="0"/>
        <v>0</v>
      </c>
      <c r="K21" s="554">
        <f t="shared" si="0"/>
        <v>0</v>
      </c>
      <c r="L21" s="627">
        <f t="shared" si="0"/>
        <v>0</v>
      </c>
    </row>
    <row r="22" spans="1:12">
      <c r="A22" s="515"/>
      <c r="B22" s="544" t="s">
        <v>27</v>
      </c>
      <c r="C22" s="546"/>
      <c r="D22" s="552">
        <f>+I84</f>
        <v>180</v>
      </c>
      <c r="E22" s="553">
        <v>0</v>
      </c>
      <c r="F22" s="553">
        <v>0</v>
      </c>
      <c r="G22" s="553">
        <v>0</v>
      </c>
      <c r="H22" s="553">
        <v>0</v>
      </c>
      <c r="I22" s="554">
        <f t="shared" si="0"/>
        <v>0</v>
      </c>
      <c r="J22" s="554">
        <f t="shared" si="0"/>
        <v>0</v>
      </c>
      <c r="K22" s="554">
        <f t="shared" si="0"/>
        <v>0</v>
      </c>
      <c r="L22" s="627">
        <f t="shared" si="0"/>
        <v>0</v>
      </c>
    </row>
    <row r="23" spans="1:12">
      <c r="A23" s="515"/>
      <c r="B23" s="544" t="s">
        <v>5</v>
      </c>
      <c r="C23" s="546"/>
      <c r="D23" s="552">
        <f>+I88</f>
        <v>0</v>
      </c>
      <c r="E23" s="553">
        <v>0</v>
      </c>
      <c r="F23" s="553">
        <v>0</v>
      </c>
      <c r="G23" s="553">
        <v>0</v>
      </c>
      <c r="H23" s="553">
        <v>0</v>
      </c>
      <c r="I23" s="554">
        <f t="shared" si="0"/>
        <v>0</v>
      </c>
      <c r="J23" s="554">
        <f t="shared" si="0"/>
        <v>0</v>
      </c>
      <c r="K23" s="554">
        <f t="shared" si="0"/>
        <v>0</v>
      </c>
      <c r="L23" s="627">
        <f t="shared" si="0"/>
        <v>0</v>
      </c>
    </row>
    <row r="24" spans="1:12">
      <c r="A24" s="515"/>
      <c r="B24" s="544" t="s">
        <v>20</v>
      </c>
      <c r="C24" s="546"/>
      <c r="D24" s="555">
        <f>+I91</f>
        <v>0</v>
      </c>
      <c r="E24" s="553">
        <v>0</v>
      </c>
      <c r="F24" s="553">
        <v>0</v>
      </c>
      <c r="G24" s="553">
        <v>0</v>
      </c>
      <c r="H24" s="553">
        <v>0</v>
      </c>
      <c r="I24" s="556">
        <f t="shared" si="0"/>
        <v>0</v>
      </c>
      <c r="J24" s="556">
        <f t="shared" si="0"/>
        <v>0</v>
      </c>
      <c r="K24" s="556">
        <f t="shared" si="0"/>
        <v>0</v>
      </c>
      <c r="L24" s="628">
        <f t="shared" si="0"/>
        <v>0</v>
      </c>
    </row>
    <row r="25" spans="1:12">
      <c r="A25" s="515"/>
      <c r="B25" s="557" t="s">
        <v>19</v>
      </c>
      <c r="C25" s="558"/>
      <c r="D25" s="559">
        <f>SUM(D16:D24)</f>
        <v>522.30097071751015</v>
      </c>
      <c r="E25" s="629"/>
      <c r="F25" s="629"/>
      <c r="G25" s="560"/>
      <c r="H25" s="560"/>
      <c r="I25" s="561">
        <f>SUM(I16:I24)</f>
        <v>245.10072803813259</v>
      </c>
      <c r="J25" s="561">
        <f>SUM(J16:J24)</f>
        <v>294.1208736457591</v>
      </c>
      <c r="K25" s="561">
        <f>SUM(K16:K24)</f>
        <v>245.10072803813259</v>
      </c>
      <c r="L25" s="630">
        <f>SUM(L16:L24)</f>
        <v>294.1208736457591</v>
      </c>
    </row>
    <row r="27" spans="1:12" ht="15.75">
      <c r="A27" s="515"/>
      <c r="B27" s="562" t="s">
        <v>28</v>
      </c>
      <c r="C27" s="515"/>
      <c r="D27" s="515"/>
      <c r="E27" s="515"/>
      <c r="F27" s="515"/>
      <c r="G27" s="515"/>
      <c r="H27" s="515"/>
      <c r="I27" s="563"/>
    </row>
    <row r="28" spans="1:12">
      <c r="A28" s="515"/>
      <c r="B28" s="564" t="s">
        <v>485</v>
      </c>
      <c r="C28" s="565"/>
      <c r="D28" s="565"/>
      <c r="E28" s="566"/>
      <c r="F28" s="566"/>
      <c r="G28" s="566"/>
      <c r="H28" s="566"/>
      <c r="I28" s="567"/>
    </row>
    <row r="29" spans="1:12">
      <c r="A29" s="515"/>
      <c r="B29" s="568" t="s">
        <v>854</v>
      </c>
      <c r="C29" s="569"/>
      <c r="D29" s="569"/>
      <c r="E29" s="570"/>
      <c r="F29" s="570"/>
      <c r="G29" s="570"/>
      <c r="H29" s="570"/>
      <c r="I29" s="571"/>
    </row>
    <row r="30" spans="1:12">
      <c r="A30" s="515"/>
      <c r="B30" s="574" t="s">
        <v>477</v>
      </c>
      <c r="C30" s="569"/>
      <c r="D30" s="569"/>
      <c r="E30" s="570"/>
      <c r="F30" s="573"/>
      <c r="G30" s="570"/>
      <c r="H30" s="570"/>
      <c r="I30" s="571"/>
    </row>
    <row r="31" spans="1:12">
      <c r="A31" s="515"/>
      <c r="B31" s="568" t="s">
        <v>478</v>
      </c>
      <c r="C31" s="569"/>
      <c r="D31" s="569"/>
      <c r="E31" s="570"/>
      <c r="F31" s="570"/>
      <c r="G31" s="570"/>
      <c r="H31" s="570"/>
      <c r="I31" s="571"/>
    </row>
    <row r="32" spans="1:12">
      <c r="A32" s="515"/>
      <c r="B32" s="574" t="s">
        <v>855</v>
      </c>
      <c r="C32" s="569"/>
      <c r="D32" s="569"/>
      <c r="E32" s="570"/>
      <c r="F32" s="570"/>
      <c r="G32" s="570"/>
      <c r="H32" s="570"/>
      <c r="I32" s="571"/>
    </row>
    <row r="33" spans="1:9">
      <c r="A33" s="515"/>
      <c r="B33" s="575"/>
      <c r="C33" s="569"/>
      <c r="D33" s="569"/>
      <c r="E33" s="570"/>
      <c r="F33" s="570"/>
      <c r="G33" s="570"/>
      <c r="H33" s="570"/>
      <c r="I33" s="571"/>
    </row>
    <row r="34" spans="1:9">
      <c r="A34" s="515"/>
      <c r="B34" s="576" t="s">
        <v>25</v>
      </c>
      <c r="C34" s="569"/>
      <c r="D34" s="577" t="s">
        <v>91</v>
      </c>
      <c r="E34" s="578"/>
      <c r="F34" s="570"/>
      <c r="G34" s="570"/>
      <c r="H34" s="570"/>
      <c r="I34" s="571"/>
    </row>
    <row r="35" spans="1:9">
      <c r="A35" s="515"/>
      <c r="B35" s="574"/>
      <c r="C35" s="569"/>
      <c r="D35" s="570"/>
      <c r="E35" s="578"/>
      <c r="F35" s="570"/>
      <c r="G35" s="570"/>
      <c r="H35" s="570"/>
      <c r="I35" s="571"/>
    </row>
    <row r="36" spans="1:9">
      <c r="A36" s="515"/>
      <c r="B36" s="576" t="s">
        <v>8</v>
      </c>
      <c r="C36" s="569"/>
      <c r="D36" s="577" t="s">
        <v>394</v>
      </c>
      <c r="E36" s="578"/>
      <c r="F36" s="570"/>
      <c r="G36" s="570"/>
      <c r="H36" s="570"/>
      <c r="I36" s="571"/>
    </row>
    <row r="37" spans="1:9">
      <c r="A37" s="515"/>
      <c r="B37" s="576" t="s">
        <v>9</v>
      </c>
      <c r="C37" s="569"/>
      <c r="D37" s="579">
        <v>5</v>
      </c>
      <c r="E37" s="578"/>
      <c r="F37" s="570"/>
      <c r="G37" s="570"/>
      <c r="H37" s="570"/>
      <c r="I37" s="571"/>
    </row>
    <row r="38" spans="1:9">
      <c r="A38" s="515"/>
      <c r="B38" s="576" t="s">
        <v>10</v>
      </c>
      <c r="C38" s="570"/>
      <c r="D38" s="580"/>
      <c r="E38" s="581"/>
      <c r="F38" s="570"/>
      <c r="G38" s="570"/>
      <c r="H38" s="570"/>
      <c r="I38" s="582" t="s">
        <v>6</v>
      </c>
    </row>
    <row r="39" spans="1:9">
      <c r="A39" s="515"/>
      <c r="B39" s="583"/>
      <c r="C39" s="570"/>
      <c r="D39" s="570"/>
      <c r="E39" s="584"/>
      <c r="F39" s="570"/>
      <c r="G39" s="570"/>
      <c r="H39" s="570"/>
      <c r="I39" s="585"/>
    </row>
    <row r="40" spans="1:9">
      <c r="A40" s="515"/>
      <c r="B40" s="586" t="s">
        <v>0</v>
      </c>
      <c r="C40" s="570"/>
      <c r="D40" s="570"/>
      <c r="E40" s="570"/>
      <c r="F40" s="577"/>
      <c r="G40" s="570"/>
      <c r="H40" s="570"/>
      <c r="I40" s="587">
        <f>SUM(G42:G49)</f>
        <v>179.74082917557618</v>
      </c>
    </row>
    <row r="41" spans="1:9">
      <c r="A41" s="515"/>
      <c r="B41" s="588"/>
      <c r="C41" s="570"/>
      <c r="D41" s="589" t="s">
        <v>447</v>
      </c>
      <c r="E41" s="589" t="s">
        <v>448</v>
      </c>
      <c r="F41" s="589" t="s">
        <v>449</v>
      </c>
      <c r="G41" s="589" t="s">
        <v>450</v>
      </c>
      <c r="H41" s="570"/>
      <c r="I41" s="590"/>
    </row>
    <row r="42" spans="1:9">
      <c r="A42" s="515"/>
      <c r="B42" s="583"/>
      <c r="C42" s="578"/>
      <c r="D42" s="591"/>
      <c r="E42" s="592"/>
      <c r="F42" s="593"/>
      <c r="G42" s="594">
        <f t="shared" ref="G42:G49" si="2">+F42*E42</f>
        <v>0</v>
      </c>
      <c r="H42" s="570"/>
      <c r="I42" s="595"/>
    </row>
    <row r="43" spans="1:9">
      <c r="A43" s="515"/>
      <c r="B43" s="583" t="s">
        <v>451</v>
      </c>
      <c r="C43" s="578"/>
      <c r="D43" s="591" t="s">
        <v>452</v>
      </c>
      <c r="E43" s="592">
        <f>+'[28]Core Rates'!C203</f>
        <v>8.75</v>
      </c>
      <c r="F43" s="593">
        <v>2</v>
      </c>
      <c r="G43" s="594">
        <f t="shared" si="2"/>
        <v>17.5</v>
      </c>
      <c r="H43" s="570"/>
      <c r="I43" s="571"/>
    </row>
    <row r="44" spans="1:9">
      <c r="A44" s="515"/>
      <c r="B44" s="596" t="s">
        <v>453</v>
      </c>
      <c r="C44" s="578"/>
      <c r="D44" s="597" t="s">
        <v>454</v>
      </c>
      <c r="E44" s="592">
        <f>+'[28]Core Rates'!C228</f>
        <v>0.82427536231884069</v>
      </c>
      <c r="F44" s="593">
        <v>50</v>
      </c>
      <c r="G44" s="594">
        <f t="shared" si="2"/>
        <v>41.213768115942031</v>
      </c>
      <c r="H44" s="570"/>
      <c r="I44" s="571"/>
    </row>
    <row r="45" spans="1:9">
      <c r="A45" s="515"/>
      <c r="B45" s="598" t="s">
        <v>455</v>
      </c>
      <c r="C45" s="599"/>
      <c r="D45" s="597" t="s">
        <v>454</v>
      </c>
      <c r="E45" s="592">
        <f>+'[28]Core Rates'!C235</f>
        <v>1.1702898550724636</v>
      </c>
      <c r="F45" s="593">
        <v>50</v>
      </c>
      <c r="G45" s="594">
        <f t="shared" si="2"/>
        <v>58.51449275362318</v>
      </c>
      <c r="H45" s="570"/>
      <c r="I45" s="571"/>
    </row>
    <row r="46" spans="1:9">
      <c r="A46" s="515"/>
      <c r="B46" s="598" t="s">
        <v>456</v>
      </c>
      <c r="C46" s="599"/>
      <c r="D46" s="591" t="s">
        <v>454</v>
      </c>
      <c r="E46" s="592">
        <f>+'[28]Core Rates'!C246</f>
        <v>0.58825136612021856</v>
      </c>
      <c r="F46" s="593">
        <v>50</v>
      </c>
      <c r="G46" s="594">
        <f t="shared" si="2"/>
        <v>29.412568306010929</v>
      </c>
      <c r="H46" s="570"/>
      <c r="I46" s="571"/>
    </row>
    <row r="47" spans="1:9">
      <c r="A47" s="515"/>
      <c r="B47" s="598" t="s">
        <v>479</v>
      </c>
      <c r="C47" s="599"/>
      <c r="D47" s="597" t="s">
        <v>454</v>
      </c>
      <c r="E47" s="592">
        <f>+'[28]Core Rates 2011'!BE307</f>
        <v>1.68</v>
      </c>
      <c r="F47" s="593">
        <v>10</v>
      </c>
      <c r="G47" s="594">
        <f t="shared" si="2"/>
        <v>16.8</v>
      </c>
      <c r="H47" s="570"/>
      <c r="I47" s="571"/>
    </row>
    <row r="48" spans="1:9">
      <c r="A48" s="515"/>
      <c r="B48" s="598" t="s">
        <v>480</v>
      </c>
      <c r="C48" s="599"/>
      <c r="D48" s="597" t="s">
        <v>454</v>
      </c>
      <c r="E48" s="592">
        <f>+'[28]Core Rates 2011'!BE308</f>
        <v>1.61</v>
      </c>
      <c r="F48" s="593">
        <v>5</v>
      </c>
      <c r="G48" s="594">
        <f t="shared" si="2"/>
        <v>8.0500000000000007</v>
      </c>
      <c r="H48" s="570"/>
      <c r="I48" s="571"/>
    </row>
    <row r="49" spans="1:9">
      <c r="A49" s="515"/>
      <c r="B49" s="596" t="str">
        <f>+'[28]Core Rates'!A312</f>
        <v>Seed (Red Clover)</v>
      </c>
      <c r="C49" s="599"/>
      <c r="D49" s="597" t="s">
        <v>454</v>
      </c>
      <c r="E49" s="592">
        <f>+'[28]Core Rates 2011'!BE309</f>
        <v>2.75</v>
      </c>
      <c r="F49" s="593">
        <v>3</v>
      </c>
      <c r="G49" s="594">
        <f t="shared" si="2"/>
        <v>8.25</v>
      </c>
      <c r="H49" s="570"/>
      <c r="I49" s="571"/>
    </row>
    <row r="50" spans="1:9">
      <c r="A50" s="515"/>
      <c r="B50" s="601"/>
      <c r="C50" s="578"/>
      <c r="D50" s="602"/>
      <c r="E50" s="570"/>
      <c r="F50" s="570"/>
      <c r="G50" s="570"/>
      <c r="H50" s="570"/>
      <c r="I50" s="571"/>
    </row>
    <row r="51" spans="1:9">
      <c r="A51" s="515"/>
      <c r="B51" s="574" t="s">
        <v>43</v>
      </c>
      <c r="C51" s="578"/>
      <c r="D51" s="602"/>
      <c r="E51" s="570"/>
      <c r="F51" s="570"/>
      <c r="G51" s="570"/>
      <c r="H51" s="570"/>
      <c r="I51" s="571"/>
    </row>
    <row r="52" spans="1:9">
      <c r="A52" s="515"/>
      <c r="B52" s="583" t="s">
        <v>457</v>
      </c>
      <c r="C52" s="578"/>
      <c r="D52" s="602"/>
      <c r="E52" s="570"/>
      <c r="F52" s="570"/>
      <c r="G52" s="570"/>
      <c r="H52" s="570"/>
      <c r="I52" s="571"/>
    </row>
    <row r="53" spans="1:9">
      <c r="A53" s="515"/>
      <c r="B53" s="583" t="s">
        <v>458</v>
      </c>
      <c r="C53" s="578"/>
      <c r="D53" s="602"/>
      <c r="E53" s="603"/>
      <c r="F53" s="570"/>
      <c r="G53" s="570"/>
      <c r="H53" s="570"/>
      <c r="I53" s="571"/>
    </row>
    <row r="54" spans="1:9">
      <c r="A54" s="515"/>
      <c r="B54" s="601"/>
      <c r="C54" s="578"/>
      <c r="D54" s="602"/>
      <c r="E54" s="570"/>
      <c r="F54" s="570"/>
      <c r="G54" s="570"/>
      <c r="H54" s="570"/>
      <c r="I54" s="571"/>
    </row>
    <row r="55" spans="1:9">
      <c r="A55" s="515"/>
      <c r="B55" s="586" t="s">
        <v>2</v>
      </c>
      <c r="C55" s="570"/>
      <c r="D55" s="570"/>
      <c r="E55" s="2017" t="s">
        <v>459</v>
      </c>
      <c r="F55" s="2017"/>
      <c r="G55" s="2017"/>
      <c r="H55" s="2017"/>
      <c r="I55" s="587">
        <f>(SUM(G57:G62)*0.85)</f>
        <v>116.91041666666668</v>
      </c>
    </row>
    <row r="56" spans="1:9">
      <c r="A56" s="515"/>
      <c r="B56" s="588"/>
      <c r="C56" s="570"/>
      <c r="D56" s="589" t="s">
        <v>447</v>
      </c>
      <c r="E56" s="589" t="s">
        <v>448</v>
      </c>
      <c r="F56" s="589" t="s">
        <v>449</v>
      </c>
      <c r="G56" s="589" t="s">
        <v>450</v>
      </c>
      <c r="H56" s="570"/>
      <c r="I56" s="590"/>
    </row>
    <row r="57" spans="1:9">
      <c r="A57" s="515"/>
      <c r="B57" s="604" t="s">
        <v>460</v>
      </c>
      <c r="C57" s="578"/>
      <c r="D57" s="591" t="s">
        <v>408</v>
      </c>
      <c r="E57" s="592">
        <f>+'[28]Core Rates 2011'!BE146</f>
        <v>36.5</v>
      </c>
      <c r="F57" s="593">
        <v>2</v>
      </c>
      <c r="G57" s="594">
        <f t="shared" ref="G57:G62" si="3">+F57*E57</f>
        <v>73</v>
      </c>
      <c r="H57" s="570"/>
      <c r="I57" s="595"/>
    </row>
    <row r="58" spans="1:9">
      <c r="A58" s="515"/>
      <c r="B58" s="583" t="s">
        <v>461</v>
      </c>
      <c r="C58" s="578"/>
      <c r="D58" s="591" t="s">
        <v>408</v>
      </c>
      <c r="E58" s="592">
        <f>+'[28]Core Rates'!C104</f>
        <v>20</v>
      </c>
      <c r="F58" s="593">
        <v>1</v>
      </c>
      <c r="G58" s="594">
        <f t="shared" si="3"/>
        <v>20</v>
      </c>
      <c r="H58" s="570"/>
      <c r="I58" s="595"/>
    </row>
    <row r="59" spans="1:9">
      <c r="A59" s="515"/>
      <c r="B59" s="604" t="str">
        <f>+'[28]Core Rates'!A216</f>
        <v>Mowing</v>
      </c>
      <c r="C59" s="578"/>
      <c r="D59" s="605" t="s">
        <v>408</v>
      </c>
      <c r="E59" s="605">
        <f>+'[28]Core Rates'!C216</f>
        <v>15.5</v>
      </c>
      <c r="F59" s="593">
        <v>1</v>
      </c>
      <c r="G59" s="594">
        <f t="shared" si="3"/>
        <v>15.5</v>
      </c>
      <c r="H59" s="570"/>
      <c r="I59" s="595"/>
    </row>
    <row r="60" spans="1:9">
      <c r="A60" s="515"/>
      <c r="B60" s="583" t="s">
        <v>462</v>
      </c>
      <c r="C60" s="578"/>
      <c r="D60" s="591" t="s">
        <v>408</v>
      </c>
      <c r="E60" s="592">
        <f>+'[28]Core Rates'!AN33</f>
        <v>5.416666666666667</v>
      </c>
      <c r="F60" s="593">
        <v>1</v>
      </c>
      <c r="G60" s="594">
        <f t="shared" si="3"/>
        <v>5.416666666666667</v>
      </c>
      <c r="H60" s="570"/>
      <c r="I60" s="595"/>
    </row>
    <row r="61" spans="1:9">
      <c r="A61" s="515"/>
      <c r="B61" s="583" t="s">
        <v>463</v>
      </c>
      <c r="C61" s="578"/>
      <c r="D61" s="591" t="s">
        <v>452</v>
      </c>
      <c r="E61" s="592">
        <f>+'[28]Core Rates'!AN34</f>
        <v>5.5</v>
      </c>
      <c r="F61" s="593">
        <v>2</v>
      </c>
      <c r="G61" s="594">
        <f t="shared" si="3"/>
        <v>11</v>
      </c>
      <c r="H61" s="570"/>
      <c r="I61" s="595"/>
    </row>
    <row r="62" spans="1:9">
      <c r="A62" s="515"/>
      <c r="B62" s="583" t="s">
        <v>464</v>
      </c>
      <c r="C62" s="578"/>
      <c r="D62" s="591" t="s">
        <v>452</v>
      </c>
      <c r="E62" s="592">
        <f>+'[28]Core Rates'!AN32</f>
        <v>6.3125</v>
      </c>
      <c r="F62" s="593">
        <v>2</v>
      </c>
      <c r="G62" s="594">
        <f t="shared" si="3"/>
        <v>12.625</v>
      </c>
      <c r="H62" s="570"/>
      <c r="I62" s="595"/>
    </row>
    <row r="63" spans="1:9">
      <c r="A63" s="515"/>
      <c r="B63" s="583"/>
      <c r="C63" s="578"/>
      <c r="D63" s="606"/>
      <c r="E63" s="607"/>
      <c r="F63" s="607"/>
      <c r="G63" s="592"/>
      <c r="H63" s="570"/>
      <c r="I63" s="595"/>
    </row>
    <row r="64" spans="1:9">
      <c r="A64" s="515"/>
      <c r="B64" s="574" t="s">
        <v>43</v>
      </c>
      <c r="C64" s="570"/>
      <c r="D64" s="570"/>
      <c r="E64" s="608"/>
      <c r="F64" s="608"/>
      <c r="G64" s="608"/>
      <c r="H64" s="570"/>
      <c r="I64" s="590"/>
    </row>
    <row r="65" spans="1:9" ht="12.75" customHeight="1">
      <c r="A65" s="515"/>
      <c r="B65" s="2018" t="s">
        <v>457</v>
      </c>
      <c r="C65" s="2019"/>
      <c r="D65" s="2019"/>
      <c r="E65" s="2019"/>
      <c r="F65" s="2019"/>
      <c r="G65" s="2019"/>
      <c r="H65" s="2019"/>
      <c r="I65" s="2020"/>
    </row>
    <row r="66" spans="1:9">
      <c r="A66" s="515"/>
      <c r="B66" s="2018"/>
      <c r="C66" s="2019"/>
      <c r="D66" s="2019"/>
      <c r="E66" s="2019"/>
      <c r="F66" s="2019"/>
      <c r="G66" s="2019"/>
      <c r="H66" s="2019"/>
      <c r="I66" s="2020"/>
    </row>
    <row r="67" spans="1:9">
      <c r="A67" s="515"/>
      <c r="B67" s="609"/>
      <c r="C67" s="610"/>
      <c r="D67" s="610"/>
      <c r="E67" s="610"/>
      <c r="F67" s="610"/>
      <c r="G67" s="610"/>
      <c r="H67" s="610"/>
      <c r="I67" s="611"/>
    </row>
    <row r="68" spans="1:9">
      <c r="A68" s="515"/>
      <c r="B68" s="609"/>
      <c r="C68" s="610"/>
      <c r="D68" s="610"/>
      <c r="E68" s="610"/>
      <c r="F68" s="610"/>
      <c r="G68" s="610"/>
      <c r="H68" s="610"/>
      <c r="I68" s="611"/>
    </row>
    <row r="69" spans="1:9">
      <c r="A69" s="515"/>
      <c r="B69" s="586" t="s">
        <v>3</v>
      </c>
      <c r="C69" s="570"/>
      <c r="D69" s="570"/>
      <c r="E69" s="570"/>
      <c r="F69" s="577"/>
      <c r="G69" s="570"/>
      <c r="H69" s="570"/>
      <c r="I69" s="612">
        <f>E71</f>
        <v>20.631250000000001</v>
      </c>
    </row>
    <row r="70" spans="1:9">
      <c r="A70" s="515"/>
      <c r="B70" s="2021" t="s">
        <v>465</v>
      </c>
      <c r="C70" s="2022"/>
      <c r="D70" s="570"/>
      <c r="E70" s="570"/>
      <c r="F70" s="570"/>
      <c r="G70" s="570"/>
      <c r="H70" s="570"/>
      <c r="I70" s="613"/>
    </row>
    <row r="71" spans="1:9">
      <c r="A71" s="515"/>
      <c r="B71" s="574" t="s">
        <v>466</v>
      </c>
      <c r="C71" s="577"/>
      <c r="D71" s="577"/>
      <c r="E71" s="614">
        <f>SUM(G57:G62)*0.15</f>
        <v>20.631250000000001</v>
      </c>
      <c r="F71" s="570"/>
      <c r="G71" s="570"/>
      <c r="H71" s="570"/>
      <c r="I71" s="590"/>
    </row>
    <row r="72" spans="1:9">
      <c r="A72" s="515"/>
      <c r="B72" s="574"/>
      <c r="C72" s="577"/>
      <c r="D72" s="615"/>
      <c r="E72" s="614"/>
      <c r="F72" s="570"/>
      <c r="G72" s="570"/>
      <c r="H72" s="570"/>
      <c r="I72" s="590"/>
    </row>
    <row r="73" spans="1:9">
      <c r="A73" s="515"/>
      <c r="B73" s="574"/>
      <c r="C73" s="577"/>
      <c r="D73" s="616"/>
      <c r="E73" s="614"/>
      <c r="F73" s="570"/>
      <c r="G73" s="570"/>
      <c r="H73" s="570"/>
      <c r="I73" s="590"/>
    </row>
    <row r="74" spans="1:9">
      <c r="A74" s="515"/>
      <c r="B74" s="575"/>
      <c r="C74" s="570"/>
      <c r="D74" s="570"/>
      <c r="E74" s="570"/>
      <c r="F74" s="570"/>
      <c r="G74" s="570"/>
      <c r="H74" s="570"/>
      <c r="I74" s="571"/>
    </row>
    <row r="75" spans="1:9">
      <c r="A75" s="515"/>
      <c r="B75" s="586" t="s">
        <v>4</v>
      </c>
      <c r="C75" s="570"/>
      <c r="D75" s="570"/>
      <c r="E75" s="570"/>
      <c r="F75" s="570"/>
      <c r="G75" s="570"/>
      <c r="H75" s="570"/>
      <c r="I75" s="612">
        <f>0.03*(I40+I55+I69)</f>
        <v>9.5184748752672856</v>
      </c>
    </row>
    <row r="76" spans="1:9">
      <c r="A76" s="515"/>
      <c r="B76" s="575" t="s">
        <v>467</v>
      </c>
      <c r="C76" s="570"/>
      <c r="D76" s="570"/>
      <c r="E76" s="570"/>
      <c r="F76" s="570"/>
      <c r="G76" s="570"/>
      <c r="H76" s="570"/>
      <c r="I76" s="571"/>
    </row>
    <row r="77" spans="1:9">
      <c r="A77" s="515"/>
      <c r="B77" s="574"/>
      <c r="C77" s="570"/>
      <c r="D77" s="570"/>
      <c r="E77" s="570"/>
      <c r="F77" s="570"/>
      <c r="G77" s="570"/>
      <c r="H77" s="570"/>
      <c r="I77" s="571"/>
    </row>
    <row r="78" spans="1:9">
      <c r="A78" s="515"/>
      <c r="B78" s="586" t="s">
        <v>468</v>
      </c>
      <c r="C78" s="570"/>
      <c r="D78" s="570"/>
      <c r="E78" s="570"/>
      <c r="F78" s="570"/>
      <c r="G78" s="570"/>
      <c r="H78" s="570"/>
      <c r="I78" s="612">
        <f>+'[28]Core Rates'!C216</f>
        <v>15.5</v>
      </c>
    </row>
    <row r="79" spans="1:9">
      <c r="A79" s="515"/>
      <c r="B79" s="575" t="s">
        <v>469</v>
      </c>
      <c r="C79" s="570"/>
      <c r="D79" s="570"/>
      <c r="E79" s="570"/>
      <c r="F79" s="570"/>
      <c r="G79" s="570"/>
      <c r="H79" s="570"/>
      <c r="I79" s="571"/>
    </row>
    <row r="80" spans="1:9">
      <c r="A80" s="515"/>
      <c r="B80" s="574"/>
      <c r="C80" s="570"/>
      <c r="D80" s="570"/>
      <c r="E80" s="570"/>
      <c r="F80" s="570"/>
      <c r="G80" s="570"/>
      <c r="H80" s="570"/>
      <c r="I80" s="571"/>
    </row>
    <row r="81" spans="1:9">
      <c r="A81" s="515"/>
      <c r="B81" s="586" t="s">
        <v>7</v>
      </c>
      <c r="C81" s="570"/>
      <c r="D81" s="570"/>
      <c r="E81" s="570"/>
      <c r="F81" s="570"/>
      <c r="G81" s="570"/>
      <c r="H81" s="570"/>
      <c r="I81" s="587">
        <v>0</v>
      </c>
    </row>
    <row r="82" spans="1:9">
      <c r="A82" s="515"/>
      <c r="B82" s="575" t="s">
        <v>470</v>
      </c>
      <c r="C82" s="570"/>
      <c r="D82" s="570"/>
      <c r="E82" s="570"/>
      <c r="F82" s="570"/>
      <c r="G82" s="570"/>
      <c r="H82" s="570"/>
      <c r="I82" s="571"/>
    </row>
    <row r="83" spans="1:9">
      <c r="A83" s="515"/>
      <c r="B83" s="574"/>
      <c r="C83" s="570"/>
      <c r="D83" s="570"/>
      <c r="E83" s="570"/>
      <c r="F83" s="570"/>
      <c r="G83" s="570"/>
      <c r="H83" s="570"/>
      <c r="I83" s="571"/>
    </row>
    <row r="84" spans="1:9">
      <c r="A84" s="515"/>
      <c r="B84" s="586" t="s">
        <v>471</v>
      </c>
      <c r="C84" s="570"/>
      <c r="D84" s="570"/>
      <c r="E84" s="570"/>
      <c r="F84" s="577"/>
      <c r="G84" s="570"/>
      <c r="H84" s="570"/>
      <c r="I84" s="587">
        <f>E86*3</f>
        <v>180</v>
      </c>
    </row>
    <row r="85" spans="1:9">
      <c r="A85" s="515"/>
      <c r="B85" s="617" t="s">
        <v>472</v>
      </c>
      <c r="C85" s="570"/>
      <c r="D85" s="570"/>
      <c r="E85" s="570"/>
      <c r="F85" s="570"/>
      <c r="G85" s="570"/>
      <c r="H85" s="570"/>
      <c r="I85" s="595"/>
    </row>
    <row r="86" spans="1:9">
      <c r="A86" s="515"/>
      <c r="B86" s="617"/>
      <c r="C86" s="570"/>
      <c r="D86" s="570"/>
      <c r="E86" s="570">
        <v>60</v>
      </c>
      <c r="F86" s="570"/>
      <c r="G86" s="570"/>
      <c r="H86" s="570"/>
      <c r="I86" s="595"/>
    </row>
    <row r="87" spans="1:9">
      <c r="A87" s="515"/>
      <c r="B87" s="574"/>
      <c r="C87" s="570"/>
      <c r="D87" s="570"/>
      <c r="E87" s="570"/>
      <c r="F87" s="570"/>
      <c r="G87" s="570"/>
      <c r="H87" s="570"/>
      <c r="I87" s="571"/>
    </row>
    <row r="88" spans="1:9">
      <c r="A88" s="515"/>
      <c r="B88" s="586" t="s">
        <v>5</v>
      </c>
      <c r="C88" s="570"/>
      <c r="D88" s="570"/>
      <c r="E88" s="570"/>
      <c r="F88" s="570"/>
      <c r="G88" s="570"/>
      <c r="H88" s="570"/>
      <c r="I88" s="587">
        <v>0</v>
      </c>
    </row>
    <row r="89" spans="1:9">
      <c r="A89" s="515"/>
      <c r="B89" s="575" t="s">
        <v>104</v>
      </c>
      <c r="C89" s="570"/>
      <c r="D89" s="570"/>
      <c r="E89" s="570"/>
      <c r="F89" s="570"/>
      <c r="G89" s="570"/>
      <c r="H89" s="570"/>
      <c r="I89" s="595"/>
    </row>
    <row r="90" spans="1:9">
      <c r="A90" s="515"/>
      <c r="B90" s="574"/>
      <c r="C90" s="570"/>
      <c r="D90" s="570"/>
      <c r="E90" s="570"/>
      <c r="F90" s="570"/>
      <c r="G90" s="570"/>
      <c r="H90" s="570"/>
      <c r="I90" s="571"/>
    </row>
    <row r="91" spans="1:9">
      <c r="A91" s="515"/>
      <c r="B91" s="586" t="s">
        <v>20</v>
      </c>
      <c r="C91" s="570"/>
      <c r="D91" s="570"/>
      <c r="E91" s="570"/>
      <c r="F91" s="570"/>
      <c r="G91" s="570"/>
      <c r="H91" s="570"/>
      <c r="I91" s="587">
        <v>0</v>
      </c>
    </row>
    <row r="92" spans="1:9">
      <c r="A92" s="515"/>
      <c r="B92" s="575" t="s">
        <v>104</v>
      </c>
      <c r="C92" s="570"/>
      <c r="D92" s="570"/>
      <c r="E92" s="570"/>
      <c r="F92" s="570"/>
      <c r="G92" s="570"/>
      <c r="H92" s="570"/>
      <c r="I92" s="571"/>
    </row>
    <row r="93" spans="1:9">
      <c r="A93" s="515"/>
      <c r="B93" s="583"/>
      <c r="C93" s="570"/>
      <c r="D93" s="570"/>
      <c r="E93" s="570"/>
      <c r="F93" s="570"/>
      <c r="G93" s="570"/>
      <c r="H93" s="570"/>
      <c r="I93" s="571"/>
    </row>
    <row r="94" spans="1:9">
      <c r="A94" s="515"/>
      <c r="B94" s="586" t="s">
        <v>473</v>
      </c>
      <c r="C94" s="570"/>
      <c r="D94" s="570"/>
      <c r="E94" s="570"/>
      <c r="F94" s="570"/>
      <c r="G94" s="570"/>
      <c r="H94" s="570"/>
      <c r="I94" s="618">
        <f>+I40+I55+I69+I75+I81+I91</f>
        <v>326.80097071751015</v>
      </c>
    </row>
    <row r="95" spans="1:9" ht="15.75">
      <c r="A95" s="515"/>
      <c r="B95" s="575" t="s">
        <v>474</v>
      </c>
      <c r="C95" s="570"/>
      <c r="D95" s="570"/>
      <c r="E95" s="570"/>
      <c r="F95" s="570"/>
      <c r="G95" s="570"/>
      <c r="H95" s="570"/>
      <c r="I95" s="571"/>
    </row>
    <row r="96" spans="1:9">
      <c r="A96" s="515"/>
      <c r="B96" s="583"/>
      <c r="C96" s="570"/>
      <c r="D96" s="570"/>
      <c r="E96" s="570"/>
      <c r="F96" s="570"/>
      <c r="G96" s="570"/>
      <c r="H96" s="570"/>
      <c r="I96" s="571"/>
    </row>
    <row r="97" spans="1:9">
      <c r="A97" s="515"/>
      <c r="B97" s="619" t="s">
        <v>11</v>
      </c>
      <c r="C97" s="620"/>
      <c r="D97" s="620"/>
      <c r="E97" s="620"/>
      <c r="F97" s="620"/>
      <c r="G97" s="620"/>
      <c r="H97" s="620"/>
      <c r="I97" s="621">
        <f>SUM(I40:I91)</f>
        <v>522.30097071751015</v>
      </c>
    </row>
  </sheetData>
  <mergeCells count="4">
    <mergeCell ref="B1:D1"/>
    <mergeCell ref="E55:H55"/>
    <mergeCell ref="B65:I66"/>
    <mergeCell ref="B70:C70"/>
  </mergeCells>
  <pageMargins left="0.75" right="0.75" top="1" bottom="1" header="0.5" footer="0.5"/>
  <pageSetup scale="53" orientation="portrait" r:id="rId1"/>
  <headerFooter alignWithMargins="0"/>
</worksheet>
</file>

<file path=xl/worksheets/sheet124.xml><?xml version="1.0" encoding="utf-8"?>
<worksheet xmlns="http://schemas.openxmlformats.org/spreadsheetml/2006/main" xmlns:r="http://schemas.openxmlformats.org/officeDocument/2006/relationships">
  <sheetPr>
    <pageSetUpPr fitToPage="1"/>
  </sheetPr>
  <dimension ref="A1:L96"/>
  <sheetViews>
    <sheetView zoomScale="75" zoomScaleNormal="75" workbookViewId="0">
      <selection activeCell="B29" sqref="B29:E32"/>
    </sheetView>
  </sheetViews>
  <sheetFormatPr defaultRowHeight="12.75"/>
  <cols>
    <col min="1" max="1" width="1.85546875" style="517" customWidth="1"/>
    <col min="2" max="2" width="9.140625" style="517"/>
    <col min="3" max="3" width="24.140625" style="517" customWidth="1"/>
    <col min="4" max="4" width="27.85546875" style="517" customWidth="1"/>
    <col min="5" max="5" width="54.28515625" style="517" bestFit="1" customWidth="1"/>
    <col min="6" max="6" width="10.42578125" style="517" customWidth="1"/>
    <col min="7" max="8" width="9.140625" style="517"/>
    <col min="9" max="9" width="16.5703125" style="517" customWidth="1"/>
    <col min="10"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c r="A3" s="515"/>
      <c r="B3" s="519" t="s">
        <v>17</v>
      </c>
      <c r="C3" s="515"/>
      <c r="D3" s="515"/>
      <c r="E3" s="515"/>
      <c r="F3" s="515"/>
      <c r="G3" s="515"/>
      <c r="H3" s="515"/>
      <c r="I3" s="515"/>
    </row>
    <row r="4" spans="1:12">
      <c r="A4" s="515"/>
      <c r="B4" s="520" t="s">
        <v>1</v>
      </c>
      <c r="C4" s="521" t="s">
        <v>21</v>
      </c>
      <c r="D4" s="522"/>
      <c r="E4" s="522"/>
      <c r="F4" s="522"/>
      <c r="G4" s="523" t="s">
        <v>12</v>
      </c>
    </row>
    <row r="5" spans="1:12">
      <c r="A5" s="515"/>
      <c r="B5" s="524" t="s">
        <v>13</v>
      </c>
      <c r="C5" s="525" t="s">
        <v>22</v>
      </c>
      <c r="D5" s="525" t="s">
        <v>29</v>
      </c>
      <c r="E5" s="525" t="s">
        <v>30</v>
      </c>
      <c r="F5" s="525" t="s">
        <v>23</v>
      </c>
      <c r="G5" s="526" t="s">
        <v>14</v>
      </c>
    </row>
    <row r="6" spans="1:12">
      <c r="A6" s="515"/>
      <c r="B6" s="631">
        <v>390</v>
      </c>
      <c r="C6" s="531" t="str">
        <f>+E12</f>
        <v>EQIP</v>
      </c>
      <c r="D6" s="632" t="s">
        <v>851</v>
      </c>
      <c r="E6" s="622" t="s">
        <v>856</v>
      </c>
      <c r="F6" s="531" t="s">
        <v>394</v>
      </c>
      <c r="G6" s="532">
        <f>+I25</f>
        <v>173.29492500000001</v>
      </c>
    </row>
    <row r="7" spans="1:12">
      <c r="A7" s="515"/>
      <c r="B7" s="631">
        <f>+B6</f>
        <v>390</v>
      </c>
      <c r="C7" s="531" t="str">
        <f>+C6</f>
        <v>EQIP</v>
      </c>
      <c r="D7" s="632" t="s">
        <v>851</v>
      </c>
      <c r="E7" s="622" t="s">
        <v>857</v>
      </c>
      <c r="F7" s="531" t="str">
        <f>+F6</f>
        <v>Acre</v>
      </c>
      <c r="G7" s="532">
        <f>+J25</f>
        <v>207.95390999999998</v>
      </c>
    </row>
    <row r="8" spans="1:12">
      <c r="A8" s="515"/>
      <c r="B8" s="631">
        <v>390</v>
      </c>
      <c r="C8" s="531" t="str">
        <f>+G12</f>
        <v>WHIP</v>
      </c>
      <c r="D8" s="632" t="s">
        <v>851</v>
      </c>
      <c r="E8" s="622" t="s">
        <v>856</v>
      </c>
      <c r="F8" s="531" t="s">
        <v>394</v>
      </c>
      <c r="G8" s="532"/>
    </row>
    <row r="9" spans="1:12">
      <c r="A9" s="515"/>
      <c r="B9" s="633">
        <f>+B8</f>
        <v>390</v>
      </c>
      <c r="C9" s="536" t="str">
        <f>+C8</f>
        <v>WHIP</v>
      </c>
      <c r="D9" s="632" t="s">
        <v>851</v>
      </c>
      <c r="E9" s="622" t="s">
        <v>857</v>
      </c>
      <c r="F9" s="536" t="str">
        <f>+F8</f>
        <v>Acre</v>
      </c>
      <c r="G9" s="537"/>
    </row>
    <row r="10" spans="1:12">
      <c r="A10" s="515"/>
      <c r="B10" s="538"/>
      <c r="C10" s="539"/>
      <c r="D10" s="539"/>
      <c r="E10" s="515"/>
      <c r="F10" s="515"/>
    </row>
    <row r="11" spans="1:12" ht="15.75">
      <c r="A11" s="515"/>
      <c r="B11" s="519" t="s">
        <v>18</v>
      </c>
      <c r="C11" s="539"/>
      <c r="D11" s="539"/>
      <c r="E11" s="515"/>
      <c r="F11" s="515"/>
    </row>
    <row r="12" spans="1:12">
      <c r="A12" s="515"/>
      <c r="B12" s="540"/>
      <c r="C12" s="541"/>
      <c r="D12" s="542"/>
      <c r="E12" s="543" t="s">
        <v>15</v>
      </c>
      <c r="F12" s="543" t="s">
        <v>31</v>
      </c>
      <c r="G12" s="543" t="s">
        <v>86</v>
      </c>
      <c r="H12" s="543" t="s">
        <v>441</v>
      </c>
      <c r="I12" s="543"/>
      <c r="J12" s="543"/>
      <c r="K12" s="543"/>
      <c r="L12" s="624"/>
    </row>
    <row r="13" spans="1:12">
      <c r="A13" s="515"/>
      <c r="B13" s="544"/>
      <c r="C13" s="545"/>
      <c r="D13" s="546"/>
      <c r="E13" s="547" t="s">
        <v>22</v>
      </c>
      <c r="F13" s="547" t="s">
        <v>22</v>
      </c>
      <c r="G13" s="547" t="s">
        <v>22</v>
      </c>
      <c r="H13" s="547" t="s">
        <v>22</v>
      </c>
      <c r="I13" s="547" t="s">
        <v>15</v>
      </c>
      <c r="J13" s="547" t="s">
        <v>31</v>
      </c>
      <c r="K13" s="547" t="s">
        <v>86</v>
      </c>
      <c r="L13" s="625" t="s">
        <v>441</v>
      </c>
    </row>
    <row r="14" spans="1:12">
      <c r="A14" s="515"/>
      <c r="B14" s="548"/>
      <c r="C14" s="546"/>
      <c r="D14" s="546"/>
      <c r="E14" s="547" t="s">
        <v>12</v>
      </c>
      <c r="F14" s="547" t="s">
        <v>12</v>
      </c>
      <c r="G14" s="547" t="s">
        <v>12</v>
      </c>
      <c r="H14" s="547" t="s">
        <v>12</v>
      </c>
      <c r="I14" s="547" t="s">
        <v>12</v>
      </c>
      <c r="J14" s="547" t="s">
        <v>12</v>
      </c>
      <c r="K14" s="547" t="s">
        <v>12</v>
      </c>
      <c r="L14" s="625" t="s">
        <v>12</v>
      </c>
    </row>
    <row r="15" spans="1:12">
      <c r="A15" s="515"/>
      <c r="B15" s="549" t="s">
        <v>16</v>
      </c>
      <c r="C15" s="546"/>
      <c r="D15" s="550" t="s">
        <v>6</v>
      </c>
      <c r="E15" s="551" t="s">
        <v>24</v>
      </c>
      <c r="F15" s="551" t="s">
        <v>24</v>
      </c>
      <c r="G15" s="551" t="s">
        <v>24</v>
      </c>
      <c r="H15" s="551" t="s">
        <v>24</v>
      </c>
      <c r="I15" s="551" t="s">
        <v>14</v>
      </c>
      <c r="J15" s="551" t="s">
        <v>14</v>
      </c>
      <c r="K15" s="551" t="s">
        <v>14</v>
      </c>
      <c r="L15" s="626" t="s">
        <v>14</v>
      </c>
    </row>
    <row r="16" spans="1:12">
      <c r="A16" s="515"/>
      <c r="B16" s="544" t="s">
        <v>0</v>
      </c>
      <c r="C16" s="546"/>
      <c r="D16" s="552">
        <f>+I40</f>
        <v>100.33</v>
      </c>
      <c r="E16" s="553">
        <f>+'[10]Payment Factors'!D14</f>
        <v>0.75</v>
      </c>
      <c r="F16" s="553">
        <f>+'[10]Payment Factors'!E14</f>
        <v>0.9</v>
      </c>
      <c r="G16" s="553">
        <f>+'[10]Payment Factors'!F14</f>
        <v>0.75</v>
      </c>
      <c r="H16" s="553">
        <f>+'[10]Payment Factors'!G14</f>
        <v>0.9</v>
      </c>
      <c r="I16" s="554">
        <f t="shared" ref="I16:L24" si="0">+$D16*E16</f>
        <v>75.247500000000002</v>
      </c>
      <c r="J16" s="554">
        <f t="shared" si="0"/>
        <v>90.296999999999997</v>
      </c>
      <c r="K16" s="554">
        <f t="shared" si="0"/>
        <v>75.247500000000002</v>
      </c>
      <c r="L16" s="627">
        <f t="shared" si="0"/>
        <v>90.296999999999997</v>
      </c>
    </row>
    <row r="17" spans="1:12">
      <c r="A17" s="515"/>
      <c r="B17" s="544" t="s">
        <v>2</v>
      </c>
      <c r="C17" s="546"/>
      <c r="D17" s="552">
        <f>+I54</f>
        <v>105.39999999999999</v>
      </c>
      <c r="E17" s="553">
        <f t="shared" ref="E17:H19" si="1">+E16</f>
        <v>0.75</v>
      </c>
      <c r="F17" s="553">
        <f t="shared" si="1"/>
        <v>0.9</v>
      </c>
      <c r="G17" s="553">
        <f t="shared" si="1"/>
        <v>0.75</v>
      </c>
      <c r="H17" s="553">
        <f t="shared" si="1"/>
        <v>0.9</v>
      </c>
      <c r="I17" s="554">
        <f t="shared" si="0"/>
        <v>79.05</v>
      </c>
      <c r="J17" s="554">
        <f t="shared" si="0"/>
        <v>94.86</v>
      </c>
      <c r="K17" s="554">
        <f t="shared" si="0"/>
        <v>79.05</v>
      </c>
      <c r="L17" s="627">
        <f t="shared" si="0"/>
        <v>94.86</v>
      </c>
    </row>
    <row r="18" spans="1:12">
      <c r="A18" s="515"/>
      <c r="B18" s="544" t="s">
        <v>3</v>
      </c>
      <c r="C18" s="546"/>
      <c r="D18" s="552">
        <f>+I68</f>
        <v>18.599999999999998</v>
      </c>
      <c r="E18" s="553">
        <f t="shared" si="1"/>
        <v>0.75</v>
      </c>
      <c r="F18" s="553">
        <f t="shared" si="1"/>
        <v>0.9</v>
      </c>
      <c r="G18" s="553">
        <f t="shared" si="1"/>
        <v>0.75</v>
      </c>
      <c r="H18" s="553">
        <f t="shared" si="1"/>
        <v>0.9</v>
      </c>
      <c r="I18" s="554">
        <f t="shared" si="0"/>
        <v>13.95</v>
      </c>
      <c r="J18" s="554">
        <f t="shared" si="0"/>
        <v>16.739999999999998</v>
      </c>
      <c r="K18" s="554">
        <f t="shared" si="0"/>
        <v>13.95</v>
      </c>
      <c r="L18" s="627">
        <f t="shared" si="0"/>
        <v>16.739999999999998</v>
      </c>
    </row>
    <row r="19" spans="1:12">
      <c r="A19" s="515"/>
      <c r="B19" s="544" t="s">
        <v>4</v>
      </c>
      <c r="C19" s="546"/>
      <c r="D19" s="552">
        <f>+I74</f>
        <v>6.7298999999999989</v>
      </c>
      <c r="E19" s="553">
        <f t="shared" si="1"/>
        <v>0.75</v>
      </c>
      <c r="F19" s="553">
        <f t="shared" si="1"/>
        <v>0.9</v>
      </c>
      <c r="G19" s="553">
        <f t="shared" si="1"/>
        <v>0.75</v>
      </c>
      <c r="H19" s="553">
        <f t="shared" si="1"/>
        <v>0.9</v>
      </c>
      <c r="I19" s="554">
        <f t="shared" si="0"/>
        <v>5.0474249999999987</v>
      </c>
      <c r="J19" s="554">
        <f t="shared" si="0"/>
        <v>6.0569099999999993</v>
      </c>
      <c r="K19" s="554">
        <f t="shared" si="0"/>
        <v>5.0474249999999987</v>
      </c>
      <c r="L19" s="627">
        <f t="shared" si="0"/>
        <v>6.0569099999999993</v>
      </c>
    </row>
    <row r="20" spans="1:12">
      <c r="A20" s="515"/>
      <c r="B20" s="544" t="s">
        <v>26</v>
      </c>
      <c r="C20" s="546"/>
      <c r="D20" s="552">
        <f>+I77</f>
        <v>13.04</v>
      </c>
      <c r="E20" s="553">
        <v>0</v>
      </c>
      <c r="F20" s="553">
        <v>0</v>
      </c>
      <c r="G20" s="553">
        <v>0</v>
      </c>
      <c r="H20" s="553">
        <v>0</v>
      </c>
      <c r="I20" s="554">
        <f t="shared" si="0"/>
        <v>0</v>
      </c>
      <c r="J20" s="554">
        <f t="shared" si="0"/>
        <v>0</v>
      </c>
      <c r="K20" s="554">
        <f t="shared" si="0"/>
        <v>0</v>
      </c>
      <c r="L20" s="627">
        <f t="shared" si="0"/>
        <v>0</v>
      </c>
    </row>
    <row r="21" spans="1:12">
      <c r="A21" s="515"/>
      <c r="B21" s="544" t="s">
        <v>7</v>
      </c>
      <c r="C21" s="546"/>
      <c r="D21" s="552">
        <f>+I80</f>
        <v>0</v>
      </c>
      <c r="E21" s="553">
        <v>0</v>
      </c>
      <c r="F21" s="553">
        <v>0</v>
      </c>
      <c r="G21" s="553">
        <v>0</v>
      </c>
      <c r="H21" s="553">
        <v>0</v>
      </c>
      <c r="I21" s="554">
        <f t="shared" si="0"/>
        <v>0</v>
      </c>
      <c r="J21" s="554">
        <f t="shared" si="0"/>
        <v>0</v>
      </c>
      <c r="K21" s="554">
        <f t="shared" si="0"/>
        <v>0</v>
      </c>
      <c r="L21" s="627">
        <f t="shared" si="0"/>
        <v>0</v>
      </c>
    </row>
    <row r="22" spans="1:12">
      <c r="A22" s="515"/>
      <c r="B22" s="544" t="s">
        <v>27</v>
      </c>
      <c r="C22" s="546"/>
      <c r="D22" s="552">
        <f>+I83</f>
        <v>180</v>
      </c>
      <c r="E22" s="553">
        <v>0</v>
      </c>
      <c r="F22" s="553">
        <v>0</v>
      </c>
      <c r="G22" s="553">
        <v>0</v>
      </c>
      <c r="H22" s="553">
        <v>0</v>
      </c>
      <c r="I22" s="554">
        <f t="shared" si="0"/>
        <v>0</v>
      </c>
      <c r="J22" s="554">
        <f t="shared" si="0"/>
        <v>0</v>
      </c>
      <c r="K22" s="554">
        <f t="shared" si="0"/>
        <v>0</v>
      </c>
      <c r="L22" s="627">
        <f t="shared" si="0"/>
        <v>0</v>
      </c>
    </row>
    <row r="23" spans="1:12">
      <c r="A23" s="515"/>
      <c r="B23" s="544" t="s">
        <v>5</v>
      </c>
      <c r="C23" s="546"/>
      <c r="D23" s="552">
        <f>+I87</f>
        <v>0</v>
      </c>
      <c r="E23" s="553">
        <v>0</v>
      </c>
      <c r="F23" s="553">
        <v>0</v>
      </c>
      <c r="G23" s="553">
        <v>0</v>
      </c>
      <c r="H23" s="553">
        <v>0</v>
      </c>
      <c r="I23" s="554">
        <f t="shared" si="0"/>
        <v>0</v>
      </c>
      <c r="J23" s="554">
        <f t="shared" si="0"/>
        <v>0</v>
      </c>
      <c r="K23" s="554">
        <f t="shared" si="0"/>
        <v>0</v>
      </c>
      <c r="L23" s="627">
        <f t="shared" si="0"/>
        <v>0</v>
      </c>
    </row>
    <row r="24" spans="1:12">
      <c r="A24" s="515"/>
      <c r="B24" s="544" t="s">
        <v>20</v>
      </c>
      <c r="C24" s="546"/>
      <c r="D24" s="555">
        <f>+I90</f>
        <v>0</v>
      </c>
      <c r="E24" s="553">
        <v>0</v>
      </c>
      <c r="F24" s="553">
        <v>0</v>
      </c>
      <c r="G24" s="553">
        <v>0</v>
      </c>
      <c r="H24" s="553">
        <v>0</v>
      </c>
      <c r="I24" s="556">
        <f t="shared" si="0"/>
        <v>0</v>
      </c>
      <c r="J24" s="556">
        <f t="shared" si="0"/>
        <v>0</v>
      </c>
      <c r="K24" s="556">
        <f t="shared" si="0"/>
        <v>0</v>
      </c>
      <c r="L24" s="628">
        <f t="shared" si="0"/>
        <v>0</v>
      </c>
    </row>
    <row r="25" spans="1:12">
      <c r="A25" s="515"/>
      <c r="B25" s="557" t="s">
        <v>19</v>
      </c>
      <c r="C25" s="558"/>
      <c r="D25" s="559">
        <f>SUM(D16:D24)</f>
        <v>424.09989999999993</v>
      </c>
      <c r="E25" s="629"/>
      <c r="F25" s="629"/>
      <c r="G25" s="560"/>
      <c r="H25" s="560"/>
      <c r="I25" s="561">
        <f>SUM(I16:I24)</f>
        <v>173.29492500000001</v>
      </c>
      <c r="J25" s="561">
        <f>SUM(J16:J24)</f>
        <v>207.95390999999998</v>
      </c>
      <c r="K25" s="561">
        <f>SUM(K16:K24)</f>
        <v>173.29492500000001</v>
      </c>
      <c r="L25" s="630">
        <f>SUM(L16:L24)</f>
        <v>207.95390999999998</v>
      </c>
    </row>
    <row r="27" spans="1:12" ht="15.75">
      <c r="A27" s="515"/>
      <c r="B27" s="562" t="s">
        <v>28</v>
      </c>
      <c r="C27" s="515"/>
      <c r="D27" s="515"/>
      <c r="E27" s="515"/>
      <c r="F27" s="515"/>
      <c r="G27" s="515"/>
      <c r="H27" s="515"/>
      <c r="I27" s="563"/>
    </row>
    <row r="28" spans="1:12">
      <c r="A28" s="515"/>
      <c r="B28" s="564" t="s">
        <v>492</v>
      </c>
      <c r="C28" s="565"/>
      <c r="D28" s="565"/>
      <c r="E28" s="566"/>
      <c r="F28" s="566"/>
      <c r="G28" s="566"/>
      <c r="H28" s="566"/>
      <c r="I28" s="567"/>
    </row>
    <row r="29" spans="1:12">
      <c r="A29" s="515"/>
      <c r="B29" s="568" t="s">
        <v>854</v>
      </c>
      <c r="C29" s="569"/>
      <c r="D29" s="569"/>
      <c r="E29" s="570"/>
      <c r="F29" s="570"/>
      <c r="G29" s="570"/>
      <c r="H29" s="570"/>
      <c r="I29" s="571"/>
    </row>
    <row r="30" spans="1:12">
      <c r="A30" s="515"/>
      <c r="B30" s="574" t="s">
        <v>477</v>
      </c>
      <c r="C30" s="569"/>
      <c r="D30" s="569"/>
      <c r="E30" s="570"/>
      <c r="F30" s="573"/>
      <c r="G30" s="570"/>
      <c r="H30" s="570"/>
      <c r="I30" s="571"/>
    </row>
    <row r="31" spans="1:12">
      <c r="A31" s="515"/>
      <c r="B31" s="568" t="s">
        <v>478</v>
      </c>
      <c r="C31" s="569"/>
      <c r="D31" s="569"/>
      <c r="E31" s="570"/>
      <c r="F31" s="570"/>
      <c r="G31" s="570"/>
      <c r="H31" s="570"/>
      <c r="I31" s="571"/>
    </row>
    <row r="32" spans="1:12">
      <c r="A32" s="515"/>
      <c r="B32" s="574" t="s">
        <v>855</v>
      </c>
      <c r="C32" s="569"/>
      <c r="D32" s="569"/>
      <c r="E32" s="570"/>
      <c r="F32" s="570"/>
      <c r="G32" s="570"/>
      <c r="H32" s="570"/>
      <c r="I32" s="571"/>
    </row>
    <row r="33" spans="1:9">
      <c r="A33" s="515"/>
      <c r="B33" s="575"/>
      <c r="C33" s="569"/>
      <c r="D33" s="569"/>
      <c r="E33" s="570"/>
      <c r="F33" s="570"/>
      <c r="G33" s="570"/>
      <c r="H33" s="570"/>
      <c r="I33" s="571"/>
    </row>
    <row r="34" spans="1:9">
      <c r="A34" s="515"/>
      <c r="B34" s="576" t="s">
        <v>25</v>
      </c>
      <c r="C34" s="569"/>
      <c r="D34" s="577" t="s">
        <v>91</v>
      </c>
      <c r="E34" s="578"/>
      <c r="F34" s="570"/>
      <c r="G34" s="570"/>
      <c r="H34" s="570"/>
      <c r="I34" s="571"/>
    </row>
    <row r="35" spans="1:9">
      <c r="A35" s="515"/>
      <c r="B35" s="574"/>
      <c r="C35" s="569"/>
      <c r="D35" s="570"/>
      <c r="E35" s="578"/>
      <c r="F35" s="570"/>
      <c r="G35" s="570"/>
      <c r="H35" s="570"/>
      <c r="I35" s="571"/>
    </row>
    <row r="36" spans="1:9">
      <c r="A36" s="515"/>
      <c r="B36" s="576" t="s">
        <v>8</v>
      </c>
      <c r="C36" s="569"/>
      <c r="D36" s="577" t="s">
        <v>394</v>
      </c>
      <c r="E36" s="578"/>
      <c r="F36" s="570"/>
      <c r="G36" s="570"/>
      <c r="H36" s="570"/>
      <c r="I36" s="571"/>
    </row>
    <row r="37" spans="1:9">
      <c r="A37" s="515"/>
      <c r="B37" s="576" t="s">
        <v>9</v>
      </c>
      <c r="C37" s="569"/>
      <c r="D37" s="579">
        <v>5</v>
      </c>
      <c r="E37" s="578"/>
      <c r="F37" s="570"/>
      <c r="G37" s="570"/>
      <c r="H37" s="570"/>
      <c r="I37" s="571"/>
    </row>
    <row r="38" spans="1:9">
      <c r="A38" s="515"/>
      <c r="B38" s="576" t="s">
        <v>10</v>
      </c>
      <c r="C38" s="570"/>
      <c r="D38" s="580"/>
      <c r="E38" s="581"/>
      <c r="F38" s="570"/>
      <c r="G38" s="570"/>
      <c r="H38" s="570"/>
      <c r="I38" s="582" t="s">
        <v>6</v>
      </c>
    </row>
    <row r="39" spans="1:9">
      <c r="A39" s="515"/>
      <c r="B39" s="583"/>
      <c r="C39" s="570"/>
      <c r="D39" s="570"/>
      <c r="E39" s="584"/>
      <c r="F39" s="570"/>
      <c r="G39" s="570"/>
      <c r="H39" s="570"/>
      <c r="I39" s="585"/>
    </row>
    <row r="40" spans="1:9">
      <c r="A40" s="515"/>
      <c r="B40" s="586" t="s">
        <v>0</v>
      </c>
      <c r="C40" s="570"/>
      <c r="D40" s="570"/>
      <c r="E40" s="570"/>
      <c r="F40" s="577"/>
      <c r="G40" s="570"/>
      <c r="H40" s="570"/>
      <c r="I40" s="587">
        <f>SUM(G42:G48)</f>
        <v>100.33</v>
      </c>
    </row>
    <row r="41" spans="1:9">
      <c r="A41" s="515"/>
      <c r="B41" s="588"/>
      <c r="C41" s="570"/>
      <c r="D41" s="589" t="s">
        <v>447</v>
      </c>
      <c r="E41" s="589" t="s">
        <v>448</v>
      </c>
      <c r="F41" s="589" t="s">
        <v>449</v>
      </c>
      <c r="G41" s="589" t="s">
        <v>450</v>
      </c>
      <c r="H41" s="570"/>
      <c r="I41" s="590"/>
    </row>
    <row r="42" spans="1:9">
      <c r="A42" s="515"/>
      <c r="B42" s="583"/>
      <c r="C42" s="578"/>
      <c r="D42" s="591"/>
      <c r="E42" s="592"/>
      <c r="F42" s="593"/>
      <c r="G42" s="594">
        <f t="shared" ref="G42:G48" si="2">+F42*E42</f>
        <v>0</v>
      </c>
      <c r="H42" s="570"/>
      <c r="I42" s="595"/>
    </row>
    <row r="43" spans="1:9">
      <c r="A43" s="515"/>
      <c r="B43" s="583" t="s">
        <v>451</v>
      </c>
      <c r="C43" s="578"/>
      <c r="D43" s="591" t="s">
        <v>452</v>
      </c>
      <c r="E43" s="592">
        <f>+'[28]Core Rates'!C203</f>
        <v>8.75</v>
      </c>
      <c r="F43" s="593">
        <v>0</v>
      </c>
      <c r="G43" s="594">
        <f t="shared" si="2"/>
        <v>0</v>
      </c>
      <c r="H43" s="570"/>
      <c r="I43" s="571"/>
    </row>
    <row r="44" spans="1:9">
      <c r="A44" s="515"/>
      <c r="B44" s="596" t="s">
        <v>453</v>
      </c>
      <c r="C44" s="578"/>
      <c r="D44" s="597" t="s">
        <v>454</v>
      </c>
      <c r="E44" s="592">
        <f>+'[28]Core Rates'!C228</f>
        <v>0.82427536231884069</v>
      </c>
      <c r="F44" s="593">
        <v>0</v>
      </c>
      <c r="G44" s="594">
        <f t="shared" si="2"/>
        <v>0</v>
      </c>
      <c r="H44" s="570"/>
      <c r="I44" s="571"/>
    </row>
    <row r="45" spans="1:9">
      <c r="A45" s="515"/>
      <c r="B45" s="598" t="s">
        <v>455</v>
      </c>
      <c r="C45" s="599"/>
      <c r="D45" s="597" t="s">
        <v>454</v>
      </c>
      <c r="E45" s="592">
        <f>+'[28]Core Rates'!C235</f>
        <v>1.1702898550724636</v>
      </c>
      <c r="F45" s="593">
        <v>0</v>
      </c>
      <c r="G45" s="594">
        <f t="shared" si="2"/>
        <v>0</v>
      </c>
      <c r="H45" s="570"/>
      <c r="I45" s="571"/>
    </row>
    <row r="46" spans="1:9">
      <c r="A46" s="515"/>
      <c r="B46" s="598" t="s">
        <v>456</v>
      </c>
      <c r="C46" s="599"/>
      <c r="D46" s="591" t="s">
        <v>454</v>
      </c>
      <c r="E46" s="592">
        <f>+'[28]Core Rates'!C246</f>
        <v>0.58825136612021856</v>
      </c>
      <c r="F46" s="593">
        <v>0</v>
      </c>
      <c r="G46" s="594">
        <f t="shared" si="2"/>
        <v>0</v>
      </c>
      <c r="H46" s="570"/>
      <c r="I46" s="571"/>
    </row>
    <row r="47" spans="1:9">
      <c r="A47" s="515"/>
      <c r="B47" s="600" t="str">
        <f>+'[28]Core Rates'!A309</f>
        <v>Seed (Native grass except Prairie Dropseed and Splitbeard Bluestem)</v>
      </c>
      <c r="C47" s="599"/>
      <c r="D47" s="597" t="s">
        <v>454</v>
      </c>
      <c r="E47" s="592">
        <f>+'[28]Core Rates 2011'!BE306</f>
        <v>8.57</v>
      </c>
      <c r="F47" s="593">
        <v>5</v>
      </c>
      <c r="G47" s="594">
        <f t="shared" si="2"/>
        <v>42.85</v>
      </c>
      <c r="H47" s="570"/>
      <c r="I47" s="571"/>
    </row>
    <row r="48" spans="1:9">
      <c r="A48" s="515"/>
      <c r="B48" s="600" t="str">
        <f>+'[28]Core Rates 2011'!A291</f>
        <v>Seed (4 native forb species mix)</v>
      </c>
      <c r="C48" s="599"/>
      <c r="D48" s="597" t="s">
        <v>454</v>
      </c>
      <c r="E48" s="592">
        <f>+'[28]Core Rates 2011'!BE291</f>
        <v>28.74</v>
      </c>
      <c r="F48" s="593">
        <v>2</v>
      </c>
      <c r="G48" s="594">
        <f t="shared" si="2"/>
        <v>57.48</v>
      </c>
      <c r="H48" s="570"/>
      <c r="I48" s="571"/>
    </row>
    <row r="49" spans="1:9">
      <c r="A49" s="515"/>
      <c r="B49" s="601"/>
      <c r="C49" s="578"/>
      <c r="D49" s="602"/>
      <c r="E49" s="570"/>
      <c r="F49" s="570"/>
      <c r="G49" s="570"/>
      <c r="H49" s="570"/>
      <c r="I49" s="571"/>
    </row>
    <row r="50" spans="1:9">
      <c r="A50" s="515"/>
      <c r="B50" s="574" t="s">
        <v>43</v>
      </c>
      <c r="C50" s="578"/>
      <c r="D50" s="602"/>
      <c r="E50" s="570"/>
      <c r="F50" s="570"/>
      <c r="G50" s="570"/>
      <c r="H50" s="570"/>
      <c r="I50" s="571"/>
    </row>
    <row r="51" spans="1:9">
      <c r="A51" s="515"/>
      <c r="B51" s="583" t="s">
        <v>457</v>
      </c>
      <c r="C51" s="578"/>
      <c r="D51" s="602"/>
      <c r="E51" s="570"/>
      <c r="F51" s="570"/>
      <c r="G51" s="570"/>
      <c r="H51" s="570"/>
      <c r="I51" s="571"/>
    </row>
    <row r="52" spans="1:9">
      <c r="A52" s="515"/>
      <c r="B52" s="583" t="s">
        <v>458</v>
      </c>
      <c r="C52" s="578"/>
      <c r="D52" s="602"/>
      <c r="E52" s="603"/>
      <c r="F52" s="570"/>
      <c r="G52" s="570"/>
      <c r="H52" s="570"/>
      <c r="I52" s="571"/>
    </row>
    <row r="53" spans="1:9">
      <c r="A53" s="515"/>
      <c r="B53" s="601"/>
      <c r="C53" s="578"/>
      <c r="D53" s="602"/>
      <c r="E53" s="570"/>
      <c r="F53" s="570"/>
      <c r="G53" s="570"/>
      <c r="H53" s="570"/>
      <c r="I53" s="571"/>
    </row>
    <row r="54" spans="1:9">
      <c r="A54" s="515"/>
      <c r="B54" s="586" t="s">
        <v>2</v>
      </c>
      <c r="C54" s="570"/>
      <c r="D54" s="570"/>
      <c r="E54" s="2017" t="s">
        <v>459</v>
      </c>
      <c r="F54" s="2017"/>
      <c r="G54" s="2017"/>
      <c r="H54" s="2017"/>
      <c r="I54" s="587">
        <f>(SUM(G56:G61)*0.85)</f>
        <v>105.39999999999999</v>
      </c>
    </row>
    <row r="55" spans="1:9">
      <c r="A55" s="515"/>
      <c r="B55" s="588"/>
      <c r="C55" s="570"/>
      <c r="D55" s="589" t="s">
        <v>447</v>
      </c>
      <c r="E55" s="589" t="s">
        <v>448</v>
      </c>
      <c r="F55" s="589" t="s">
        <v>449</v>
      </c>
      <c r="G55" s="589" t="s">
        <v>450</v>
      </c>
      <c r="H55" s="570"/>
      <c r="I55" s="590"/>
    </row>
    <row r="56" spans="1:9">
      <c r="A56" s="515"/>
      <c r="B56" s="604" t="s">
        <v>460</v>
      </c>
      <c r="C56" s="578"/>
      <c r="D56" s="591" t="s">
        <v>408</v>
      </c>
      <c r="E56" s="592">
        <f>+'[28]Core Rates 2011'!BE146</f>
        <v>36.5</v>
      </c>
      <c r="F56" s="593">
        <v>2</v>
      </c>
      <c r="G56" s="594">
        <f t="shared" ref="G56:G61" si="3">+F56*E56</f>
        <v>73</v>
      </c>
      <c r="H56" s="570"/>
      <c r="I56" s="595"/>
    </row>
    <row r="57" spans="1:9">
      <c r="A57" s="515"/>
      <c r="B57" s="604" t="str">
        <f>+'[28]Core Rates'!A216</f>
        <v>Mowing</v>
      </c>
      <c r="C57" s="578"/>
      <c r="D57" s="605" t="s">
        <v>408</v>
      </c>
      <c r="E57" s="605">
        <f>+'[28]Core Rates'!C216</f>
        <v>15.5</v>
      </c>
      <c r="F57" s="593">
        <v>2</v>
      </c>
      <c r="G57" s="594">
        <f t="shared" si="3"/>
        <v>31</v>
      </c>
      <c r="H57" s="570"/>
      <c r="I57" s="595"/>
    </row>
    <row r="58" spans="1:9">
      <c r="A58" s="515"/>
      <c r="B58" s="583" t="s">
        <v>461</v>
      </c>
      <c r="C58" s="578"/>
      <c r="D58" s="591" t="s">
        <v>408</v>
      </c>
      <c r="E58" s="592">
        <f>+'[28]Core Rates'!C104</f>
        <v>20</v>
      </c>
      <c r="F58" s="593">
        <v>1</v>
      </c>
      <c r="G58" s="594">
        <f t="shared" si="3"/>
        <v>20</v>
      </c>
      <c r="H58" s="570"/>
      <c r="I58" s="595"/>
    </row>
    <row r="59" spans="1:9">
      <c r="A59" s="515"/>
      <c r="B59" s="583" t="s">
        <v>462</v>
      </c>
      <c r="C59" s="578"/>
      <c r="D59" s="591" t="s">
        <v>408</v>
      </c>
      <c r="E59" s="592">
        <f>+'[28]Core Rates'!AN33</f>
        <v>5.416666666666667</v>
      </c>
      <c r="F59" s="593">
        <v>0</v>
      </c>
      <c r="G59" s="594">
        <f t="shared" si="3"/>
        <v>0</v>
      </c>
      <c r="H59" s="570"/>
      <c r="I59" s="595"/>
    </row>
    <row r="60" spans="1:9">
      <c r="A60" s="515"/>
      <c r="B60" s="583" t="s">
        <v>463</v>
      </c>
      <c r="C60" s="578"/>
      <c r="D60" s="591" t="s">
        <v>452</v>
      </c>
      <c r="E60" s="592">
        <f>+'[28]Core Rates'!AN34</f>
        <v>5.5</v>
      </c>
      <c r="F60" s="593">
        <v>0</v>
      </c>
      <c r="G60" s="594">
        <f t="shared" si="3"/>
        <v>0</v>
      </c>
      <c r="H60" s="570"/>
      <c r="I60" s="595"/>
    </row>
    <row r="61" spans="1:9">
      <c r="A61" s="515"/>
      <c r="B61" s="583" t="s">
        <v>464</v>
      </c>
      <c r="C61" s="578"/>
      <c r="D61" s="591" t="s">
        <v>452</v>
      </c>
      <c r="E61" s="592">
        <f>+'[28]Core Rates'!AN32</f>
        <v>6.3125</v>
      </c>
      <c r="F61" s="593">
        <v>0</v>
      </c>
      <c r="G61" s="594">
        <f t="shared" si="3"/>
        <v>0</v>
      </c>
      <c r="H61" s="570"/>
      <c r="I61" s="595"/>
    </row>
    <row r="62" spans="1:9">
      <c r="A62" s="515"/>
      <c r="B62" s="583"/>
      <c r="C62" s="578"/>
      <c r="D62" s="606"/>
      <c r="E62" s="607"/>
      <c r="F62" s="607"/>
      <c r="G62" s="592"/>
      <c r="H62" s="570"/>
      <c r="I62" s="595"/>
    </row>
    <row r="63" spans="1:9">
      <c r="A63" s="515"/>
      <c r="B63" s="574" t="s">
        <v>43</v>
      </c>
      <c r="C63" s="570"/>
      <c r="D63" s="570"/>
      <c r="E63" s="608"/>
      <c r="F63" s="608"/>
      <c r="G63" s="608"/>
      <c r="H63" s="570"/>
      <c r="I63" s="590"/>
    </row>
    <row r="64" spans="1:9" ht="12.75" customHeight="1">
      <c r="A64" s="515"/>
      <c r="B64" s="2018" t="s">
        <v>457</v>
      </c>
      <c r="C64" s="2019"/>
      <c r="D64" s="2019"/>
      <c r="E64" s="2019"/>
      <c r="F64" s="2019"/>
      <c r="G64" s="2019"/>
      <c r="H64" s="2019"/>
      <c r="I64" s="2020"/>
    </row>
    <row r="65" spans="1:9">
      <c r="A65" s="515"/>
      <c r="B65" s="2018"/>
      <c r="C65" s="2019"/>
      <c r="D65" s="2019"/>
      <c r="E65" s="2019"/>
      <c r="F65" s="2019"/>
      <c r="G65" s="2019"/>
      <c r="H65" s="2019"/>
      <c r="I65" s="2020"/>
    </row>
    <row r="66" spans="1:9">
      <c r="A66" s="515"/>
      <c r="B66" s="609"/>
      <c r="C66" s="610"/>
      <c r="D66" s="610"/>
      <c r="E66" s="610"/>
      <c r="F66" s="610"/>
      <c r="G66" s="610"/>
      <c r="H66" s="610"/>
      <c r="I66" s="611"/>
    </row>
    <row r="67" spans="1:9">
      <c r="A67" s="515"/>
      <c r="B67" s="609"/>
      <c r="C67" s="610"/>
      <c r="D67" s="610"/>
      <c r="E67" s="610"/>
      <c r="F67" s="610"/>
      <c r="G67" s="610"/>
      <c r="H67" s="610"/>
      <c r="I67" s="611"/>
    </row>
    <row r="68" spans="1:9">
      <c r="A68" s="515"/>
      <c r="B68" s="586" t="s">
        <v>3</v>
      </c>
      <c r="C68" s="570"/>
      <c r="D68" s="570"/>
      <c r="E68" s="570"/>
      <c r="F68" s="577"/>
      <c r="G68" s="570"/>
      <c r="H68" s="570"/>
      <c r="I68" s="612">
        <f>E70</f>
        <v>18.599999999999998</v>
      </c>
    </row>
    <row r="69" spans="1:9">
      <c r="A69" s="515"/>
      <c r="B69" s="2021" t="s">
        <v>465</v>
      </c>
      <c r="C69" s="2022"/>
      <c r="D69" s="570"/>
      <c r="E69" s="570"/>
      <c r="F69" s="570"/>
      <c r="G69" s="570"/>
      <c r="H69" s="570"/>
      <c r="I69" s="613"/>
    </row>
    <row r="70" spans="1:9">
      <c r="A70" s="515"/>
      <c r="B70" s="574" t="s">
        <v>466</v>
      </c>
      <c r="C70" s="577"/>
      <c r="D70" s="577"/>
      <c r="E70" s="614">
        <f>SUM(G56:G61)*0.15</f>
        <v>18.599999999999998</v>
      </c>
      <c r="F70" s="570"/>
      <c r="G70" s="570"/>
      <c r="H70" s="570"/>
      <c r="I70" s="590"/>
    </row>
    <row r="71" spans="1:9">
      <c r="A71" s="515"/>
      <c r="B71" s="574"/>
      <c r="C71" s="577"/>
      <c r="D71" s="615"/>
      <c r="E71" s="614"/>
      <c r="F71" s="570"/>
      <c r="G71" s="570"/>
      <c r="H71" s="570"/>
      <c r="I71" s="590"/>
    </row>
    <row r="72" spans="1:9">
      <c r="A72" s="515"/>
      <c r="B72" s="574"/>
      <c r="C72" s="577"/>
      <c r="D72" s="616"/>
      <c r="E72" s="614"/>
      <c r="F72" s="570"/>
      <c r="G72" s="570"/>
      <c r="H72" s="570"/>
      <c r="I72" s="590"/>
    </row>
    <row r="73" spans="1:9">
      <c r="A73" s="515"/>
      <c r="B73" s="575"/>
      <c r="C73" s="570"/>
      <c r="D73" s="570"/>
      <c r="E73" s="570"/>
      <c r="F73" s="570"/>
      <c r="G73" s="570"/>
      <c r="H73" s="570"/>
      <c r="I73" s="571"/>
    </row>
    <row r="74" spans="1:9">
      <c r="A74" s="515"/>
      <c r="B74" s="586" t="s">
        <v>4</v>
      </c>
      <c r="C74" s="570"/>
      <c r="D74" s="570"/>
      <c r="E74" s="570"/>
      <c r="F74" s="570"/>
      <c r="G74" s="570"/>
      <c r="H74" s="570"/>
      <c r="I74" s="612">
        <f>0.03*(I40+I54+I68)</f>
        <v>6.7298999999999989</v>
      </c>
    </row>
    <row r="75" spans="1:9">
      <c r="A75" s="515"/>
      <c r="B75" s="575" t="s">
        <v>467</v>
      </c>
      <c r="C75" s="570"/>
      <c r="D75" s="570"/>
      <c r="E75" s="570"/>
      <c r="F75" s="570"/>
      <c r="G75" s="570"/>
      <c r="H75" s="570"/>
      <c r="I75" s="571"/>
    </row>
    <row r="76" spans="1:9">
      <c r="A76" s="515"/>
      <c r="B76" s="574"/>
      <c r="C76" s="570"/>
      <c r="D76" s="570"/>
      <c r="E76" s="570"/>
      <c r="F76" s="570"/>
      <c r="G76" s="570"/>
      <c r="H76" s="570"/>
      <c r="I76" s="571"/>
    </row>
    <row r="77" spans="1:9">
      <c r="A77" s="515"/>
      <c r="B77" s="586" t="s">
        <v>468</v>
      </c>
      <c r="C77" s="570"/>
      <c r="D77" s="570"/>
      <c r="E77" s="570"/>
      <c r="F77" s="570"/>
      <c r="G77" s="570"/>
      <c r="H77" s="570"/>
      <c r="I77" s="587">
        <v>13.04</v>
      </c>
    </row>
    <row r="78" spans="1:9">
      <c r="A78" s="515"/>
      <c r="B78" s="575" t="s">
        <v>469</v>
      </c>
      <c r="C78" s="570"/>
      <c r="D78" s="570"/>
      <c r="E78" s="570"/>
      <c r="F78" s="570"/>
      <c r="G78" s="570"/>
      <c r="H78" s="570"/>
      <c r="I78" s="571"/>
    </row>
    <row r="79" spans="1:9">
      <c r="A79" s="515"/>
      <c r="B79" s="574"/>
      <c r="C79" s="570"/>
      <c r="D79" s="570"/>
      <c r="E79" s="570"/>
      <c r="F79" s="570"/>
      <c r="G79" s="570"/>
      <c r="H79" s="570"/>
      <c r="I79" s="571"/>
    </row>
    <row r="80" spans="1:9">
      <c r="A80" s="515"/>
      <c r="B80" s="586" t="s">
        <v>7</v>
      </c>
      <c r="C80" s="570"/>
      <c r="D80" s="570"/>
      <c r="E80" s="570"/>
      <c r="F80" s="570"/>
      <c r="G80" s="570"/>
      <c r="H80" s="570"/>
      <c r="I80" s="587">
        <v>0</v>
      </c>
    </row>
    <row r="81" spans="1:9">
      <c r="A81" s="515"/>
      <c r="B81" s="575" t="s">
        <v>470</v>
      </c>
      <c r="C81" s="570"/>
      <c r="D81" s="570"/>
      <c r="E81" s="570"/>
      <c r="F81" s="570"/>
      <c r="G81" s="570"/>
      <c r="H81" s="570"/>
      <c r="I81" s="571"/>
    </row>
    <row r="82" spans="1:9">
      <c r="A82" s="515"/>
      <c r="B82" s="574"/>
      <c r="C82" s="570"/>
      <c r="D82" s="570"/>
      <c r="E82" s="570"/>
      <c r="F82" s="570"/>
      <c r="G82" s="570"/>
      <c r="H82" s="570"/>
      <c r="I82" s="571"/>
    </row>
    <row r="83" spans="1:9">
      <c r="A83" s="515"/>
      <c r="B83" s="586" t="s">
        <v>471</v>
      </c>
      <c r="C83" s="570"/>
      <c r="D83" s="570"/>
      <c r="E83" s="570"/>
      <c r="F83" s="577"/>
      <c r="G83" s="570"/>
      <c r="H83" s="570"/>
      <c r="I83" s="587">
        <f>E85*3</f>
        <v>180</v>
      </c>
    </row>
    <row r="84" spans="1:9">
      <c r="A84" s="515"/>
      <c r="B84" s="617" t="s">
        <v>472</v>
      </c>
      <c r="C84" s="570"/>
      <c r="D84" s="570"/>
      <c r="E84" s="570"/>
      <c r="F84" s="570"/>
      <c r="G84" s="570"/>
      <c r="H84" s="570"/>
      <c r="I84" s="595"/>
    </row>
    <row r="85" spans="1:9">
      <c r="A85" s="515"/>
      <c r="B85" s="617"/>
      <c r="C85" s="570"/>
      <c r="D85" s="570"/>
      <c r="E85" s="635">
        <v>60</v>
      </c>
      <c r="F85" s="570"/>
      <c r="G85" s="570"/>
      <c r="H85" s="570"/>
      <c r="I85" s="595"/>
    </row>
    <row r="86" spans="1:9">
      <c r="A86" s="515"/>
      <c r="B86" s="574"/>
      <c r="C86" s="570"/>
      <c r="D86" s="570"/>
      <c r="E86" s="570"/>
      <c r="F86" s="570"/>
      <c r="G86" s="570"/>
      <c r="H86" s="570"/>
      <c r="I86" s="571"/>
    </row>
    <row r="87" spans="1:9">
      <c r="A87" s="515"/>
      <c r="B87" s="586" t="s">
        <v>5</v>
      </c>
      <c r="C87" s="570"/>
      <c r="D87" s="570"/>
      <c r="E87" s="570"/>
      <c r="F87" s="570"/>
      <c r="G87" s="570"/>
      <c r="H87" s="570"/>
      <c r="I87" s="587">
        <v>0</v>
      </c>
    </row>
    <row r="88" spans="1:9">
      <c r="A88" s="515"/>
      <c r="B88" s="575" t="s">
        <v>104</v>
      </c>
      <c r="C88" s="570"/>
      <c r="D88" s="570"/>
      <c r="E88" s="570"/>
      <c r="F88" s="570"/>
      <c r="G88" s="570"/>
      <c r="H88" s="570"/>
      <c r="I88" s="595"/>
    </row>
    <row r="89" spans="1:9">
      <c r="A89" s="515"/>
      <c r="B89" s="574"/>
      <c r="C89" s="570"/>
      <c r="D89" s="570"/>
      <c r="E89" s="570"/>
      <c r="F89" s="570"/>
      <c r="G89" s="570"/>
      <c r="H89" s="570"/>
      <c r="I89" s="571"/>
    </row>
    <row r="90" spans="1:9">
      <c r="A90" s="515"/>
      <c r="B90" s="586" t="s">
        <v>20</v>
      </c>
      <c r="C90" s="570"/>
      <c r="D90" s="570"/>
      <c r="E90" s="570"/>
      <c r="F90" s="570"/>
      <c r="G90" s="570"/>
      <c r="H90" s="570"/>
      <c r="I90" s="587">
        <v>0</v>
      </c>
    </row>
    <row r="91" spans="1:9">
      <c r="A91" s="515"/>
      <c r="B91" s="575" t="s">
        <v>104</v>
      </c>
      <c r="C91" s="570"/>
      <c r="D91" s="570"/>
      <c r="E91" s="570"/>
      <c r="F91" s="570"/>
      <c r="G91" s="570"/>
      <c r="H91" s="570"/>
      <c r="I91" s="571"/>
    </row>
    <row r="92" spans="1:9">
      <c r="A92" s="515"/>
      <c r="B92" s="583"/>
      <c r="C92" s="570"/>
      <c r="D92" s="570"/>
      <c r="E92" s="570"/>
      <c r="F92" s="570"/>
      <c r="G92" s="570"/>
      <c r="H92" s="570"/>
      <c r="I92" s="571"/>
    </row>
    <row r="93" spans="1:9">
      <c r="A93" s="515"/>
      <c r="B93" s="586" t="s">
        <v>473</v>
      </c>
      <c r="C93" s="570"/>
      <c r="D93" s="570"/>
      <c r="E93" s="570"/>
      <c r="F93" s="570"/>
      <c r="G93" s="570"/>
      <c r="H93" s="570"/>
      <c r="I93" s="618">
        <f>+I40+I54+I68+I74+I80+I90</f>
        <v>231.05989999999997</v>
      </c>
    </row>
    <row r="94" spans="1:9" ht="15.75">
      <c r="A94" s="515"/>
      <c r="B94" s="575" t="s">
        <v>474</v>
      </c>
      <c r="C94" s="570"/>
      <c r="D94" s="570"/>
      <c r="E94" s="570"/>
      <c r="F94" s="570"/>
      <c r="G94" s="570"/>
      <c r="H94" s="570"/>
      <c r="I94" s="571"/>
    </row>
    <row r="95" spans="1:9">
      <c r="A95" s="515"/>
      <c r="B95" s="583"/>
      <c r="C95" s="570"/>
      <c r="D95" s="570"/>
      <c r="E95" s="570"/>
      <c r="F95" s="570"/>
      <c r="G95" s="570"/>
      <c r="H95" s="570"/>
      <c r="I95" s="571"/>
    </row>
    <row r="96" spans="1:9">
      <c r="A96" s="515"/>
      <c r="B96" s="619" t="s">
        <v>11</v>
      </c>
      <c r="C96" s="620"/>
      <c r="D96" s="620"/>
      <c r="E96" s="620"/>
      <c r="F96" s="620"/>
      <c r="G96" s="620"/>
      <c r="H96" s="620"/>
      <c r="I96" s="621">
        <f>SUM(I40:I90)</f>
        <v>424.09989999999993</v>
      </c>
    </row>
  </sheetData>
  <mergeCells count="4">
    <mergeCell ref="B1:D1"/>
    <mergeCell ref="E54:H54"/>
    <mergeCell ref="B64:I65"/>
    <mergeCell ref="B69:C69"/>
  </mergeCells>
  <pageMargins left="0.75" right="0.75" top="1" bottom="1" header="0.5" footer="0.5"/>
  <pageSetup scale="49" orientation="portrait" r:id="rId1"/>
  <headerFooter alignWithMargins="0"/>
</worksheet>
</file>

<file path=xl/worksheets/sheet125.xml><?xml version="1.0" encoding="utf-8"?>
<worksheet xmlns="http://schemas.openxmlformats.org/spreadsheetml/2006/main" xmlns:r="http://schemas.openxmlformats.org/officeDocument/2006/relationships">
  <sheetPr>
    <pageSetUpPr fitToPage="1"/>
  </sheetPr>
  <dimension ref="A1:L99"/>
  <sheetViews>
    <sheetView zoomScale="75" zoomScaleNormal="75" workbookViewId="0">
      <selection activeCell="A118" sqref="A118:G121"/>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10.140625" bestFit="1"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391</v>
      </c>
      <c r="C6" s="7" t="str">
        <f>+E12</f>
        <v>EQIP</v>
      </c>
      <c r="D6" s="53" t="s">
        <v>1382</v>
      </c>
      <c r="E6" s="110" t="s">
        <v>1383</v>
      </c>
      <c r="F6" s="7" t="s">
        <v>394</v>
      </c>
      <c r="G6" s="85">
        <f>+I25</f>
        <v>0</v>
      </c>
    </row>
    <row r="7" spans="1:12">
      <c r="A7" s="2"/>
      <c r="B7" s="54">
        <v>391</v>
      </c>
      <c r="C7" s="7" t="str">
        <f>+C6</f>
        <v>EQIP</v>
      </c>
      <c r="D7" s="53" t="s">
        <v>1382</v>
      </c>
      <c r="E7" s="110" t="str">
        <f>CONCATENATE(E6, "-HU")</f>
        <v>Riparian Forest Buffer - Tree &amp; Shrub Establishment (Ac.)-HU</v>
      </c>
      <c r="F7" s="7" t="str">
        <f>+F6</f>
        <v>Acre</v>
      </c>
      <c r="G7" s="85">
        <f>+J25</f>
        <v>0</v>
      </c>
    </row>
    <row r="8" spans="1:12">
      <c r="A8" s="2"/>
      <c r="B8" s="54">
        <v>391</v>
      </c>
      <c r="C8" s="7" t="str">
        <f>+G12</f>
        <v>WHIP</v>
      </c>
      <c r="D8" s="53" t="s">
        <v>1382</v>
      </c>
      <c r="E8" s="110" t="s">
        <v>1383</v>
      </c>
      <c r="F8" s="7" t="s">
        <v>394</v>
      </c>
      <c r="G8" s="85">
        <f>+K25</f>
        <v>0</v>
      </c>
    </row>
    <row r="9" spans="1:12">
      <c r="A9" s="2"/>
      <c r="B9" s="54">
        <v>391</v>
      </c>
      <c r="C9" s="10" t="str">
        <f>+C8</f>
        <v>WHIP</v>
      </c>
      <c r="D9" s="53" t="s">
        <v>1382</v>
      </c>
      <c r="E9" s="111" t="str">
        <f>CONCATENATE(E6, "-HU")</f>
        <v>Riparian Forest Buffer - Tree &amp; Shrub Establishment (Ac.)-HU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340.5</v>
      </c>
      <c r="E16" s="160">
        <f>+'[12]Payment Factors'!D42</f>
        <v>0</v>
      </c>
      <c r="F16" s="160">
        <f>+'[12]Payment Factors'!E42</f>
        <v>0</v>
      </c>
      <c r="G16" s="160">
        <f>+'[12]Payment Factors'!F42</f>
        <v>0</v>
      </c>
      <c r="H16" s="160">
        <f>+'[12]Payment Factors'!G42</f>
        <v>0</v>
      </c>
      <c r="I16" s="1154">
        <f t="shared" ref="I16:L24" si="0">+$D16*E16</f>
        <v>0</v>
      </c>
      <c r="J16" s="1154">
        <f t="shared" si="0"/>
        <v>0</v>
      </c>
      <c r="K16" s="1154">
        <f t="shared" si="0"/>
        <v>0</v>
      </c>
      <c r="L16" s="1155">
        <f t="shared" si="0"/>
        <v>0</v>
      </c>
    </row>
    <row r="17" spans="1:12">
      <c r="A17" s="2"/>
      <c r="B17" s="15" t="s">
        <v>2</v>
      </c>
      <c r="C17" s="16"/>
      <c r="D17" s="24">
        <f>+I56</f>
        <v>136.21250000000001</v>
      </c>
      <c r="E17" s="160">
        <f t="shared" ref="E17:H19" si="1">+E16</f>
        <v>0</v>
      </c>
      <c r="F17" s="160">
        <f t="shared" si="1"/>
        <v>0</v>
      </c>
      <c r="G17" s="160">
        <f t="shared" si="1"/>
        <v>0</v>
      </c>
      <c r="H17" s="160">
        <f t="shared" si="1"/>
        <v>0</v>
      </c>
      <c r="I17" s="1154">
        <f t="shared" si="0"/>
        <v>0</v>
      </c>
      <c r="J17" s="1154">
        <f t="shared" si="0"/>
        <v>0</v>
      </c>
      <c r="K17" s="1154">
        <f t="shared" si="0"/>
        <v>0</v>
      </c>
      <c r="L17" s="1155">
        <f t="shared" si="0"/>
        <v>0</v>
      </c>
    </row>
    <row r="18" spans="1:12">
      <c r="A18" s="2"/>
      <c r="B18" s="15" t="s">
        <v>3</v>
      </c>
      <c r="C18" s="16"/>
      <c r="D18" s="24">
        <f>+I71</f>
        <v>24.037499999999998</v>
      </c>
      <c r="E18" s="160">
        <f t="shared" si="1"/>
        <v>0</v>
      </c>
      <c r="F18" s="160">
        <f t="shared" si="1"/>
        <v>0</v>
      </c>
      <c r="G18" s="160">
        <f t="shared" si="1"/>
        <v>0</v>
      </c>
      <c r="H18" s="160">
        <f t="shared" si="1"/>
        <v>0</v>
      </c>
      <c r="I18" s="1154">
        <f t="shared" si="0"/>
        <v>0</v>
      </c>
      <c r="J18" s="1154">
        <f t="shared" si="0"/>
        <v>0</v>
      </c>
      <c r="K18" s="1154">
        <f t="shared" si="0"/>
        <v>0</v>
      </c>
      <c r="L18" s="1155">
        <f t="shared" si="0"/>
        <v>0</v>
      </c>
    </row>
    <row r="19" spans="1:12">
      <c r="A19" s="2"/>
      <c r="B19" s="15" t="s">
        <v>4</v>
      </c>
      <c r="C19" s="16"/>
      <c r="D19" s="24">
        <f>+I77</f>
        <v>15.022499999999999</v>
      </c>
      <c r="E19" s="160">
        <f t="shared" si="1"/>
        <v>0</v>
      </c>
      <c r="F19" s="160">
        <f t="shared" si="1"/>
        <v>0</v>
      </c>
      <c r="G19" s="160">
        <f t="shared" si="1"/>
        <v>0</v>
      </c>
      <c r="H19" s="160">
        <f t="shared" si="1"/>
        <v>0</v>
      </c>
      <c r="I19" s="1154">
        <f t="shared" si="0"/>
        <v>0</v>
      </c>
      <c r="J19" s="1154">
        <f t="shared" si="0"/>
        <v>0</v>
      </c>
      <c r="K19" s="1154">
        <f t="shared" si="0"/>
        <v>0</v>
      </c>
      <c r="L19" s="1155">
        <f t="shared" si="0"/>
        <v>0</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1131.2725</v>
      </c>
      <c r="E25" s="1158"/>
      <c r="F25" s="1158"/>
      <c r="G25" s="28"/>
      <c r="H25" s="28"/>
      <c r="I25" s="1159">
        <f>SUM(I16:I24)</f>
        <v>0</v>
      </c>
      <c r="J25" s="1159">
        <f>SUM(J16:J24)</f>
        <v>0</v>
      </c>
      <c r="K25" s="1159">
        <f>SUM(K16:K24)</f>
        <v>0</v>
      </c>
      <c r="L25" s="1160">
        <f>SUM(L16:L24)</f>
        <v>0</v>
      </c>
    </row>
    <row r="27" spans="1:12" ht="15.75">
      <c r="A27" s="2"/>
      <c r="B27" s="50" t="s">
        <v>28</v>
      </c>
      <c r="C27" s="2"/>
      <c r="D27" s="2"/>
      <c r="E27" s="2"/>
      <c r="F27" s="2"/>
      <c r="G27" s="2"/>
      <c r="H27" s="2"/>
      <c r="I27" s="5"/>
    </row>
    <row r="28" spans="1:12">
      <c r="A28" s="2"/>
      <c r="B28" s="29" t="s">
        <v>1377</v>
      </c>
      <c r="C28" s="30"/>
      <c r="D28" s="30"/>
      <c r="E28" s="31"/>
      <c r="F28" s="31"/>
      <c r="G28" s="31"/>
      <c r="H28" s="31"/>
      <c r="I28" s="32"/>
    </row>
    <row r="29" spans="1:12">
      <c r="A29" s="2"/>
      <c r="B29" s="2023" t="s">
        <v>1384</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+'[12]Payment Factors'!C42</f>
        <v>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340.5</v>
      </c>
    </row>
    <row r="41" spans="1:9">
      <c r="A41" s="2"/>
      <c r="B41" s="1174"/>
      <c r="C41" s="35"/>
      <c r="D41" s="1167" t="s">
        <v>447</v>
      </c>
      <c r="E41" s="1167" t="s">
        <v>448</v>
      </c>
      <c r="F41" s="1167" t="s">
        <v>449</v>
      </c>
      <c r="G41" s="1167" t="s">
        <v>450</v>
      </c>
      <c r="H41" s="35"/>
      <c r="I41" s="46"/>
    </row>
    <row r="42" spans="1:9">
      <c r="A42" s="2"/>
      <c r="B42" s="40" t="s">
        <v>451</v>
      </c>
      <c r="C42" s="6"/>
      <c r="D42" s="1168" t="s">
        <v>452</v>
      </c>
      <c r="E42" s="1169">
        <f>+'[12]Core Rates'!C203</f>
        <v>8.75</v>
      </c>
      <c r="F42" s="1170">
        <v>0</v>
      </c>
      <c r="G42" s="1171">
        <f t="shared" ref="G42:G50" si="2">+F42*E42</f>
        <v>0</v>
      </c>
      <c r="H42" s="35"/>
      <c r="I42" s="36"/>
    </row>
    <row r="43" spans="1:9">
      <c r="A43" s="2"/>
      <c r="B43" s="1184" t="s">
        <v>453</v>
      </c>
      <c r="C43" s="6"/>
      <c r="D43" s="1185" t="s">
        <v>454</v>
      </c>
      <c r="E43" s="1169">
        <f>+'[12]Core Rates'!C228</f>
        <v>0.82427536231884069</v>
      </c>
      <c r="F43" s="1170">
        <v>0</v>
      </c>
      <c r="G43" s="1171">
        <f t="shared" si="2"/>
        <v>0</v>
      </c>
      <c r="H43" s="35"/>
      <c r="I43" s="36"/>
    </row>
    <row r="44" spans="1:9">
      <c r="A44" s="2"/>
      <c r="B44" s="1186" t="s">
        <v>455</v>
      </c>
      <c r="C44" s="1187"/>
      <c r="D44" s="1185" t="s">
        <v>454</v>
      </c>
      <c r="E44" s="1169">
        <f>+'[12]Core Rates'!C235</f>
        <v>1.1702898550724636</v>
      </c>
      <c r="F44" s="1170">
        <v>0</v>
      </c>
      <c r="G44" s="1171">
        <f t="shared" si="2"/>
        <v>0</v>
      </c>
      <c r="H44" s="35"/>
      <c r="I44" s="36"/>
    </row>
    <row r="45" spans="1:9">
      <c r="A45" s="2"/>
      <c r="B45" s="1186" t="s">
        <v>456</v>
      </c>
      <c r="C45" s="1187"/>
      <c r="D45" s="1168" t="s">
        <v>454</v>
      </c>
      <c r="E45" s="1169">
        <f>+'[12]Core Rates'!C246</f>
        <v>0.58825136612021856</v>
      </c>
      <c r="F45" s="1170">
        <v>0</v>
      </c>
      <c r="G45" s="1171">
        <f t="shared" si="2"/>
        <v>0</v>
      </c>
      <c r="H45" s="35"/>
      <c r="I45" s="36"/>
    </row>
    <row r="46" spans="1:9">
      <c r="A46" s="2"/>
      <c r="B46" s="1188" t="str">
        <f>+'[12]Core Rates'!A342</f>
        <v>Tree seedlings</v>
      </c>
      <c r="C46" s="1187"/>
      <c r="D46" s="1189" t="str">
        <f>+'[12]Core Rates'!B342</f>
        <v>Ea</v>
      </c>
      <c r="E46" s="1169">
        <f>+'[12]Core Rates'!C342</f>
        <v>0.5</v>
      </c>
      <c r="F46" s="1170">
        <v>681</v>
      </c>
      <c r="G46" s="1171">
        <f>+F46*E46</f>
        <v>340.5</v>
      </c>
      <c r="H46" s="35"/>
      <c r="I46" s="36"/>
    </row>
    <row r="47" spans="1:9">
      <c r="A47" s="2"/>
      <c r="B47" s="1186" t="str">
        <f>+'[12]Core Rates'!A310</f>
        <v>Seed (Orchard grass)</v>
      </c>
      <c r="C47" s="1187"/>
      <c r="D47" s="1185" t="s">
        <v>454</v>
      </c>
      <c r="E47" s="1169">
        <f>+'[12]Core Rates 2011'!BE307</f>
        <v>1.68</v>
      </c>
      <c r="F47" s="1170">
        <v>0</v>
      </c>
      <c r="G47" s="1171">
        <f t="shared" si="2"/>
        <v>0</v>
      </c>
      <c r="H47" s="35"/>
      <c r="I47" s="36"/>
    </row>
    <row r="48" spans="1:9">
      <c r="A48" s="2"/>
      <c r="B48" s="1186" t="str">
        <f>+'[12]Core Rates'!A301</f>
        <v>Seed (Virgina Wildrye)</v>
      </c>
      <c r="C48" s="1187"/>
      <c r="D48" s="1185" t="s">
        <v>454</v>
      </c>
      <c r="E48" s="1169">
        <f>+'[12]Core Rates 2011'!BE298</f>
        <v>7</v>
      </c>
      <c r="F48" s="1170">
        <v>0</v>
      </c>
      <c r="G48" s="1171">
        <f t="shared" si="2"/>
        <v>0</v>
      </c>
      <c r="H48" s="35"/>
      <c r="I48" s="36"/>
    </row>
    <row r="49" spans="1:9">
      <c r="A49" s="2"/>
      <c r="B49" s="1186" t="str">
        <f>+'[12]Core Rates'!A315</f>
        <v>Seed (Wheat)</v>
      </c>
      <c r="C49" s="1187"/>
      <c r="D49" s="1185" t="s">
        <v>454</v>
      </c>
      <c r="E49" s="1169">
        <f>+'[12]Core Rates 2011'!BE312</f>
        <v>0.31</v>
      </c>
      <c r="F49" s="1170">
        <v>0</v>
      </c>
      <c r="G49" s="1171">
        <f t="shared" si="2"/>
        <v>0</v>
      </c>
      <c r="H49" s="35"/>
      <c r="I49" s="36"/>
    </row>
    <row r="50" spans="1:9">
      <c r="A50" s="2"/>
      <c r="B50" s="1186" t="str">
        <f>+'[12]Core Rates'!A314</f>
        <v>Seed (Redtop)</v>
      </c>
      <c r="C50" s="1187"/>
      <c r="D50" s="1185" t="s">
        <v>454</v>
      </c>
      <c r="E50" s="1169">
        <f>+'[12]Core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136.21250000000001</v>
      </c>
    </row>
    <row r="57" spans="1:9">
      <c r="A57" s="2"/>
      <c r="B57" s="1174"/>
      <c r="C57" s="35"/>
      <c r="D57" s="1167" t="s">
        <v>447</v>
      </c>
      <c r="E57" s="1167" t="s">
        <v>448</v>
      </c>
      <c r="F57" s="1167" t="s">
        <v>449</v>
      </c>
      <c r="G57" s="1167" t="s">
        <v>450</v>
      </c>
      <c r="H57" s="35"/>
      <c r="I57" s="46"/>
    </row>
    <row r="58" spans="1:9">
      <c r="A58" s="2"/>
      <c r="B58" s="1191" t="s">
        <v>460</v>
      </c>
      <c r="C58" s="6"/>
      <c r="D58" s="1168" t="s">
        <v>408</v>
      </c>
      <c r="E58" s="1169">
        <f>+'[12]Core Rates 2011'!BE145</f>
        <v>36.5</v>
      </c>
      <c r="F58" s="1170">
        <v>1.5</v>
      </c>
      <c r="G58" s="1171">
        <f t="shared" ref="G58:G64" si="3">+F58*E58</f>
        <v>54.75</v>
      </c>
      <c r="H58" s="35"/>
      <c r="I58" s="47"/>
    </row>
    <row r="59" spans="1:9">
      <c r="A59" s="2"/>
      <c r="B59" s="1191" t="str">
        <f>+'[12]Core Rates'!A340</f>
        <v>Tree Planting</v>
      </c>
      <c r="C59" s="6"/>
      <c r="D59" s="1168" t="s">
        <v>408</v>
      </c>
      <c r="E59" s="1169">
        <f>+'[12]Core Rates'!C340</f>
        <v>90</v>
      </c>
      <c r="F59" s="1170">
        <v>1</v>
      </c>
      <c r="G59" s="1171">
        <f t="shared" si="3"/>
        <v>90</v>
      </c>
      <c r="H59" s="35"/>
      <c r="I59" s="47"/>
    </row>
    <row r="60" spans="1:9">
      <c r="A60" s="2"/>
      <c r="B60" s="40" t="s">
        <v>461</v>
      </c>
      <c r="C60" s="6"/>
      <c r="D60" s="1168" t="s">
        <v>408</v>
      </c>
      <c r="E60" s="1169">
        <f>+'[12]Core Rates'!C104</f>
        <v>20</v>
      </c>
      <c r="F60" s="1170">
        <v>0</v>
      </c>
      <c r="G60" s="1171">
        <f t="shared" si="3"/>
        <v>0</v>
      </c>
      <c r="H60" s="35"/>
      <c r="I60" s="47"/>
    </row>
    <row r="61" spans="1:9">
      <c r="A61" s="2"/>
      <c r="B61" s="1191" t="str">
        <f>+'[12]Core Rates'!A216</f>
        <v>Mowing</v>
      </c>
      <c r="C61" s="6"/>
      <c r="D61" s="1189" t="s">
        <v>408</v>
      </c>
      <c r="E61" s="1189">
        <f>+'[12]Core Rates'!C216</f>
        <v>15.5</v>
      </c>
      <c r="F61" s="1170">
        <v>1</v>
      </c>
      <c r="G61" s="1171">
        <f t="shared" si="3"/>
        <v>15.5</v>
      </c>
      <c r="H61" s="35"/>
      <c r="I61" s="47"/>
    </row>
    <row r="62" spans="1:9">
      <c r="A62" s="2"/>
      <c r="B62" s="40" t="s">
        <v>462</v>
      </c>
      <c r="C62" s="6"/>
      <c r="D62" s="1168" t="s">
        <v>408</v>
      </c>
      <c r="E62" s="1169">
        <f>+'[12]Core Rates'!AN33</f>
        <v>5.416666666666667</v>
      </c>
      <c r="F62" s="1170">
        <v>0</v>
      </c>
      <c r="G62" s="1171">
        <f t="shared" si="3"/>
        <v>0</v>
      </c>
      <c r="H62" s="35"/>
      <c r="I62" s="47"/>
    </row>
    <row r="63" spans="1:9">
      <c r="A63" s="2"/>
      <c r="B63" s="40" t="s">
        <v>463</v>
      </c>
      <c r="C63" s="6"/>
      <c r="D63" s="1168" t="s">
        <v>452</v>
      </c>
      <c r="E63" s="1169">
        <f>+'[12]Core Rates'!AN34</f>
        <v>5.5</v>
      </c>
      <c r="F63" s="1170">
        <v>0</v>
      </c>
      <c r="G63" s="1171">
        <f t="shared" si="3"/>
        <v>0</v>
      </c>
      <c r="H63" s="35"/>
      <c r="I63" s="47"/>
    </row>
    <row r="64" spans="1:9">
      <c r="A64" s="2"/>
      <c r="B64" s="40" t="s">
        <v>464</v>
      </c>
      <c r="C64" s="6"/>
      <c r="D64" s="1168" t="s">
        <v>452</v>
      </c>
      <c r="E64" s="1169">
        <f>+'[12]Core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24.037499999999998</v>
      </c>
    </row>
    <row r="72" spans="1:9">
      <c r="A72" s="2"/>
      <c r="B72" s="2007" t="s">
        <v>465</v>
      </c>
      <c r="C72" s="2008"/>
      <c r="D72" s="35"/>
      <c r="E72" s="35"/>
      <c r="F72" s="35"/>
      <c r="G72" s="35"/>
      <c r="H72" s="35"/>
      <c r="I72" s="48"/>
    </row>
    <row r="73" spans="1:9">
      <c r="A73" s="2"/>
      <c r="B73" s="37" t="s">
        <v>466</v>
      </c>
      <c r="C73" s="39"/>
      <c r="D73" s="39"/>
      <c r="E73" s="153">
        <f>SUM(G58:G64)*0.15</f>
        <v>24.037499999999998</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15.022499999999999</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+'[12]Core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515.77250000000004</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1131.2725</v>
      </c>
    </row>
  </sheetData>
  <mergeCells count="5">
    <mergeCell ref="B1:D1"/>
    <mergeCell ref="B29:I31"/>
    <mergeCell ref="E56:H56"/>
    <mergeCell ref="B67:I68"/>
    <mergeCell ref="B72:C72"/>
  </mergeCells>
  <pageMargins left="0.75" right="0.75" top="1" bottom="1" header="0.5" footer="0.5"/>
  <pageSetup scale="48" orientation="portrait" r:id="rId1"/>
  <headerFooter alignWithMargins="0"/>
</worksheet>
</file>

<file path=xl/worksheets/sheet126.xml><?xml version="1.0" encoding="utf-8"?>
<worksheet xmlns="http://schemas.openxmlformats.org/spreadsheetml/2006/main" xmlns:r="http://schemas.openxmlformats.org/officeDocument/2006/relationships">
  <sheetPr>
    <pageSetUpPr fitToPage="1"/>
  </sheetPr>
  <dimension ref="A1:L99"/>
  <sheetViews>
    <sheetView zoomScale="75" zoomScaleNormal="75" workbookViewId="0">
      <selection activeCell="A118" sqref="A118:G121"/>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12.285156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391</v>
      </c>
      <c r="C6" s="7" t="str">
        <f>+E12</f>
        <v>EQIP</v>
      </c>
      <c r="D6" s="53" t="s">
        <v>1382</v>
      </c>
      <c r="E6" s="110" t="s">
        <v>1385</v>
      </c>
      <c r="F6" s="7" t="s">
        <v>394</v>
      </c>
      <c r="G6" s="85">
        <f>+I25</f>
        <v>0</v>
      </c>
    </row>
    <row r="7" spans="1:12" ht="25.5">
      <c r="A7" s="2"/>
      <c r="B7" s="54">
        <v>391</v>
      </c>
      <c r="C7" s="7" t="str">
        <f>+C6</f>
        <v>EQIP</v>
      </c>
      <c r="D7" s="53" t="s">
        <v>1382</v>
      </c>
      <c r="E7" s="110" t="str">
        <f>CONCATENATE(E6, "-HU")</f>
        <v>Riparian Forest Buffer - Tree &amp; Shrub Establishment w/vegetative cover (Ac.)-HU</v>
      </c>
      <c r="F7" s="7" t="str">
        <f>+F6</f>
        <v>Acre</v>
      </c>
      <c r="G7" s="85">
        <f>+J25</f>
        <v>0</v>
      </c>
    </row>
    <row r="8" spans="1:12" ht="25.5">
      <c r="A8" s="2"/>
      <c r="B8" s="54">
        <v>391</v>
      </c>
      <c r="C8" s="7" t="str">
        <f>+G12</f>
        <v>WHIP</v>
      </c>
      <c r="D8" s="53" t="s">
        <v>1382</v>
      </c>
      <c r="E8" s="110" t="s">
        <v>1385</v>
      </c>
      <c r="F8" s="7" t="s">
        <v>394</v>
      </c>
      <c r="G8" s="85">
        <f>+K25</f>
        <v>0</v>
      </c>
    </row>
    <row r="9" spans="1:12" ht="25.5">
      <c r="A9" s="2"/>
      <c r="B9" s="54">
        <v>391</v>
      </c>
      <c r="C9" s="10" t="str">
        <f>+C8</f>
        <v>WHIP</v>
      </c>
      <c r="D9" s="53" t="s">
        <v>1382</v>
      </c>
      <c r="E9" s="111" t="str">
        <f>CONCATENATE(E6, "-HU")</f>
        <v>Riparian Forest Buffer - Tree &amp; Shrub Establishment w/vegetative cover (Ac.)-HU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360.05</v>
      </c>
      <c r="E16" s="160">
        <f>+'[12]Payment Factors'!D42</f>
        <v>0</v>
      </c>
      <c r="F16" s="160">
        <f>+'[12]Payment Factors'!E42</f>
        <v>0</v>
      </c>
      <c r="G16" s="160">
        <f>+'[12]Payment Factors'!F42</f>
        <v>0</v>
      </c>
      <c r="H16" s="160">
        <f>+'[12]Payment Factors'!G42</f>
        <v>0</v>
      </c>
      <c r="I16" s="1154">
        <f t="shared" ref="I16:L24" si="0">+$D16*E16</f>
        <v>0</v>
      </c>
      <c r="J16" s="1154">
        <f t="shared" si="0"/>
        <v>0</v>
      </c>
      <c r="K16" s="1154">
        <f t="shared" si="0"/>
        <v>0</v>
      </c>
      <c r="L16" s="1155">
        <f t="shared" si="0"/>
        <v>0</v>
      </c>
    </row>
    <row r="17" spans="1:12">
      <c r="A17" s="2"/>
      <c r="B17" s="15" t="s">
        <v>2</v>
      </c>
      <c r="C17" s="16"/>
      <c r="D17" s="24">
        <f>+I56</f>
        <v>153.21250000000001</v>
      </c>
      <c r="E17" s="160">
        <f t="shared" ref="E17:H19" si="1">+E16</f>
        <v>0</v>
      </c>
      <c r="F17" s="160">
        <f t="shared" si="1"/>
        <v>0</v>
      </c>
      <c r="G17" s="160">
        <f t="shared" si="1"/>
        <v>0</v>
      </c>
      <c r="H17" s="160">
        <f t="shared" si="1"/>
        <v>0</v>
      </c>
      <c r="I17" s="1154">
        <f t="shared" si="0"/>
        <v>0</v>
      </c>
      <c r="J17" s="1154">
        <f t="shared" si="0"/>
        <v>0</v>
      </c>
      <c r="K17" s="1154">
        <f t="shared" si="0"/>
        <v>0</v>
      </c>
      <c r="L17" s="1155">
        <f t="shared" si="0"/>
        <v>0</v>
      </c>
    </row>
    <row r="18" spans="1:12">
      <c r="A18" s="2"/>
      <c r="B18" s="15" t="s">
        <v>3</v>
      </c>
      <c r="C18" s="16"/>
      <c r="D18" s="24">
        <f>+I71</f>
        <v>27.037499999999998</v>
      </c>
      <c r="E18" s="160">
        <f t="shared" si="1"/>
        <v>0</v>
      </c>
      <c r="F18" s="160">
        <f t="shared" si="1"/>
        <v>0</v>
      </c>
      <c r="G18" s="160">
        <f t="shared" si="1"/>
        <v>0</v>
      </c>
      <c r="H18" s="160">
        <f t="shared" si="1"/>
        <v>0</v>
      </c>
      <c r="I18" s="1154">
        <f t="shared" si="0"/>
        <v>0</v>
      </c>
      <c r="J18" s="1154">
        <f t="shared" si="0"/>
        <v>0</v>
      </c>
      <c r="K18" s="1154">
        <f t="shared" si="0"/>
        <v>0</v>
      </c>
      <c r="L18" s="1155">
        <f t="shared" si="0"/>
        <v>0</v>
      </c>
    </row>
    <row r="19" spans="1:12">
      <c r="A19" s="2"/>
      <c r="B19" s="15" t="s">
        <v>4</v>
      </c>
      <c r="C19" s="16"/>
      <c r="D19" s="24">
        <f>+I77</f>
        <v>16.209000000000003</v>
      </c>
      <c r="E19" s="160">
        <f t="shared" si="1"/>
        <v>0</v>
      </c>
      <c r="F19" s="160">
        <f t="shared" si="1"/>
        <v>0</v>
      </c>
      <c r="G19" s="160">
        <f t="shared" si="1"/>
        <v>0</v>
      </c>
      <c r="H19" s="160">
        <f t="shared" si="1"/>
        <v>0</v>
      </c>
      <c r="I19" s="1154">
        <f t="shared" si="0"/>
        <v>0</v>
      </c>
      <c r="J19" s="1154">
        <f t="shared" si="0"/>
        <v>0</v>
      </c>
      <c r="K19" s="1154">
        <f t="shared" si="0"/>
        <v>0</v>
      </c>
      <c r="L19" s="1155">
        <f t="shared" si="0"/>
        <v>0</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1172.009</v>
      </c>
      <c r="E25" s="28"/>
      <c r="F25" s="28"/>
      <c r="G25" s="28"/>
      <c r="H25" s="28"/>
      <c r="I25" s="1159">
        <f>SUM(I16:I24)</f>
        <v>0</v>
      </c>
      <c r="J25" s="1159">
        <f>SUM(J16:J24)</f>
        <v>0</v>
      </c>
      <c r="K25" s="1159">
        <f>SUM(K16:K24)</f>
        <v>0</v>
      </c>
      <c r="L25" s="1160">
        <f>SUM(L16:L24)</f>
        <v>0</v>
      </c>
    </row>
    <row r="27" spans="1:12" ht="15.75">
      <c r="A27" s="2"/>
      <c r="B27" s="50" t="s">
        <v>28</v>
      </c>
      <c r="C27" s="2"/>
      <c r="D27" s="2"/>
      <c r="E27" s="2"/>
      <c r="F27" s="2"/>
      <c r="G27" s="2"/>
      <c r="H27" s="2"/>
      <c r="I27" s="5"/>
    </row>
    <row r="28" spans="1:12">
      <c r="A28" s="2"/>
      <c r="B28" s="29" t="s">
        <v>1377</v>
      </c>
      <c r="C28" s="30"/>
      <c r="D28" s="30"/>
      <c r="E28" s="31"/>
      <c r="F28" s="31"/>
      <c r="G28" s="31"/>
      <c r="H28" s="31"/>
      <c r="I28" s="32"/>
    </row>
    <row r="29" spans="1:12" ht="12.75" customHeight="1">
      <c r="A29" s="2"/>
      <c r="B29" s="2023" t="s">
        <v>1386</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+'[12]Payment Factors'!C42</f>
        <v>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360.05</v>
      </c>
    </row>
    <row r="41" spans="1:9">
      <c r="A41" s="2"/>
      <c r="B41" s="1174"/>
      <c r="C41" s="35"/>
      <c r="D41" s="1167" t="s">
        <v>447</v>
      </c>
      <c r="E41" s="1167" t="s">
        <v>448</v>
      </c>
      <c r="F41" s="1167" t="s">
        <v>449</v>
      </c>
      <c r="G41" s="1167" t="s">
        <v>450</v>
      </c>
      <c r="H41" s="35"/>
      <c r="I41" s="46"/>
    </row>
    <row r="42" spans="1:9">
      <c r="A42" s="2"/>
      <c r="B42" s="40" t="s">
        <v>451</v>
      </c>
      <c r="C42" s="6"/>
      <c r="D42" s="1168" t="s">
        <v>452</v>
      </c>
      <c r="E42" s="1169">
        <f>+'[12]Core Rates'!C203</f>
        <v>8.75</v>
      </c>
      <c r="F42" s="1170">
        <v>0</v>
      </c>
      <c r="G42" s="1171">
        <f t="shared" ref="G42:G50" si="2">+F42*E42</f>
        <v>0</v>
      </c>
      <c r="H42" s="35"/>
      <c r="I42" s="36"/>
    </row>
    <row r="43" spans="1:9">
      <c r="A43" s="2"/>
      <c r="B43" s="1184" t="s">
        <v>453</v>
      </c>
      <c r="C43" s="6"/>
      <c r="D43" s="1185" t="s">
        <v>454</v>
      </c>
      <c r="E43" s="1169">
        <f>+'[12]Core Rates'!C228</f>
        <v>0.82427536231884069</v>
      </c>
      <c r="F43" s="1170">
        <v>0</v>
      </c>
      <c r="G43" s="1171">
        <f t="shared" si="2"/>
        <v>0</v>
      </c>
      <c r="H43" s="35"/>
      <c r="I43" s="36"/>
    </row>
    <row r="44" spans="1:9">
      <c r="A44" s="2"/>
      <c r="B44" s="1186" t="s">
        <v>455</v>
      </c>
      <c r="C44" s="1187"/>
      <c r="D44" s="1185" t="s">
        <v>454</v>
      </c>
      <c r="E44" s="1169">
        <f>+'[12]Core Rates'!C235</f>
        <v>1.1702898550724636</v>
      </c>
      <c r="F44" s="1170">
        <v>0</v>
      </c>
      <c r="G44" s="1171">
        <f t="shared" si="2"/>
        <v>0</v>
      </c>
      <c r="H44" s="35"/>
      <c r="I44" s="36"/>
    </row>
    <row r="45" spans="1:9">
      <c r="A45" s="2"/>
      <c r="B45" s="1186" t="s">
        <v>456</v>
      </c>
      <c r="C45" s="1187"/>
      <c r="D45" s="1168" t="s">
        <v>454</v>
      </c>
      <c r="E45" s="1169">
        <f>+'[12]Core Rates'!C246</f>
        <v>0.58825136612021856</v>
      </c>
      <c r="F45" s="1170">
        <v>0</v>
      </c>
      <c r="G45" s="1171">
        <f t="shared" si="2"/>
        <v>0</v>
      </c>
      <c r="H45" s="35"/>
      <c r="I45" s="36"/>
    </row>
    <row r="46" spans="1:9">
      <c r="A46" s="2"/>
      <c r="B46" s="1188" t="str">
        <f>+'[12]Core Rates'!A342</f>
        <v>Tree seedlings</v>
      </c>
      <c r="C46" s="1187"/>
      <c r="D46" s="1189" t="str">
        <f>+'[12]Core Rates'!B342</f>
        <v>Ea</v>
      </c>
      <c r="E46" s="1169">
        <f>+'[12]Core Rates'!C342</f>
        <v>0.5</v>
      </c>
      <c r="F46" s="1170">
        <v>681</v>
      </c>
      <c r="G46" s="1171">
        <f t="shared" si="2"/>
        <v>340.5</v>
      </c>
      <c r="H46" s="35"/>
      <c r="I46" s="36"/>
    </row>
    <row r="47" spans="1:9">
      <c r="A47" s="2"/>
      <c r="B47" s="1186" t="str">
        <f>+'[12]Core Rates'!A310</f>
        <v>Seed (Orchard grass)</v>
      </c>
      <c r="C47" s="1187"/>
      <c r="D47" s="1185" t="s">
        <v>454</v>
      </c>
      <c r="E47" s="1169">
        <f>+'[12]Core Rates 2011'!BE307</f>
        <v>1.68</v>
      </c>
      <c r="F47" s="1170">
        <v>10</v>
      </c>
      <c r="G47" s="1171">
        <f t="shared" si="2"/>
        <v>16.8</v>
      </c>
      <c r="H47" s="35"/>
      <c r="I47" s="36"/>
    </row>
    <row r="48" spans="1:9">
      <c r="A48" s="2"/>
      <c r="B48" s="1186" t="str">
        <f>+'[12]Core Rates'!A312</f>
        <v>Seed (Red Clover)</v>
      </c>
      <c r="C48" s="1187"/>
      <c r="D48" s="1185" t="s">
        <v>454</v>
      </c>
      <c r="E48" s="1169">
        <f>+'[12]Core Rates 2011'!BE309</f>
        <v>2.75</v>
      </c>
      <c r="F48" s="1170">
        <v>1</v>
      </c>
      <c r="G48" s="1171">
        <f t="shared" si="2"/>
        <v>2.75</v>
      </c>
      <c r="H48" s="35"/>
      <c r="I48" s="36"/>
    </row>
    <row r="49" spans="1:9">
      <c r="A49" s="2"/>
      <c r="B49" s="1186" t="str">
        <f>+'[12]Core Rates'!A315</f>
        <v>Seed (Wheat)</v>
      </c>
      <c r="C49" s="1187"/>
      <c r="D49" s="1185" t="s">
        <v>454</v>
      </c>
      <c r="E49" s="1169">
        <f>+'[12]Core Rates 2011'!BE312</f>
        <v>0.31</v>
      </c>
      <c r="F49" s="1170">
        <v>0</v>
      </c>
      <c r="G49" s="1171">
        <f t="shared" si="2"/>
        <v>0</v>
      </c>
      <c r="H49" s="35"/>
      <c r="I49" s="36"/>
    </row>
    <row r="50" spans="1:9">
      <c r="A50" s="2"/>
      <c r="B50" s="1186" t="str">
        <f>+'[12]Core Rates'!A314</f>
        <v>Seed (Redtop)</v>
      </c>
      <c r="C50" s="1187"/>
      <c r="D50" s="1185" t="s">
        <v>454</v>
      </c>
      <c r="E50" s="1169">
        <f>+'[12]Core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153.21250000000001</v>
      </c>
    </row>
    <row r="57" spans="1:9">
      <c r="A57" s="2"/>
      <c r="B57" s="1174"/>
      <c r="C57" s="35"/>
      <c r="D57" s="1167" t="s">
        <v>447</v>
      </c>
      <c r="E57" s="1167" t="s">
        <v>448</v>
      </c>
      <c r="F57" s="1167" t="s">
        <v>449</v>
      </c>
      <c r="G57" s="1167" t="s">
        <v>450</v>
      </c>
      <c r="H57" s="35"/>
      <c r="I57" s="46"/>
    </row>
    <row r="58" spans="1:9">
      <c r="A58" s="2"/>
      <c r="B58" s="1191" t="s">
        <v>460</v>
      </c>
      <c r="C58" s="6"/>
      <c r="D58" s="1168" t="s">
        <v>408</v>
      </c>
      <c r="E58" s="1169">
        <f>+'[12]Core Rates 2011'!BE145</f>
        <v>36.5</v>
      </c>
      <c r="F58" s="1170">
        <v>1.5</v>
      </c>
      <c r="G58" s="1171">
        <f t="shared" ref="G58:G64" si="3">+F58*E58</f>
        <v>54.75</v>
      </c>
      <c r="H58" s="35"/>
      <c r="I58" s="47"/>
    </row>
    <row r="59" spans="1:9">
      <c r="A59" s="2"/>
      <c r="B59" s="1191" t="str">
        <f>+'[12]Core Rates'!A340</f>
        <v>Tree Planting</v>
      </c>
      <c r="C59" s="6"/>
      <c r="D59" s="1168" t="s">
        <v>408</v>
      </c>
      <c r="E59" s="1169">
        <f>+'[12]Core Rates'!C340</f>
        <v>90</v>
      </c>
      <c r="F59" s="1170">
        <v>1</v>
      </c>
      <c r="G59" s="1171">
        <f t="shared" si="3"/>
        <v>90</v>
      </c>
      <c r="H59" s="35"/>
      <c r="I59" s="47"/>
    </row>
    <row r="60" spans="1:9">
      <c r="A60" s="2"/>
      <c r="B60" s="40" t="s">
        <v>461</v>
      </c>
      <c r="C60" s="6"/>
      <c r="D60" s="1168" t="s">
        <v>408</v>
      </c>
      <c r="E60" s="1169">
        <f>+'[12]Core Rates'!C104</f>
        <v>20</v>
      </c>
      <c r="F60" s="1170">
        <v>1</v>
      </c>
      <c r="G60" s="1171">
        <f t="shared" si="3"/>
        <v>20</v>
      </c>
      <c r="H60" s="35"/>
      <c r="I60" s="47"/>
    </row>
    <row r="61" spans="1:9">
      <c r="A61" s="2"/>
      <c r="B61" s="1191" t="str">
        <f>+'[12]Core Rates'!A216</f>
        <v>Mowing</v>
      </c>
      <c r="C61" s="6"/>
      <c r="D61" s="1189" t="s">
        <v>408</v>
      </c>
      <c r="E61" s="1189">
        <f>+'[12]Core Rates'!C216</f>
        <v>15.5</v>
      </c>
      <c r="F61" s="1170">
        <v>1</v>
      </c>
      <c r="G61" s="1171">
        <f t="shared" si="3"/>
        <v>15.5</v>
      </c>
      <c r="H61" s="35"/>
      <c r="I61" s="47"/>
    </row>
    <row r="62" spans="1:9">
      <c r="A62" s="2"/>
      <c r="B62" s="40" t="s">
        <v>462</v>
      </c>
      <c r="C62" s="6"/>
      <c r="D62" s="1168" t="s">
        <v>408</v>
      </c>
      <c r="E62" s="1169">
        <f>+'[12]Core Rates'!AN33</f>
        <v>5.416666666666667</v>
      </c>
      <c r="F62" s="1170">
        <v>0</v>
      </c>
      <c r="G62" s="1171">
        <f t="shared" si="3"/>
        <v>0</v>
      </c>
      <c r="H62" s="35"/>
      <c r="I62" s="47"/>
    </row>
    <row r="63" spans="1:9">
      <c r="A63" s="2"/>
      <c r="B63" s="40" t="s">
        <v>463</v>
      </c>
      <c r="C63" s="6"/>
      <c r="D63" s="1168" t="s">
        <v>452</v>
      </c>
      <c r="E63" s="1169">
        <f>+'[12]Core Rates'!AN34</f>
        <v>5.5</v>
      </c>
      <c r="F63" s="1170">
        <v>0</v>
      </c>
      <c r="G63" s="1171">
        <f t="shared" si="3"/>
        <v>0</v>
      </c>
      <c r="H63" s="35"/>
      <c r="I63" s="47"/>
    </row>
    <row r="64" spans="1:9">
      <c r="A64" s="2"/>
      <c r="B64" s="40" t="s">
        <v>464</v>
      </c>
      <c r="C64" s="6"/>
      <c r="D64" s="1168" t="s">
        <v>452</v>
      </c>
      <c r="E64" s="1169">
        <f>+'[12]Core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27.037499999999998</v>
      </c>
    </row>
    <row r="72" spans="1:9">
      <c r="A72" s="2"/>
      <c r="B72" s="2007" t="s">
        <v>465</v>
      </c>
      <c r="C72" s="2008"/>
      <c r="D72" s="35"/>
      <c r="E72" s="35"/>
      <c r="F72" s="35"/>
      <c r="G72" s="35"/>
      <c r="H72" s="35"/>
      <c r="I72" s="48"/>
    </row>
    <row r="73" spans="1:9">
      <c r="A73" s="2"/>
      <c r="B73" s="37" t="s">
        <v>466</v>
      </c>
      <c r="C73" s="39"/>
      <c r="D73" s="39"/>
      <c r="E73" s="153">
        <f>SUM(G58:G64)*0.15</f>
        <v>27.037499999999998</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16.209000000000003</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+'[12]Core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556.50900000000001</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1172.009</v>
      </c>
    </row>
  </sheetData>
  <mergeCells count="5">
    <mergeCell ref="B1:D1"/>
    <mergeCell ref="B29:I31"/>
    <mergeCell ref="E56:H56"/>
    <mergeCell ref="B67:I68"/>
    <mergeCell ref="B72:C72"/>
  </mergeCells>
  <pageMargins left="0.75" right="0.75" top="1" bottom="1" header="0.5" footer="0.5"/>
  <pageSetup scale="47" orientation="portrait" r:id="rId1"/>
  <headerFooter alignWithMargins="0"/>
</worksheet>
</file>

<file path=xl/worksheets/sheet127.xml><?xml version="1.0" encoding="utf-8"?>
<worksheet xmlns="http://schemas.openxmlformats.org/spreadsheetml/2006/main" xmlns:r="http://schemas.openxmlformats.org/officeDocument/2006/relationships">
  <sheetPr>
    <pageSetUpPr fitToPage="1"/>
  </sheetPr>
  <dimension ref="A1:L97"/>
  <sheetViews>
    <sheetView zoomScale="75" zoomScaleNormal="75" workbookViewId="0">
      <selection activeCell="A118" sqref="A118:G121"/>
    </sheetView>
  </sheetViews>
  <sheetFormatPr defaultRowHeight="12.75"/>
  <cols>
    <col min="1" max="1" width="1.85546875" customWidth="1"/>
    <col min="3" max="3" width="24.140625" customWidth="1"/>
    <col min="4" max="4" width="23.140625" customWidth="1"/>
    <col min="5" max="5" width="42.7109375"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391</v>
      </c>
      <c r="C6" s="7" t="str">
        <f>+E12</f>
        <v>EQIP</v>
      </c>
      <c r="D6" s="53" t="s">
        <v>1382</v>
      </c>
      <c r="E6" s="110" t="s">
        <v>1387</v>
      </c>
      <c r="F6" s="7" t="s">
        <v>394</v>
      </c>
      <c r="G6" s="85">
        <f>+I25</f>
        <v>0</v>
      </c>
    </row>
    <row r="7" spans="1:12" ht="25.5">
      <c r="A7" s="2"/>
      <c r="B7" s="54">
        <v>391</v>
      </c>
      <c r="C7" s="7" t="str">
        <f>+C6</f>
        <v>EQIP</v>
      </c>
      <c r="D7" s="53" t="s">
        <v>1382</v>
      </c>
      <c r="E7" s="110" t="str">
        <f>CONCATENATE(E6, "-HU")</f>
        <v xml:space="preserve"> Riparian Forest Buffer - Introduced Grasses - No Till-HU</v>
      </c>
      <c r="F7" s="7" t="str">
        <f>+F6</f>
        <v>Acre</v>
      </c>
      <c r="G7" s="85">
        <f>+J25</f>
        <v>0</v>
      </c>
    </row>
    <row r="8" spans="1:12" ht="25.5">
      <c r="A8" s="2"/>
      <c r="B8" s="54">
        <v>391</v>
      </c>
      <c r="C8" s="7" t="str">
        <f>+G12</f>
        <v>WHIP</v>
      </c>
      <c r="D8" s="53" t="s">
        <v>1382</v>
      </c>
      <c r="E8" s="110" t="s">
        <v>1388</v>
      </c>
      <c r="F8" s="7" t="s">
        <v>394</v>
      </c>
      <c r="G8" s="85">
        <f>+K25</f>
        <v>0</v>
      </c>
    </row>
    <row r="9" spans="1:12" ht="25.5">
      <c r="A9" s="2"/>
      <c r="B9" s="54">
        <v>391</v>
      </c>
      <c r="C9" s="10" t="str">
        <f>+C8</f>
        <v>WHIP</v>
      </c>
      <c r="D9" s="53" t="s">
        <v>1382</v>
      </c>
      <c r="E9" s="111" t="str">
        <f>CONCATENATE(E6, "-HU")</f>
        <v xml:space="preserve"> Riparian Forest Buffer - Introduced Grasses - No Till-HU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179.74082917557618</v>
      </c>
      <c r="E16" s="160">
        <f>+'[12]Payment Factors'!D14</f>
        <v>0</v>
      </c>
      <c r="F16" s="160">
        <f>+'[12]Payment Factors'!E14</f>
        <v>0</v>
      </c>
      <c r="G16" s="160">
        <f>+'[12]Payment Factors'!F14</f>
        <v>0</v>
      </c>
      <c r="H16" s="160">
        <f>+'[12]Payment Factors'!G14</f>
        <v>0</v>
      </c>
      <c r="I16" s="1154">
        <f t="shared" ref="I16:L24" si="0">+$D16*E16</f>
        <v>0</v>
      </c>
      <c r="J16" s="1154">
        <f t="shared" si="0"/>
        <v>0</v>
      </c>
      <c r="K16" s="1154">
        <f t="shared" si="0"/>
        <v>0</v>
      </c>
      <c r="L16" s="1155">
        <f t="shared" si="0"/>
        <v>0</v>
      </c>
    </row>
    <row r="17" spans="1:12">
      <c r="A17" s="2"/>
      <c r="B17" s="15" t="s">
        <v>2</v>
      </c>
      <c r="C17" s="16"/>
      <c r="D17" s="24">
        <f>+I55</f>
        <v>116.91041666666668</v>
      </c>
      <c r="E17" s="160">
        <f t="shared" ref="E17:H19" si="1">+E16</f>
        <v>0</v>
      </c>
      <c r="F17" s="160">
        <f t="shared" si="1"/>
        <v>0</v>
      </c>
      <c r="G17" s="160">
        <f t="shared" si="1"/>
        <v>0</v>
      </c>
      <c r="H17" s="160">
        <f t="shared" si="1"/>
        <v>0</v>
      </c>
      <c r="I17" s="1154">
        <f t="shared" si="0"/>
        <v>0</v>
      </c>
      <c r="J17" s="1154">
        <f t="shared" si="0"/>
        <v>0</v>
      </c>
      <c r="K17" s="1154">
        <f t="shared" si="0"/>
        <v>0</v>
      </c>
      <c r="L17" s="1155">
        <f t="shared" si="0"/>
        <v>0</v>
      </c>
    </row>
    <row r="18" spans="1:12">
      <c r="A18" s="2"/>
      <c r="B18" s="15" t="s">
        <v>3</v>
      </c>
      <c r="C18" s="16"/>
      <c r="D18" s="24">
        <f>+I69</f>
        <v>20.631250000000001</v>
      </c>
      <c r="E18" s="160">
        <f t="shared" si="1"/>
        <v>0</v>
      </c>
      <c r="F18" s="160">
        <f t="shared" si="1"/>
        <v>0</v>
      </c>
      <c r="G18" s="160">
        <f t="shared" si="1"/>
        <v>0</v>
      </c>
      <c r="H18" s="160">
        <f t="shared" si="1"/>
        <v>0</v>
      </c>
      <c r="I18" s="1154">
        <f t="shared" si="0"/>
        <v>0</v>
      </c>
      <c r="J18" s="1154">
        <f t="shared" si="0"/>
        <v>0</v>
      </c>
      <c r="K18" s="1154">
        <f t="shared" si="0"/>
        <v>0</v>
      </c>
      <c r="L18" s="1155">
        <f t="shared" si="0"/>
        <v>0</v>
      </c>
    </row>
    <row r="19" spans="1:12">
      <c r="A19" s="2"/>
      <c r="B19" s="15" t="s">
        <v>4</v>
      </c>
      <c r="C19" s="16"/>
      <c r="D19" s="24">
        <f>+I75</f>
        <v>9.5184748752672856</v>
      </c>
      <c r="E19" s="160">
        <f t="shared" si="1"/>
        <v>0</v>
      </c>
      <c r="F19" s="160">
        <f t="shared" si="1"/>
        <v>0</v>
      </c>
      <c r="G19" s="160">
        <f t="shared" si="1"/>
        <v>0</v>
      </c>
      <c r="H19" s="160">
        <f t="shared" si="1"/>
        <v>0</v>
      </c>
      <c r="I19" s="1154">
        <f t="shared" si="0"/>
        <v>0</v>
      </c>
      <c r="J19" s="1154">
        <f t="shared" si="0"/>
        <v>0</v>
      </c>
      <c r="K19" s="1154">
        <f t="shared" si="0"/>
        <v>0</v>
      </c>
      <c r="L19" s="1155">
        <f t="shared" si="0"/>
        <v>0</v>
      </c>
    </row>
    <row r="20" spans="1:12">
      <c r="A20" s="2"/>
      <c r="B20" s="15" t="s">
        <v>26</v>
      </c>
      <c r="C20" s="16"/>
      <c r="D20" s="24">
        <f>+I78</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+I84</f>
        <v>80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422.30097071751015</v>
      </c>
      <c r="E25" s="1158"/>
      <c r="F25" s="1158"/>
      <c r="G25" s="28"/>
      <c r="H25" s="28"/>
      <c r="I25" s="1159">
        <f>SUM(I16:I24)</f>
        <v>0</v>
      </c>
      <c r="J25" s="1159">
        <f>SUM(J16:J24)</f>
        <v>0</v>
      </c>
      <c r="K25" s="1159">
        <f>SUM(K16:K24)</f>
        <v>0</v>
      </c>
      <c r="L25" s="1160">
        <f>SUM(L16:L24)</f>
        <v>0</v>
      </c>
    </row>
    <row r="27" spans="1:12" ht="15.75">
      <c r="A27" s="2"/>
      <c r="B27" s="50" t="s">
        <v>28</v>
      </c>
      <c r="C27" s="2"/>
      <c r="D27" s="2"/>
      <c r="E27" s="2"/>
      <c r="F27" s="2"/>
      <c r="G27" s="2"/>
      <c r="H27" s="2"/>
      <c r="I27" s="5"/>
    </row>
    <row r="28" spans="1:12">
      <c r="A28" s="2"/>
      <c r="B28" s="29" t="s">
        <v>485</v>
      </c>
      <c r="C28" s="30"/>
      <c r="D28" s="30"/>
      <c r="E28" s="31"/>
      <c r="F28" s="31"/>
      <c r="G28" s="31"/>
      <c r="H28" s="31"/>
      <c r="I28" s="32"/>
    </row>
    <row r="29" spans="1:12">
      <c r="A29" s="2"/>
      <c r="B29" s="1161" t="s">
        <v>443</v>
      </c>
      <c r="C29" s="34"/>
      <c r="D29" s="34"/>
      <c r="E29" s="35"/>
      <c r="F29" s="35"/>
      <c r="G29" s="35"/>
      <c r="H29" s="35"/>
      <c r="I29" s="36"/>
    </row>
    <row r="30" spans="1:12">
      <c r="A30" s="2"/>
      <c r="B30" s="37" t="s">
        <v>477</v>
      </c>
      <c r="C30" s="34"/>
      <c r="D30" s="34"/>
      <c r="E30" s="35"/>
      <c r="F30" s="1163"/>
      <c r="G30" s="35"/>
      <c r="H30" s="35"/>
      <c r="I30" s="36"/>
    </row>
    <row r="31" spans="1:12">
      <c r="A31" s="2"/>
      <c r="B31" s="1161" t="s">
        <v>478</v>
      </c>
      <c r="C31" s="34"/>
      <c r="D31" s="34"/>
      <c r="E31" s="35"/>
      <c r="F31" s="35"/>
      <c r="G31" s="35"/>
      <c r="H31" s="35"/>
      <c r="I31" s="36"/>
    </row>
    <row r="32" spans="1:12">
      <c r="A32" s="2"/>
      <c r="B32" s="37" t="s">
        <v>446</v>
      </c>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+'[12]Core Rates'!C203</f>
        <v>8.75</v>
      </c>
      <c r="F43" s="1170">
        <v>2</v>
      </c>
      <c r="G43" s="1171">
        <f t="shared" si="2"/>
        <v>17.5</v>
      </c>
      <c r="H43" s="35"/>
      <c r="I43" s="36"/>
    </row>
    <row r="44" spans="1:9">
      <c r="A44" s="2"/>
      <c r="B44" s="1184" t="s">
        <v>453</v>
      </c>
      <c r="C44" s="6"/>
      <c r="D44" s="1185" t="s">
        <v>454</v>
      </c>
      <c r="E44" s="1169">
        <f>+'[12]Core Rates'!C228</f>
        <v>0.82427536231884069</v>
      </c>
      <c r="F44" s="1170">
        <v>50</v>
      </c>
      <c r="G44" s="1171">
        <f t="shared" si="2"/>
        <v>41.213768115942031</v>
      </c>
      <c r="H44" s="35"/>
      <c r="I44" s="36"/>
    </row>
    <row r="45" spans="1:9">
      <c r="A45" s="2"/>
      <c r="B45" s="1186" t="s">
        <v>455</v>
      </c>
      <c r="C45" s="1187"/>
      <c r="D45" s="1185" t="s">
        <v>454</v>
      </c>
      <c r="E45" s="1169">
        <f>+'[12]Core Rates'!C235</f>
        <v>1.1702898550724636</v>
      </c>
      <c r="F45" s="1170">
        <v>50</v>
      </c>
      <c r="G45" s="1171">
        <f t="shared" si="2"/>
        <v>58.51449275362318</v>
      </c>
      <c r="H45" s="35"/>
      <c r="I45" s="36"/>
    </row>
    <row r="46" spans="1:9">
      <c r="A46" s="2"/>
      <c r="B46" s="1186" t="s">
        <v>456</v>
      </c>
      <c r="C46" s="1187"/>
      <c r="D46" s="1168" t="s">
        <v>454</v>
      </c>
      <c r="E46" s="1169">
        <f>+'[12]Core Rates'!C246</f>
        <v>0.58825136612021856</v>
      </c>
      <c r="F46" s="1170">
        <v>50</v>
      </c>
      <c r="G46" s="1171">
        <f t="shared" si="2"/>
        <v>29.412568306010929</v>
      </c>
      <c r="H46" s="35"/>
      <c r="I46" s="36"/>
    </row>
    <row r="47" spans="1:9">
      <c r="A47" s="2"/>
      <c r="B47" s="1186" t="s">
        <v>479</v>
      </c>
      <c r="C47" s="1187"/>
      <c r="D47" s="1185" t="s">
        <v>454</v>
      </c>
      <c r="E47" s="1169">
        <f>+'[12]Core Rates 2011'!BE307</f>
        <v>1.68</v>
      </c>
      <c r="F47" s="1170">
        <v>10</v>
      </c>
      <c r="G47" s="1171">
        <f t="shared" si="2"/>
        <v>16.8</v>
      </c>
      <c r="H47" s="35"/>
      <c r="I47" s="36"/>
    </row>
    <row r="48" spans="1:9">
      <c r="A48" s="2"/>
      <c r="B48" s="1186" t="s">
        <v>480</v>
      </c>
      <c r="C48" s="1187"/>
      <c r="D48" s="1185" t="s">
        <v>454</v>
      </c>
      <c r="E48" s="1169">
        <f>+'[12]Core Rates 2011'!BE308</f>
        <v>1.61</v>
      </c>
      <c r="F48" s="1170">
        <v>5</v>
      </c>
      <c r="G48" s="1171">
        <f t="shared" si="2"/>
        <v>8.0500000000000007</v>
      </c>
      <c r="H48" s="35"/>
      <c r="I48" s="36"/>
    </row>
    <row r="49" spans="1:9">
      <c r="A49" s="2"/>
      <c r="B49" s="1184" t="str">
        <f>+'[12]Core Rates'!A312</f>
        <v>Seed (Red Clover)</v>
      </c>
      <c r="C49" s="1187"/>
      <c r="D49" s="1185" t="s">
        <v>454</v>
      </c>
      <c r="E49" s="1169">
        <f>+'[12]Core Rates 2011'!BE309</f>
        <v>2.75</v>
      </c>
      <c r="F49" s="1170">
        <v>3</v>
      </c>
      <c r="G49" s="1171">
        <f t="shared" si="2"/>
        <v>8.25</v>
      </c>
      <c r="H49" s="35"/>
      <c r="I49" s="36"/>
    </row>
    <row r="50" spans="1:9">
      <c r="A50" s="2"/>
      <c r="B50" s="1172"/>
      <c r="C50" s="6"/>
      <c r="D50" s="1173"/>
      <c r="E50" s="35"/>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(SUM(G57:G62)*0.85)</f>
        <v>116.91041666666668</v>
      </c>
    </row>
    <row r="56" spans="1:9">
      <c r="A56" s="2"/>
      <c r="B56" s="1174"/>
      <c r="C56" s="35"/>
      <c r="D56" s="1167" t="s">
        <v>447</v>
      </c>
      <c r="E56" s="1167" t="s">
        <v>448</v>
      </c>
      <c r="F56" s="1167" t="s">
        <v>449</v>
      </c>
      <c r="G56" s="1167" t="s">
        <v>450</v>
      </c>
      <c r="H56" s="35"/>
      <c r="I56" s="46"/>
    </row>
    <row r="57" spans="1:9">
      <c r="A57" s="2"/>
      <c r="B57" s="1191" t="s">
        <v>460</v>
      </c>
      <c r="C57" s="6"/>
      <c r="D57" s="1168" t="s">
        <v>408</v>
      </c>
      <c r="E57" s="1169">
        <f>+'[12]Core Rates 2011'!BE146</f>
        <v>36.5</v>
      </c>
      <c r="F57" s="1170">
        <v>2</v>
      </c>
      <c r="G57" s="1171">
        <f t="shared" ref="G57:G62" si="3">+F57*E57</f>
        <v>73</v>
      </c>
      <c r="H57" s="35"/>
      <c r="I57" s="47"/>
    </row>
    <row r="58" spans="1:9">
      <c r="A58" s="2"/>
      <c r="B58" s="40" t="s">
        <v>461</v>
      </c>
      <c r="C58" s="6"/>
      <c r="D58" s="1168" t="s">
        <v>408</v>
      </c>
      <c r="E58" s="1169">
        <f>+'[12]Core Rates'!C104</f>
        <v>20</v>
      </c>
      <c r="F58" s="1170">
        <v>1</v>
      </c>
      <c r="G58" s="1171">
        <f t="shared" si="3"/>
        <v>20</v>
      </c>
      <c r="H58" s="35"/>
      <c r="I58" s="47"/>
    </row>
    <row r="59" spans="1:9">
      <c r="A59" s="2"/>
      <c r="B59" s="1191" t="str">
        <f>+'[12]Core Rates'!A216</f>
        <v>Mowing</v>
      </c>
      <c r="C59" s="6"/>
      <c r="D59" s="1189" t="s">
        <v>408</v>
      </c>
      <c r="E59" s="1189">
        <f>+'[12]Core Rates'!C216</f>
        <v>15.5</v>
      </c>
      <c r="F59" s="1170">
        <v>1</v>
      </c>
      <c r="G59" s="1171">
        <f t="shared" si="3"/>
        <v>15.5</v>
      </c>
      <c r="H59" s="35"/>
      <c r="I59" s="47"/>
    </row>
    <row r="60" spans="1:9">
      <c r="A60" s="2"/>
      <c r="B60" s="40" t="s">
        <v>462</v>
      </c>
      <c r="C60" s="6"/>
      <c r="D60" s="1168" t="s">
        <v>408</v>
      </c>
      <c r="E60" s="1169">
        <f>+'[12]Core Rates'!AN33</f>
        <v>5.416666666666667</v>
      </c>
      <c r="F60" s="1170">
        <v>1</v>
      </c>
      <c r="G60" s="1171">
        <f t="shared" si="3"/>
        <v>5.416666666666667</v>
      </c>
      <c r="H60" s="35"/>
      <c r="I60" s="47"/>
    </row>
    <row r="61" spans="1:9">
      <c r="A61" s="2"/>
      <c r="B61" s="40" t="s">
        <v>463</v>
      </c>
      <c r="C61" s="6"/>
      <c r="D61" s="1168" t="s">
        <v>452</v>
      </c>
      <c r="E61" s="1169">
        <f>+'[12]Core Rates'!AN34</f>
        <v>5.5</v>
      </c>
      <c r="F61" s="1170">
        <v>2</v>
      </c>
      <c r="G61" s="1171">
        <f t="shared" si="3"/>
        <v>11</v>
      </c>
      <c r="H61" s="35"/>
      <c r="I61" s="47"/>
    </row>
    <row r="62" spans="1:9">
      <c r="A62" s="2"/>
      <c r="B62" s="40" t="s">
        <v>464</v>
      </c>
      <c r="C62" s="6"/>
      <c r="D62" s="1168" t="s">
        <v>452</v>
      </c>
      <c r="E62" s="1169">
        <f>+'[12]Core Rates'!AN32</f>
        <v>6.3125</v>
      </c>
      <c r="F62" s="1170">
        <v>2</v>
      </c>
      <c r="G62" s="1171">
        <f t="shared" si="3"/>
        <v>12.625</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20.631250000000001</v>
      </c>
    </row>
    <row r="70" spans="1:9">
      <c r="A70" s="2"/>
      <c r="B70" s="2007" t="s">
        <v>465</v>
      </c>
      <c r="C70" s="2008"/>
      <c r="D70" s="35"/>
      <c r="E70" s="35"/>
      <c r="F70" s="35"/>
      <c r="G70" s="35"/>
      <c r="H70" s="35"/>
      <c r="I70" s="48"/>
    </row>
    <row r="71" spans="1:9">
      <c r="A71" s="2"/>
      <c r="B71" s="37" t="s">
        <v>466</v>
      </c>
      <c r="C71" s="39"/>
      <c r="D71" s="39"/>
      <c r="E71" s="153">
        <f>SUM(G57:G62)*0.15</f>
        <v>20.631250000000001</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0.03*(I40+I55+I69)</f>
        <v>9.5184748752672856</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+'[12]Core Rates'!C216</f>
        <v>15.5</v>
      </c>
    </row>
    <row r="79" spans="1:9">
      <c r="A79" s="2"/>
      <c r="B79" s="33" t="s">
        <v>469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470</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80</v>
      </c>
    </row>
    <row r="85" spans="1:9">
      <c r="A85" s="2"/>
      <c r="B85" s="756" t="s">
        <v>812</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104</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+I40+I55+I69+I75+I81+I91</f>
        <v>326.80097071751015</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422.30097071751015</v>
      </c>
    </row>
  </sheetData>
  <mergeCells count="4">
    <mergeCell ref="B1:D1"/>
    <mergeCell ref="E55:H55"/>
    <mergeCell ref="B65:I66"/>
    <mergeCell ref="B70:C70"/>
  </mergeCells>
  <pageMargins left="0.75" right="0.75" top="1" bottom="1" header="0.5" footer="0.5"/>
  <pageSetup scale="53" orientation="portrait" r:id="rId1"/>
  <headerFooter alignWithMargins="0"/>
</worksheet>
</file>

<file path=xl/worksheets/sheet128.xml><?xml version="1.0" encoding="utf-8"?>
<worksheet xmlns="http://schemas.openxmlformats.org/spreadsheetml/2006/main" xmlns:r="http://schemas.openxmlformats.org/officeDocument/2006/relationships">
  <sheetPr>
    <pageSetUpPr fitToPage="1"/>
  </sheetPr>
  <dimension ref="A1:L98"/>
  <sheetViews>
    <sheetView zoomScale="75" zoomScaleNormal="75" workbookViewId="0">
      <selection activeCell="A118" sqref="A118:G121"/>
    </sheetView>
  </sheetViews>
  <sheetFormatPr defaultRowHeight="12.75"/>
  <cols>
    <col min="1" max="1" width="1.85546875" customWidth="1"/>
    <col min="3" max="3" width="24.140625" customWidth="1"/>
    <col min="4" max="4" width="23.140625" customWidth="1"/>
    <col min="5" max="5" width="71.1406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391</v>
      </c>
      <c r="C6" s="7" t="str">
        <f>+E12</f>
        <v>EQIP</v>
      </c>
      <c r="D6" s="53" t="s">
        <v>1382</v>
      </c>
      <c r="E6" s="110" t="s">
        <v>1389</v>
      </c>
      <c r="F6" s="7" t="s">
        <v>394</v>
      </c>
      <c r="G6" s="85">
        <f>+I25</f>
        <v>0</v>
      </c>
    </row>
    <row r="7" spans="1:12">
      <c r="A7" s="2"/>
      <c r="B7" s="54">
        <v>391</v>
      </c>
      <c r="C7" s="7" t="str">
        <f>+C6</f>
        <v>EQIP</v>
      </c>
      <c r="D7" s="53" t="s">
        <v>1382</v>
      </c>
      <c r="E7" s="110" t="str">
        <f>CONCATENATE(E6, "-HU")</f>
        <v>Riparian Forest Buffer - Native Grass - No Till-HU</v>
      </c>
      <c r="F7" s="7" t="str">
        <f>+F6</f>
        <v>Acre</v>
      </c>
      <c r="G7" s="85">
        <f>+J25</f>
        <v>0</v>
      </c>
    </row>
    <row r="8" spans="1:12">
      <c r="A8" s="2"/>
      <c r="B8" s="54">
        <v>391</v>
      </c>
      <c r="C8" s="7" t="str">
        <f>+G12</f>
        <v>WHIP</v>
      </c>
      <c r="D8" s="53" t="s">
        <v>1382</v>
      </c>
      <c r="E8" s="110" t="s">
        <v>1390</v>
      </c>
      <c r="F8" s="7" t="s">
        <v>394</v>
      </c>
      <c r="G8" s="85">
        <f>+K25</f>
        <v>0</v>
      </c>
    </row>
    <row r="9" spans="1:12">
      <c r="A9" s="2"/>
      <c r="B9" s="54">
        <v>391</v>
      </c>
      <c r="C9" s="10" t="str">
        <f>+C8</f>
        <v>WHIP</v>
      </c>
      <c r="D9" s="53" t="s">
        <v>1382</v>
      </c>
      <c r="E9" s="111" t="str">
        <f>CONCATENATE(E6, "-HU")</f>
        <v>Riparian Forest Buffer - Native Grass - No Till-HU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42.85</v>
      </c>
      <c r="E16" s="160">
        <f>+'[12]Payment Factors'!D14</f>
        <v>0</v>
      </c>
      <c r="F16" s="160">
        <f>+'[12]Payment Factors'!E14</f>
        <v>0</v>
      </c>
      <c r="G16" s="160">
        <f>+'[12]Payment Factors'!F14</f>
        <v>0</v>
      </c>
      <c r="H16" s="160">
        <f>+'[12]Payment Factors'!G14</f>
        <v>0</v>
      </c>
      <c r="I16" s="1154">
        <f t="shared" ref="I16:L24" si="0">+$D16*E16</f>
        <v>0</v>
      </c>
      <c r="J16" s="1154">
        <f t="shared" si="0"/>
        <v>0</v>
      </c>
      <c r="K16" s="1154">
        <f t="shared" si="0"/>
        <v>0</v>
      </c>
      <c r="L16" s="1155">
        <f t="shared" si="0"/>
        <v>0</v>
      </c>
    </row>
    <row r="17" spans="1:12">
      <c r="A17" s="2"/>
      <c r="B17" s="15" t="s">
        <v>2</v>
      </c>
      <c r="C17" s="16"/>
      <c r="D17" s="24">
        <f>+I56</f>
        <v>105.39999999999999</v>
      </c>
      <c r="E17" s="160">
        <f t="shared" ref="E17:H19" si="1">+E16</f>
        <v>0</v>
      </c>
      <c r="F17" s="160">
        <f t="shared" si="1"/>
        <v>0</v>
      </c>
      <c r="G17" s="160">
        <f t="shared" si="1"/>
        <v>0</v>
      </c>
      <c r="H17" s="160">
        <f t="shared" si="1"/>
        <v>0</v>
      </c>
      <c r="I17" s="1154">
        <f t="shared" si="0"/>
        <v>0</v>
      </c>
      <c r="J17" s="1154">
        <f t="shared" si="0"/>
        <v>0</v>
      </c>
      <c r="K17" s="1154">
        <f t="shared" si="0"/>
        <v>0</v>
      </c>
      <c r="L17" s="1155">
        <f t="shared" si="0"/>
        <v>0</v>
      </c>
    </row>
    <row r="18" spans="1:12">
      <c r="A18" s="2"/>
      <c r="B18" s="15" t="s">
        <v>3</v>
      </c>
      <c r="C18" s="16"/>
      <c r="D18" s="24">
        <f>+I70</f>
        <v>18.599999999999998</v>
      </c>
      <c r="E18" s="160">
        <f t="shared" si="1"/>
        <v>0</v>
      </c>
      <c r="F18" s="160">
        <f t="shared" si="1"/>
        <v>0</v>
      </c>
      <c r="G18" s="160">
        <f t="shared" si="1"/>
        <v>0</v>
      </c>
      <c r="H18" s="160">
        <f t="shared" si="1"/>
        <v>0</v>
      </c>
      <c r="I18" s="1154">
        <f t="shared" si="0"/>
        <v>0</v>
      </c>
      <c r="J18" s="1154">
        <f t="shared" si="0"/>
        <v>0</v>
      </c>
      <c r="K18" s="1154">
        <f t="shared" si="0"/>
        <v>0</v>
      </c>
      <c r="L18" s="1155">
        <f t="shared" si="0"/>
        <v>0</v>
      </c>
    </row>
    <row r="19" spans="1:12">
      <c r="A19" s="2"/>
      <c r="B19" s="15" t="s">
        <v>4</v>
      </c>
      <c r="C19" s="16"/>
      <c r="D19" s="24">
        <f>+I76</f>
        <v>5.0054999999999996</v>
      </c>
      <c r="E19" s="160">
        <f t="shared" si="1"/>
        <v>0</v>
      </c>
      <c r="F19" s="160">
        <f t="shared" si="1"/>
        <v>0</v>
      </c>
      <c r="G19" s="160">
        <f t="shared" si="1"/>
        <v>0</v>
      </c>
      <c r="H19" s="160">
        <f t="shared" si="1"/>
        <v>0</v>
      </c>
      <c r="I19" s="1154">
        <f t="shared" si="0"/>
        <v>0</v>
      </c>
      <c r="J19" s="1154">
        <f t="shared" si="0"/>
        <v>0</v>
      </c>
      <c r="K19" s="1154">
        <f t="shared" si="0"/>
        <v>0</v>
      </c>
      <c r="L19" s="1155">
        <f t="shared" si="0"/>
        <v>0</v>
      </c>
    </row>
    <row r="20" spans="1:12">
      <c r="A20" s="2"/>
      <c r="B20" s="15" t="s">
        <v>26</v>
      </c>
      <c r="C20" s="16"/>
      <c r="D20" s="24">
        <f>+I79</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+I85</f>
        <v>80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267.35550000000001</v>
      </c>
      <c r="E25" s="1158"/>
      <c r="F25" s="1158"/>
      <c r="G25" s="28"/>
      <c r="H25" s="28"/>
      <c r="I25" s="1159">
        <f>SUM(I16:I24)</f>
        <v>0</v>
      </c>
      <c r="J25" s="1159">
        <f>SUM(J16:J24)</f>
        <v>0</v>
      </c>
      <c r="K25" s="1159">
        <f>SUM(K16:K24)</f>
        <v>0</v>
      </c>
      <c r="L25" s="1160">
        <f>SUM(L16:L24)</f>
        <v>0</v>
      </c>
    </row>
    <row r="27" spans="1:12" ht="15" customHeight="1">
      <c r="A27" s="2"/>
      <c r="B27" s="50" t="s">
        <v>28</v>
      </c>
      <c r="C27" s="2"/>
      <c r="D27" s="2"/>
      <c r="E27" s="2"/>
      <c r="F27" s="2"/>
      <c r="G27" s="2"/>
      <c r="H27" s="2"/>
      <c r="I27" s="5"/>
    </row>
    <row r="28" spans="1:12">
      <c r="A28" s="2"/>
      <c r="B28" s="29" t="s">
        <v>487</v>
      </c>
      <c r="C28" s="30"/>
      <c r="D28" s="30"/>
      <c r="E28" s="31"/>
      <c r="F28" s="31"/>
      <c r="G28" s="31"/>
      <c r="H28" s="31"/>
      <c r="I28" s="32"/>
    </row>
    <row r="29" spans="1:12">
      <c r="A29" s="2"/>
      <c r="B29" s="1161" t="s">
        <v>443</v>
      </c>
      <c r="C29" s="34"/>
      <c r="D29" s="34"/>
      <c r="E29" s="35"/>
      <c r="F29" s="35"/>
      <c r="G29" s="35"/>
      <c r="H29" s="35"/>
      <c r="I29" s="36"/>
    </row>
    <row r="30" spans="1:12">
      <c r="A30" s="2"/>
      <c r="B30" s="1161" t="s">
        <v>444</v>
      </c>
      <c r="C30" s="143"/>
      <c r="D30" s="34"/>
      <c r="E30" s="35"/>
      <c r="F30" s="1163"/>
      <c r="G30" s="35"/>
      <c r="H30" s="35"/>
      <c r="I30" s="36"/>
    </row>
    <row r="31" spans="1:12">
      <c r="A31" s="2"/>
      <c r="B31" s="37" t="s">
        <v>445</v>
      </c>
      <c r="C31" s="34"/>
      <c r="D31" s="34"/>
      <c r="E31" s="35"/>
      <c r="F31" s="35"/>
      <c r="G31" s="35"/>
      <c r="H31" s="35"/>
      <c r="I31" s="36"/>
    </row>
    <row r="32" spans="1:12">
      <c r="A32" s="2"/>
      <c r="B32" s="37" t="s">
        <v>446</v>
      </c>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42.85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50" si="2">+F42*E42</f>
        <v>0</v>
      </c>
      <c r="H42" s="35"/>
      <c r="I42" s="47"/>
    </row>
    <row r="43" spans="1:9">
      <c r="A43" s="2"/>
      <c r="B43" s="40" t="s">
        <v>451</v>
      </c>
      <c r="C43" s="6"/>
      <c r="D43" s="1168" t="s">
        <v>452</v>
      </c>
      <c r="E43" s="1169">
        <f>+'[12]Core Rates'!C203</f>
        <v>8.75</v>
      </c>
      <c r="F43" s="1170">
        <v>0</v>
      </c>
      <c r="G43" s="1171">
        <f t="shared" si="2"/>
        <v>0</v>
      </c>
      <c r="H43" s="35"/>
      <c r="I43" s="36"/>
    </row>
    <row r="44" spans="1:9">
      <c r="A44" s="2"/>
      <c r="B44" s="1184" t="s">
        <v>453</v>
      </c>
      <c r="C44" s="6"/>
      <c r="D44" s="1185" t="s">
        <v>454</v>
      </c>
      <c r="E44" s="1169">
        <f>+'[12]Core Rates'!C228</f>
        <v>0.82427536231884069</v>
      </c>
      <c r="F44" s="1170">
        <v>0</v>
      </c>
      <c r="G44" s="1171">
        <f t="shared" si="2"/>
        <v>0</v>
      </c>
      <c r="H44" s="35"/>
      <c r="I44" s="36"/>
    </row>
    <row r="45" spans="1:9">
      <c r="A45" s="2"/>
      <c r="B45" s="1186" t="s">
        <v>455</v>
      </c>
      <c r="C45" s="1187"/>
      <c r="D45" s="1185" t="s">
        <v>454</v>
      </c>
      <c r="E45" s="1169">
        <f>+'[12]Core Rates'!C235</f>
        <v>1.1702898550724636</v>
      </c>
      <c r="F45" s="1170">
        <v>0</v>
      </c>
      <c r="G45" s="1171">
        <f t="shared" si="2"/>
        <v>0</v>
      </c>
      <c r="H45" s="35"/>
      <c r="I45" s="36"/>
    </row>
    <row r="46" spans="1:9">
      <c r="A46" s="2"/>
      <c r="B46" s="1186" t="s">
        <v>456</v>
      </c>
      <c r="C46" s="1187"/>
      <c r="D46" s="1168" t="s">
        <v>454</v>
      </c>
      <c r="E46" s="1169">
        <f>+'[12]Core Rates'!C246</f>
        <v>0.58825136612021856</v>
      </c>
      <c r="F46" s="1170">
        <v>0</v>
      </c>
      <c r="G46" s="1171">
        <f t="shared" si="2"/>
        <v>0</v>
      </c>
      <c r="H46" s="35"/>
      <c r="I46" s="36"/>
    </row>
    <row r="47" spans="1:9">
      <c r="A47" s="2"/>
      <c r="B47" s="1206" t="str">
        <f>+'[12]Core Rates'!A309</f>
        <v>Seed (Native grass except Prairie Dropseed and Splitbeard Bluestem)</v>
      </c>
      <c r="C47" s="1187"/>
      <c r="D47" s="1185" t="s">
        <v>454</v>
      </c>
      <c r="E47" s="1169">
        <f>+'[12]Core Rates 2011'!BE306</f>
        <v>8.57</v>
      </c>
      <c r="F47" s="1170">
        <v>5</v>
      </c>
      <c r="G47" s="1171">
        <f t="shared" si="2"/>
        <v>42.85</v>
      </c>
      <c r="H47" s="35"/>
      <c r="I47" s="36"/>
    </row>
    <row r="48" spans="1:9">
      <c r="A48" s="2"/>
      <c r="B48" s="1206" t="str">
        <f>+'[12]Core Rates'!A307</f>
        <v>Seed (Prairie Dropseed)</v>
      </c>
      <c r="C48" s="1187"/>
      <c r="D48" s="1185" t="s">
        <v>454</v>
      </c>
      <c r="E48" s="1169">
        <f>+'[12]Core Rates 2011'!BE304</f>
        <v>165.75</v>
      </c>
      <c r="F48" s="1170">
        <v>0</v>
      </c>
      <c r="G48" s="1171">
        <f t="shared" si="2"/>
        <v>0</v>
      </c>
      <c r="H48" s="35"/>
      <c r="I48" s="36"/>
    </row>
    <row r="49" spans="1:9">
      <c r="A49" s="2"/>
      <c r="B49" s="1206" t="str">
        <f>+'[12]Core Rates'!A308</f>
        <v>Seed (Splitbeard Bluestem)</v>
      </c>
      <c r="C49" s="1187"/>
      <c r="D49" s="1185" t="s">
        <v>454</v>
      </c>
      <c r="E49" s="1169">
        <f>+'[12]Core Rates 2011'!BE305</f>
        <v>78.666666666666671</v>
      </c>
      <c r="F49" s="1170">
        <v>0</v>
      </c>
      <c r="G49" s="1171">
        <f t="shared" si="2"/>
        <v>0</v>
      </c>
      <c r="H49" s="35"/>
      <c r="I49" s="36"/>
    </row>
    <row r="50" spans="1:9" s="2" customFormat="1">
      <c r="B50" s="1184" t="str">
        <f>+'[12]Core Rates'!A312</f>
        <v>Seed (Red Clover)</v>
      </c>
      <c r="C50" s="6"/>
      <c r="D50" s="1207" t="s">
        <v>454</v>
      </c>
      <c r="E50" s="1169">
        <f>+'[12]Core Rates 2011'!BE309</f>
        <v>2.75</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1172"/>
      <c r="C55" s="6"/>
      <c r="D55" s="1173"/>
      <c r="E55" s="35"/>
      <c r="F55" s="35"/>
      <c r="G55" s="35"/>
      <c r="H55" s="35"/>
      <c r="I55" s="36"/>
    </row>
    <row r="56" spans="1:9">
      <c r="A56" s="2"/>
      <c r="B56" s="42" t="s">
        <v>2</v>
      </c>
      <c r="C56" s="35"/>
      <c r="D56" s="35"/>
      <c r="E56" s="2003" t="s">
        <v>459</v>
      </c>
      <c r="F56" s="2003"/>
      <c r="G56" s="2003"/>
      <c r="H56" s="2003"/>
      <c r="I56" s="1166">
        <f>(SUM(G58:G63)*0.85)</f>
        <v>105.39999999999999</v>
      </c>
    </row>
    <row r="57" spans="1:9">
      <c r="A57" s="2"/>
      <c r="B57" s="1174"/>
      <c r="C57" s="35"/>
      <c r="D57" s="1167" t="s">
        <v>447</v>
      </c>
      <c r="E57" s="1167" t="s">
        <v>448</v>
      </c>
      <c r="F57" s="1167" t="s">
        <v>449</v>
      </c>
      <c r="G57" s="1167" t="s">
        <v>450</v>
      </c>
      <c r="H57" s="35"/>
      <c r="I57" s="46"/>
    </row>
    <row r="58" spans="1:9">
      <c r="A58" s="2"/>
      <c r="B58" s="1191" t="s">
        <v>460</v>
      </c>
      <c r="C58" s="6"/>
      <c r="D58" s="1168" t="s">
        <v>408</v>
      </c>
      <c r="E58" s="1169">
        <f>+'[12]Core Rates 2011'!BE146</f>
        <v>36.5</v>
      </c>
      <c r="F58" s="1170">
        <v>2</v>
      </c>
      <c r="G58" s="1171">
        <f t="shared" ref="G58:G63" si="3">+F58*E58</f>
        <v>73</v>
      </c>
      <c r="H58" s="35"/>
      <c r="I58" s="47"/>
    </row>
    <row r="59" spans="1:9">
      <c r="A59" s="2"/>
      <c r="B59" s="40" t="s">
        <v>461</v>
      </c>
      <c r="C59" s="6"/>
      <c r="D59" s="1168" t="s">
        <v>408</v>
      </c>
      <c r="E59" s="1169">
        <f>+'[12]Core Rates'!C104</f>
        <v>20</v>
      </c>
      <c r="F59" s="1170">
        <v>1</v>
      </c>
      <c r="G59" s="1171">
        <f t="shared" si="3"/>
        <v>20</v>
      </c>
      <c r="H59" s="35"/>
      <c r="I59" s="47"/>
    </row>
    <row r="60" spans="1:9">
      <c r="A60" s="2"/>
      <c r="B60" s="1191" t="str">
        <f>+'[12]Core Rates'!A216</f>
        <v>Mowing</v>
      </c>
      <c r="C60" s="6"/>
      <c r="D60" s="1189" t="s">
        <v>408</v>
      </c>
      <c r="E60" s="1189">
        <f>+'[12]Core Rates'!C216</f>
        <v>15.5</v>
      </c>
      <c r="F60" s="1170">
        <v>2</v>
      </c>
      <c r="G60" s="1171">
        <f t="shared" si="3"/>
        <v>31</v>
      </c>
      <c r="H60" s="35"/>
      <c r="I60" s="47"/>
    </row>
    <row r="61" spans="1:9">
      <c r="A61" s="2"/>
      <c r="B61" s="40" t="s">
        <v>462</v>
      </c>
      <c r="C61" s="6"/>
      <c r="D61" s="1168" t="s">
        <v>408</v>
      </c>
      <c r="E61" s="1169">
        <f>+'[12]Core Rates'!AN33</f>
        <v>5.416666666666667</v>
      </c>
      <c r="F61" s="1170">
        <v>0</v>
      </c>
      <c r="G61" s="1171">
        <f t="shared" si="3"/>
        <v>0</v>
      </c>
      <c r="H61" s="35"/>
      <c r="I61" s="47"/>
    </row>
    <row r="62" spans="1:9">
      <c r="A62" s="2"/>
      <c r="B62" s="40" t="s">
        <v>463</v>
      </c>
      <c r="C62" s="6"/>
      <c r="D62" s="1168" t="s">
        <v>452</v>
      </c>
      <c r="E62" s="1169">
        <f>+'[12]Core Rates'!AN34</f>
        <v>5.5</v>
      </c>
      <c r="F62" s="1170">
        <v>0</v>
      </c>
      <c r="G62" s="1171">
        <f t="shared" si="3"/>
        <v>0</v>
      </c>
      <c r="H62" s="35"/>
      <c r="I62" s="47"/>
    </row>
    <row r="63" spans="1:9">
      <c r="A63" s="2"/>
      <c r="B63" s="40" t="s">
        <v>464</v>
      </c>
      <c r="C63" s="6"/>
      <c r="D63" s="1168" t="s">
        <v>452</v>
      </c>
      <c r="E63" s="1169">
        <f>+'[12]Core Rates'!AN32</f>
        <v>6.3125</v>
      </c>
      <c r="F63" s="1170">
        <v>0</v>
      </c>
      <c r="G63" s="1171">
        <f t="shared" si="3"/>
        <v>0</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457</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18.599999999999998</v>
      </c>
    </row>
    <row r="71" spans="1:9">
      <c r="A71" s="2"/>
      <c r="B71" s="2007" t="s">
        <v>465</v>
      </c>
      <c r="C71" s="2008"/>
      <c r="D71" s="35"/>
      <c r="E71" s="35"/>
      <c r="F71" s="35"/>
      <c r="G71" s="35"/>
      <c r="H71" s="35"/>
      <c r="I71" s="48"/>
    </row>
    <row r="72" spans="1:9">
      <c r="A72" s="2"/>
      <c r="B72" s="37" t="s">
        <v>466</v>
      </c>
      <c r="C72" s="39"/>
      <c r="D72" s="39"/>
      <c r="E72" s="153">
        <f>SUM(G58:G63)*0.15</f>
        <v>18.599999999999998</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0.03*(I40+I56+I70)</f>
        <v>5.0054999999999996</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+'[12]Core Rates'!C216</f>
        <v>15.5</v>
      </c>
    </row>
    <row r="80" spans="1:9">
      <c r="A80" s="2"/>
      <c r="B80" s="33" t="s">
        <v>469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470</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80</v>
      </c>
    </row>
    <row r="86" spans="1:9">
      <c r="A86" s="2"/>
      <c r="B86" s="756" t="s">
        <v>812</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104</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+I40+I56+I70+I76+I82+I92</f>
        <v>171.85550000000001</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267.35550000000001</v>
      </c>
    </row>
  </sheetData>
  <mergeCells count="4">
    <mergeCell ref="B1:D1"/>
    <mergeCell ref="E56:H56"/>
    <mergeCell ref="B66:I67"/>
    <mergeCell ref="B71:C71"/>
  </mergeCells>
  <pageMargins left="0.75" right="0.75" top="1" bottom="1" header="0.5" footer="0.5"/>
  <pageSetup scale="46" orientation="portrait" r:id="rId1"/>
  <headerFooter alignWithMargins="0"/>
</worksheet>
</file>

<file path=xl/worksheets/sheet129.xml><?xml version="1.0" encoding="utf-8"?>
<worksheet xmlns="http://schemas.openxmlformats.org/spreadsheetml/2006/main" xmlns:r="http://schemas.openxmlformats.org/officeDocument/2006/relationships">
  <sheetPr>
    <pageSetUpPr fitToPage="1"/>
  </sheetPr>
  <dimension ref="A1:L99"/>
  <sheetViews>
    <sheetView zoomScale="75" zoomScaleNormal="75" workbookViewId="0">
      <selection activeCell="B54" sqref="B54:I55"/>
    </sheetView>
  </sheetViews>
  <sheetFormatPr defaultRowHeight="12.75"/>
  <cols>
    <col min="1" max="1" width="1.85546875" customWidth="1"/>
    <col min="2" max="2" width="9.28515625" bestFit="1" customWidth="1"/>
    <col min="3" max="3" width="24.140625" customWidth="1"/>
    <col min="4" max="4" width="30.140625" customWidth="1"/>
    <col min="5" max="5" width="49" customWidth="1"/>
    <col min="6" max="6" width="10.42578125" customWidth="1"/>
    <col min="7" max="8" width="9.28515625" bestFit="1" customWidth="1"/>
    <col min="9" max="10" width="10.28515625" bestFit="1" customWidth="1"/>
    <col min="11" max="11" width="9.28515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1392</v>
      </c>
      <c r="F6" s="7" t="str">
        <f>+D36</f>
        <v>Each</v>
      </c>
      <c r="G6" s="85">
        <f>+I25</f>
        <v>1026.1849360076264</v>
      </c>
    </row>
    <row r="7" spans="1:12" hidden="1">
      <c r="A7" s="2"/>
      <c r="B7" s="54">
        <f>+B6</f>
        <v>410</v>
      </c>
      <c r="C7" s="7" t="str">
        <f>+C6</f>
        <v>EQIP</v>
      </c>
      <c r="D7" s="53" t="s">
        <v>1391</v>
      </c>
      <c r="E7" s="53" t="str">
        <f>CONCATENATE(E6, "-HU")</f>
        <v>Rock Chute: Up to 50 cfs and 4' overfall-HU</v>
      </c>
      <c r="F7" s="7" t="str">
        <f>+F6</f>
        <v>Each</v>
      </c>
      <c r="G7" s="85">
        <f>+J25</f>
        <v>1231.4219232091518</v>
      </c>
    </row>
    <row r="8" spans="1:12" hidden="1">
      <c r="A8" s="2"/>
      <c r="B8" s="54">
        <v>410</v>
      </c>
      <c r="C8" s="7" t="str">
        <f>+G12</f>
        <v>WHIP</v>
      </c>
      <c r="D8" s="53" t="s">
        <v>1391</v>
      </c>
      <c r="E8" s="53" t="s">
        <v>1392</v>
      </c>
      <c r="F8" s="7" t="str">
        <f>+D36</f>
        <v>Each</v>
      </c>
      <c r="G8" s="85">
        <f>+K25</f>
        <v>0</v>
      </c>
    </row>
    <row r="9" spans="1:12" hidden="1">
      <c r="A9" s="2"/>
      <c r="B9" s="8">
        <f>+B8</f>
        <v>410</v>
      </c>
      <c r="C9" s="10" t="str">
        <f>+C8</f>
        <v>WHIP</v>
      </c>
      <c r="D9" s="9" t="s">
        <v>1391</v>
      </c>
      <c r="E9" s="9" t="str">
        <f>CONCATENATE(E6, "-HU")</f>
        <v>Rock Chute: Up to 50 cfs and 4'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35.948165835115226</v>
      </c>
      <c r="E16" s="160">
        <f>+'[10]Payment Factors'!D18</f>
        <v>0.75</v>
      </c>
      <c r="F16" s="160">
        <f>+'[10]Payment Factors'!E18</f>
        <v>0.9</v>
      </c>
      <c r="G16" s="160">
        <f>+'[10]Payment Factors'!F19</f>
        <v>0</v>
      </c>
      <c r="H16" s="160">
        <f>+'[10]Payment Factors'!G19</f>
        <v>0</v>
      </c>
      <c r="I16" s="1154">
        <f t="shared" ref="I16:L24" si="0">+$D16*E16</f>
        <v>26.961124376336421</v>
      </c>
      <c r="J16" s="1154">
        <f t="shared" si="0"/>
        <v>32.353349251603703</v>
      </c>
      <c r="K16" s="1154">
        <f t="shared" si="0"/>
        <v>0</v>
      </c>
      <c r="L16" s="1155">
        <f t="shared" si="0"/>
        <v>0</v>
      </c>
    </row>
    <row r="17" spans="1:12" hidden="1">
      <c r="A17" s="2"/>
      <c r="B17" s="15" t="s">
        <v>2</v>
      </c>
      <c r="C17" s="16"/>
      <c r="D17" s="24">
        <f>+I55</f>
        <v>1098.5795873333334</v>
      </c>
      <c r="E17" s="160">
        <f t="shared" ref="E17:H19" si="1">+E16</f>
        <v>0.75</v>
      </c>
      <c r="F17" s="160">
        <f t="shared" si="1"/>
        <v>0.9</v>
      </c>
      <c r="G17" s="160">
        <f t="shared" si="1"/>
        <v>0</v>
      </c>
      <c r="H17" s="160">
        <f t="shared" si="1"/>
        <v>0</v>
      </c>
      <c r="I17" s="1154">
        <f t="shared" si="0"/>
        <v>823.93469049999999</v>
      </c>
      <c r="J17" s="1154">
        <f t="shared" si="0"/>
        <v>988.72162860000003</v>
      </c>
      <c r="K17" s="1154">
        <f t="shared" si="0"/>
        <v>0</v>
      </c>
      <c r="L17" s="1155">
        <f t="shared" si="0"/>
        <v>0</v>
      </c>
    </row>
    <row r="18" spans="1:12" hidden="1">
      <c r="A18" s="2"/>
      <c r="B18" s="15" t="s">
        <v>3</v>
      </c>
      <c r="C18" s="16"/>
      <c r="D18" s="24">
        <f>+I71</f>
        <v>193.866986</v>
      </c>
      <c r="E18" s="160">
        <f t="shared" si="1"/>
        <v>0.75</v>
      </c>
      <c r="F18" s="160">
        <f t="shared" si="1"/>
        <v>0.9</v>
      </c>
      <c r="G18" s="160">
        <f t="shared" si="1"/>
        <v>0</v>
      </c>
      <c r="H18" s="160">
        <f t="shared" si="1"/>
        <v>0</v>
      </c>
      <c r="I18" s="1154">
        <f t="shared" si="0"/>
        <v>145.4002395</v>
      </c>
      <c r="J18" s="1154">
        <f t="shared" si="0"/>
        <v>174.48028740000001</v>
      </c>
      <c r="K18" s="1154">
        <f t="shared" si="0"/>
        <v>0</v>
      </c>
      <c r="L18" s="1155">
        <f t="shared" si="0"/>
        <v>0</v>
      </c>
    </row>
    <row r="19" spans="1:12" hidden="1">
      <c r="A19" s="2"/>
      <c r="B19" s="15" t="s">
        <v>4</v>
      </c>
      <c r="C19" s="16"/>
      <c r="D19" s="24">
        <f>+I77</f>
        <v>39.851842175053463</v>
      </c>
      <c r="E19" s="160">
        <f t="shared" si="1"/>
        <v>0.75</v>
      </c>
      <c r="F19" s="160">
        <f t="shared" si="1"/>
        <v>0.9</v>
      </c>
      <c r="G19" s="160">
        <f t="shared" si="1"/>
        <v>0</v>
      </c>
      <c r="H19" s="160">
        <f t="shared" si="1"/>
        <v>0</v>
      </c>
      <c r="I19" s="1154">
        <f t="shared" si="0"/>
        <v>29.888881631290097</v>
      </c>
      <c r="J19" s="1154">
        <f t="shared" si="0"/>
        <v>35.866657957548121</v>
      </c>
      <c r="K19" s="1154">
        <f t="shared" si="0"/>
        <v>0</v>
      </c>
      <c r="L19" s="1155">
        <f t="shared" si="0"/>
        <v>0</v>
      </c>
    </row>
    <row r="20" spans="1:12" hidden="1">
      <c r="A20" s="2"/>
      <c r="B20" s="15" t="s">
        <v>26</v>
      </c>
      <c r="C20" s="16"/>
      <c r="D20" s="24">
        <f>+I80</f>
        <v>13.283947391684487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+I86</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1381.5305287351866</v>
      </c>
      <c r="E25" s="1158"/>
      <c r="F25" s="1158"/>
      <c r="G25" s="28"/>
      <c r="H25" s="28"/>
      <c r="I25" s="1159">
        <f>SUM(I16:I24)</f>
        <v>1026.1849360076264</v>
      </c>
      <c r="J25" s="1159">
        <f>SUM(J16:J24)</f>
        <v>1231.4219232091518</v>
      </c>
      <c r="K25" s="1159">
        <f>SUM(K16:K24)</f>
        <v>0</v>
      </c>
      <c r="L25" s="1160">
        <f>SUM(L16:L24)</f>
        <v>0</v>
      </c>
    </row>
    <row r="26" spans="1:12" hidden="1"/>
    <row r="27" spans="1:12" ht="15.75">
      <c r="A27" s="2"/>
      <c r="B27" s="50" t="s">
        <v>28</v>
      </c>
      <c r="C27" s="2"/>
      <c r="D27" s="2"/>
      <c r="E27" s="2"/>
      <c r="F27" s="2"/>
      <c r="G27" s="2"/>
      <c r="H27" s="2"/>
      <c r="I27" s="5"/>
    </row>
    <row r="28" spans="1:12">
      <c r="A28" s="2"/>
      <c r="B28" s="29" t="s">
        <v>1393</v>
      </c>
      <c r="C28" s="30"/>
      <c r="D28" s="30"/>
      <c r="E28" s="31"/>
      <c r="F28" s="31"/>
      <c r="G28" s="31"/>
      <c r="H28" s="31"/>
      <c r="I28" s="32"/>
    </row>
    <row r="29" spans="1:12">
      <c r="A29" s="2"/>
      <c r="B29" s="1161" t="s">
        <v>1394</v>
      </c>
      <c r="C29" s="34"/>
      <c r="D29" s="34"/>
      <c r="E29" s="35"/>
      <c r="F29" s="35"/>
      <c r="G29" s="35"/>
      <c r="H29" s="35"/>
      <c r="I29" s="36"/>
    </row>
    <row r="30" spans="1:12">
      <c r="A30" s="2"/>
      <c r="B30" s="1161" t="s">
        <v>1395</v>
      </c>
      <c r="C30" s="143"/>
      <c r="D30" s="34"/>
      <c r="E30" s="35"/>
      <c r="F30" s="1163"/>
      <c r="G30" s="35"/>
      <c r="H30" s="35"/>
      <c r="I30" s="36"/>
    </row>
    <row r="31" spans="1:12">
      <c r="A31" s="2"/>
      <c r="B31" s="37" t="s">
        <v>1396</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35.948165835115226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0.4</v>
      </c>
      <c r="G43" s="1171">
        <f t="shared" si="2"/>
        <v>3.5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(SUM(G57:G64)*0.85)</f>
        <v>1098.5795873333334</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4" si="3">+F57*E57</f>
        <v>114.76224000000001</v>
      </c>
      <c r="H57" s="35"/>
      <c r="I57" s="47"/>
    </row>
    <row r="58" spans="1:9">
      <c r="A58" s="2"/>
      <c r="B58" s="1206" t="str">
        <f>+'[29]Core Rates'!A261</f>
        <v>Riprap (Chute in Place)</v>
      </c>
      <c r="C58" s="6"/>
      <c r="D58" s="1382" t="str">
        <f>+'[29]Core Rates'!B261</f>
        <v>Ton</v>
      </c>
      <c r="E58" s="1384">
        <f>+'[29]Core Rates'!C264</f>
        <v>28.9542</v>
      </c>
      <c r="F58" s="1170">
        <v>30</v>
      </c>
      <c r="G58" s="1171">
        <f t="shared" si="3"/>
        <v>868.62599999999998</v>
      </c>
      <c r="H58" s="35"/>
      <c r="I58" s="47"/>
    </row>
    <row r="59" spans="1:9">
      <c r="A59" s="2"/>
      <c r="B59" s="1188" t="str">
        <f>+'[29]Core Rates'!A139</f>
        <v>Geo-Textile (Installed)</v>
      </c>
      <c r="C59" s="6"/>
      <c r="D59" s="1384" t="str">
        <f>+'[29]Core Rates'!B139</f>
        <v>Sq Yd</v>
      </c>
      <c r="E59" s="1383">
        <f>+'[29]Core Rates'!C139</f>
        <v>2.2050000000000001</v>
      </c>
      <c r="F59" s="1170">
        <v>50</v>
      </c>
      <c r="G59" s="1171">
        <f t="shared" si="3"/>
        <v>110.25</v>
      </c>
      <c r="H59" s="35"/>
      <c r="I59" s="47"/>
    </row>
    <row r="60" spans="1:9">
      <c r="A60" s="2"/>
      <c r="B60" s="40" t="s">
        <v>461</v>
      </c>
      <c r="C60" s="6"/>
      <c r="D60" s="1168" t="s">
        <v>408</v>
      </c>
      <c r="E60" s="1169">
        <f>+'[29]Core Rates'!C104</f>
        <v>20</v>
      </c>
      <c r="F60" s="1170">
        <v>0.2</v>
      </c>
      <c r="G60" s="1171">
        <f t="shared" si="3"/>
        <v>4</v>
      </c>
      <c r="H60" s="35"/>
      <c r="I60" s="47"/>
    </row>
    <row r="61" spans="1:9">
      <c r="A61" s="2"/>
      <c r="B61" s="40" t="s">
        <v>462</v>
      </c>
      <c r="C61" s="6"/>
      <c r="D61" s="1168" t="s">
        <v>408</v>
      </c>
      <c r="E61" s="1169">
        <f>+'[29]Core Rates'!AN33</f>
        <v>5.416666666666667</v>
      </c>
      <c r="F61" s="1170">
        <v>0.2</v>
      </c>
      <c r="G61" s="1171">
        <f t="shared" si="3"/>
        <v>1.0833333333333335</v>
      </c>
      <c r="H61" s="35"/>
      <c r="I61" s="47"/>
    </row>
    <row r="62" spans="1:9">
      <c r="A62" s="2"/>
      <c r="B62" s="40" t="s">
        <v>463</v>
      </c>
      <c r="C62" s="6"/>
      <c r="D62" s="1168" t="s">
        <v>452</v>
      </c>
      <c r="E62" s="1169">
        <f>+'[29]Core Rates'!AN34</f>
        <v>5.5</v>
      </c>
      <c r="F62" s="1170">
        <v>0.4</v>
      </c>
      <c r="G62" s="1171">
        <f t="shared" si="3"/>
        <v>2.2000000000000002</v>
      </c>
      <c r="H62" s="35"/>
      <c r="I62" s="47"/>
    </row>
    <row r="63" spans="1:9">
      <c r="A63" s="2"/>
      <c r="B63" s="40" t="s">
        <v>464</v>
      </c>
      <c r="C63" s="6"/>
      <c r="D63" s="1168" t="s">
        <v>452</v>
      </c>
      <c r="E63" s="1169">
        <f>+'[29]Core Rates'!AN32</f>
        <v>6.3125</v>
      </c>
      <c r="F63" s="1170">
        <v>0.4</v>
      </c>
      <c r="G63" s="1171">
        <f t="shared" si="3"/>
        <v>2.5250000000000004</v>
      </c>
      <c r="H63" s="35"/>
      <c r="I63" s="47"/>
    </row>
    <row r="64" spans="1:9">
      <c r="A64" s="2"/>
      <c r="B64" s="40" t="s">
        <v>1280</v>
      </c>
      <c r="C64" s="6"/>
      <c r="D64" s="1168" t="s">
        <v>619</v>
      </c>
      <c r="E64" s="1169">
        <f>+'[29]Core Rates'!C217</f>
        <v>472.5</v>
      </c>
      <c r="F64" s="1170">
        <v>0.4</v>
      </c>
      <c r="G64" s="1171">
        <f t="shared" si="3"/>
        <v>189</v>
      </c>
      <c r="H64" s="35"/>
      <c r="I64" s="47"/>
    </row>
    <row r="65" spans="1:9">
      <c r="A65" s="2"/>
      <c r="B65" s="40"/>
      <c r="C65" s="6"/>
      <c r="D65" s="63"/>
      <c r="E65" s="150"/>
      <c r="F65" s="150"/>
      <c r="G65" s="1169"/>
      <c r="H65" s="35"/>
      <c r="I65" s="47"/>
    </row>
    <row r="66" spans="1:9">
      <c r="A66" s="2"/>
      <c r="B66" s="37" t="s">
        <v>43</v>
      </c>
      <c r="C66" s="35"/>
      <c r="D66" s="35"/>
      <c r="E66" s="60"/>
      <c r="F66" s="60"/>
      <c r="G66" s="60"/>
      <c r="H66" s="35"/>
      <c r="I66" s="46"/>
    </row>
    <row r="67" spans="1:9" ht="12.75" customHeight="1">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193.866986</v>
      </c>
    </row>
    <row r="72" spans="1:9">
      <c r="A72" s="2"/>
      <c r="B72" s="2007" t="s">
        <v>465</v>
      </c>
      <c r="C72" s="2008"/>
      <c r="D72" s="35"/>
      <c r="E72" s="35"/>
      <c r="F72" s="35"/>
      <c r="G72" s="35"/>
      <c r="H72" s="35"/>
      <c r="I72" s="48"/>
    </row>
    <row r="73" spans="1:9">
      <c r="A73" s="2"/>
      <c r="B73" s="37" t="s">
        <v>466</v>
      </c>
      <c r="C73" s="39"/>
      <c r="D73" s="39"/>
      <c r="E73" s="153">
        <f>SUM(G57:G64)*0.15</f>
        <v>193.866986</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0.03*(I40+I55+I71)</f>
        <v>39.851842175053463</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0.01*(I40+I55+I71)</f>
        <v>13.283947391684487</v>
      </c>
    </row>
    <row r="81" spans="1:9">
      <c r="A81" s="2"/>
      <c r="B81" s="33" t="s">
        <v>749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104</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+I40+I55+I71+I77+I83+I93</f>
        <v>1368.2465813435022</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1381.5305287351866</v>
      </c>
    </row>
  </sheetData>
  <mergeCells count="4">
    <mergeCell ref="B1:D1"/>
    <mergeCell ref="E55:H55"/>
    <mergeCell ref="B67:I68"/>
    <mergeCell ref="B72:C72"/>
  </mergeCells>
  <pageMargins left="0.75" right="0.75" top="1" bottom="1" header="0.5" footer="0.5"/>
  <pageSetup scale="59" orientation="portrait" r:id="rId1"/>
  <headerFooter alignWithMargins="0"/>
</worksheet>
</file>

<file path=xl/worksheets/sheet13.xml><?xml version="1.0" encoding="utf-8"?>
<worksheet xmlns="http://schemas.openxmlformats.org/spreadsheetml/2006/main" xmlns:r="http://schemas.openxmlformats.org/officeDocument/2006/relationships">
  <dimension ref="B1:P93"/>
  <sheetViews>
    <sheetView zoomScaleNormal="100" workbookViewId="0">
      <selection activeCell="D31" sqref="D31:H31"/>
    </sheetView>
  </sheetViews>
  <sheetFormatPr defaultRowHeight="12.75"/>
  <cols>
    <col min="1" max="1" width="2.85546875" style="2" customWidth="1"/>
    <col min="2" max="2" width="11.5703125" style="2" customWidth="1"/>
    <col min="3" max="3" width="18.7109375" style="2" customWidth="1"/>
    <col min="4" max="4" width="27.5703125" style="2" customWidth="1"/>
    <col min="5" max="5" width="20.85546875" style="2" bestFit="1" customWidth="1"/>
    <col min="6" max="6" width="10.140625" style="2" customWidth="1"/>
    <col min="7" max="7" width="10.42578125" style="2" customWidth="1"/>
    <col min="8" max="8" width="10.5703125" style="2" customWidth="1"/>
    <col min="9" max="9" width="7.85546875" style="2" customWidth="1"/>
    <col min="10" max="10" width="8.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c r="B2" s="163" t="s">
        <v>129</v>
      </c>
      <c r="C2" s="79">
        <v>106</v>
      </c>
      <c r="D2" s="79" t="s">
        <v>130</v>
      </c>
      <c r="E2" s="79" t="s">
        <v>131</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c r="B6" s="54">
        <v>106</v>
      </c>
      <c r="C6" s="7" t="str">
        <f>+E10</f>
        <v>EQIP</v>
      </c>
      <c r="D6" s="53" t="s">
        <v>130</v>
      </c>
      <c r="E6" s="53" t="s">
        <v>132</v>
      </c>
      <c r="F6" s="7" t="s">
        <v>47</v>
      </c>
      <c r="G6" s="85">
        <f>G23</f>
        <v>573.75</v>
      </c>
      <c r="H6" s="89"/>
      <c r="I6" s="89"/>
      <c r="J6"/>
    </row>
    <row r="7" spans="2:10">
      <c r="B7" s="8">
        <v>106</v>
      </c>
      <c r="C7" s="10" t="s">
        <v>15</v>
      </c>
      <c r="D7" s="9" t="s">
        <v>130</v>
      </c>
      <c r="E7" s="9" t="s">
        <v>133</v>
      </c>
      <c r="F7" s="10" t="s">
        <v>47</v>
      </c>
      <c r="G7" s="86">
        <f>$H$23</f>
        <v>688.5</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I47</f>
        <v>765</v>
      </c>
      <c r="E16" s="160">
        <v>0.75</v>
      </c>
      <c r="F16" s="160">
        <v>0.9</v>
      </c>
      <c r="G16" s="73">
        <f t="shared" si="0"/>
        <v>573.75</v>
      </c>
      <c r="H16" s="74">
        <f t="shared" si="0"/>
        <v>688.5</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I57</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765</v>
      </c>
      <c r="E23" s="28"/>
      <c r="F23" s="28"/>
      <c r="G23" s="51">
        <f t="shared" ref="G23:H23" si="1">SUM(G14:G22)</f>
        <v>573.75</v>
      </c>
      <c r="H23" s="77">
        <f t="shared" si="1"/>
        <v>688.5</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134</v>
      </c>
      <c r="E28" s="1955"/>
      <c r="F28" s="1955"/>
      <c r="G28" s="1955"/>
      <c r="H28" s="1955"/>
      <c r="I28" s="36"/>
    </row>
    <row r="29" spans="2:16">
      <c r="B29" s="42"/>
      <c r="C29" s="34"/>
      <c r="D29" s="115"/>
      <c r="E29" s="97"/>
      <c r="F29" s="97"/>
      <c r="G29" s="97"/>
      <c r="H29" s="97"/>
      <c r="I29" s="36"/>
    </row>
    <row r="30" spans="2:16" ht="13.5" customHeight="1">
      <c r="B30" s="37" t="s">
        <v>41</v>
      </c>
      <c r="C30" s="34"/>
      <c r="D30" s="1956" t="s">
        <v>135</v>
      </c>
      <c r="E30" s="1957"/>
      <c r="F30" s="1957"/>
      <c r="G30" s="1957"/>
      <c r="H30" s="1957"/>
      <c r="I30" s="36"/>
    </row>
    <row r="31" spans="2:16" ht="36.75" customHeight="1">
      <c r="B31" s="91" t="s">
        <v>40</v>
      </c>
      <c r="C31" s="34"/>
      <c r="D31" s="1956" t="s">
        <v>136</v>
      </c>
      <c r="E31" s="1957"/>
      <c r="F31" s="1957"/>
      <c r="G31" s="1957"/>
      <c r="H31" s="1957"/>
      <c r="I31" s="36"/>
    </row>
    <row r="32" spans="2:16" ht="58.5" customHeight="1">
      <c r="B32" s="91" t="s">
        <v>33</v>
      </c>
      <c r="C32" s="90"/>
      <c r="D32" s="1956" t="s">
        <v>137</v>
      </c>
      <c r="E32" s="1957"/>
      <c r="F32" s="1957"/>
      <c r="G32" s="1957"/>
      <c r="H32" s="1957"/>
      <c r="I32" s="36"/>
    </row>
    <row r="33" spans="2:15" ht="59.25" customHeight="1">
      <c r="B33" s="91" t="s">
        <v>35</v>
      </c>
      <c r="C33" s="90"/>
      <c r="D33" s="1956" t="s">
        <v>138</v>
      </c>
      <c r="E33" s="1957"/>
      <c r="F33" s="1957"/>
      <c r="G33" s="1957"/>
      <c r="H33" s="1957"/>
      <c r="I33" s="36"/>
    </row>
    <row r="34" spans="2:15" ht="12.75" customHeight="1">
      <c r="B34" s="91" t="s">
        <v>34</v>
      </c>
      <c r="C34" s="90"/>
      <c r="D34" s="1956" t="s">
        <v>139</v>
      </c>
      <c r="E34" s="1957"/>
      <c r="F34" s="1957"/>
      <c r="G34" s="1957"/>
      <c r="H34" s="1957"/>
      <c r="I34" s="36"/>
    </row>
    <row r="35" spans="2:15">
      <c r="B35" s="37"/>
      <c r="C35" s="34"/>
      <c r="D35" s="34"/>
      <c r="E35" s="35"/>
      <c r="F35" s="35"/>
      <c r="G35" s="35"/>
      <c r="H35" s="35"/>
      <c r="I35" s="36"/>
    </row>
    <row r="36" spans="2:15">
      <c r="B36" s="38" t="s">
        <v>25</v>
      </c>
      <c r="C36" s="34"/>
      <c r="D36" s="1958" t="s">
        <v>129</v>
      </c>
      <c r="E36" s="1952"/>
      <c r="F36" s="1952"/>
      <c r="G36" s="1952"/>
      <c r="H36" s="1952"/>
      <c r="I36" s="36"/>
      <c r="J36" s="49"/>
    </row>
    <row r="37" spans="2:15">
      <c r="B37" s="38" t="s">
        <v>8</v>
      </c>
      <c r="C37" s="34"/>
      <c r="D37" s="39" t="s">
        <v>38</v>
      </c>
      <c r="E37" s="35"/>
      <c r="F37" s="35"/>
      <c r="G37" s="35"/>
      <c r="H37" s="35"/>
      <c r="I37" s="36"/>
    </row>
    <row r="38" spans="2:15">
      <c r="B38" s="38" t="s">
        <v>9</v>
      </c>
      <c r="C38" s="34"/>
      <c r="D38" s="92">
        <v>1</v>
      </c>
      <c r="E38" s="35"/>
      <c r="F38" s="35"/>
      <c r="G38" s="35"/>
      <c r="H38" s="35"/>
      <c r="I38" s="36"/>
    </row>
    <row r="39" spans="2:15">
      <c r="B39" s="38" t="s">
        <v>10</v>
      </c>
      <c r="C39" s="35"/>
      <c r="D39" s="93">
        <v>0</v>
      </c>
      <c r="E39" s="35"/>
      <c r="F39" s="35"/>
      <c r="G39" s="35"/>
      <c r="H39" s="35"/>
      <c r="I39" s="96" t="s">
        <v>6</v>
      </c>
    </row>
    <row r="40" spans="2:15">
      <c r="B40" s="40"/>
      <c r="C40" s="35"/>
      <c r="D40" s="35"/>
      <c r="E40" s="41"/>
      <c r="F40" s="35"/>
      <c r="G40" s="35"/>
      <c r="H40" s="35"/>
      <c r="I40" s="149"/>
      <c r="L40" s="64"/>
      <c r="M40" s="64"/>
      <c r="N40" s="61"/>
      <c r="O40" s="61"/>
    </row>
    <row r="41" spans="2:15">
      <c r="B41" s="42" t="s">
        <v>0</v>
      </c>
      <c r="C41" s="35"/>
      <c r="D41" s="35"/>
      <c r="E41" s="35"/>
      <c r="F41" s="35"/>
      <c r="G41" s="35"/>
      <c r="H41" s="35"/>
      <c r="I41" s="46">
        <v>0</v>
      </c>
      <c r="L41" s="64"/>
      <c r="M41" s="64"/>
      <c r="N41" s="61"/>
      <c r="O41" s="61"/>
    </row>
    <row r="42" spans="2:15" ht="14.25" customHeight="1">
      <c r="B42" s="37" t="s">
        <v>39</v>
      </c>
      <c r="C42" s="35"/>
      <c r="D42" s="166"/>
      <c r="E42" s="35"/>
      <c r="F42" s="35"/>
      <c r="G42" s="35"/>
      <c r="H42" s="35"/>
      <c r="I42" s="46"/>
      <c r="L42" s="64"/>
      <c r="M42" s="61"/>
    </row>
    <row r="43" spans="2:15" ht="6" customHeight="1">
      <c r="B43" s="62"/>
      <c r="C43" s="6"/>
      <c r="D43" s="63"/>
      <c r="E43" s="35"/>
      <c r="F43" s="35"/>
      <c r="G43" s="35"/>
      <c r="H43" s="35"/>
      <c r="I43" s="46"/>
      <c r="L43" s="64"/>
      <c r="M43" s="61"/>
    </row>
    <row r="44" spans="2:15">
      <c r="B44" s="42" t="s">
        <v>2</v>
      </c>
      <c r="C44" s="35"/>
      <c r="D44" s="66"/>
      <c r="E44" s="35"/>
      <c r="F44" s="35"/>
      <c r="G44" s="35"/>
      <c r="H44" s="35"/>
      <c r="I44" s="46">
        <v>0</v>
      </c>
      <c r="L44" s="64"/>
      <c r="M44" s="61"/>
    </row>
    <row r="45" spans="2:15" ht="12.75" customHeight="1">
      <c r="B45" s="1959" t="s">
        <v>39</v>
      </c>
      <c r="C45" s="1955"/>
      <c r="D45" s="1955"/>
      <c r="E45" s="1955"/>
      <c r="F45" s="1955"/>
      <c r="G45" s="1955"/>
      <c r="H45" s="1955"/>
      <c r="I45" s="46"/>
      <c r="L45" s="64"/>
      <c r="M45" s="61"/>
    </row>
    <row r="46" spans="2:15" ht="12.75" customHeight="1">
      <c r="B46" s="117"/>
      <c r="C46" s="97"/>
      <c r="D46" s="97"/>
      <c r="E46" s="97"/>
      <c r="F46" s="97"/>
      <c r="G46" s="97"/>
      <c r="H46" s="97"/>
      <c r="I46" s="46"/>
      <c r="L46" s="64"/>
      <c r="M46" s="61"/>
    </row>
    <row r="47" spans="2:15">
      <c r="B47" s="42" t="s">
        <v>3</v>
      </c>
      <c r="C47" s="167"/>
      <c r="D47" s="167"/>
      <c r="E47" s="167"/>
      <c r="F47" s="167"/>
      <c r="G47" s="167"/>
      <c r="H47" s="167"/>
      <c r="I47" s="46">
        <v>765</v>
      </c>
      <c r="L47" s="64"/>
      <c r="M47" s="61"/>
    </row>
    <row r="48" spans="2:15" ht="15.75" customHeight="1">
      <c r="B48" s="1959" t="s">
        <v>140</v>
      </c>
      <c r="C48" s="1955"/>
      <c r="D48" s="1955"/>
      <c r="E48" s="1955"/>
      <c r="F48" s="1955"/>
      <c r="G48" s="1955"/>
      <c r="H48" s="1955"/>
      <c r="I48" s="46"/>
      <c r="L48" s="64"/>
      <c r="M48" s="61"/>
    </row>
    <row r="49" spans="2:15" ht="7.5" customHeight="1">
      <c r="B49" s="33"/>
      <c r="C49" s="35"/>
      <c r="D49" s="35"/>
      <c r="E49" s="35"/>
      <c r="F49" s="35"/>
      <c r="G49" s="35"/>
      <c r="H49" s="35"/>
      <c r="I49" s="48"/>
      <c r="L49" s="64"/>
      <c r="M49" s="61"/>
    </row>
    <row r="50" spans="2:15">
      <c r="B50" s="42" t="s">
        <v>4</v>
      </c>
      <c r="C50" s="35"/>
      <c r="D50" s="35"/>
      <c r="E50" s="35"/>
      <c r="F50" s="35"/>
      <c r="G50" s="35"/>
      <c r="H50" s="35"/>
      <c r="I50" s="48">
        <v>0</v>
      </c>
      <c r="L50" s="64"/>
      <c r="M50" s="61"/>
    </row>
    <row r="51" spans="2:15" ht="12" customHeight="1">
      <c r="B51" s="37" t="s">
        <v>39</v>
      </c>
      <c r="C51" s="35"/>
      <c r="D51" s="35"/>
      <c r="E51" s="35"/>
      <c r="F51" s="35"/>
      <c r="G51" s="35"/>
      <c r="H51" s="35"/>
      <c r="I51" s="36"/>
      <c r="L51" s="64"/>
      <c r="M51" s="61"/>
    </row>
    <row r="52" spans="2:15" ht="5.25" customHeight="1">
      <c r="B52" s="37"/>
      <c r="C52" s="35"/>
      <c r="D52" s="35"/>
      <c r="E52" s="35"/>
      <c r="F52" s="35"/>
      <c r="G52" s="35"/>
      <c r="H52" s="35"/>
      <c r="I52" s="36"/>
      <c r="L52" s="64"/>
      <c r="M52" s="61"/>
    </row>
    <row r="53" spans="2:15">
      <c r="B53" s="42" t="s">
        <v>26</v>
      </c>
      <c r="C53" s="35"/>
      <c r="D53" s="35"/>
      <c r="E53" s="35"/>
      <c r="F53" s="35"/>
      <c r="G53" s="35"/>
      <c r="H53" s="35"/>
      <c r="I53" s="46">
        <v>0</v>
      </c>
      <c r="L53" s="64"/>
      <c r="M53" s="61"/>
    </row>
    <row r="54" spans="2:15" ht="14.25" customHeight="1">
      <c r="B54" s="1959" t="s">
        <v>39</v>
      </c>
      <c r="C54" s="1955"/>
      <c r="D54" s="1955"/>
      <c r="E54" s="1955"/>
      <c r="F54" s="1955"/>
      <c r="G54" s="1955"/>
      <c r="H54" s="1955"/>
      <c r="I54" s="48"/>
      <c r="L54" s="64"/>
      <c r="M54" s="61"/>
    </row>
    <row r="55" spans="2:15" ht="8.25" customHeight="1">
      <c r="B55" s="1943"/>
      <c r="C55" s="1944"/>
      <c r="D55" s="1944"/>
      <c r="E55" s="1944"/>
      <c r="F55" s="1944"/>
      <c r="G55" s="1944"/>
      <c r="H55" s="35"/>
      <c r="I55" s="48"/>
      <c r="L55" s="64"/>
      <c r="M55" s="61"/>
    </row>
    <row r="56" spans="2:15" ht="5.25" customHeight="1">
      <c r="B56" s="37"/>
      <c r="C56" s="35"/>
      <c r="D56" s="35"/>
      <c r="E56" s="35"/>
      <c r="F56" s="35"/>
      <c r="G56" s="35"/>
      <c r="H56" s="35"/>
      <c r="I56" s="36"/>
      <c r="L56" s="64"/>
      <c r="M56" s="64"/>
    </row>
    <row r="57" spans="2:15">
      <c r="B57" s="42" t="s">
        <v>7</v>
      </c>
      <c r="C57" s="35"/>
      <c r="D57" s="35"/>
      <c r="E57" s="35"/>
      <c r="F57" s="35"/>
      <c r="G57" s="35"/>
      <c r="H57" s="35"/>
      <c r="I57" s="46">
        <v>0</v>
      </c>
      <c r="L57" s="64"/>
      <c r="M57" s="64"/>
      <c r="N57" s="64"/>
      <c r="O57" s="64"/>
    </row>
    <row r="58" spans="2:15" ht="12" customHeight="1">
      <c r="B58" s="37" t="s">
        <v>141</v>
      </c>
      <c r="C58" s="35"/>
      <c r="D58" s="35"/>
      <c r="E58" s="35"/>
      <c r="F58" s="35"/>
      <c r="G58" s="35"/>
      <c r="H58" s="35"/>
      <c r="I58" s="36"/>
      <c r="L58" s="64"/>
      <c r="M58" s="64"/>
      <c r="N58" s="61"/>
      <c r="O58" s="61"/>
    </row>
    <row r="59" spans="2:15" ht="6" customHeight="1">
      <c r="B59" s="37"/>
      <c r="C59" s="35"/>
      <c r="D59" s="35"/>
      <c r="E59" s="35"/>
      <c r="F59" s="35"/>
      <c r="G59" s="35"/>
      <c r="H59" s="35"/>
      <c r="I59" s="36"/>
      <c r="L59" s="64"/>
      <c r="M59" s="64"/>
      <c r="N59" s="65"/>
      <c r="O59" s="65"/>
    </row>
    <row r="60" spans="2:15">
      <c r="B60" s="42" t="s">
        <v>27</v>
      </c>
      <c r="C60" s="35"/>
      <c r="D60" s="35"/>
      <c r="E60" s="35"/>
      <c r="F60" s="35"/>
      <c r="G60" s="35"/>
      <c r="H60" s="35"/>
      <c r="I60" s="46">
        <v>0</v>
      </c>
      <c r="L60" s="64"/>
      <c r="M60" s="64"/>
      <c r="N60" s="61"/>
      <c r="O60" s="61"/>
    </row>
    <row r="61" spans="2:15" ht="13.5" customHeight="1">
      <c r="B61" s="37" t="s">
        <v>39</v>
      </c>
      <c r="C61" s="35"/>
      <c r="D61" s="35"/>
      <c r="E61" s="35"/>
      <c r="F61" s="35"/>
      <c r="G61" s="35"/>
      <c r="H61" s="35"/>
      <c r="I61" s="47"/>
      <c r="L61" s="64"/>
      <c r="M61" s="64"/>
      <c r="N61" s="65"/>
      <c r="O61" s="65"/>
    </row>
    <row r="62" spans="2:15" ht="3.75" customHeight="1">
      <c r="B62" s="37"/>
      <c r="C62" s="35"/>
      <c r="D62" s="35"/>
      <c r="E62" s="35"/>
      <c r="F62" s="35"/>
      <c r="G62" s="35"/>
      <c r="H62" s="35"/>
      <c r="I62" s="36"/>
      <c r="L62" s="64"/>
      <c r="M62" s="64"/>
      <c r="N62" s="61"/>
      <c r="O62" s="61"/>
    </row>
    <row r="63" spans="2:15">
      <c r="B63" s="42" t="s">
        <v>5</v>
      </c>
      <c r="C63" s="35"/>
      <c r="D63" s="35"/>
      <c r="E63" s="35"/>
      <c r="F63" s="35"/>
      <c r="G63" s="35"/>
      <c r="H63" s="35"/>
      <c r="I63" s="46">
        <v>0</v>
      </c>
      <c r="L63" s="64"/>
      <c r="M63" s="64"/>
      <c r="N63" s="61"/>
      <c r="O63" s="61"/>
    </row>
    <row r="64" spans="2:15" ht="11.25" customHeight="1">
      <c r="B64" s="37" t="s">
        <v>39</v>
      </c>
      <c r="C64" s="35"/>
      <c r="D64" s="35"/>
      <c r="E64" s="35"/>
      <c r="F64" s="35"/>
      <c r="G64" s="35"/>
      <c r="H64" s="35"/>
      <c r="I64" s="47"/>
      <c r="L64" s="64"/>
      <c r="M64" s="64"/>
      <c r="N64" s="64"/>
      <c r="O64" s="64"/>
    </row>
    <row r="65" spans="2:15" ht="4.5" customHeight="1">
      <c r="B65" s="37"/>
      <c r="C65" s="35"/>
      <c r="D65" s="35"/>
      <c r="E65" s="35"/>
      <c r="F65" s="35"/>
      <c r="G65" s="35"/>
      <c r="H65" s="35"/>
      <c r="I65" s="36"/>
      <c r="L65" s="64"/>
      <c r="M65" s="64"/>
      <c r="N65" s="64"/>
      <c r="O65" s="64"/>
    </row>
    <row r="66" spans="2:15">
      <c r="B66" s="42" t="s">
        <v>20</v>
      </c>
      <c r="C66" s="35"/>
      <c r="D66" s="35"/>
      <c r="E66" s="35"/>
      <c r="F66" s="35"/>
      <c r="G66" s="35"/>
      <c r="H66" s="35"/>
      <c r="I66" s="46">
        <v>0</v>
      </c>
      <c r="L66" s="64"/>
      <c r="M66" s="64"/>
      <c r="N66" s="61"/>
      <c r="O66" s="61"/>
    </row>
    <row r="67" spans="2:15" ht="12" customHeight="1">
      <c r="B67" s="37" t="s">
        <v>39</v>
      </c>
      <c r="C67" s="35"/>
      <c r="D67" s="35"/>
      <c r="E67" s="35"/>
      <c r="F67" s="35"/>
      <c r="G67" s="35"/>
      <c r="H67" s="35"/>
      <c r="I67" s="46"/>
      <c r="L67" s="64"/>
      <c r="M67" s="64"/>
      <c r="N67" s="61"/>
      <c r="O67" s="61"/>
    </row>
    <row r="68" spans="2:15" ht="6.75" customHeight="1">
      <c r="B68" s="42"/>
      <c r="C68" s="35"/>
      <c r="D68" s="35"/>
      <c r="E68" s="35"/>
      <c r="F68" s="35"/>
      <c r="G68" s="35"/>
      <c r="H68" s="35"/>
      <c r="I68" s="46"/>
      <c r="L68" s="64"/>
      <c r="M68" s="64"/>
      <c r="N68" s="61"/>
      <c r="O68" s="61"/>
    </row>
    <row r="69" spans="2:15" ht="5.25" customHeight="1">
      <c r="B69" s="40"/>
      <c r="C69" s="35"/>
      <c r="D69" s="35"/>
      <c r="E69" s="35"/>
      <c r="F69" s="35"/>
      <c r="G69" s="35"/>
      <c r="H69" s="35"/>
      <c r="I69" s="36"/>
      <c r="L69" s="64"/>
      <c r="M69" s="64"/>
      <c r="N69" s="64"/>
      <c r="O69" s="64"/>
    </row>
    <row r="70" spans="2:15">
      <c r="B70" s="43" t="s">
        <v>11</v>
      </c>
      <c r="C70" s="44"/>
      <c r="D70" s="44"/>
      <c r="E70" s="44"/>
      <c r="F70" s="44"/>
      <c r="G70" s="44"/>
      <c r="H70" s="44"/>
      <c r="I70" s="52">
        <f>+I66+I63+I60+I57+I53+I50+I47+I44+I41</f>
        <v>765</v>
      </c>
      <c r="L70" s="64"/>
      <c r="M70" s="64"/>
      <c r="N70" s="64"/>
      <c r="O70" s="64"/>
    </row>
    <row r="72" spans="2:15">
      <c r="B72" s="168" t="s">
        <v>142</v>
      </c>
      <c r="C72" s="169"/>
      <c r="D72" s="169"/>
      <c r="E72" s="169"/>
      <c r="F72" s="169"/>
      <c r="G72" s="169"/>
      <c r="H72" s="169"/>
      <c r="I72" s="170"/>
    </row>
    <row r="73" spans="2:15" ht="26.25" customHeight="1">
      <c r="B73" s="1961" t="s">
        <v>143</v>
      </c>
      <c r="C73" s="1962"/>
      <c r="D73" s="1962"/>
      <c r="E73" s="1962"/>
      <c r="F73" s="1962"/>
      <c r="G73" s="1962"/>
      <c r="H73" s="1962"/>
      <c r="I73" s="1963"/>
      <c r="J73" s="171"/>
      <c r="K73" s="172"/>
    </row>
    <row r="74" spans="2:15">
      <c r="B74" s="141" t="s">
        <v>144</v>
      </c>
      <c r="C74" s="173"/>
      <c r="D74" s="173"/>
      <c r="E74" s="173"/>
      <c r="F74" s="173"/>
      <c r="G74" s="173"/>
      <c r="H74" s="173"/>
      <c r="I74" s="174"/>
    </row>
    <row r="75" spans="2:15">
      <c r="B75" s="175" t="s">
        <v>145</v>
      </c>
      <c r="C75" s="119"/>
      <c r="D75" s="119"/>
      <c r="E75" s="119"/>
      <c r="F75" s="119"/>
      <c r="G75" s="119"/>
      <c r="H75" s="119"/>
      <c r="I75" s="176"/>
    </row>
    <row r="82" spans="5:5">
      <c r="E82" s="57"/>
    </row>
    <row r="83" spans="5:5">
      <c r="E83" s="57"/>
    </row>
    <row r="84" spans="5:5">
      <c r="E84" s="57"/>
    </row>
    <row r="85" spans="5:5">
      <c r="E85" s="57"/>
    </row>
    <row r="86" spans="5:5">
      <c r="E86" s="57"/>
    </row>
    <row r="87" spans="5:5">
      <c r="E87" s="57"/>
    </row>
    <row r="89" spans="5:5">
      <c r="E89" s="57"/>
    </row>
    <row r="91" spans="5:5">
      <c r="E91" s="56"/>
    </row>
    <row r="93" spans="5:5">
      <c r="E93" s="57"/>
    </row>
  </sheetData>
  <mergeCells count="12">
    <mergeCell ref="B73:I73"/>
    <mergeCell ref="D28:H28"/>
    <mergeCell ref="D30:H30"/>
    <mergeCell ref="D31:H31"/>
    <mergeCell ref="D32:H32"/>
    <mergeCell ref="D33:H33"/>
    <mergeCell ref="D34:H34"/>
    <mergeCell ref="D36:H36"/>
    <mergeCell ref="B45:H45"/>
    <mergeCell ref="B48:H48"/>
    <mergeCell ref="B54:H54"/>
    <mergeCell ref="B55:G55"/>
  </mergeCells>
  <pageMargins left="0.36" right="0.3" top="0.43" bottom="0.64" header="0.28000000000000003" footer="0.36"/>
  <pageSetup scale="71" orientation="portrait" r:id="rId1"/>
  <headerFooter alignWithMargins="0"/>
</worksheet>
</file>

<file path=xl/worksheets/sheet130.xml><?xml version="1.0" encoding="utf-8"?>
<worksheet xmlns="http://schemas.openxmlformats.org/spreadsheetml/2006/main" xmlns:r="http://schemas.openxmlformats.org/officeDocument/2006/relationships">
  <sheetPr>
    <pageSetUpPr fitToPage="1"/>
  </sheetPr>
  <dimension ref="A1:L99"/>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1397</v>
      </c>
      <c r="F6" s="7" t="str">
        <f>+D36</f>
        <v>Each</v>
      </c>
      <c r="G6" s="85">
        <f>+I25</f>
        <v>1779.3114085076263</v>
      </c>
    </row>
    <row r="7" spans="1:12" hidden="1">
      <c r="A7" s="2"/>
      <c r="B7" s="54">
        <f>+B6</f>
        <v>410</v>
      </c>
      <c r="C7" s="7" t="str">
        <f>+C6</f>
        <v>EQIP</v>
      </c>
      <c r="D7" s="53" t="s">
        <v>1391</v>
      </c>
      <c r="E7" s="53" t="str">
        <f>CONCATENATE(E6, "-HU")</f>
        <v>Rock Chute: Up to 100 cfs and 6' overfall-HU</v>
      </c>
      <c r="F7" s="7" t="str">
        <f>+F6</f>
        <v>Each</v>
      </c>
      <c r="G7" s="85">
        <f>+J25</f>
        <v>2135.173690209152</v>
      </c>
    </row>
    <row r="8" spans="1:12" hidden="1">
      <c r="A8" s="2"/>
      <c r="B8" s="54">
        <v>410</v>
      </c>
      <c r="C8" s="7" t="str">
        <f>+G12</f>
        <v>WHIP</v>
      </c>
      <c r="D8" s="53" t="s">
        <v>1391</v>
      </c>
      <c r="E8" s="53" t="s">
        <v>1397</v>
      </c>
      <c r="F8" s="7" t="str">
        <f>+D36</f>
        <v>Each</v>
      </c>
      <c r="G8" s="85">
        <f>+K25</f>
        <v>0</v>
      </c>
    </row>
    <row r="9" spans="1:12" hidden="1">
      <c r="A9" s="2"/>
      <c r="B9" s="8">
        <f>+B8</f>
        <v>410</v>
      </c>
      <c r="C9" s="10" t="str">
        <f>+C8</f>
        <v>WHIP</v>
      </c>
      <c r="D9" s="9" t="s">
        <v>1391</v>
      </c>
      <c r="E9" s="9" t="str">
        <f>CONCATENATE(E6, "-HU")</f>
        <v>Rock Chute: Up to 100 cfs and 6'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34.198165835115226</v>
      </c>
      <c r="E16" s="160">
        <f>+'[10]Payment Factors'!D18</f>
        <v>0.75</v>
      </c>
      <c r="F16" s="160">
        <f>+'[10]Payment Factors'!E18</f>
        <v>0.9</v>
      </c>
      <c r="G16" s="160">
        <f>+'[10]Payment Factors'!F19</f>
        <v>0</v>
      </c>
      <c r="H16" s="160">
        <f>+'[10]Payment Factors'!G19</f>
        <v>0</v>
      </c>
      <c r="I16" s="1154">
        <f t="shared" ref="I16:L24" si="0">+$D16*E16</f>
        <v>25.648624376336421</v>
      </c>
      <c r="J16" s="1154">
        <f t="shared" si="0"/>
        <v>30.778349251603704</v>
      </c>
      <c r="K16" s="1154">
        <f t="shared" si="0"/>
        <v>0</v>
      </c>
      <c r="L16" s="1155">
        <f t="shared" si="0"/>
        <v>0</v>
      </c>
    </row>
    <row r="17" spans="1:12" hidden="1">
      <c r="A17" s="2"/>
      <c r="B17" s="15" t="s">
        <v>2</v>
      </c>
      <c r="C17" s="16"/>
      <c r="D17" s="24">
        <f>+I55</f>
        <v>1928.7499373333333</v>
      </c>
      <c r="E17" s="160">
        <f t="shared" ref="E17:H19" si="1">+E16</f>
        <v>0.75</v>
      </c>
      <c r="F17" s="160">
        <f t="shared" si="1"/>
        <v>0.9</v>
      </c>
      <c r="G17" s="160">
        <f t="shared" si="1"/>
        <v>0</v>
      </c>
      <c r="H17" s="160">
        <f t="shared" si="1"/>
        <v>0</v>
      </c>
      <c r="I17" s="1154">
        <f t="shared" si="0"/>
        <v>1446.562453</v>
      </c>
      <c r="J17" s="1154">
        <f t="shared" si="0"/>
        <v>1735.8749436000001</v>
      </c>
      <c r="K17" s="1154">
        <f t="shared" si="0"/>
        <v>0</v>
      </c>
      <c r="L17" s="1155">
        <f t="shared" si="0"/>
        <v>0</v>
      </c>
    </row>
    <row r="18" spans="1:12" hidden="1">
      <c r="A18" s="2"/>
      <c r="B18" s="15" t="s">
        <v>3</v>
      </c>
      <c r="C18" s="16"/>
      <c r="D18" s="24">
        <f>+I71</f>
        <v>340.367636</v>
      </c>
      <c r="E18" s="160">
        <f t="shared" si="1"/>
        <v>0.75</v>
      </c>
      <c r="F18" s="160">
        <f t="shared" si="1"/>
        <v>0.9</v>
      </c>
      <c r="G18" s="160">
        <f t="shared" si="1"/>
        <v>0</v>
      </c>
      <c r="H18" s="160">
        <f t="shared" si="1"/>
        <v>0</v>
      </c>
      <c r="I18" s="1154">
        <f t="shared" si="0"/>
        <v>255.27572700000002</v>
      </c>
      <c r="J18" s="1154">
        <f t="shared" si="0"/>
        <v>306.33087240000003</v>
      </c>
      <c r="K18" s="1154">
        <f t="shared" si="0"/>
        <v>0</v>
      </c>
      <c r="L18" s="1155">
        <f t="shared" si="0"/>
        <v>0</v>
      </c>
    </row>
    <row r="19" spans="1:12" hidden="1">
      <c r="A19" s="2"/>
      <c r="B19" s="15" t="s">
        <v>4</v>
      </c>
      <c r="C19" s="16"/>
      <c r="D19" s="24">
        <f>+I77</f>
        <v>69.09947217505345</v>
      </c>
      <c r="E19" s="160">
        <f t="shared" si="1"/>
        <v>0.75</v>
      </c>
      <c r="F19" s="160">
        <f t="shared" si="1"/>
        <v>0.9</v>
      </c>
      <c r="G19" s="160">
        <f t="shared" si="1"/>
        <v>0</v>
      </c>
      <c r="H19" s="160">
        <f t="shared" si="1"/>
        <v>0</v>
      </c>
      <c r="I19" s="1154">
        <f t="shared" si="0"/>
        <v>51.824604131290087</v>
      </c>
      <c r="J19" s="1154">
        <f t="shared" si="0"/>
        <v>62.189524957548109</v>
      </c>
      <c r="K19" s="1154">
        <f t="shared" si="0"/>
        <v>0</v>
      </c>
      <c r="L19" s="1155">
        <f t="shared" si="0"/>
        <v>0</v>
      </c>
    </row>
    <row r="20" spans="1:12" hidden="1">
      <c r="A20" s="2"/>
      <c r="B20" s="15" t="s">
        <v>26</v>
      </c>
      <c r="C20" s="16"/>
      <c r="D20" s="24">
        <f>+I80</f>
        <v>23.033157391684487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+I86</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2395.4483687351867</v>
      </c>
      <c r="E25" s="1158"/>
      <c r="F25" s="1158"/>
      <c r="G25" s="28"/>
      <c r="H25" s="28"/>
      <c r="I25" s="1159">
        <f>SUM(I16:I24)</f>
        <v>1779.3114085076263</v>
      </c>
      <c r="J25" s="1159">
        <f>SUM(J16:J24)</f>
        <v>2135.173690209152</v>
      </c>
      <c r="K25" s="1159">
        <f>SUM(K16:K24)</f>
        <v>0</v>
      </c>
      <c r="L25" s="1160">
        <f>SUM(L16:L24)</f>
        <v>0</v>
      </c>
    </row>
    <row r="26" spans="1:12" hidden="1"/>
    <row r="27" spans="1:12" ht="15.75">
      <c r="A27" s="2"/>
      <c r="B27" s="50" t="s">
        <v>28</v>
      </c>
      <c r="C27" s="2"/>
      <c r="D27" s="2"/>
      <c r="E27" s="2"/>
      <c r="F27" s="2"/>
      <c r="G27" s="2"/>
      <c r="H27" s="2"/>
      <c r="I27" s="5"/>
    </row>
    <row r="28" spans="1:12">
      <c r="A28" s="2"/>
      <c r="B28" s="29" t="s">
        <v>1398</v>
      </c>
      <c r="C28" s="30"/>
      <c r="D28" s="30"/>
      <c r="E28" s="31"/>
      <c r="F28" s="31"/>
      <c r="G28" s="31"/>
      <c r="H28" s="31"/>
      <c r="I28" s="32"/>
    </row>
    <row r="29" spans="1:12">
      <c r="A29" s="2"/>
      <c r="B29" s="1161" t="s">
        <v>1394</v>
      </c>
      <c r="C29" s="34"/>
      <c r="D29" s="34"/>
      <c r="E29" s="35"/>
      <c r="F29" s="35"/>
      <c r="G29" s="35"/>
      <c r="H29" s="35"/>
      <c r="I29" s="36"/>
    </row>
    <row r="30" spans="1:12">
      <c r="A30" s="2"/>
      <c r="B30" s="1161" t="s">
        <v>1395</v>
      </c>
      <c r="C30" s="143"/>
      <c r="D30" s="34"/>
      <c r="E30" s="35"/>
      <c r="F30" s="1163"/>
      <c r="G30" s="35"/>
      <c r="H30" s="35"/>
      <c r="I30" s="36"/>
    </row>
    <row r="31" spans="1:12">
      <c r="A31" s="2"/>
      <c r="B31" s="37" t="s">
        <v>1396</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34.198165835115226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0.2</v>
      </c>
      <c r="G43" s="1171">
        <f t="shared" si="2"/>
        <v>1.75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(SUM(G57:G64)*0.85)</f>
        <v>1928.7499373333333</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4" si="3">+F57*E57</f>
        <v>114.76224000000001</v>
      </c>
      <c r="H57" s="35"/>
      <c r="I57" s="47"/>
    </row>
    <row r="58" spans="1:9">
      <c r="A58" s="2"/>
      <c r="B58" s="1206" t="str">
        <f>+'[29]Core Rates'!A261</f>
        <v>Riprap (Chute in Place)</v>
      </c>
      <c r="C58" s="6"/>
      <c r="D58" s="1382" t="str">
        <f>+'[29]Core Rates'!B261</f>
        <v>Ton</v>
      </c>
      <c r="E58" s="1384">
        <f>+'[29]Core Rates'!C264</f>
        <v>28.9542</v>
      </c>
      <c r="F58" s="1170">
        <v>60</v>
      </c>
      <c r="G58" s="1171">
        <f t="shared" si="3"/>
        <v>1737.252</v>
      </c>
      <c r="H58" s="35"/>
      <c r="I58" s="47"/>
    </row>
    <row r="59" spans="1:9">
      <c r="A59" s="2"/>
      <c r="B59" s="1188" t="str">
        <f>+'[29]Core Rates'!A139</f>
        <v>Geo-Textile (Installed)</v>
      </c>
      <c r="C59" s="6"/>
      <c r="D59" s="1384" t="str">
        <f>+'[29]Core Rates'!B139</f>
        <v>Sq Yd</v>
      </c>
      <c r="E59" s="1383">
        <f>+'[29]Core Rates'!C139</f>
        <v>2.2050000000000001</v>
      </c>
      <c r="F59" s="1170">
        <v>99</v>
      </c>
      <c r="G59" s="1171">
        <f t="shared" si="3"/>
        <v>218.29500000000002</v>
      </c>
      <c r="H59" s="35"/>
      <c r="I59" s="47"/>
    </row>
    <row r="60" spans="1:9">
      <c r="A60" s="2"/>
      <c r="B60" s="40" t="s">
        <v>461</v>
      </c>
      <c r="C60" s="6"/>
      <c r="D60" s="1168" t="s">
        <v>408</v>
      </c>
      <c r="E60" s="1169">
        <f>+'[29]Core Rates'!C104</f>
        <v>20</v>
      </c>
      <c r="F60" s="1170">
        <v>0.2</v>
      </c>
      <c r="G60" s="1171">
        <f t="shared" si="3"/>
        <v>4</v>
      </c>
      <c r="H60" s="35"/>
      <c r="I60" s="47"/>
    </row>
    <row r="61" spans="1:9">
      <c r="A61" s="2"/>
      <c r="B61" s="40" t="s">
        <v>462</v>
      </c>
      <c r="C61" s="6"/>
      <c r="D61" s="1168" t="s">
        <v>408</v>
      </c>
      <c r="E61" s="1169">
        <f>+'[29]Core Rates'!AN33</f>
        <v>5.416666666666667</v>
      </c>
      <c r="F61" s="1170">
        <v>0.2</v>
      </c>
      <c r="G61" s="1171">
        <f t="shared" si="3"/>
        <v>1.0833333333333335</v>
      </c>
      <c r="H61" s="35"/>
      <c r="I61" s="47"/>
    </row>
    <row r="62" spans="1:9">
      <c r="A62" s="2"/>
      <c r="B62" s="40" t="s">
        <v>463</v>
      </c>
      <c r="C62" s="6"/>
      <c r="D62" s="1168" t="s">
        <v>452</v>
      </c>
      <c r="E62" s="1169">
        <f>+'[29]Core Rates'!AN34</f>
        <v>5.5</v>
      </c>
      <c r="F62" s="1170">
        <v>0.4</v>
      </c>
      <c r="G62" s="1171">
        <f t="shared" si="3"/>
        <v>2.2000000000000002</v>
      </c>
      <c r="H62" s="35"/>
      <c r="I62" s="47"/>
    </row>
    <row r="63" spans="1:9">
      <c r="A63" s="2"/>
      <c r="B63" s="40" t="s">
        <v>464</v>
      </c>
      <c r="C63" s="6"/>
      <c r="D63" s="1168" t="s">
        <v>452</v>
      </c>
      <c r="E63" s="1169">
        <f>+'[29]Core Rates'!AN32</f>
        <v>6.3125</v>
      </c>
      <c r="F63" s="1170">
        <v>0.4</v>
      </c>
      <c r="G63" s="1171">
        <f t="shared" si="3"/>
        <v>2.5250000000000004</v>
      </c>
      <c r="H63" s="35"/>
      <c r="I63" s="47"/>
    </row>
    <row r="64" spans="1:9">
      <c r="A64" s="2"/>
      <c r="B64" s="40" t="s">
        <v>1280</v>
      </c>
      <c r="C64" s="6"/>
      <c r="D64" s="1168" t="s">
        <v>619</v>
      </c>
      <c r="E64" s="1169">
        <f>+'[29]Core Rates'!C217</f>
        <v>472.5</v>
      </c>
      <c r="F64" s="1170">
        <v>0.4</v>
      </c>
      <c r="G64" s="1171">
        <f t="shared" si="3"/>
        <v>189</v>
      </c>
      <c r="H64" s="35"/>
      <c r="I64" s="47"/>
    </row>
    <row r="65" spans="1:9">
      <c r="A65" s="2"/>
      <c r="B65" s="40"/>
      <c r="C65" s="6"/>
      <c r="D65" s="63"/>
      <c r="E65" s="150"/>
      <c r="F65" s="150"/>
      <c r="G65" s="1169"/>
      <c r="H65" s="35"/>
      <c r="I65" s="47"/>
    </row>
    <row r="66" spans="1:9">
      <c r="A66" s="2"/>
      <c r="B66" s="37" t="s">
        <v>43</v>
      </c>
      <c r="C66" s="35"/>
      <c r="D66" s="35"/>
      <c r="E66" s="60"/>
      <c r="F66" s="60"/>
      <c r="G66" s="60"/>
      <c r="H66" s="35"/>
      <c r="I66" s="46"/>
    </row>
    <row r="67" spans="1:9" ht="12.75" customHeight="1">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340.367636</v>
      </c>
    </row>
    <row r="72" spans="1:9">
      <c r="A72" s="2"/>
      <c r="B72" s="2007" t="s">
        <v>465</v>
      </c>
      <c r="C72" s="2008"/>
      <c r="D72" s="35"/>
      <c r="E72" s="35"/>
      <c r="F72" s="35"/>
      <c r="G72" s="35"/>
      <c r="H72" s="35"/>
      <c r="I72" s="48"/>
    </row>
    <row r="73" spans="1:9">
      <c r="A73" s="2"/>
      <c r="B73" s="37" t="s">
        <v>466</v>
      </c>
      <c r="C73" s="39"/>
      <c r="D73" s="39"/>
      <c r="E73" s="153">
        <f>SUM(G57:G64)*0.15</f>
        <v>340.367636</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0.03*(I40+I55+I71)</f>
        <v>69.09947217505345</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0.01*(I40+I55+I71)</f>
        <v>23.033157391684487</v>
      </c>
    </row>
    <row r="81" spans="1:9">
      <c r="A81" s="2"/>
      <c r="B81" s="33" t="s">
        <v>749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104</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+I40+I55+I71+I77+I83+I93</f>
        <v>2372.4152113435021</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2395.4483687351867</v>
      </c>
    </row>
  </sheetData>
  <mergeCells count="4">
    <mergeCell ref="B1:D1"/>
    <mergeCell ref="E55:H55"/>
    <mergeCell ref="B67:I68"/>
    <mergeCell ref="B72:C72"/>
  </mergeCells>
  <pageMargins left="0.75" right="0.75" top="1" bottom="1" header="0.5" footer="0.5"/>
  <pageSetup scale="59" orientation="portrait" r:id="rId1"/>
  <headerFooter alignWithMargins="0"/>
</worksheet>
</file>

<file path=xl/worksheets/sheet131.xml><?xml version="1.0" encoding="utf-8"?>
<worksheet xmlns="http://schemas.openxmlformats.org/spreadsheetml/2006/main" xmlns:r="http://schemas.openxmlformats.org/officeDocument/2006/relationships">
  <sheetPr>
    <pageSetUpPr fitToPage="1"/>
  </sheetPr>
  <dimension ref="A1:L99"/>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1399</v>
      </c>
      <c r="F6" s="7" t="str">
        <f>+D36</f>
        <v>Each</v>
      </c>
      <c r="G6" s="85">
        <f>+I25</f>
        <v>2686.3779730076267</v>
      </c>
    </row>
    <row r="7" spans="1:12" hidden="1">
      <c r="A7" s="2"/>
      <c r="B7" s="54">
        <f>+B6</f>
        <v>410</v>
      </c>
      <c r="C7" s="7" t="str">
        <f>+C6</f>
        <v>EQIP</v>
      </c>
      <c r="D7" s="53" t="s">
        <v>1391</v>
      </c>
      <c r="E7" s="53" t="str">
        <f>CONCATENATE(E6, "-HU")</f>
        <v>Rock Chute: Up to 150 cfs and 12' overfall-HU</v>
      </c>
      <c r="F7" s="7" t="str">
        <f>+F6</f>
        <v>Each</v>
      </c>
      <c r="G7" s="85">
        <f>+J25</f>
        <v>3223.6535676091512</v>
      </c>
    </row>
    <row r="8" spans="1:12" hidden="1">
      <c r="A8" s="2"/>
      <c r="B8" s="54">
        <v>410</v>
      </c>
      <c r="C8" s="7" t="str">
        <f>+G12</f>
        <v>WHIP</v>
      </c>
      <c r="D8" s="53" t="s">
        <v>1391</v>
      </c>
      <c r="E8" s="53" t="s">
        <v>1399</v>
      </c>
      <c r="F8" s="7" t="str">
        <f>+D36</f>
        <v>Each</v>
      </c>
      <c r="G8" s="85">
        <f>+K25</f>
        <v>0</v>
      </c>
    </row>
    <row r="9" spans="1:12" hidden="1">
      <c r="A9" s="2"/>
      <c r="B9" s="8">
        <f>+B8</f>
        <v>410</v>
      </c>
      <c r="C9" s="10" t="str">
        <f>+C8</f>
        <v>WHIP</v>
      </c>
      <c r="D9" s="9" t="s">
        <v>1391</v>
      </c>
      <c r="E9" s="9" t="str">
        <f>CONCATENATE(E6, "-HU")</f>
        <v>Rock Chute: Up to 150 cfs and 12'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35.948165835115226</v>
      </c>
      <c r="E16" s="160">
        <f>+'[10]Payment Factors'!D18</f>
        <v>0.75</v>
      </c>
      <c r="F16" s="160">
        <f>+'[10]Payment Factors'!E18</f>
        <v>0.9</v>
      </c>
      <c r="G16" s="160">
        <f>+'[10]Payment Factors'!F19</f>
        <v>0</v>
      </c>
      <c r="H16" s="160">
        <f>+'[10]Payment Factors'!G19</f>
        <v>0</v>
      </c>
      <c r="I16" s="1154">
        <f t="shared" ref="I16:L24" si="0">+$D16*E16</f>
        <v>26.961124376336421</v>
      </c>
      <c r="J16" s="1154">
        <f t="shared" si="0"/>
        <v>32.353349251603703</v>
      </c>
      <c r="K16" s="1154">
        <f t="shared" si="0"/>
        <v>0</v>
      </c>
      <c r="L16" s="1155">
        <f t="shared" si="0"/>
        <v>0</v>
      </c>
    </row>
    <row r="17" spans="1:12" hidden="1">
      <c r="A17" s="2"/>
      <c r="B17" s="15" t="s">
        <v>2</v>
      </c>
      <c r="C17" s="16"/>
      <c r="D17" s="24">
        <f>+I55</f>
        <v>2925.3292073333332</v>
      </c>
      <c r="E17" s="160">
        <f t="shared" ref="E17:H19" si="1">+E16</f>
        <v>0.75</v>
      </c>
      <c r="F17" s="160">
        <f t="shared" si="1"/>
        <v>0.9</v>
      </c>
      <c r="G17" s="160">
        <f t="shared" si="1"/>
        <v>0</v>
      </c>
      <c r="H17" s="160">
        <f t="shared" si="1"/>
        <v>0</v>
      </c>
      <c r="I17" s="1154">
        <f t="shared" si="0"/>
        <v>2193.9969055000001</v>
      </c>
      <c r="J17" s="1154">
        <f t="shared" si="0"/>
        <v>2632.7962865999998</v>
      </c>
      <c r="K17" s="1154">
        <f t="shared" si="0"/>
        <v>0</v>
      </c>
      <c r="L17" s="1155">
        <f t="shared" si="0"/>
        <v>0</v>
      </c>
    </row>
    <row r="18" spans="1:12" hidden="1">
      <c r="A18" s="2"/>
      <c r="B18" s="15" t="s">
        <v>3</v>
      </c>
      <c r="C18" s="16"/>
      <c r="D18" s="24">
        <f>+I71</f>
        <v>516.23456599999997</v>
      </c>
      <c r="E18" s="160">
        <f t="shared" si="1"/>
        <v>0.75</v>
      </c>
      <c r="F18" s="160">
        <f t="shared" si="1"/>
        <v>0.9</v>
      </c>
      <c r="G18" s="160">
        <f t="shared" si="1"/>
        <v>0</v>
      </c>
      <c r="H18" s="160">
        <f t="shared" si="1"/>
        <v>0</v>
      </c>
      <c r="I18" s="1154">
        <f t="shared" si="0"/>
        <v>387.17592449999995</v>
      </c>
      <c r="J18" s="1154">
        <f t="shared" si="0"/>
        <v>464.61110939999998</v>
      </c>
      <c r="K18" s="1154">
        <f t="shared" si="0"/>
        <v>0</v>
      </c>
      <c r="L18" s="1155">
        <f t="shared" si="0"/>
        <v>0</v>
      </c>
    </row>
    <row r="19" spans="1:12" hidden="1">
      <c r="A19" s="2"/>
      <c r="B19" s="15" t="s">
        <v>4</v>
      </c>
      <c r="C19" s="16"/>
      <c r="D19" s="24">
        <f>+I77</f>
        <v>104.32535817505345</v>
      </c>
      <c r="E19" s="160">
        <f t="shared" si="1"/>
        <v>0.75</v>
      </c>
      <c r="F19" s="160">
        <f t="shared" si="1"/>
        <v>0.9</v>
      </c>
      <c r="G19" s="160">
        <f t="shared" si="1"/>
        <v>0</v>
      </c>
      <c r="H19" s="160">
        <f t="shared" si="1"/>
        <v>0</v>
      </c>
      <c r="I19" s="1154">
        <f t="shared" si="0"/>
        <v>78.244018631290089</v>
      </c>
      <c r="J19" s="1154">
        <f t="shared" si="0"/>
        <v>93.892822357548113</v>
      </c>
      <c r="K19" s="1154">
        <f t="shared" si="0"/>
        <v>0</v>
      </c>
      <c r="L19" s="1155">
        <f t="shared" si="0"/>
        <v>0</v>
      </c>
    </row>
    <row r="20" spans="1:12" hidden="1">
      <c r="A20" s="2"/>
      <c r="B20" s="15" t="s">
        <v>26</v>
      </c>
      <c r="C20" s="16"/>
      <c r="D20" s="24">
        <f>+I80</f>
        <v>34.775119391684484</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+I86</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3616.6124167351863</v>
      </c>
      <c r="E25" s="1158"/>
      <c r="F25" s="1158"/>
      <c r="G25" s="28"/>
      <c r="H25" s="28"/>
      <c r="I25" s="1159">
        <f>SUM(I16:I24)</f>
        <v>2686.3779730076267</v>
      </c>
      <c r="J25" s="1159">
        <f>SUM(J16:J24)</f>
        <v>3223.6535676091512</v>
      </c>
      <c r="K25" s="1159">
        <f>SUM(K16:K24)</f>
        <v>0</v>
      </c>
      <c r="L25" s="1160">
        <f>SUM(L16:L24)</f>
        <v>0</v>
      </c>
    </row>
    <row r="26" spans="1:12" hidden="1"/>
    <row r="27" spans="1:12" ht="15.75">
      <c r="A27" s="2"/>
      <c r="B27" s="50" t="s">
        <v>28</v>
      </c>
      <c r="C27" s="2"/>
      <c r="D27" s="2"/>
      <c r="E27" s="2"/>
      <c r="F27" s="2"/>
      <c r="G27" s="2"/>
      <c r="H27" s="2"/>
      <c r="I27" s="5"/>
    </row>
    <row r="28" spans="1:12">
      <c r="A28" s="2"/>
      <c r="B28" s="29" t="s">
        <v>1400</v>
      </c>
      <c r="C28" s="30"/>
      <c r="D28" s="30"/>
      <c r="E28" s="31"/>
      <c r="F28" s="31"/>
      <c r="G28" s="31"/>
      <c r="H28" s="31"/>
      <c r="I28" s="32"/>
    </row>
    <row r="29" spans="1:12">
      <c r="A29" s="2"/>
      <c r="B29" s="1161" t="s">
        <v>1394</v>
      </c>
      <c r="C29" s="34"/>
      <c r="D29" s="34"/>
      <c r="E29" s="35"/>
      <c r="F29" s="35"/>
      <c r="G29" s="35"/>
      <c r="H29" s="35"/>
      <c r="I29" s="36"/>
    </row>
    <row r="30" spans="1:12">
      <c r="A30" s="2"/>
      <c r="B30" s="1161" t="s">
        <v>1395</v>
      </c>
      <c r="C30" s="143"/>
      <c r="D30" s="34"/>
      <c r="E30" s="35"/>
      <c r="F30" s="1163"/>
      <c r="G30" s="35"/>
      <c r="H30" s="35"/>
      <c r="I30" s="36"/>
    </row>
    <row r="31" spans="1:12">
      <c r="A31" s="2"/>
      <c r="B31" s="37" t="s">
        <v>1396</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35.948165835115226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0.4</v>
      </c>
      <c r="G43" s="1171">
        <f t="shared" si="2"/>
        <v>3.5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ht="12.75" customHeight="1">
      <c r="A55" s="2"/>
      <c r="B55" s="42" t="s">
        <v>2</v>
      </c>
      <c r="C55" s="35"/>
      <c r="D55" s="35"/>
      <c r="E55" s="2003" t="s">
        <v>459</v>
      </c>
      <c r="F55" s="2003"/>
      <c r="G55" s="2003"/>
      <c r="H55" s="2003"/>
      <c r="I55" s="1166">
        <f>(SUM(G57:G64)*0.85)</f>
        <v>2925.3292073333332</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4" si="3">+F57*E57</f>
        <v>114.76224000000001</v>
      </c>
      <c r="H57" s="35"/>
      <c r="I57" s="47"/>
    </row>
    <row r="58" spans="1:9">
      <c r="A58" s="2"/>
      <c r="B58" s="1206" t="str">
        <f>+'[29]Core Rates'!A261</f>
        <v>Riprap (Chute in Place)</v>
      </c>
      <c r="C58" s="6"/>
      <c r="D58" s="1382" t="str">
        <f>+'[29]Core Rates'!B261</f>
        <v>Ton</v>
      </c>
      <c r="E58" s="1384">
        <f>+'[29]Core Rates'!C264</f>
        <v>28.9542</v>
      </c>
      <c r="F58" s="1170">
        <v>96</v>
      </c>
      <c r="G58" s="1171">
        <f t="shared" si="3"/>
        <v>2779.6032</v>
      </c>
      <c r="H58" s="35"/>
      <c r="I58" s="47"/>
    </row>
    <row r="59" spans="1:9">
      <c r="A59" s="2"/>
      <c r="B59" s="1188" t="str">
        <f>+'[29]Core Rates'!A139</f>
        <v>Geo-Textile (Installed)</v>
      </c>
      <c r="C59" s="6"/>
      <c r="D59" s="1384" t="str">
        <f>+'[29]Core Rates'!B139</f>
        <v>Sq Yd</v>
      </c>
      <c r="E59" s="1383">
        <f>+'[29]Core Rates'!C139</f>
        <v>2.2050000000000001</v>
      </c>
      <c r="F59" s="1170">
        <v>158</v>
      </c>
      <c r="G59" s="1171">
        <f t="shared" si="3"/>
        <v>348.39</v>
      </c>
      <c r="H59" s="35"/>
      <c r="I59" s="47"/>
    </row>
    <row r="60" spans="1:9">
      <c r="A60" s="2"/>
      <c r="B60" s="40" t="s">
        <v>461</v>
      </c>
      <c r="C60" s="6"/>
      <c r="D60" s="1168" t="s">
        <v>408</v>
      </c>
      <c r="E60" s="1169">
        <f>+'[29]Core Rates'!C104</f>
        <v>20</v>
      </c>
      <c r="F60" s="1170">
        <v>0.2</v>
      </c>
      <c r="G60" s="1171">
        <f t="shared" si="3"/>
        <v>4</v>
      </c>
      <c r="H60" s="35"/>
      <c r="I60" s="47"/>
    </row>
    <row r="61" spans="1:9">
      <c r="A61" s="2"/>
      <c r="B61" s="40" t="s">
        <v>462</v>
      </c>
      <c r="C61" s="6"/>
      <c r="D61" s="1168" t="s">
        <v>408</v>
      </c>
      <c r="E61" s="1169">
        <f>+'[29]Core Rates'!AN33</f>
        <v>5.416666666666667</v>
      </c>
      <c r="F61" s="1170">
        <v>0.2</v>
      </c>
      <c r="G61" s="1171">
        <f t="shared" si="3"/>
        <v>1.0833333333333335</v>
      </c>
      <c r="H61" s="35"/>
      <c r="I61" s="47"/>
    </row>
    <row r="62" spans="1:9">
      <c r="A62" s="2"/>
      <c r="B62" s="40" t="s">
        <v>463</v>
      </c>
      <c r="C62" s="6"/>
      <c r="D62" s="1168" t="s">
        <v>452</v>
      </c>
      <c r="E62" s="1169">
        <f>+'[29]Core Rates'!AN34</f>
        <v>5.5</v>
      </c>
      <c r="F62" s="1170">
        <v>0.4</v>
      </c>
      <c r="G62" s="1171">
        <f t="shared" si="3"/>
        <v>2.2000000000000002</v>
      </c>
      <c r="H62" s="35"/>
      <c r="I62" s="47"/>
    </row>
    <row r="63" spans="1:9">
      <c r="A63" s="2"/>
      <c r="B63" s="40" t="s">
        <v>464</v>
      </c>
      <c r="C63" s="6"/>
      <c r="D63" s="1168" t="s">
        <v>452</v>
      </c>
      <c r="E63" s="1169">
        <f>+'[29]Core Rates'!AN32</f>
        <v>6.3125</v>
      </c>
      <c r="F63" s="1170">
        <v>0.4</v>
      </c>
      <c r="G63" s="1171">
        <f t="shared" si="3"/>
        <v>2.5250000000000004</v>
      </c>
      <c r="H63" s="35"/>
      <c r="I63" s="47"/>
    </row>
    <row r="64" spans="1:9">
      <c r="A64" s="2"/>
      <c r="B64" s="40" t="s">
        <v>1280</v>
      </c>
      <c r="C64" s="6"/>
      <c r="D64" s="1168" t="s">
        <v>619</v>
      </c>
      <c r="E64" s="1169">
        <f>+'[29]Core Rates'!C217</f>
        <v>472.5</v>
      </c>
      <c r="F64" s="1170">
        <v>0.4</v>
      </c>
      <c r="G64" s="1171">
        <f t="shared" si="3"/>
        <v>189</v>
      </c>
      <c r="H64" s="35"/>
      <c r="I64" s="47"/>
    </row>
    <row r="65" spans="1:9">
      <c r="A65" s="2"/>
      <c r="B65" s="40"/>
      <c r="C65" s="6"/>
      <c r="D65" s="63"/>
      <c r="E65" s="150"/>
      <c r="F65" s="150"/>
      <c r="G65" s="1169"/>
      <c r="H65" s="35"/>
      <c r="I65" s="47"/>
    </row>
    <row r="66" spans="1:9">
      <c r="A66" s="2"/>
      <c r="B66" s="37" t="s">
        <v>43</v>
      </c>
      <c r="C66" s="35"/>
      <c r="D66" s="35"/>
      <c r="E66" s="60"/>
      <c r="F66" s="60"/>
      <c r="G66" s="60"/>
      <c r="H66" s="35"/>
      <c r="I66" s="46"/>
    </row>
    <row r="67" spans="1:9" ht="12.75" customHeight="1">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516.23456599999997</v>
      </c>
    </row>
    <row r="72" spans="1:9">
      <c r="A72" s="2"/>
      <c r="B72" s="2007" t="s">
        <v>465</v>
      </c>
      <c r="C72" s="2008"/>
      <c r="D72" s="35"/>
      <c r="E72" s="35"/>
      <c r="F72" s="35"/>
      <c r="G72" s="35"/>
      <c r="H72" s="35"/>
      <c r="I72" s="48"/>
    </row>
    <row r="73" spans="1:9">
      <c r="A73" s="2"/>
      <c r="B73" s="37" t="s">
        <v>466</v>
      </c>
      <c r="C73" s="39"/>
      <c r="D73" s="39"/>
      <c r="E73" s="153">
        <f>SUM(G57:G64)*0.15</f>
        <v>516.23456599999997</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0.03*(I40+I55+I71)</f>
        <v>104.32535817505345</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0.01*(I40+I55+I71)</f>
        <v>34.775119391684484</v>
      </c>
    </row>
    <row r="81" spans="1:9">
      <c r="A81" s="2"/>
      <c r="B81" s="33" t="s">
        <v>749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104</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+I40+I55+I71+I77+I83+I93</f>
        <v>3581.8372973435016</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3616.6124167351863</v>
      </c>
    </row>
  </sheetData>
  <mergeCells count="4">
    <mergeCell ref="B1:D1"/>
    <mergeCell ref="E55:H55"/>
    <mergeCell ref="B67:I68"/>
    <mergeCell ref="B72:C72"/>
  </mergeCells>
  <pageMargins left="0.75" right="0.75" top="1" bottom="1" header="0.5" footer="0.5"/>
  <pageSetup scale="59" orientation="portrait" r:id="rId1"/>
  <headerFooter alignWithMargins="0"/>
</worksheet>
</file>

<file path=xl/worksheets/sheet132.xml><?xml version="1.0" encoding="utf-8"?>
<worksheet xmlns="http://schemas.openxmlformats.org/spreadsheetml/2006/main" xmlns:r="http://schemas.openxmlformats.org/officeDocument/2006/relationships">
  <sheetPr>
    <pageSetUpPr fitToPage="1"/>
  </sheetPr>
  <dimension ref="A1:L99"/>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1401</v>
      </c>
      <c r="F6" s="7" t="str">
        <f>+D36</f>
        <v>Each</v>
      </c>
      <c r="G6" s="85">
        <f>+I25</f>
        <v>3844.7210200076261</v>
      </c>
    </row>
    <row r="7" spans="1:12" hidden="1">
      <c r="A7" s="2"/>
      <c r="B7" s="54">
        <f>+B6</f>
        <v>410</v>
      </c>
      <c r="C7" s="7" t="str">
        <f>+C6</f>
        <v>EQIP</v>
      </c>
      <c r="D7" s="53" t="s">
        <v>1391</v>
      </c>
      <c r="E7" s="53" t="str">
        <f>CONCATENATE(E6, "-HU")</f>
        <v>Rock Chute: Up to 200 cfs and 12' overfall-HU</v>
      </c>
      <c r="F7" s="7" t="str">
        <f>+F6</f>
        <v>Each</v>
      </c>
      <c r="G7" s="85">
        <f>+J25</f>
        <v>4613.6652240091516</v>
      </c>
    </row>
    <row r="8" spans="1:12" hidden="1">
      <c r="A8" s="2"/>
      <c r="B8" s="54">
        <v>410</v>
      </c>
      <c r="C8" s="7" t="str">
        <f>+G12</f>
        <v>WHIP</v>
      </c>
      <c r="D8" s="53" t="s">
        <v>1391</v>
      </c>
      <c r="E8" s="53" t="s">
        <v>1401</v>
      </c>
      <c r="F8" s="7" t="str">
        <f>+D36</f>
        <v>Each</v>
      </c>
      <c r="G8" s="85">
        <f>+K25</f>
        <v>0</v>
      </c>
    </row>
    <row r="9" spans="1:12" hidden="1">
      <c r="A9" s="2"/>
      <c r="B9" s="8">
        <f>+B8</f>
        <v>410</v>
      </c>
      <c r="C9" s="10" t="str">
        <f>+C8</f>
        <v>WHIP</v>
      </c>
      <c r="D9" s="9" t="s">
        <v>1391</v>
      </c>
      <c r="E9" s="9" t="str">
        <f>CONCATENATE(E6, "-HU")</f>
        <v>Rock Chute: Up to 200 cfs and 12'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35.948165835115226</v>
      </c>
      <c r="E16" s="160">
        <f>+'[10]Payment Factors'!D18</f>
        <v>0.75</v>
      </c>
      <c r="F16" s="160">
        <f>+'[10]Payment Factors'!E18</f>
        <v>0.9</v>
      </c>
      <c r="G16" s="160">
        <f>+'[10]Payment Factors'!F19</f>
        <v>0</v>
      </c>
      <c r="H16" s="160">
        <f>+'[10]Payment Factors'!G19</f>
        <v>0</v>
      </c>
      <c r="I16" s="1154">
        <f t="shared" ref="I16:L24" si="0">+$D16*E16</f>
        <v>26.961124376336421</v>
      </c>
      <c r="J16" s="1154">
        <f t="shared" si="0"/>
        <v>32.353349251603703</v>
      </c>
      <c r="K16" s="1154">
        <f t="shared" si="0"/>
        <v>0</v>
      </c>
      <c r="L16" s="1155">
        <f t="shared" si="0"/>
        <v>0</v>
      </c>
    </row>
    <row r="17" spans="1:12" hidden="1">
      <c r="A17" s="2"/>
      <c r="B17" s="15" t="s">
        <v>2</v>
      </c>
      <c r="C17" s="16"/>
      <c r="D17" s="24">
        <f>+I55</f>
        <v>4199.8814273333328</v>
      </c>
      <c r="E17" s="160">
        <f t="shared" ref="E17:H19" si="1">+E16</f>
        <v>0.75</v>
      </c>
      <c r="F17" s="160">
        <f t="shared" si="1"/>
        <v>0.9</v>
      </c>
      <c r="G17" s="160">
        <f t="shared" si="1"/>
        <v>0</v>
      </c>
      <c r="H17" s="160">
        <f t="shared" si="1"/>
        <v>0</v>
      </c>
      <c r="I17" s="1154">
        <f t="shared" si="0"/>
        <v>3149.9110704999994</v>
      </c>
      <c r="J17" s="1154">
        <f t="shared" si="0"/>
        <v>3779.8932845999998</v>
      </c>
      <c r="K17" s="1154">
        <f t="shared" si="0"/>
        <v>0</v>
      </c>
      <c r="L17" s="1155">
        <f t="shared" si="0"/>
        <v>0</v>
      </c>
    </row>
    <row r="18" spans="1:12" hidden="1">
      <c r="A18" s="2"/>
      <c r="B18" s="15" t="s">
        <v>3</v>
      </c>
      <c r="C18" s="16"/>
      <c r="D18" s="24">
        <f>+I71</f>
        <v>741.15554599999984</v>
      </c>
      <c r="E18" s="160">
        <f t="shared" si="1"/>
        <v>0.75</v>
      </c>
      <c r="F18" s="160">
        <f t="shared" si="1"/>
        <v>0.9</v>
      </c>
      <c r="G18" s="160">
        <f t="shared" si="1"/>
        <v>0</v>
      </c>
      <c r="H18" s="160">
        <f t="shared" si="1"/>
        <v>0</v>
      </c>
      <c r="I18" s="1154">
        <f t="shared" si="0"/>
        <v>555.86665949999986</v>
      </c>
      <c r="J18" s="1154">
        <f t="shared" si="0"/>
        <v>667.03999139999985</v>
      </c>
      <c r="K18" s="1154">
        <f t="shared" si="0"/>
        <v>0</v>
      </c>
      <c r="L18" s="1155">
        <f t="shared" si="0"/>
        <v>0</v>
      </c>
    </row>
    <row r="19" spans="1:12" hidden="1">
      <c r="A19" s="2"/>
      <c r="B19" s="15" t="s">
        <v>4</v>
      </c>
      <c r="C19" s="16"/>
      <c r="D19" s="24">
        <f>+I77</f>
        <v>149.30955417505342</v>
      </c>
      <c r="E19" s="160">
        <f t="shared" si="1"/>
        <v>0.75</v>
      </c>
      <c r="F19" s="160">
        <f t="shared" si="1"/>
        <v>0.9</v>
      </c>
      <c r="G19" s="160">
        <f t="shared" si="1"/>
        <v>0</v>
      </c>
      <c r="H19" s="160">
        <f t="shared" si="1"/>
        <v>0</v>
      </c>
      <c r="I19" s="1154">
        <f t="shared" si="0"/>
        <v>111.98216563129006</v>
      </c>
      <c r="J19" s="1154">
        <f t="shared" si="0"/>
        <v>134.37859875754808</v>
      </c>
      <c r="K19" s="1154">
        <f t="shared" si="0"/>
        <v>0</v>
      </c>
      <c r="L19" s="1155">
        <f t="shared" si="0"/>
        <v>0</v>
      </c>
    </row>
    <row r="20" spans="1:12" hidden="1">
      <c r="A20" s="2"/>
      <c r="B20" s="15" t="s">
        <v>26</v>
      </c>
      <c r="C20" s="16"/>
      <c r="D20" s="24">
        <f>+I80</f>
        <v>49.769851391684483</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+I86</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5176.0645447351862</v>
      </c>
      <c r="E25" s="1158"/>
      <c r="F25" s="1158"/>
      <c r="G25" s="28"/>
      <c r="H25" s="28"/>
      <c r="I25" s="1159">
        <f>SUM(I16:I24)</f>
        <v>3844.7210200076261</v>
      </c>
      <c r="J25" s="1159">
        <f>SUM(J16:J24)</f>
        <v>4613.6652240091516</v>
      </c>
      <c r="K25" s="1159">
        <f>SUM(K16:K24)</f>
        <v>0</v>
      </c>
      <c r="L25" s="1160">
        <f>SUM(L16:L24)</f>
        <v>0</v>
      </c>
    </row>
    <row r="26" spans="1:12" hidden="1"/>
    <row r="27" spans="1:12" ht="15.75">
      <c r="A27" s="2"/>
      <c r="B27" s="50" t="s">
        <v>28</v>
      </c>
      <c r="C27" s="2"/>
      <c r="D27" s="2"/>
      <c r="E27" s="2"/>
      <c r="F27" s="2"/>
      <c r="G27" s="2"/>
      <c r="H27" s="2"/>
      <c r="I27" s="5"/>
    </row>
    <row r="28" spans="1:12">
      <c r="A28" s="2"/>
      <c r="B28" s="29" t="s">
        <v>1402</v>
      </c>
      <c r="C28" s="30"/>
      <c r="D28" s="30"/>
      <c r="E28" s="31"/>
      <c r="F28" s="31"/>
      <c r="G28" s="31"/>
      <c r="H28" s="31"/>
      <c r="I28" s="32"/>
    </row>
    <row r="29" spans="1:12">
      <c r="A29" s="2"/>
      <c r="B29" s="1161" t="s">
        <v>1394</v>
      </c>
      <c r="C29" s="34"/>
      <c r="D29" s="34"/>
      <c r="E29" s="35"/>
      <c r="F29" s="35"/>
      <c r="G29" s="35"/>
      <c r="H29" s="35"/>
      <c r="I29" s="36"/>
    </row>
    <row r="30" spans="1:12">
      <c r="A30" s="2"/>
      <c r="B30" s="1161" t="s">
        <v>1395</v>
      </c>
      <c r="C30" s="143"/>
      <c r="D30" s="34"/>
      <c r="E30" s="35"/>
      <c r="F30" s="1163"/>
      <c r="G30" s="35"/>
      <c r="H30" s="35"/>
      <c r="I30" s="36"/>
    </row>
    <row r="31" spans="1:12">
      <c r="A31" s="2"/>
      <c r="B31" s="37" t="s">
        <v>1396</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35.948165835115226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0.4</v>
      </c>
      <c r="G43" s="1171">
        <f t="shared" si="2"/>
        <v>3.5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(SUM(G57:G64)*0.85)</f>
        <v>4199.8814273333328</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4" si="3">+F57*E57</f>
        <v>114.76224000000001</v>
      </c>
      <c r="H57" s="35"/>
      <c r="I57" s="47"/>
    </row>
    <row r="58" spans="1:9">
      <c r="A58" s="2"/>
      <c r="B58" s="1206" t="str">
        <f>+'[29]Core Rates'!A261</f>
        <v>Riprap (Chute in Place)</v>
      </c>
      <c r="C58" s="6"/>
      <c r="D58" s="1382" t="str">
        <f>+'[29]Core Rates'!B261</f>
        <v>Ton</v>
      </c>
      <c r="E58" s="1384">
        <f>+'[29]Core Rates'!C264</f>
        <v>28.9542</v>
      </c>
      <c r="F58" s="1170">
        <v>142</v>
      </c>
      <c r="G58" s="1171">
        <f t="shared" si="3"/>
        <v>4111.4964</v>
      </c>
      <c r="H58" s="35"/>
      <c r="I58" s="47"/>
    </row>
    <row r="59" spans="1:9">
      <c r="A59" s="2"/>
      <c r="B59" s="1188" t="str">
        <f>+'[29]Core Rates'!A139</f>
        <v>Geo-Textile (Installed)</v>
      </c>
      <c r="C59" s="6"/>
      <c r="D59" s="1384" t="str">
        <f>+'[29]Core Rates'!B139</f>
        <v>Sq Yd</v>
      </c>
      <c r="E59" s="1383">
        <f>+'[29]Core Rates'!C139</f>
        <v>2.2050000000000001</v>
      </c>
      <c r="F59" s="1170">
        <v>234</v>
      </c>
      <c r="G59" s="1171">
        <f t="shared" si="3"/>
        <v>515.97</v>
      </c>
      <c r="H59" s="35"/>
      <c r="I59" s="47"/>
    </row>
    <row r="60" spans="1:9">
      <c r="A60" s="2"/>
      <c r="B60" s="40" t="s">
        <v>461</v>
      </c>
      <c r="C60" s="6"/>
      <c r="D60" s="1168" t="s">
        <v>408</v>
      </c>
      <c r="E60" s="1169">
        <f>+'[29]Core Rates'!C104</f>
        <v>20</v>
      </c>
      <c r="F60" s="1170">
        <v>0.2</v>
      </c>
      <c r="G60" s="1171">
        <f t="shared" si="3"/>
        <v>4</v>
      </c>
      <c r="H60" s="35"/>
      <c r="I60" s="47"/>
    </row>
    <row r="61" spans="1:9">
      <c r="A61" s="2"/>
      <c r="B61" s="40" t="s">
        <v>462</v>
      </c>
      <c r="C61" s="6"/>
      <c r="D61" s="1168" t="s">
        <v>408</v>
      </c>
      <c r="E61" s="1169">
        <f>+'[29]Core Rates'!AN33</f>
        <v>5.416666666666667</v>
      </c>
      <c r="F61" s="1170">
        <v>0.2</v>
      </c>
      <c r="G61" s="1171">
        <f t="shared" si="3"/>
        <v>1.0833333333333335</v>
      </c>
      <c r="H61" s="35"/>
      <c r="I61" s="47"/>
    </row>
    <row r="62" spans="1:9">
      <c r="A62" s="2"/>
      <c r="B62" s="40" t="s">
        <v>463</v>
      </c>
      <c r="C62" s="6"/>
      <c r="D62" s="1168" t="s">
        <v>452</v>
      </c>
      <c r="E62" s="1169">
        <f>+'[29]Core Rates'!AN34</f>
        <v>5.5</v>
      </c>
      <c r="F62" s="1170">
        <v>0.4</v>
      </c>
      <c r="G62" s="1171">
        <f t="shared" si="3"/>
        <v>2.2000000000000002</v>
      </c>
      <c r="H62" s="35"/>
      <c r="I62" s="47"/>
    </row>
    <row r="63" spans="1:9">
      <c r="A63" s="2"/>
      <c r="B63" s="40" t="s">
        <v>464</v>
      </c>
      <c r="C63" s="6"/>
      <c r="D63" s="1168" t="s">
        <v>452</v>
      </c>
      <c r="E63" s="1169">
        <f>+'[29]Core Rates'!AN32</f>
        <v>6.3125</v>
      </c>
      <c r="F63" s="1170">
        <v>0.4</v>
      </c>
      <c r="G63" s="1171">
        <f t="shared" si="3"/>
        <v>2.5250000000000004</v>
      </c>
      <c r="H63" s="35"/>
      <c r="I63" s="47"/>
    </row>
    <row r="64" spans="1:9">
      <c r="A64" s="2"/>
      <c r="B64" s="40" t="s">
        <v>1280</v>
      </c>
      <c r="C64" s="6"/>
      <c r="D64" s="1168" t="s">
        <v>619</v>
      </c>
      <c r="E64" s="1169">
        <f>+'[29]Core Rates'!C217</f>
        <v>472.5</v>
      </c>
      <c r="F64" s="1170">
        <v>0.4</v>
      </c>
      <c r="G64" s="1171">
        <f t="shared" si="3"/>
        <v>189</v>
      </c>
      <c r="H64" s="35"/>
      <c r="I64" s="47"/>
    </row>
    <row r="65" spans="1:9">
      <c r="A65" s="2"/>
      <c r="B65" s="40"/>
      <c r="C65" s="6"/>
      <c r="D65" s="63"/>
      <c r="E65" s="150"/>
      <c r="F65" s="150"/>
      <c r="G65" s="1169"/>
      <c r="H65" s="35"/>
      <c r="I65" s="47"/>
    </row>
    <row r="66" spans="1:9">
      <c r="A66" s="2"/>
      <c r="B66" s="37" t="s">
        <v>43</v>
      </c>
      <c r="C66" s="35"/>
      <c r="D66" s="35"/>
      <c r="E66" s="60"/>
      <c r="F66" s="60"/>
      <c r="G66" s="60"/>
      <c r="H66" s="35"/>
      <c r="I66" s="46"/>
    </row>
    <row r="67" spans="1:9" ht="12.75" customHeight="1">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741.15554599999984</v>
      </c>
    </row>
    <row r="72" spans="1:9">
      <c r="A72" s="2"/>
      <c r="B72" s="2007" t="s">
        <v>465</v>
      </c>
      <c r="C72" s="2008"/>
      <c r="D72" s="35"/>
      <c r="E72" s="35"/>
      <c r="F72" s="35"/>
      <c r="G72" s="35"/>
      <c r="H72" s="35"/>
      <c r="I72" s="48"/>
    </row>
    <row r="73" spans="1:9">
      <c r="A73" s="2"/>
      <c r="B73" s="37" t="s">
        <v>466</v>
      </c>
      <c r="C73" s="39"/>
      <c r="D73" s="39"/>
      <c r="E73" s="153">
        <f>SUM(G57:G64)*0.15</f>
        <v>741.15554599999984</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0.03*(I40+I55+I71)</f>
        <v>149.30955417505342</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0.01*(I40+I55+I71)</f>
        <v>49.769851391684483</v>
      </c>
    </row>
    <row r="81" spans="1:9">
      <c r="A81" s="2"/>
      <c r="B81" s="33" t="s">
        <v>749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104</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+I40+I55+I71+I77+I83+I93</f>
        <v>5126.2946933435014</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5176.0645447351862</v>
      </c>
    </row>
  </sheetData>
  <mergeCells count="4">
    <mergeCell ref="B1:D1"/>
    <mergeCell ref="E55:H55"/>
    <mergeCell ref="B67:I68"/>
    <mergeCell ref="B72:C72"/>
  </mergeCells>
  <pageMargins left="0.75" right="0.75" top="1" bottom="1" header="0.5" footer="0.5"/>
  <pageSetup scale="59" orientation="portrait" r:id="rId1"/>
  <headerFooter alignWithMargins="0"/>
</worksheet>
</file>

<file path=xl/worksheets/sheet133.xml><?xml version="1.0" encoding="utf-8"?>
<worksheet xmlns="http://schemas.openxmlformats.org/spreadsheetml/2006/main" xmlns:r="http://schemas.openxmlformats.org/officeDocument/2006/relationships">
  <sheetPr>
    <pageSetUpPr fitToPage="1"/>
  </sheetPr>
  <dimension ref="A1:L99"/>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1403</v>
      </c>
      <c r="F6" s="7" t="str">
        <f>+D36</f>
        <v>Each</v>
      </c>
      <c r="G6" s="85">
        <f>+I25</f>
        <v>6160.0552390076264</v>
      </c>
    </row>
    <row r="7" spans="1:12" hidden="1">
      <c r="A7" s="2"/>
      <c r="B7" s="54">
        <f>+B6</f>
        <v>410</v>
      </c>
      <c r="C7" s="7" t="str">
        <f>+C6</f>
        <v>EQIP</v>
      </c>
      <c r="D7" s="53" t="s">
        <v>1391</v>
      </c>
      <c r="E7" s="53" t="str">
        <f>CONCATENATE(E6, "-HU")</f>
        <v>Rock Chute: Up to 250 cfs and 12' overfall-HU</v>
      </c>
      <c r="F7" s="7" t="str">
        <f>+F6</f>
        <v>Each</v>
      </c>
      <c r="G7" s="85">
        <f>+J25</f>
        <v>7392.0662868091522</v>
      </c>
    </row>
    <row r="8" spans="1:12" hidden="1">
      <c r="A8" s="2"/>
      <c r="B8" s="54">
        <v>410</v>
      </c>
      <c r="C8" s="7" t="str">
        <f>+G12</f>
        <v>WHIP</v>
      </c>
      <c r="D8" s="53" t="s">
        <v>1391</v>
      </c>
      <c r="E8" s="53" t="s">
        <v>1403</v>
      </c>
      <c r="F8" s="7" t="str">
        <f>+D36</f>
        <v>Each</v>
      </c>
      <c r="G8" s="85">
        <f>+K25</f>
        <v>0</v>
      </c>
    </row>
    <row r="9" spans="1:12" hidden="1">
      <c r="A9" s="2"/>
      <c r="B9" s="8">
        <f>+B8</f>
        <v>410</v>
      </c>
      <c r="C9" s="10" t="str">
        <f>+C8</f>
        <v>WHIP</v>
      </c>
      <c r="D9" s="9" t="s">
        <v>1391</v>
      </c>
      <c r="E9" s="9" t="str">
        <f>CONCATENATE(E6, "-HU")</f>
        <v>Rock Chute: Up to 250 cfs and 12'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34.198165835115226</v>
      </c>
      <c r="E16" s="160">
        <f>+'[10]Payment Factors'!D18</f>
        <v>0.75</v>
      </c>
      <c r="F16" s="160">
        <f>+'[10]Payment Factors'!E18</f>
        <v>0.9</v>
      </c>
      <c r="G16" s="160">
        <f>+'[10]Payment Factors'!F19</f>
        <v>0</v>
      </c>
      <c r="H16" s="160">
        <f>+'[10]Payment Factors'!G19</f>
        <v>0</v>
      </c>
      <c r="I16" s="1154">
        <f t="shared" ref="I16:L24" si="0">+$D16*E16</f>
        <v>25.648624376336421</v>
      </c>
      <c r="J16" s="1154">
        <f t="shared" si="0"/>
        <v>30.778349251603704</v>
      </c>
      <c r="K16" s="1154">
        <f t="shared" si="0"/>
        <v>0</v>
      </c>
      <c r="L16" s="1155">
        <f t="shared" si="0"/>
        <v>0</v>
      </c>
    </row>
    <row r="17" spans="1:12" hidden="1">
      <c r="A17" s="2"/>
      <c r="B17" s="15" t="s">
        <v>2</v>
      </c>
      <c r="C17" s="16"/>
      <c r="D17" s="24">
        <f>+I55</f>
        <v>6748.9858673333329</v>
      </c>
      <c r="E17" s="160">
        <f t="shared" ref="E17:H19" si="1">+E16</f>
        <v>0.75</v>
      </c>
      <c r="F17" s="160">
        <f t="shared" si="1"/>
        <v>0.9</v>
      </c>
      <c r="G17" s="160">
        <f t="shared" si="1"/>
        <v>0</v>
      </c>
      <c r="H17" s="160">
        <f t="shared" si="1"/>
        <v>0</v>
      </c>
      <c r="I17" s="1154">
        <f t="shared" si="0"/>
        <v>5061.7394004999996</v>
      </c>
      <c r="J17" s="1154">
        <f t="shared" si="0"/>
        <v>6074.0872805999998</v>
      </c>
      <c r="K17" s="1154">
        <f t="shared" si="0"/>
        <v>0</v>
      </c>
      <c r="L17" s="1155">
        <f t="shared" si="0"/>
        <v>0</v>
      </c>
    </row>
    <row r="18" spans="1:12" hidden="1">
      <c r="A18" s="2"/>
      <c r="B18" s="15" t="s">
        <v>3</v>
      </c>
      <c r="C18" s="16"/>
      <c r="D18" s="24">
        <f>+I71</f>
        <v>1190.9975059999999</v>
      </c>
      <c r="E18" s="160">
        <f t="shared" si="1"/>
        <v>0.75</v>
      </c>
      <c r="F18" s="160">
        <f t="shared" si="1"/>
        <v>0.9</v>
      </c>
      <c r="G18" s="160">
        <f t="shared" si="1"/>
        <v>0</v>
      </c>
      <c r="H18" s="160">
        <f t="shared" si="1"/>
        <v>0</v>
      </c>
      <c r="I18" s="1154">
        <f t="shared" si="0"/>
        <v>893.2481295</v>
      </c>
      <c r="J18" s="1154">
        <f t="shared" si="0"/>
        <v>1071.8977554000001</v>
      </c>
      <c r="K18" s="1154">
        <f t="shared" si="0"/>
        <v>0</v>
      </c>
      <c r="L18" s="1155">
        <f t="shared" si="0"/>
        <v>0</v>
      </c>
    </row>
    <row r="19" spans="1:12" hidden="1">
      <c r="A19" s="2"/>
      <c r="B19" s="15" t="s">
        <v>4</v>
      </c>
      <c r="C19" s="16"/>
      <c r="D19" s="24">
        <f>+I77</f>
        <v>239.22544617505343</v>
      </c>
      <c r="E19" s="160">
        <f t="shared" si="1"/>
        <v>0.75</v>
      </c>
      <c r="F19" s="160">
        <f t="shared" si="1"/>
        <v>0.9</v>
      </c>
      <c r="G19" s="160">
        <f t="shared" si="1"/>
        <v>0</v>
      </c>
      <c r="H19" s="160">
        <f t="shared" si="1"/>
        <v>0</v>
      </c>
      <c r="I19" s="1154">
        <f t="shared" si="0"/>
        <v>179.41908463129008</v>
      </c>
      <c r="J19" s="1154">
        <f t="shared" si="0"/>
        <v>215.3029015575481</v>
      </c>
      <c r="K19" s="1154">
        <f t="shared" si="0"/>
        <v>0</v>
      </c>
      <c r="L19" s="1155">
        <f t="shared" si="0"/>
        <v>0</v>
      </c>
    </row>
    <row r="20" spans="1:12" hidden="1">
      <c r="A20" s="2"/>
      <c r="B20" s="15" t="s">
        <v>26</v>
      </c>
      <c r="C20" s="16"/>
      <c r="D20" s="24">
        <f>+I80</f>
        <v>79.741815391684483</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+I86</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8293.1488007351854</v>
      </c>
      <c r="E25" s="1158"/>
      <c r="F25" s="1158"/>
      <c r="G25" s="28"/>
      <c r="H25" s="28"/>
      <c r="I25" s="1159">
        <f>SUM(I16:I24)</f>
        <v>6160.0552390076264</v>
      </c>
      <c r="J25" s="1159">
        <f>SUM(J16:J24)</f>
        <v>7392.0662868091522</v>
      </c>
      <c r="K25" s="1159">
        <f>SUM(K16:K24)</f>
        <v>0</v>
      </c>
      <c r="L25" s="1160">
        <f>SUM(L16:L24)</f>
        <v>0</v>
      </c>
    </row>
    <row r="26" spans="1:12" hidden="1"/>
    <row r="27" spans="1:12" ht="15.75">
      <c r="A27" s="2"/>
      <c r="B27" s="50" t="s">
        <v>28</v>
      </c>
      <c r="C27" s="2"/>
      <c r="D27" s="2"/>
      <c r="E27" s="2"/>
      <c r="F27" s="2"/>
      <c r="G27" s="2"/>
      <c r="H27" s="2"/>
      <c r="I27" s="5"/>
    </row>
    <row r="28" spans="1:12">
      <c r="A28" s="2"/>
      <c r="B28" s="29" t="s">
        <v>1404</v>
      </c>
      <c r="C28" s="30"/>
      <c r="D28" s="30"/>
      <c r="E28" s="31"/>
      <c r="F28" s="31"/>
      <c r="G28" s="31"/>
      <c r="H28" s="31"/>
      <c r="I28" s="32"/>
    </row>
    <row r="29" spans="1:12">
      <c r="A29" s="2"/>
      <c r="B29" s="1161" t="s">
        <v>1394</v>
      </c>
      <c r="C29" s="34"/>
      <c r="D29" s="34"/>
      <c r="E29" s="35"/>
      <c r="F29" s="35"/>
      <c r="G29" s="35"/>
      <c r="H29" s="35"/>
      <c r="I29" s="36"/>
    </row>
    <row r="30" spans="1:12">
      <c r="A30" s="2"/>
      <c r="B30" s="1161" t="s">
        <v>1395</v>
      </c>
      <c r="C30" s="143"/>
      <c r="D30" s="34"/>
      <c r="E30" s="35"/>
      <c r="F30" s="1163"/>
      <c r="G30" s="35"/>
      <c r="H30" s="35"/>
      <c r="I30" s="36"/>
    </row>
    <row r="31" spans="1:12">
      <c r="A31" s="2"/>
      <c r="B31" s="37" t="s">
        <v>1396</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34.198165835115226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0.2</v>
      </c>
      <c r="G43" s="1171">
        <f t="shared" si="2"/>
        <v>1.75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(SUM(G57:G64)*0.85)</f>
        <v>6748.9858673333329</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4" si="3">+F57*E57</f>
        <v>114.76224000000001</v>
      </c>
      <c r="H57" s="35"/>
      <c r="I57" s="47"/>
    </row>
    <row r="58" spans="1:9">
      <c r="A58" s="2"/>
      <c r="B58" s="1206" t="str">
        <f>+'[29]Core Rates'!A261</f>
        <v>Riprap (Chute in Place)</v>
      </c>
      <c r="C58" s="6"/>
      <c r="D58" s="1382" t="str">
        <f>+'[29]Core Rates'!B261</f>
        <v>Ton</v>
      </c>
      <c r="E58" s="1384">
        <f>+'[29]Core Rates'!C264</f>
        <v>28.9542</v>
      </c>
      <c r="F58" s="1170">
        <v>234</v>
      </c>
      <c r="G58" s="1171">
        <f t="shared" si="3"/>
        <v>6775.2828</v>
      </c>
      <c r="H58" s="35"/>
      <c r="I58" s="47"/>
    </row>
    <row r="59" spans="1:9">
      <c r="A59" s="2"/>
      <c r="B59" s="1188" t="str">
        <f>+'[29]Core Rates'!A139</f>
        <v>Geo-Textile (Installed)</v>
      </c>
      <c r="C59" s="6"/>
      <c r="D59" s="1384" t="str">
        <f>+'[29]Core Rates'!B139</f>
        <v>Sq Yd</v>
      </c>
      <c r="E59" s="1383">
        <f>+'[29]Core Rates'!C139</f>
        <v>2.2050000000000001</v>
      </c>
      <c r="F59" s="1170">
        <v>386</v>
      </c>
      <c r="G59" s="1171">
        <f t="shared" si="3"/>
        <v>851.13</v>
      </c>
      <c r="H59" s="35"/>
      <c r="I59" s="47"/>
    </row>
    <row r="60" spans="1:9">
      <c r="A60" s="2"/>
      <c r="B60" s="40" t="s">
        <v>461</v>
      </c>
      <c r="C60" s="6"/>
      <c r="D60" s="1168" t="s">
        <v>408</v>
      </c>
      <c r="E60" s="1169">
        <f>+'[29]Core Rates'!C104</f>
        <v>20</v>
      </c>
      <c r="F60" s="1170">
        <v>0.2</v>
      </c>
      <c r="G60" s="1171">
        <f t="shared" si="3"/>
        <v>4</v>
      </c>
      <c r="H60" s="35"/>
      <c r="I60" s="47"/>
    </row>
    <row r="61" spans="1:9">
      <c r="A61" s="2"/>
      <c r="B61" s="40" t="s">
        <v>462</v>
      </c>
      <c r="C61" s="6"/>
      <c r="D61" s="1168" t="s">
        <v>408</v>
      </c>
      <c r="E61" s="1169">
        <f>+'[29]Core Rates'!AN33</f>
        <v>5.416666666666667</v>
      </c>
      <c r="F61" s="1170">
        <v>0.2</v>
      </c>
      <c r="G61" s="1171">
        <f t="shared" si="3"/>
        <v>1.0833333333333335</v>
      </c>
      <c r="H61" s="35"/>
      <c r="I61" s="47"/>
    </row>
    <row r="62" spans="1:9">
      <c r="A62" s="2"/>
      <c r="B62" s="40" t="s">
        <v>463</v>
      </c>
      <c r="C62" s="6"/>
      <c r="D62" s="1168" t="s">
        <v>452</v>
      </c>
      <c r="E62" s="1169">
        <f>+'[29]Core Rates'!AN34</f>
        <v>5.5</v>
      </c>
      <c r="F62" s="1170">
        <v>0.4</v>
      </c>
      <c r="G62" s="1171">
        <f t="shared" si="3"/>
        <v>2.2000000000000002</v>
      </c>
      <c r="H62" s="35"/>
      <c r="I62" s="47"/>
    </row>
    <row r="63" spans="1:9">
      <c r="A63" s="2"/>
      <c r="B63" s="40" t="s">
        <v>464</v>
      </c>
      <c r="C63" s="6"/>
      <c r="D63" s="1168" t="s">
        <v>452</v>
      </c>
      <c r="E63" s="1169">
        <f>+'[29]Core Rates'!AN32</f>
        <v>6.3125</v>
      </c>
      <c r="F63" s="1170">
        <v>0.4</v>
      </c>
      <c r="G63" s="1171">
        <f t="shared" si="3"/>
        <v>2.5250000000000004</v>
      </c>
      <c r="H63" s="35"/>
      <c r="I63" s="47"/>
    </row>
    <row r="64" spans="1:9">
      <c r="A64" s="2"/>
      <c r="B64" s="40" t="s">
        <v>1280</v>
      </c>
      <c r="C64" s="6"/>
      <c r="D64" s="1168" t="s">
        <v>619</v>
      </c>
      <c r="E64" s="1169">
        <f>+'[29]Core Rates'!C217</f>
        <v>472.5</v>
      </c>
      <c r="F64" s="1170">
        <v>0.4</v>
      </c>
      <c r="G64" s="1171">
        <f t="shared" si="3"/>
        <v>189</v>
      </c>
      <c r="H64" s="35"/>
      <c r="I64" s="47"/>
    </row>
    <row r="65" spans="1:9">
      <c r="A65" s="2"/>
      <c r="B65" s="40"/>
      <c r="C65" s="6"/>
      <c r="D65" s="63"/>
      <c r="E65" s="150"/>
      <c r="F65" s="150"/>
      <c r="G65" s="1169"/>
      <c r="H65" s="35"/>
      <c r="I65" s="47"/>
    </row>
    <row r="66" spans="1:9">
      <c r="A66" s="2"/>
      <c r="B66" s="37" t="s">
        <v>43</v>
      </c>
      <c r="C66" s="35"/>
      <c r="D66" s="35"/>
      <c r="E66" s="60"/>
      <c r="F66" s="60"/>
      <c r="G66" s="60"/>
      <c r="H66" s="35"/>
      <c r="I66" s="46"/>
    </row>
    <row r="67" spans="1:9" ht="12.75" customHeight="1">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1190.9975059999999</v>
      </c>
    </row>
    <row r="72" spans="1:9">
      <c r="A72" s="2"/>
      <c r="B72" s="2007" t="s">
        <v>465</v>
      </c>
      <c r="C72" s="2008"/>
      <c r="D72" s="35"/>
      <c r="E72" s="35"/>
      <c r="F72" s="35"/>
      <c r="G72" s="35"/>
      <c r="H72" s="35"/>
      <c r="I72" s="48"/>
    </row>
    <row r="73" spans="1:9">
      <c r="A73" s="2"/>
      <c r="B73" s="37" t="s">
        <v>466</v>
      </c>
      <c r="C73" s="39"/>
      <c r="D73" s="39"/>
      <c r="E73" s="153">
        <f>SUM(G57:G64)*0.15</f>
        <v>1190.9975059999999</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0.03*(I40+I55+I71)</f>
        <v>239.22544617505343</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0.01*(I40+I55+I71)</f>
        <v>79.741815391684483</v>
      </c>
    </row>
    <row r="81" spans="1:9">
      <c r="A81" s="2"/>
      <c r="B81" s="33" t="s">
        <v>749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104</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+I40+I55+I71+I77+I83+I93</f>
        <v>8213.4069853435012</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8293.1488007351854</v>
      </c>
    </row>
  </sheetData>
  <mergeCells count="4">
    <mergeCell ref="B1:D1"/>
    <mergeCell ref="E55:H55"/>
    <mergeCell ref="B67:I68"/>
    <mergeCell ref="B72:C72"/>
  </mergeCells>
  <pageMargins left="0.75" right="0.75" top="1" bottom="1" header="0.5" footer="0.5"/>
  <pageSetup scale="59" orientation="portrait" r:id="rId1"/>
  <headerFooter alignWithMargins="0"/>
</worksheet>
</file>

<file path=xl/worksheets/sheet134.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1405</v>
      </c>
      <c r="F6" s="7" t="str">
        <f>+D36</f>
        <v>Each</v>
      </c>
      <c r="G6" s="85">
        <f>+I25</f>
        <v>650.4134520663132</v>
      </c>
    </row>
    <row r="7" spans="1:12" hidden="1">
      <c r="A7" s="2"/>
      <c r="B7" s="54">
        <f>+B6</f>
        <v>410</v>
      </c>
      <c r="C7" s="7" t="str">
        <f>+C6</f>
        <v>EQIP</v>
      </c>
      <c r="D7" s="53" t="s">
        <v>1391</v>
      </c>
      <c r="E7" s="53" t="str">
        <f>CONCATENATE(E6, "-HU")</f>
        <v>Wire Panel Straight Drop 8' wide up to 4' overfall-HU</v>
      </c>
      <c r="F7" s="7" t="str">
        <f>+F6</f>
        <v>Each</v>
      </c>
      <c r="G7" s="85">
        <f>+J25</f>
        <v>780.49614247957606</v>
      </c>
    </row>
    <row r="8" spans="1:12" hidden="1">
      <c r="A8" s="2"/>
      <c r="B8" s="54">
        <v>410</v>
      </c>
      <c r="C8" s="7" t="str">
        <f>+G12</f>
        <v>WHIP</v>
      </c>
      <c r="D8" s="53" t="s">
        <v>1391</v>
      </c>
      <c r="E8" s="53" t="s">
        <v>1405</v>
      </c>
      <c r="F8" s="7" t="str">
        <f>+D36</f>
        <v>Each</v>
      </c>
      <c r="G8" s="85">
        <f>+K25</f>
        <v>0</v>
      </c>
    </row>
    <row r="9" spans="1:12" hidden="1">
      <c r="A9" s="2"/>
      <c r="B9" s="8">
        <f>+B8</f>
        <v>410</v>
      </c>
      <c r="C9" s="10" t="str">
        <f>+C8</f>
        <v>WHIP</v>
      </c>
      <c r="D9" s="9" t="s">
        <v>1391</v>
      </c>
      <c r="E9" s="9" t="str">
        <f>CONCATENATE(E6, "-HU")</f>
        <v>Wire Panel Straight Drop 8' wide up to 4'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17.974082917557613</v>
      </c>
      <c r="E16" s="160">
        <f>+'[10]Payment Factors'!D18</f>
        <v>0.75</v>
      </c>
      <c r="F16" s="160">
        <f>+'[10]Payment Factors'!E18</f>
        <v>0.9</v>
      </c>
      <c r="G16" s="160">
        <f>+'[10]Payment Factors'!F19</f>
        <v>0</v>
      </c>
      <c r="H16" s="160">
        <f>+'[10]Payment Factors'!G19</f>
        <v>0</v>
      </c>
      <c r="I16" s="1154">
        <f t="shared" ref="I16:L24" si="0">+$D16*E16</f>
        <v>13.480562188168211</v>
      </c>
      <c r="J16" s="1154">
        <f t="shared" si="0"/>
        <v>16.176674625801851</v>
      </c>
      <c r="K16" s="1154">
        <f t="shared" si="0"/>
        <v>0</v>
      </c>
      <c r="L16" s="1155">
        <f t="shared" si="0"/>
        <v>0</v>
      </c>
    </row>
    <row r="17" spans="1:12" hidden="1">
      <c r="A17" s="2"/>
      <c r="B17" s="15" t="s">
        <v>2</v>
      </c>
      <c r="C17" s="16"/>
      <c r="D17" s="24">
        <f>+I55</f>
        <v>700.38731658333336</v>
      </c>
      <c r="E17" s="160">
        <f t="shared" ref="E17:H19" si="1">+E16</f>
        <v>0.75</v>
      </c>
      <c r="F17" s="160">
        <f t="shared" si="1"/>
        <v>0.9</v>
      </c>
      <c r="G17" s="160">
        <f t="shared" si="1"/>
        <v>0</v>
      </c>
      <c r="H17" s="160">
        <f t="shared" si="1"/>
        <v>0</v>
      </c>
      <c r="I17" s="1154">
        <f t="shared" si="0"/>
        <v>525.29048743750002</v>
      </c>
      <c r="J17" s="1154">
        <f t="shared" si="0"/>
        <v>630.34858492500007</v>
      </c>
      <c r="K17" s="1154">
        <f t="shared" si="0"/>
        <v>0</v>
      </c>
      <c r="L17" s="1155">
        <f t="shared" si="0"/>
        <v>0</v>
      </c>
    </row>
    <row r="18" spans="1:12" hidden="1">
      <c r="A18" s="2"/>
      <c r="B18" s="15" t="s">
        <v>3</v>
      </c>
      <c r="C18" s="16"/>
      <c r="D18" s="24">
        <f>+I70</f>
        <v>123.59776175</v>
      </c>
      <c r="E18" s="160">
        <f t="shared" si="1"/>
        <v>0.75</v>
      </c>
      <c r="F18" s="160">
        <f t="shared" si="1"/>
        <v>0.9</v>
      </c>
      <c r="G18" s="160">
        <f t="shared" si="1"/>
        <v>0</v>
      </c>
      <c r="H18" s="160">
        <f t="shared" si="1"/>
        <v>0</v>
      </c>
      <c r="I18" s="1154">
        <f t="shared" si="0"/>
        <v>92.698321312499999</v>
      </c>
      <c r="J18" s="1154">
        <f t="shared" si="0"/>
        <v>111.23798557500001</v>
      </c>
      <c r="K18" s="1154">
        <f t="shared" si="0"/>
        <v>0</v>
      </c>
      <c r="L18" s="1155">
        <f t="shared" si="0"/>
        <v>0</v>
      </c>
    </row>
    <row r="19" spans="1:12" hidden="1">
      <c r="A19" s="2"/>
      <c r="B19" s="15" t="s">
        <v>4</v>
      </c>
      <c r="C19" s="16"/>
      <c r="D19" s="24">
        <f>+I76</f>
        <v>25.25877483752673</v>
      </c>
      <c r="E19" s="160">
        <f t="shared" si="1"/>
        <v>0.75</v>
      </c>
      <c r="F19" s="160">
        <f t="shared" si="1"/>
        <v>0.9</v>
      </c>
      <c r="G19" s="160">
        <f t="shared" si="1"/>
        <v>0</v>
      </c>
      <c r="H19" s="160">
        <f t="shared" si="1"/>
        <v>0</v>
      </c>
      <c r="I19" s="1154">
        <f t="shared" si="0"/>
        <v>18.944081128145047</v>
      </c>
      <c r="J19" s="1154">
        <f t="shared" si="0"/>
        <v>22.732897353774057</v>
      </c>
      <c r="K19" s="1154">
        <f t="shared" si="0"/>
        <v>0</v>
      </c>
      <c r="L19" s="1155">
        <f t="shared" si="0"/>
        <v>0</v>
      </c>
    </row>
    <row r="20" spans="1:12" hidden="1">
      <c r="A20" s="2"/>
      <c r="B20" s="15" t="s">
        <v>26</v>
      </c>
      <c r="C20" s="16"/>
      <c r="D20" s="24">
        <f>+I79</f>
        <v>8.4195916125089099</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875.63752770092674</v>
      </c>
      <c r="E25" s="1158"/>
      <c r="F25" s="1158"/>
      <c r="G25" s="28"/>
      <c r="H25" s="28"/>
      <c r="I25" s="1159">
        <f>SUM(I16:I24)</f>
        <v>650.4134520663132</v>
      </c>
      <c r="J25" s="1159">
        <f>SUM(J16:J24)</f>
        <v>780.49614247957606</v>
      </c>
      <c r="K25" s="1159">
        <f>SUM(K16:K24)</f>
        <v>0</v>
      </c>
      <c r="L25" s="1160">
        <f>SUM(L16:L24)</f>
        <v>0</v>
      </c>
    </row>
    <row r="26" spans="1:12" hidden="1"/>
    <row r="27" spans="1:12" ht="15.75">
      <c r="A27" s="2"/>
      <c r="B27" s="50" t="s">
        <v>28</v>
      </c>
      <c r="C27" s="2"/>
      <c r="D27" s="2"/>
      <c r="E27" s="2"/>
      <c r="F27" s="2"/>
      <c r="G27" s="2"/>
      <c r="H27" s="2"/>
      <c r="I27" s="5"/>
    </row>
    <row r="28" spans="1:12">
      <c r="A28" s="2"/>
      <c r="B28" s="29" t="s">
        <v>1405</v>
      </c>
      <c r="C28" s="30"/>
      <c r="D28" s="30"/>
      <c r="E28" s="31"/>
      <c r="F28" s="31"/>
      <c r="G28" s="31"/>
      <c r="H28" s="31"/>
      <c r="I28" s="32"/>
    </row>
    <row r="29" spans="1:12">
      <c r="A29" s="2"/>
      <c r="B29" s="1161" t="s">
        <v>1406</v>
      </c>
      <c r="C29" s="34"/>
      <c r="D29" s="34"/>
      <c r="E29" s="35"/>
      <c r="F29" s="35"/>
      <c r="G29" s="35"/>
      <c r="H29" s="35"/>
      <c r="I29" s="36"/>
    </row>
    <row r="30" spans="1:12">
      <c r="A30" s="2"/>
      <c r="B30" s="1161" t="s">
        <v>1395</v>
      </c>
      <c r="C30" s="143"/>
      <c r="D30" s="34"/>
      <c r="E30" s="35"/>
      <c r="F30" s="1163"/>
      <c r="G30" s="35"/>
      <c r="H30" s="35"/>
      <c r="I30" s="36"/>
    </row>
    <row r="31" spans="1:12">
      <c r="A31" s="2"/>
      <c r="B31" s="37" t="s">
        <v>1407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17.974082917557613</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0.2</v>
      </c>
      <c r="G43" s="1171">
        <f t="shared" si="2"/>
        <v>1.75</v>
      </c>
      <c r="H43" s="35"/>
      <c r="I43" s="36"/>
    </row>
    <row r="44" spans="1:9">
      <c r="A44" s="2"/>
      <c r="B44" s="1184" t="s">
        <v>453</v>
      </c>
      <c r="C44" s="6"/>
      <c r="D44" s="1185" t="s">
        <v>454</v>
      </c>
      <c r="E44" s="1169">
        <f>+'[29]Core Rates'!C228</f>
        <v>0.82427536231884069</v>
      </c>
      <c r="F44" s="1170">
        <v>5</v>
      </c>
      <c r="G44" s="1171">
        <f t="shared" si="2"/>
        <v>4.1213768115942031</v>
      </c>
      <c r="H44" s="35"/>
      <c r="I44" s="36"/>
    </row>
    <row r="45" spans="1:9">
      <c r="A45" s="2"/>
      <c r="B45" s="1186" t="s">
        <v>455</v>
      </c>
      <c r="C45" s="1187"/>
      <c r="D45" s="1185" t="s">
        <v>454</v>
      </c>
      <c r="E45" s="1169">
        <f>+'[29]Core Rates'!C235</f>
        <v>1.1702898550724636</v>
      </c>
      <c r="F45" s="1170">
        <v>5</v>
      </c>
      <c r="G45" s="1171">
        <f t="shared" si="2"/>
        <v>5.8514492753623184</v>
      </c>
      <c r="H45" s="35"/>
      <c r="I45" s="36"/>
    </row>
    <row r="46" spans="1:9">
      <c r="A46" s="2"/>
      <c r="B46" s="1186" t="s">
        <v>456</v>
      </c>
      <c r="C46" s="1187"/>
      <c r="D46" s="1168" t="s">
        <v>454</v>
      </c>
      <c r="E46" s="1169">
        <f>+'[29]Core Rates'!C246</f>
        <v>0.58825136612021856</v>
      </c>
      <c r="F46" s="1170">
        <v>5</v>
      </c>
      <c r="G46" s="1171">
        <f t="shared" si="2"/>
        <v>2.9412568306010929</v>
      </c>
      <c r="H46" s="35"/>
      <c r="I46" s="36"/>
    </row>
    <row r="47" spans="1:9">
      <c r="A47" s="2"/>
      <c r="B47" s="1186" t="s">
        <v>479</v>
      </c>
      <c r="C47" s="1187"/>
      <c r="D47" s="1185" t="s">
        <v>454</v>
      </c>
      <c r="E47" s="1169">
        <f>+'[29]Core Rates 2011'!BE307</f>
        <v>1.68</v>
      </c>
      <c r="F47" s="1170">
        <v>1</v>
      </c>
      <c r="G47" s="1171">
        <f t="shared" si="2"/>
        <v>1.68</v>
      </c>
      <c r="H47" s="35"/>
      <c r="I47" s="36"/>
    </row>
    <row r="48" spans="1:9">
      <c r="A48" s="2"/>
      <c r="B48" s="1186" t="s">
        <v>480</v>
      </c>
      <c r="C48" s="1187"/>
      <c r="D48" s="1185" t="s">
        <v>454</v>
      </c>
      <c r="E48" s="1169">
        <f>+'[29]Core Rates 2011'!BE308</f>
        <v>1.61</v>
      </c>
      <c r="F48" s="1170">
        <v>0.5</v>
      </c>
      <c r="G48" s="1171">
        <f t="shared" si="2"/>
        <v>0.80500000000000005</v>
      </c>
      <c r="H48" s="35"/>
      <c r="I48" s="36"/>
    </row>
    <row r="49" spans="1:9">
      <c r="A49" s="2"/>
      <c r="B49" s="1186" t="s">
        <v>481</v>
      </c>
      <c r="C49" s="1187"/>
      <c r="D49" s="1185" t="s">
        <v>454</v>
      </c>
      <c r="E49" s="1169">
        <f>+'[29]Core Rates 2011'!BE309</f>
        <v>2.75</v>
      </c>
      <c r="F49" s="1170">
        <v>0.3</v>
      </c>
      <c r="G49" s="1171">
        <f t="shared" si="2"/>
        <v>0.82499999999999996</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(SUM(G57:G63)*0.85)</f>
        <v>700.38731658333336</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0.1</v>
      </c>
      <c r="G57" s="1171">
        <f t="shared" ref="G57:G63" si="3">+F57*E57</f>
        <v>57.381120000000003</v>
      </c>
      <c r="H57" s="35"/>
      <c r="I57" s="47"/>
    </row>
    <row r="58" spans="1:9">
      <c r="A58" s="2"/>
      <c r="B58" s="1206" t="str">
        <f>+'[29]Core Rates'!A265</f>
        <v>Rock, Filter Fabric, Pipe, Cattle Panel, Labor (Installed)</v>
      </c>
      <c r="C58" s="6"/>
      <c r="D58" s="1382" t="str">
        <f>+'[29]Core Rates'!B265</f>
        <v>Ton</v>
      </c>
      <c r="E58" s="1383">
        <f>+'[29]Core Rates'!C265</f>
        <v>40.312249999999999</v>
      </c>
      <c r="F58" s="1170">
        <v>17.5</v>
      </c>
      <c r="G58" s="1171">
        <f t="shared" si="3"/>
        <v>705.46437500000002</v>
      </c>
      <c r="H58" s="35"/>
      <c r="I58" s="47"/>
    </row>
    <row r="59" spans="1:9">
      <c r="A59" s="2"/>
      <c r="B59" s="40" t="s">
        <v>461</v>
      </c>
      <c r="C59" s="6"/>
      <c r="D59" s="1168" t="s">
        <v>408</v>
      </c>
      <c r="E59" s="1169">
        <f>+'[29]Core Rates'!C104</f>
        <v>20</v>
      </c>
      <c r="F59" s="1170">
        <v>0.5</v>
      </c>
      <c r="G59" s="1171">
        <f t="shared" si="3"/>
        <v>10</v>
      </c>
      <c r="H59" s="35"/>
      <c r="I59" s="47"/>
    </row>
    <row r="60" spans="1:9">
      <c r="A60" s="2"/>
      <c r="B60" s="40" t="s">
        <v>462</v>
      </c>
      <c r="C60" s="6"/>
      <c r="D60" s="1168" t="s">
        <v>408</v>
      </c>
      <c r="E60" s="1169">
        <f>+'[29]Core Rates'!AN33</f>
        <v>5.416666666666667</v>
      </c>
      <c r="F60" s="1170">
        <v>0.5</v>
      </c>
      <c r="G60" s="1171">
        <f t="shared" si="3"/>
        <v>2.7083333333333335</v>
      </c>
      <c r="H60" s="35"/>
      <c r="I60" s="47"/>
    </row>
    <row r="61" spans="1:9">
      <c r="A61" s="2"/>
      <c r="B61" s="40" t="s">
        <v>463</v>
      </c>
      <c r="C61" s="6"/>
      <c r="D61" s="1168" t="s">
        <v>452</v>
      </c>
      <c r="E61" s="1169">
        <f>+'[29]Core Rates'!AN34</f>
        <v>5.5</v>
      </c>
      <c r="F61" s="1170">
        <v>0.1</v>
      </c>
      <c r="G61" s="1171">
        <f t="shared" si="3"/>
        <v>0.55000000000000004</v>
      </c>
      <c r="H61" s="35"/>
      <c r="I61" s="47"/>
    </row>
    <row r="62" spans="1:9">
      <c r="A62" s="2"/>
      <c r="B62" s="40" t="s">
        <v>464</v>
      </c>
      <c r="C62" s="6"/>
      <c r="D62" s="1168" t="s">
        <v>452</v>
      </c>
      <c r="E62" s="1169">
        <f>+'[29]Core Rates'!AN32</f>
        <v>6.3125</v>
      </c>
      <c r="F62" s="1170">
        <v>0.1</v>
      </c>
      <c r="G62" s="1171">
        <f t="shared" si="3"/>
        <v>0.63125000000000009</v>
      </c>
      <c r="H62" s="35"/>
      <c r="I62" s="47"/>
    </row>
    <row r="63" spans="1:9">
      <c r="A63" s="2"/>
      <c r="B63" s="40" t="s">
        <v>1280</v>
      </c>
      <c r="C63" s="6"/>
      <c r="D63" s="1168" t="s">
        <v>619</v>
      </c>
      <c r="E63" s="1169">
        <f>+'[29]Core Rates'!C217</f>
        <v>472.5</v>
      </c>
      <c r="F63" s="1170">
        <v>0.1</v>
      </c>
      <c r="G63" s="1171">
        <f t="shared" si="3"/>
        <v>47.25</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457</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123.59776175</v>
      </c>
    </row>
    <row r="71" spans="1:9">
      <c r="A71" s="2"/>
      <c r="B71" s="2007" t="s">
        <v>465</v>
      </c>
      <c r="C71" s="2008"/>
      <c r="D71" s="35"/>
      <c r="E71" s="35"/>
      <c r="F71" s="35"/>
      <c r="G71" s="35"/>
      <c r="H71" s="35"/>
      <c r="I71" s="48"/>
    </row>
    <row r="72" spans="1:9">
      <c r="A72" s="2"/>
      <c r="B72" s="37" t="s">
        <v>466</v>
      </c>
      <c r="C72" s="39"/>
      <c r="D72" s="39"/>
      <c r="E72" s="153">
        <f>SUM(G57:G63)*0.15</f>
        <v>123.59776175</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0.03*(I40+I55+I70)</f>
        <v>25.25877483752673</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0.01*(I40+I55+I70)</f>
        <v>8.4195916125089099</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104</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104</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+I40+I55+I70+I76+I82+I92</f>
        <v>867.21793608841779</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SUM(I39:I92)</f>
        <v>875.63752770092674</v>
      </c>
    </row>
  </sheetData>
  <mergeCells count="4">
    <mergeCell ref="B1:D1"/>
    <mergeCell ref="E55:H55"/>
    <mergeCell ref="B66:I67"/>
    <mergeCell ref="B71:C71"/>
  </mergeCells>
  <pageMargins left="0.75" right="0.75" top="1" bottom="1" header="0.5" footer="0.5"/>
  <pageSetup scale="59" orientation="portrait" r:id="rId1"/>
  <headerFooter alignWithMargins="0"/>
</worksheet>
</file>

<file path=xl/worksheets/sheet135.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1408</v>
      </c>
      <c r="F6" s="7" t="str">
        <f>+D36</f>
        <v>Each</v>
      </c>
      <c r="G6" s="85">
        <f>+I25</f>
        <v>1602.4218478826265</v>
      </c>
    </row>
    <row r="7" spans="1:12" hidden="1">
      <c r="A7" s="2"/>
      <c r="B7" s="54">
        <f>+B6</f>
        <v>410</v>
      </c>
      <c r="C7" s="7" t="str">
        <f>+C6</f>
        <v>EQIP</v>
      </c>
      <c r="D7" s="53" t="s">
        <v>1391</v>
      </c>
      <c r="E7" s="53" t="str">
        <f>CONCATENATE(E6, "-HU")</f>
        <v>Wire Panel Straight Drop 8' wide 4'-8' overfall-HU</v>
      </c>
      <c r="F7" s="7" t="str">
        <f>+F6</f>
        <v>Each</v>
      </c>
      <c r="G7" s="85">
        <f>+J25</f>
        <v>1922.9062174591518</v>
      </c>
    </row>
    <row r="8" spans="1:12" hidden="1">
      <c r="A8" s="2"/>
      <c r="B8" s="54">
        <v>410</v>
      </c>
      <c r="C8" s="7" t="str">
        <f>+G12</f>
        <v>WHIP</v>
      </c>
      <c r="D8" s="53" t="s">
        <v>1391</v>
      </c>
      <c r="E8" s="53" t="s">
        <v>1408</v>
      </c>
      <c r="F8" s="7" t="str">
        <f>+D36</f>
        <v>Each</v>
      </c>
      <c r="G8" s="85">
        <f>+K25</f>
        <v>0</v>
      </c>
    </row>
    <row r="9" spans="1:12" hidden="1">
      <c r="A9" s="2"/>
      <c r="B9" s="8">
        <f>+B8</f>
        <v>410</v>
      </c>
      <c r="C9" s="10" t="str">
        <f>+C8</f>
        <v>WHIP</v>
      </c>
      <c r="D9" s="9" t="s">
        <v>1391</v>
      </c>
      <c r="E9" s="9" t="str">
        <f>CONCATENATE(E6, "-HU")</f>
        <v>Wire Panel Straight Drop 8' wide 4'-8'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35.948165835115226</v>
      </c>
      <c r="E16" s="160">
        <f>+'[10]Payment Factors'!D18</f>
        <v>0.75</v>
      </c>
      <c r="F16" s="160">
        <f>+'[10]Payment Factors'!E18</f>
        <v>0.9</v>
      </c>
      <c r="G16" s="160">
        <f>+'[10]Payment Factors'!F19</f>
        <v>0</v>
      </c>
      <c r="H16" s="160">
        <f>+'[10]Payment Factors'!G19</f>
        <v>0</v>
      </c>
      <c r="I16" s="1154">
        <f t="shared" ref="I16:L24" si="0">+$D16*E16</f>
        <v>26.961124376336421</v>
      </c>
      <c r="J16" s="1154">
        <f t="shared" si="0"/>
        <v>32.353349251603703</v>
      </c>
      <c r="K16" s="1154">
        <f t="shared" si="0"/>
        <v>0</v>
      </c>
      <c r="L16" s="1155">
        <f t="shared" si="0"/>
        <v>0</v>
      </c>
    </row>
    <row r="17" spans="1:12" hidden="1">
      <c r="A17" s="2"/>
      <c r="B17" s="15" t="s">
        <v>2</v>
      </c>
      <c r="C17" s="16"/>
      <c r="D17" s="24">
        <f>+I55</f>
        <v>1732.6266748333333</v>
      </c>
      <c r="E17" s="160">
        <f t="shared" ref="E17:H19" si="1">+E16</f>
        <v>0.75</v>
      </c>
      <c r="F17" s="160">
        <f t="shared" si="1"/>
        <v>0.9</v>
      </c>
      <c r="G17" s="160">
        <f t="shared" si="1"/>
        <v>0</v>
      </c>
      <c r="H17" s="160">
        <f t="shared" si="1"/>
        <v>0</v>
      </c>
      <c r="I17" s="1154">
        <f t="shared" si="0"/>
        <v>1299.4700061250001</v>
      </c>
      <c r="J17" s="1154">
        <f t="shared" si="0"/>
        <v>1559.3640073500001</v>
      </c>
      <c r="K17" s="1154">
        <f t="shared" si="0"/>
        <v>0</v>
      </c>
      <c r="L17" s="1155">
        <f t="shared" si="0"/>
        <v>0</v>
      </c>
    </row>
    <row r="18" spans="1:12" hidden="1">
      <c r="A18" s="2"/>
      <c r="B18" s="15" t="s">
        <v>3</v>
      </c>
      <c r="C18" s="16"/>
      <c r="D18" s="24">
        <f>+I70</f>
        <v>305.75764849999996</v>
      </c>
      <c r="E18" s="160">
        <f t="shared" si="1"/>
        <v>0.75</v>
      </c>
      <c r="F18" s="160">
        <f t="shared" si="1"/>
        <v>0.9</v>
      </c>
      <c r="G18" s="160">
        <f t="shared" si="1"/>
        <v>0</v>
      </c>
      <c r="H18" s="160">
        <f t="shared" si="1"/>
        <v>0</v>
      </c>
      <c r="I18" s="1154">
        <f t="shared" si="0"/>
        <v>229.31823637499997</v>
      </c>
      <c r="J18" s="1154">
        <f t="shared" si="0"/>
        <v>275.18188364999997</v>
      </c>
      <c r="K18" s="1154">
        <f t="shared" si="0"/>
        <v>0</v>
      </c>
      <c r="L18" s="1155">
        <f t="shared" si="0"/>
        <v>0</v>
      </c>
    </row>
    <row r="19" spans="1:12" hidden="1">
      <c r="A19" s="2"/>
      <c r="B19" s="15" t="s">
        <v>4</v>
      </c>
      <c r="C19" s="16"/>
      <c r="D19" s="24">
        <f>+I76</f>
        <v>62.229974675053462</v>
      </c>
      <c r="E19" s="160">
        <f t="shared" si="1"/>
        <v>0.75</v>
      </c>
      <c r="F19" s="160">
        <f t="shared" si="1"/>
        <v>0.9</v>
      </c>
      <c r="G19" s="160">
        <f t="shared" si="1"/>
        <v>0</v>
      </c>
      <c r="H19" s="160">
        <f t="shared" si="1"/>
        <v>0</v>
      </c>
      <c r="I19" s="1154">
        <f t="shared" si="0"/>
        <v>46.672481006290099</v>
      </c>
      <c r="J19" s="1154">
        <f t="shared" si="0"/>
        <v>56.006977207548118</v>
      </c>
      <c r="K19" s="1154">
        <f t="shared" si="0"/>
        <v>0</v>
      </c>
      <c r="L19" s="1155">
        <f t="shared" si="0"/>
        <v>0</v>
      </c>
    </row>
    <row r="20" spans="1:12" hidden="1">
      <c r="A20" s="2"/>
      <c r="B20" s="15" t="s">
        <v>26</v>
      </c>
      <c r="C20" s="16"/>
      <c r="D20" s="24">
        <f>+I79</f>
        <v>20.743324891684487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2157.305788735187</v>
      </c>
      <c r="E25" s="1158"/>
      <c r="F25" s="1158"/>
      <c r="G25" s="28"/>
      <c r="H25" s="28"/>
      <c r="I25" s="1159">
        <f>SUM(I16:I24)</f>
        <v>1602.4218478826265</v>
      </c>
      <c r="J25" s="1159">
        <f>SUM(J16:J24)</f>
        <v>1922.9062174591518</v>
      </c>
      <c r="K25" s="1159">
        <f>SUM(K16:K24)</f>
        <v>0</v>
      </c>
      <c r="L25" s="1160">
        <f>SUM(L16:L24)</f>
        <v>0</v>
      </c>
    </row>
    <row r="26" spans="1:12" hidden="1"/>
    <row r="27" spans="1:12" ht="15.75">
      <c r="A27" s="2"/>
      <c r="B27" s="1414" t="s">
        <v>28</v>
      </c>
      <c r="C27" s="2"/>
      <c r="D27" s="2"/>
      <c r="E27" s="2"/>
      <c r="F27" s="2"/>
      <c r="G27" s="2"/>
      <c r="H27" s="2"/>
      <c r="I27" s="5"/>
    </row>
    <row r="28" spans="1:12">
      <c r="A28" s="174"/>
      <c r="B28" s="1415" t="s">
        <v>1409</v>
      </c>
      <c r="C28" s="30"/>
      <c r="D28" s="30"/>
      <c r="E28" s="31"/>
      <c r="F28" s="31"/>
      <c r="G28" s="31"/>
      <c r="H28" s="31"/>
      <c r="I28" s="32"/>
    </row>
    <row r="29" spans="1:12">
      <c r="A29" s="2"/>
      <c r="B29" s="1161" t="s">
        <v>1406</v>
      </c>
      <c r="C29" s="34"/>
      <c r="D29" s="34"/>
      <c r="E29" s="35"/>
      <c r="F29" s="35"/>
      <c r="G29" s="35"/>
      <c r="H29" s="35"/>
      <c r="I29" s="36"/>
    </row>
    <row r="30" spans="1:12">
      <c r="A30" s="2"/>
      <c r="B30" s="1161" t="s">
        <v>1395</v>
      </c>
      <c r="C30" s="143"/>
      <c r="D30" s="34"/>
      <c r="E30" s="35"/>
      <c r="F30" s="1163"/>
      <c r="G30" s="35"/>
      <c r="H30" s="35"/>
      <c r="I30" s="36"/>
    </row>
    <row r="31" spans="1:12">
      <c r="A31" s="2"/>
      <c r="B31" s="37" t="s">
        <v>1407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35.948165835115226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0.4</v>
      </c>
      <c r="G43" s="1171">
        <f t="shared" si="2"/>
        <v>3.5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(SUM(G57:G63)*0.85)</f>
        <v>1732.6266748333333</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3" si="3">+F57*E57</f>
        <v>114.76224000000001</v>
      </c>
      <c r="H57" s="35"/>
      <c r="I57" s="47"/>
    </row>
    <row r="58" spans="1:9">
      <c r="A58" s="2"/>
      <c r="B58" s="1206" t="str">
        <f>+'[29]Core Rates'!A265</f>
        <v>Rock, Filter Fabric, Pipe, Cattle Panel, Labor (Installed)</v>
      </c>
      <c r="C58" s="6"/>
      <c r="D58" s="1382" t="str">
        <f>+'[29]Core Rates'!B265</f>
        <v>Ton</v>
      </c>
      <c r="E58" s="1383">
        <f>+'[29]Core Rates'!C265</f>
        <v>40.312249999999999</v>
      </c>
      <c r="F58" s="1170">
        <v>45</v>
      </c>
      <c r="G58" s="1171">
        <f t="shared" si="3"/>
        <v>1814.05125</v>
      </c>
      <c r="H58" s="35"/>
      <c r="I58" s="47"/>
    </row>
    <row r="59" spans="1:9">
      <c r="A59" s="2"/>
      <c r="B59" s="40" t="s">
        <v>461</v>
      </c>
      <c r="C59" s="6"/>
      <c r="D59" s="1168" t="s">
        <v>408</v>
      </c>
      <c r="E59" s="1169">
        <f>+'[29]Core Rates'!C104</f>
        <v>20</v>
      </c>
      <c r="F59" s="1170">
        <v>0.5</v>
      </c>
      <c r="G59" s="1171">
        <f t="shared" si="3"/>
        <v>10</v>
      </c>
      <c r="H59" s="35"/>
      <c r="I59" s="47"/>
    </row>
    <row r="60" spans="1:9">
      <c r="A60" s="2"/>
      <c r="B60" s="40" t="s">
        <v>462</v>
      </c>
      <c r="C60" s="6"/>
      <c r="D60" s="1168" t="s">
        <v>408</v>
      </c>
      <c r="E60" s="1169">
        <f>+'[29]Core Rates'!AN33</f>
        <v>5.416666666666667</v>
      </c>
      <c r="F60" s="1170">
        <v>0.5</v>
      </c>
      <c r="G60" s="1171">
        <f t="shared" si="3"/>
        <v>2.7083333333333335</v>
      </c>
      <c r="H60" s="35"/>
      <c r="I60" s="47"/>
    </row>
    <row r="61" spans="1:9">
      <c r="A61" s="2"/>
      <c r="B61" s="40" t="s">
        <v>463</v>
      </c>
      <c r="C61" s="6"/>
      <c r="D61" s="1168" t="s">
        <v>452</v>
      </c>
      <c r="E61" s="1169">
        <f>+'[29]Core Rates'!AN34</f>
        <v>5.5</v>
      </c>
      <c r="F61" s="1170">
        <v>0.2</v>
      </c>
      <c r="G61" s="1171">
        <f t="shared" si="3"/>
        <v>1.1000000000000001</v>
      </c>
      <c r="H61" s="35"/>
      <c r="I61" s="47"/>
    </row>
    <row r="62" spans="1:9">
      <c r="A62" s="2"/>
      <c r="B62" s="40" t="s">
        <v>464</v>
      </c>
      <c r="C62" s="6"/>
      <c r="D62" s="1168" t="s">
        <v>452</v>
      </c>
      <c r="E62" s="1169">
        <f>+'[29]Core Rates'!AN32</f>
        <v>6.3125</v>
      </c>
      <c r="F62" s="1170">
        <v>0.2</v>
      </c>
      <c r="G62" s="1171">
        <f t="shared" si="3"/>
        <v>1.2625000000000002</v>
      </c>
      <c r="H62" s="35"/>
      <c r="I62" s="47"/>
    </row>
    <row r="63" spans="1:9">
      <c r="A63" s="2"/>
      <c r="B63" s="40" t="s">
        <v>1280</v>
      </c>
      <c r="C63" s="6"/>
      <c r="D63" s="1168" t="s">
        <v>619</v>
      </c>
      <c r="E63" s="1169">
        <f>+'[29]Core Rates'!C217</f>
        <v>472.5</v>
      </c>
      <c r="F63" s="1170">
        <v>0.2</v>
      </c>
      <c r="G63" s="1171">
        <f t="shared" si="3"/>
        <v>94.5</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457</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305.75764849999996</v>
      </c>
    </row>
    <row r="71" spans="1:9">
      <c r="A71" s="2"/>
      <c r="B71" s="2007" t="s">
        <v>465</v>
      </c>
      <c r="C71" s="2008"/>
      <c r="D71" s="35"/>
      <c r="E71" s="35"/>
      <c r="F71" s="35"/>
      <c r="G71" s="35"/>
      <c r="H71" s="35"/>
      <c r="I71" s="48"/>
    </row>
    <row r="72" spans="1:9">
      <c r="A72" s="2"/>
      <c r="B72" s="37" t="s">
        <v>466</v>
      </c>
      <c r="C72" s="39"/>
      <c r="D72" s="39"/>
      <c r="E72" s="153">
        <f>SUM(G57:G63)*0.15</f>
        <v>305.75764849999996</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0.03*(I40+I55+I70)</f>
        <v>62.229974675053462</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0.01*(I40+I55+I70)</f>
        <v>20.743324891684487</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104</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104</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+I40+I55+I70+I76+I82+I92</f>
        <v>2136.5624638435024</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SUM(I39:I92)</f>
        <v>2157.305788735187</v>
      </c>
    </row>
  </sheetData>
  <mergeCells count="4">
    <mergeCell ref="B1:D1"/>
    <mergeCell ref="E55:H55"/>
    <mergeCell ref="B66:I67"/>
    <mergeCell ref="B71:C71"/>
  </mergeCells>
  <pageMargins left="0.75" right="0.75" top="1" bottom="1" header="0.5" footer="0.5"/>
  <pageSetup scale="59" orientation="portrait" r:id="rId1"/>
  <headerFooter alignWithMargins="0"/>
</worksheet>
</file>

<file path=xl/worksheets/sheet136.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1410</v>
      </c>
      <c r="F6" s="7" t="str">
        <f>+D36</f>
        <v>Each</v>
      </c>
      <c r="G6" s="85">
        <f>+I25</f>
        <v>1020.0811624451262</v>
      </c>
    </row>
    <row r="7" spans="1:12" hidden="1">
      <c r="A7" s="2"/>
      <c r="B7" s="54">
        <f>+B6</f>
        <v>410</v>
      </c>
      <c r="C7" s="7" t="str">
        <f>+C6</f>
        <v>EQIP</v>
      </c>
      <c r="D7" s="53" t="s">
        <v>1391</v>
      </c>
      <c r="E7" s="53" t="str">
        <f>CONCATENATE(E6, "-HU")</f>
        <v>Wire Panel Straight Drop 16' wide up to 4' overfall-HU</v>
      </c>
      <c r="F7" s="7" t="str">
        <f>+F6</f>
        <v>Each</v>
      </c>
      <c r="G7" s="85">
        <f>+J25</f>
        <v>1224.0973949341517</v>
      </c>
    </row>
    <row r="8" spans="1:12" hidden="1">
      <c r="A8" s="2"/>
      <c r="B8" s="54">
        <v>410</v>
      </c>
      <c r="C8" s="7" t="str">
        <f>+G12</f>
        <v>WHIP</v>
      </c>
      <c r="D8" s="53" t="s">
        <v>1391</v>
      </c>
      <c r="E8" s="53" t="s">
        <v>1410</v>
      </c>
      <c r="F8" s="7" t="str">
        <f>+D36</f>
        <v>Each</v>
      </c>
      <c r="G8" s="85">
        <f>+K25</f>
        <v>0</v>
      </c>
    </row>
    <row r="9" spans="1:12" hidden="1">
      <c r="A9" s="2"/>
      <c r="B9" s="8">
        <f>+B8</f>
        <v>410</v>
      </c>
      <c r="C9" s="10" t="str">
        <f>+C8</f>
        <v>WHIP</v>
      </c>
      <c r="D9" s="9" t="s">
        <v>1391</v>
      </c>
      <c r="E9" s="9" t="str">
        <f>CONCATENATE(E6, "-HU")</f>
        <v>Wire Panel Straight Drop 16' wide up to 4'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35.948165835115226</v>
      </c>
      <c r="E16" s="160">
        <f>+'[10]Payment Factors'!D18</f>
        <v>0.75</v>
      </c>
      <c r="F16" s="160">
        <f>+'[10]Payment Factors'!E18</f>
        <v>0.9</v>
      </c>
      <c r="G16" s="160">
        <f>+'[10]Payment Factors'!F19</f>
        <v>0</v>
      </c>
      <c r="H16" s="160">
        <f>+'[10]Payment Factors'!G19</f>
        <v>0</v>
      </c>
      <c r="I16" s="1154">
        <f t="shared" ref="I16:L24" si="0">+$D16*E16</f>
        <v>26.961124376336421</v>
      </c>
      <c r="J16" s="1154">
        <f t="shared" si="0"/>
        <v>32.353349251603703</v>
      </c>
      <c r="K16" s="1154">
        <f t="shared" si="0"/>
        <v>0</v>
      </c>
      <c r="L16" s="1155">
        <f t="shared" si="0"/>
        <v>0</v>
      </c>
    </row>
    <row r="17" spans="1:12" hidden="1">
      <c r="A17" s="2"/>
      <c r="B17" s="15" t="s">
        <v>2</v>
      </c>
      <c r="C17" s="16"/>
      <c r="D17" s="24">
        <f>+I55</f>
        <v>1091.863461083333</v>
      </c>
      <c r="E17" s="160">
        <f t="shared" ref="E17:H19" si="1">+E16</f>
        <v>0.75</v>
      </c>
      <c r="F17" s="160">
        <f t="shared" si="1"/>
        <v>0.9</v>
      </c>
      <c r="G17" s="160">
        <f t="shared" si="1"/>
        <v>0</v>
      </c>
      <c r="H17" s="160">
        <f t="shared" si="1"/>
        <v>0</v>
      </c>
      <c r="I17" s="1154">
        <f t="shared" si="0"/>
        <v>818.89759581249973</v>
      </c>
      <c r="J17" s="1154">
        <f t="shared" si="0"/>
        <v>982.67711497499977</v>
      </c>
      <c r="K17" s="1154">
        <f t="shared" si="0"/>
        <v>0</v>
      </c>
      <c r="L17" s="1155">
        <f t="shared" si="0"/>
        <v>0</v>
      </c>
    </row>
    <row r="18" spans="1:12" hidden="1">
      <c r="A18" s="2"/>
      <c r="B18" s="15" t="s">
        <v>3</v>
      </c>
      <c r="C18" s="16"/>
      <c r="D18" s="24">
        <f>+I70</f>
        <v>192.68178724999996</v>
      </c>
      <c r="E18" s="160">
        <f t="shared" si="1"/>
        <v>0.75</v>
      </c>
      <c r="F18" s="160">
        <f t="shared" si="1"/>
        <v>0.9</v>
      </c>
      <c r="G18" s="160">
        <f t="shared" si="1"/>
        <v>0</v>
      </c>
      <c r="H18" s="160">
        <f t="shared" si="1"/>
        <v>0</v>
      </c>
      <c r="I18" s="1154">
        <f t="shared" si="0"/>
        <v>144.51134043749997</v>
      </c>
      <c r="J18" s="1154">
        <f t="shared" si="0"/>
        <v>173.41360852499997</v>
      </c>
      <c r="K18" s="1154">
        <f t="shared" si="0"/>
        <v>0</v>
      </c>
      <c r="L18" s="1155">
        <f t="shared" si="0"/>
        <v>0</v>
      </c>
    </row>
    <row r="19" spans="1:12" hidden="1">
      <c r="A19" s="2"/>
      <c r="B19" s="15" t="s">
        <v>4</v>
      </c>
      <c r="C19" s="16"/>
      <c r="D19" s="24">
        <f>+I76</f>
        <v>39.614802425053455</v>
      </c>
      <c r="E19" s="160">
        <f t="shared" si="1"/>
        <v>0.75</v>
      </c>
      <c r="F19" s="160">
        <f t="shared" si="1"/>
        <v>0.9</v>
      </c>
      <c r="G19" s="160">
        <f t="shared" si="1"/>
        <v>0</v>
      </c>
      <c r="H19" s="160">
        <f t="shared" si="1"/>
        <v>0</v>
      </c>
      <c r="I19" s="1154">
        <f t="shared" si="0"/>
        <v>29.711101818790091</v>
      </c>
      <c r="J19" s="1154">
        <f t="shared" si="0"/>
        <v>35.653322182548109</v>
      </c>
      <c r="K19" s="1154">
        <f t="shared" si="0"/>
        <v>0</v>
      </c>
      <c r="L19" s="1155">
        <f t="shared" si="0"/>
        <v>0</v>
      </c>
    </row>
    <row r="20" spans="1:12" hidden="1">
      <c r="A20" s="2"/>
      <c r="B20" s="15" t="s">
        <v>26</v>
      </c>
      <c r="C20" s="16"/>
      <c r="D20" s="24">
        <f>+I79</f>
        <v>13.204934141684484</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1373.3131507351866</v>
      </c>
      <c r="E25" s="1158"/>
      <c r="F25" s="1158"/>
      <c r="G25" s="28"/>
      <c r="H25" s="28"/>
      <c r="I25" s="1159">
        <f>SUM(I16:I24)</f>
        <v>1020.0811624451262</v>
      </c>
      <c r="J25" s="1159">
        <f>SUM(J16:J24)</f>
        <v>1224.0973949341517</v>
      </c>
      <c r="K25" s="1159">
        <f>SUM(K16:K24)</f>
        <v>0</v>
      </c>
      <c r="L25" s="1160">
        <f>SUM(L16:L24)</f>
        <v>0</v>
      </c>
    </row>
    <row r="26" spans="1:12" hidden="1"/>
    <row r="27" spans="1:12" ht="15.75">
      <c r="A27" s="2"/>
      <c r="B27" s="50" t="s">
        <v>28</v>
      </c>
      <c r="C27" s="2"/>
      <c r="D27" s="2"/>
      <c r="E27" s="2"/>
      <c r="F27" s="2"/>
      <c r="G27" s="2"/>
      <c r="H27" s="2"/>
      <c r="I27" s="5"/>
    </row>
    <row r="28" spans="1:12">
      <c r="A28" s="2"/>
      <c r="B28" s="29" t="s">
        <v>1410</v>
      </c>
      <c r="C28" s="30"/>
      <c r="D28" s="30"/>
      <c r="E28" s="31"/>
      <c r="F28" s="31"/>
      <c r="G28" s="31"/>
      <c r="H28" s="31"/>
      <c r="I28" s="32"/>
    </row>
    <row r="29" spans="1:12">
      <c r="A29" s="2"/>
      <c r="B29" s="1161" t="s">
        <v>1406</v>
      </c>
      <c r="C29" s="34"/>
      <c r="D29" s="34"/>
      <c r="E29" s="35"/>
      <c r="F29" s="35"/>
      <c r="G29" s="35"/>
      <c r="H29" s="35"/>
      <c r="I29" s="36"/>
    </row>
    <row r="30" spans="1:12">
      <c r="A30" s="2"/>
      <c r="B30" s="1161" t="s">
        <v>1395</v>
      </c>
      <c r="C30" s="143"/>
      <c r="D30" s="34"/>
      <c r="E30" s="35"/>
      <c r="F30" s="1163"/>
      <c r="G30" s="35"/>
      <c r="H30" s="35"/>
      <c r="I30" s="36"/>
    </row>
    <row r="31" spans="1:12">
      <c r="A31" s="2"/>
      <c r="B31" s="37" t="s">
        <v>1407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35.948165835115226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0.4</v>
      </c>
      <c r="G43" s="1171">
        <f t="shared" si="2"/>
        <v>3.5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(SUM(G57:G63)*0.85)</f>
        <v>1091.863461083333</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3" si="3">+F57*E57</f>
        <v>114.76224000000001</v>
      </c>
      <c r="H57" s="35"/>
      <c r="I57" s="47"/>
    </row>
    <row r="58" spans="1:9">
      <c r="A58" s="2"/>
      <c r="B58" s="1206" t="str">
        <f>+'[29]Core Rates'!A265</f>
        <v>Rock, Filter Fabric, Pipe, Cattle Panel, Labor (Installed)</v>
      </c>
      <c r="C58" s="6"/>
      <c r="D58" s="1382" t="str">
        <f>+'[29]Core Rates'!B265</f>
        <v>Ton</v>
      </c>
      <c r="E58" s="1383">
        <f>+'[29]Core Rates'!C265</f>
        <v>40.312249999999999</v>
      </c>
      <c r="F58" s="1170">
        <v>26.3</v>
      </c>
      <c r="G58" s="1171">
        <f t="shared" si="3"/>
        <v>1060.2121749999999</v>
      </c>
      <c r="H58" s="35"/>
      <c r="I58" s="47"/>
    </row>
    <row r="59" spans="1:9">
      <c r="A59" s="2"/>
      <c r="B59" s="40" t="s">
        <v>461</v>
      </c>
      <c r="C59" s="6"/>
      <c r="D59" s="1168" t="s">
        <v>408</v>
      </c>
      <c r="E59" s="1169">
        <f>+'[29]Core Rates'!C104</f>
        <v>20</v>
      </c>
      <c r="F59" s="1170">
        <v>0.5</v>
      </c>
      <c r="G59" s="1171">
        <f t="shared" si="3"/>
        <v>10</v>
      </c>
      <c r="H59" s="35"/>
      <c r="I59" s="47"/>
    </row>
    <row r="60" spans="1:9">
      <c r="A60" s="2"/>
      <c r="B60" s="40" t="s">
        <v>462</v>
      </c>
      <c r="C60" s="6"/>
      <c r="D60" s="1168" t="s">
        <v>408</v>
      </c>
      <c r="E60" s="1169">
        <f>+'[29]Core Rates'!AN33</f>
        <v>5.416666666666667</v>
      </c>
      <c r="F60" s="1170">
        <v>0.5</v>
      </c>
      <c r="G60" s="1171">
        <f t="shared" si="3"/>
        <v>2.7083333333333335</v>
      </c>
      <c r="H60" s="35"/>
      <c r="I60" s="47"/>
    </row>
    <row r="61" spans="1:9">
      <c r="A61" s="2"/>
      <c r="B61" s="40" t="s">
        <v>463</v>
      </c>
      <c r="C61" s="6"/>
      <c r="D61" s="1168" t="s">
        <v>452</v>
      </c>
      <c r="E61" s="1169">
        <f>+'[29]Core Rates'!AN34</f>
        <v>5.5</v>
      </c>
      <c r="F61" s="1170">
        <v>0.2</v>
      </c>
      <c r="G61" s="1171">
        <f t="shared" si="3"/>
        <v>1.1000000000000001</v>
      </c>
      <c r="H61" s="35"/>
      <c r="I61" s="47"/>
    </row>
    <row r="62" spans="1:9">
      <c r="A62" s="2"/>
      <c r="B62" s="40" t="s">
        <v>464</v>
      </c>
      <c r="C62" s="6"/>
      <c r="D62" s="1168" t="s">
        <v>452</v>
      </c>
      <c r="E62" s="1169">
        <f>+'[29]Core Rates'!AN32</f>
        <v>6.3125</v>
      </c>
      <c r="F62" s="1170">
        <v>0.2</v>
      </c>
      <c r="G62" s="1171">
        <f t="shared" si="3"/>
        <v>1.2625000000000002</v>
      </c>
      <c r="H62" s="35"/>
      <c r="I62" s="47"/>
    </row>
    <row r="63" spans="1:9">
      <c r="A63" s="2"/>
      <c r="B63" s="40" t="s">
        <v>1280</v>
      </c>
      <c r="C63" s="6"/>
      <c r="D63" s="1168" t="s">
        <v>619</v>
      </c>
      <c r="E63" s="1169">
        <f>+'[29]Core Rates'!C217</f>
        <v>472.5</v>
      </c>
      <c r="F63" s="1170">
        <v>0.2</v>
      </c>
      <c r="G63" s="1171">
        <f t="shared" si="3"/>
        <v>94.5</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457</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192.68178724999996</v>
      </c>
    </row>
    <row r="71" spans="1:9">
      <c r="A71" s="2"/>
      <c r="B71" s="2007" t="s">
        <v>465</v>
      </c>
      <c r="C71" s="2008"/>
      <c r="D71" s="35"/>
      <c r="E71" s="35"/>
      <c r="F71" s="35"/>
      <c r="G71" s="35"/>
      <c r="H71" s="35"/>
      <c r="I71" s="48"/>
    </row>
    <row r="72" spans="1:9">
      <c r="A72" s="2"/>
      <c r="B72" s="37" t="s">
        <v>466</v>
      </c>
      <c r="C72" s="39"/>
      <c r="D72" s="39"/>
      <c r="E72" s="153">
        <f>SUM(G57:G63)*0.15</f>
        <v>192.68178724999996</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0.03*(I40+I55+I70)</f>
        <v>39.614802425053455</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0.01*(I40+I55+I70)</f>
        <v>13.204934141684484</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104</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104</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+I40+I55+I70+I76+I82+I92</f>
        <v>1360.108216593502</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SUM(I39:I92)</f>
        <v>1373.3131507351866</v>
      </c>
    </row>
  </sheetData>
  <mergeCells count="4">
    <mergeCell ref="B1:D1"/>
    <mergeCell ref="E55:H55"/>
    <mergeCell ref="B66:I67"/>
    <mergeCell ref="B71:C71"/>
  </mergeCells>
  <pageMargins left="0.75" right="0.75" top="1" bottom="1" header="0.5" footer="0.5"/>
  <pageSetup scale="59" orientation="portrait" r:id="rId1"/>
  <headerFooter alignWithMargins="0"/>
</worksheet>
</file>

<file path=xl/worksheets/sheet137.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1411</v>
      </c>
      <c r="F6" s="7" t="str">
        <f>+D36</f>
        <v>Each</v>
      </c>
      <c r="G6" s="85">
        <f>+I25</f>
        <v>2318.6697497576261</v>
      </c>
    </row>
    <row r="7" spans="1:12" hidden="1">
      <c r="A7" s="2"/>
      <c r="B7" s="54">
        <f>+B6</f>
        <v>410</v>
      </c>
      <c r="C7" s="7" t="str">
        <f>+C6</f>
        <v>EQIP</v>
      </c>
      <c r="D7" s="53" t="s">
        <v>1391</v>
      </c>
      <c r="E7" s="53" t="str">
        <f>CONCATENATE(E6, "-HU")</f>
        <v>Wire Panel Straight Drop 16' wide 4'-8' overfall-HU</v>
      </c>
      <c r="F7" s="7" t="str">
        <f>+F6</f>
        <v>Each</v>
      </c>
      <c r="G7" s="85">
        <f>+J25</f>
        <v>2782.4036997091516</v>
      </c>
    </row>
    <row r="8" spans="1:12" hidden="1">
      <c r="A8" s="2"/>
      <c r="B8" s="54">
        <v>410</v>
      </c>
      <c r="C8" s="7" t="str">
        <f>+G12</f>
        <v>WHIP</v>
      </c>
      <c r="D8" s="53" t="s">
        <v>1391</v>
      </c>
      <c r="E8" s="53" t="s">
        <v>1411</v>
      </c>
      <c r="F8" s="7" t="str">
        <f>+D36</f>
        <v>Each</v>
      </c>
      <c r="G8" s="85">
        <f>+K25</f>
        <v>0</v>
      </c>
    </row>
    <row r="9" spans="1:12" hidden="1">
      <c r="A9" s="2"/>
      <c r="B9" s="8">
        <f>+B8</f>
        <v>410</v>
      </c>
      <c r="C9" s="10" t="str">
        <f>+C8</f>
        <v>WHIP</v>
      </c>
      <c r="D9" s="9" t="s">
        <v>1391</v>
      </c>
      <c r="E9" s="9" t="str">
        <f>CONCATENATE(E6, "-HU")</f>
        <v>Wire Panel Straight Drop 16' wide 4'-8'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35.948165835115226</v>
      </c>
      <c r="E16" s="160">
        <f>+'[10]Payment Factors'!D18</f>
        <v>0.75</v>
      </c>
      <c r="F16" s="160">
        <f>+'[10]Payment Factors'!E18</f>
        <v>0.9</v>
      </c>
      <c r="G16" s="160">
        <f>+'[10]Payment Factors'!F19</f>
        <v>0</v>
      </c>
      <c r="H16" s="160">
        <f>+'[10]Payment Factors'!G19</f>
        <v>0</v>
      </c>
      <c r="I16" s="1154">
        <f t="shared" ref="I16:L24" si="0">+$D16*E16</f>
        <v>26.961124376336421</v>
      </c>
      <c r="J16" s="1154">
        <f t="shared" si="0"/>
        <v>32.353349251603703</v>
      </c>
      <c r="K16" s="1154">
        <f t="shared" si="0"/>
        <v>0</v>
      </c>
      <c r="L16" s="1155">
        <f t="shared" si="0"/>
        <v>0</v>
      </c>
    </row>
    <row r="17" spans="1:12" hidden="1">
      <c r="A17" s="2"/>
      <c r="B17" s="15" t="s">
        <v>2</v>
      </c>
      <c r="C17" s="16"/>
      <c r="D17" s="24">
        <f>+I55</f>
        <v>2520.731162333333</v>
      </c>
      <c r="E17" s="160">
        <f t="shared" ref="E17:H19" si="1">+E16</f>
        <v>0.75</v>
      </c>
      <c r="F17" s="160">
        <f t="shared" si="1"/>
        <v>0.9</v>
      </c>
      <c r="G17" s="160">
        <f t="shared" si="1"/>
        <v>0</v>
      </c>
      <c r="H17" s="160">
        <f t="shared" si="1"/>
        <v>0</v>
      </c>
      <c r="I17" s="1154">
        <f t="shared" si="0"/>
        <v>1890.5483717499997</v>
      </c>
      <c r="J17" s="1154">
        <f t="shared" si="0"/>
        <v>2268.6580460999999</v>
      </c>
      <c r="K17" s="1154">
        <f t="shared" si="0"/>
        <v>0</v>
      </c>
      <c r="L17" s="1155">
        <f t="shared" si="0"/>
        <v>0</v>
      </c>
    </row>
    <row r="18" spans="1:12" hidden="1">
      <c r="A18" s="2"/>
      <c r="B18" s="15" t="s">
        <v>3</v>
      </c>
      <c r="C18" s="16"/>
      <c r="D18" s="24">
        <f>+I70</f>
        <v>444.83491099999992</v>
      </c>
      <c r="E18" s="160">
        <f t="shared" si="1"/>
        <v>0.75</v>
      </c>
      <c r="F18" s="160">
        <f t="shared" si="1"/>
        <v>0.9</v>
      </c>
      <c r="G18" s="160">
        <f t="shared" si="1"/>
        <v>0</v>
      </c>
      <c r="H18" s="160">
        <f t="shared" si="1"/>
        <v>0</v>
      </c>
      <c r="I18" s="1154">
        <f t="shared" si="0"/>
        <v>333.62618324999994</v>
      </c>
      <c r="J18" s="1154">
        <f t="shared" si="0"/>
        <v>400.35141989999994</v>
      </c>
      <c r="K18" s="1154">
        <f t="shared" si="0"/>
        <v>0</v>
      </c>
      <c r="L18" s="1155">
        <f t="shared" si="0"/>
        <v>0</v>
      </c>
    </row>
    <row r="19" spans="1:12" hidden="1">
      <c r="A19" s="2"/>
      <c r="B19" s="15" t="s">
        <v>4</v>
      </c>
      <c r="C19" s="16"/>
      <c r="D19" s="24">
        <f>+I76</f>
        <v>90.045427175053433</v>
      </c>
      <c r="E19" s="160">
        <f t="shared" si="1"/>
        <v>0.75</v>
      </c>
      <c r="F19" s="160">
        <f t="shared" si="1"/>
        <v>0.9</v>
      </c>
      <c r="G19" s="160">
        <f t="shared" si="1"/>
        <v>0</v>
      </c>
      <c r="H19" s="160">
        <f t="shared" si="1"/>
        <v>0</v>
      </c>
      <c r="I19" s="1154">
        <f t="shared" si="0"/>
        <v>67.534070381290078</v>
      </c>
      <c r="J19" s="1154">
        <f t="shared" si="0"/>
        <v>81.040884457548088</v>
      </c>
      <c r="K19" s="1154">
        <f t="shared" si="0"/>
        <v>0</v>
      </c>
      <c r="L19" s="1155">
        <f t="shared" si="0"/>
        <v>0</v>
      </c>
    </row>
    <row r="20" spans="1:12" hidden="1">
      <c r="A20" s="2"/>
      <c r="B20" s="15" t="s">
        <v>26</v>
      </c>
      <c r="C20" s="16"/>
      <c r="D20" s="24">
        <f>+I79</f>
        <v>30.015142391684481</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3121.5748087351863</v>
      </c>
      <c r="E25" s="1158"/>
      <c r="F25" s="1158"/>
      <c r="G25" s="28"/>
      <c r="H25" s="28"/>
      <c r="I25" s="1159">
        <f>SUM(I16:I24)</f>
        <v>2318.6697497576261</v>
      </c>
      <c r="J25" s="1159">
        <f>SUM(J16:J24)</f>
        <v>2782.4036997091516</v>
      </c>
      <c r="K25" s="1159">
        <f>SUM(K16:K24)</f>
        <v>0</v>
      </c>
      <c r="L25" s="1160">
        <f>SUM(L16:L24)</f>
        <v>0</v>
      </c>
    </row>
    <row r="26" spans="1:12" hidden="1"/>
    <row r="27" spans="1:12" ht="15.75">
      <c r="A27" s="2"/>
      <c r="B27" s="1414" t="s">
        <v>28</v>
      </c>
      <c r="C27" s="2"/>
      <c r="D27" s="2"/>
      <c r="E27" s="2"/>
      <c r="F27" s="2"/>
      <c r="G27" s="2"/>
      <c r="H27" s="2"/>
      <c r="I27" s="5"/>
    </row>
    <row r="28" spans="1:12">
      <c r="A28" s="174"/>
      <c r="B28" s="1415" t="s">
        <v>1412</v>
      </c>
      <c r="C28" s="30"/>
      <c r="D28" s="30"/>
      <c r="E28" s="31"/>
      <c r="F28" s="31"/>
      <c r="G28" s="31"/>
      <c r="H28" s="31"/>
      <c r="I28" s="32"/>
    </row>
    <row r="29" spans="1:12">
      <c r="A29" s="2"/>
      <c r="B29" s="1161" t="s">
        <v>1406</v>
      </c>
      <c r="C29" s="34"/>
      <c r="D29" s="34"/>
      <c r="E29" s="35"/>
      <c r="F29" s="35"/>
      <c r="G29" s="35"/>
      <c r="H29" s="35"/>
      <c r="I29" s="36"/>
    </row>
    <row r="30" spans="1:12">
      <c r="A30" s="2"/>
      <c r="B30" s="1161" t="s">
        <v>1395</v>
      </c>
      <c r="C30" s="143"/>
      <c r="D30" s="34"/>
      <c r="E30" s="35"/>
      <c r="F30" s="1163"/>
      <c r="G30" s="35"/>
      <c r="H30" s="35"/>
      <c r="I30" s="36"/>
    </row>
    <row r="31" spans="1:12">
      <c r="A31" s="2"/>
      <c r="B31" s="37" t="s">
        <v>1407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35.948165835115226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0.4</v>
      </c>
      <c r="G43" s="1171">
        <f t="shared" si="2"/>
        <v>3.5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(SUM(G57:G63)*0.85)</f>
        <v>2520.731162333333</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3" si="3">+F57*E57</f>
        <v>114.76224000000001</v>
      </c>
      <c r="H57" s="35"/>
      <c r="I57" s="47"/>
    </row>
    <row r="58" spans="1:9">
      <c r="A58" s="2"/>
      <c r="B58" s="1206" t="str">
        <f>+'[29]Core Rates'!A265</f>
        <v>Rock, Filter Fabric, Pipe, Cattle Panel, Labor (Installed)</v>
      </c>
      <c r="C58" s="6"/>
      <c r="D58" s="1382" t="str">
        <f>+'[29]Core Rates'!B265</f>
        <v>Ton</v>
      </c>
      <c r="E58" s="1383">
        <f>+'[29]Core Rates'!C265</f>
        <v>40.312249999999999</v>
      </c>
      <c r="F58" s="1170">
        <v>68</v>
      </c>
      <c r="G58" s="1171">
        <f t="shared" si="3"/>
        <v>2741.2329999999997</v>
      </c>
      <c r="H58" s="35"/>
      <c r="I58" s="47"/>
    </row>
    <row r="59" spans="1:9">
      <c r="A59" s="2"/>
      <c r="B59" s="40" t="s">
        <v>461</v>
      </c>
      <c r="C59" s="6"/>
      <c r="D59" s="1168" t="s">
        <v>408</v>
      </c>
      <c r="E59" s="1169">
        <f>+'[29]Core Rates'!C104</f>
        <v>20</v>
      </c>
      <c r="F59" s="1170">
        <v>0.5</v>
      </c>
      <c r="G59" s="1171">
        <f t="shared" si="3"/>
        <v>10</v>
      </c>
      <c r="H59" s="35"/>
      <c r="I59" s="47"/>
    </row>
    <row r="60" spans="1:9">
      <c r="A60" s="2"/>
      <c r="B60" s="40" t="s">
        <v>462</v>
      </c>
      <c r="C60" s="6"/>
      <c r="D60" s="1168" t="s">
        <v>408</v>
      </c>
      <c r="E60" s="1169">
        <f>+'[29]Core Rates'!AN33</f>
        <v>5.416666666666667</v>
      </c>
      <c r="F60" s="1170">
        <v>0.5</v>
      </c>
      <c r="G60" s="1171">
        <f t="shared" si="3"/>
        <v>2.7083333333333335</v>
      </c>
      <c r="H60" s="35"/>
      <c r="I60" s="47"/>
    </row>
    <row r="61" spans="1:9">
      <c r="A61" s="2"/>
      <c r="B61" s="40" t="s">
        <v>463</v>
      </c>
      <c r="C61" s="6"/>
      <c r="D61" s="1168" t="s">
        <v>452</v>
      </c>
      <c r="E61" s="1169">
        <f>+'[29]Core Rates'!AN34</f>
        <v>5.5</v>
      </c>
      <c r="F61" s="1170">
        <v>0.2</v>
      </c>
      <c r="G61" s="1171">
        <f t="shared" si="3"/>
        <v>1.1000000000000001</v>
      </c>
      <c r="H61" s="35"/>
      <c r="I61" s="47"/>
    </row>
    <row r="62" spans="1:9">
      <c r="A62" s="2"/>
      <c r="B62" s="40" t="s">
        <v>464</v>
      </c>
      <c r="C62" s="6"/>
      <c r="D62" s="1168" t="s">
        <v>452</v>
      </c>
      <c r="E62" s="1169">
        <f>+'[29]Core Rates'!AN32</f>
        <v>6.3125</v>
      </c>
      <c r="F62" s="1170">
        <v>0.2</v>
      </c>
      <c r="G62" s="1171">
        <f t="shared" si="3"/>
        <v>1.2625000000000002</v>
      </c>
      <c r="H62" s="35"/>
      <c r="I62" s="47"/>
    </row>
    <row r="63" spans="1:9">
      <c r="A63" s="2"/>
      <c r="B63" s="40" t="s">
        <v>1280</v>
      </c>
      <c r="C63" s="6"/>
      <c r="D63" s="1168" t="s">
        <v>619</v>
      </c>
      <c r="E63" s="1169">
        <f>+'[29]Core Rates'!C217</f>
        <v>472.5</v>
      </c>
      <c r="F63" s="1170">
        <v>0.2</v>
      </c>
      <c r="G63" s="1171">
        <f t="shared" si="3"/>
        <v>94.5</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457</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444.83491099999992</v>
      </c>
    </row>
    <row r="71" spans="1:9">
      <c r="A71" s="2"/>
      <c r="B71" s="2007" t="s">
        <v>465</v>
      </c>
      <c r="C71" s="2008"/>
      <c r="D71" s="35"/>
      <c r="E71" s="35"/>
      <c r="F71" s="35"/>
      <c r="G71" s="35"/>
      <c r="H71" s="35"/>
      <c r="I71" s="48"/>
    </row>
    <row r="72" spans="1:9">
      <c r="A72" s="2"/>
      <c r="B72" s="37" t="s">
        <v>466</v>
      </c>
      <c r="C72" s="39"/>
      <c r="D72" s="39"/>
      <c r="E72" s="153">
        <f>SUM(G57:G63)*0.15</f>
        <v>444.83491099999992</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0.03*(I40+I55+I70)</f>
        <v>90.045427175053433</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0.01*(I40+I55+I70)</f>
        <v>30.015142391684481</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104</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104</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+I40+I55+I70+I76+I82+I92</f>
        <v>3091.5596663435017</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SUM(I39:I92)</f>
        <v>3121.5748087351863</v>
      </c>
    </row>
  </sheetData>
  <mergeCells count="4">
    <mergeCell ref="B1:D1"/>
    <mergeCell ref="E55:H55"/>
    <mergeCell ref="B66:I67"/>
    <mergeCell ref="B71:C71"/>
  </mergeCells>
  <pageMargins left="0.75" right="0.75" top="1" bottom="1" header="0.5" footer="0.5"/>
  <pageSetup scale="59" orientation="portrait" r:id="rId1"/>
  <headerFooter alignWithMargins="0"/>
</worksheet>
</file>

<file path=xl/worksheets/sheet138.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1413</v>
      </c>
      <c r="F6" s="7" t="str">
        <f>+D36</f>
        <v>Each</v>
      </c>
      <c r="G6" s="85">
        <f>+I25</f>
        <v>1291.0097166326261</v>
      </c>
    </row>
    <row r="7" spans="1:12" hidden="1">
      <c r="A7" s="2"/>
      <c r="B7" s="54">
        <f>+B6</f>
        <v>410</v>
      </c>
      <c r="C7" s="7" t="str">
        <f>+C6</f>
        <v>EQIP</v>
      </c>
      <c r="D7" s="53" t="s">
        <v>1391</v>
      </c>
      <c r="E7" s="53" t="str">
        <f>CONCATENATE(E6, "-HU")</f>
        <v>Wire Panel Straight Drop 24' wide up to 4' overfall-HU</v>
      </c>
      <c r="F7" s="7" t="str">
        <f>+F6</f>
        <v>Each</v>
      </c>
      <c r="G7" s="85">
        <f>+J25</f>
        <v>1549.2116599591518</v>
      </c>
    </row>
    <row r="8" spans="1:12" hidden="1">
      <c r="A8" s="2"/>
      <c r="B8" s="54">
        <v>410</v>
      </c>
      <c r="C8" s="7" t="str">
        <f>+G12</f>
        <v>WHIP</v>
      </c>
      <c r="D8" s="53" t="s">
        <v>1391</v>
      </c>
      <c r="E8" s="53" t="s">
        <v>1413</v>
      </c>
      <c r="F8" s="7" t="str">
        <f>+D36</f>
        <v>Each</v>
      </c>
      <c r="G8" s="85">
        <f>+K25</f>
        <v>0</v>
      </c>
    </row>
    <row r="9" spans="1:12" hidden="1">
      <c r="A9" s="2"/>
      <c r="B9" s="8">
        <f>+B8</f>
        <v>410</v>
      </c>
      <c r="C9" s="10" t="str">
        <f>+C8</f>
        <v>WHIP</v>
      </c>
      <c r="D9" s="9" t="s">
        <v>1391</v>
      </c>
      <c r="E9" s="9" t="str">
        <f>CONCATENATE(E6, "-HU")</f>
        <v>Wire Panel Straight Drop 24' wide up to 4'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35.948165835115226</v>
      </c>
      <c r="E16" s="160">
        <f>+'[10]Payment Factors'!D18</f>
        <v>0.75</v>
      </c>
      <c r="F16" s="160">
        <f>+'[10]Payment Factors'!E18</f>
        <v>0.9</v>
      </c>
      <c r="G16" s="160">
        <f>+'[10]Payment Factors'!F19</f>
        <v>0</v>
      </c>
      <c r="H16" s="160">
        <f>+'[10]Payment Factors'!G19</f>
        <v>0</v>
      </c>
      <c r="I16" s="1154">
        <f t="shared" ref="I16:L24" si="0">+$D16*E16</f>
        <v>26.961124376336421</v>
      </c>
      <c r="J16" s="1154">
        <f t="shared" si="0"/>
        <v>32.353349251603703</v>
      </c>
      <c r="K16" s="1154">
        <f t="shared" si="0"/>
        <v>0</v>
      </c>
      <c r="L16" s="1155">
        <f t="shared" si="0"/>
        <v>0</v>
      </c>
    </row>
    <row r="17" spans="1:12" hidden="1">
      <c r="A17" s="2"/>
      <c r="B17" s="15" t="s">
        <v>2</v>
      </c>
      <c r="C17" s="16"/>
      <c r="D17" s="24">
        <f>+I55</f>
        <v>1389.9725498333332</v>
      </c>
      <c r="E17" s="160">
        <f t="shared" ref="E17:H19" si="1">+E16</f>
        <v>0.75</v>
      </c>
      <c r="F17" s="160">
        <f t="shared" si="1"/>
        <v>0.9</v>
      </c>
      <c r="G17" s="160">
        <f t="shared" si="1"/>
        <v>0</v>
      </c>
      <c r="H17" s="160">
        <f t="shared" si="1"/>
        <v>0</v>
      </c>
      <c r="I17" s="1154">
        <f t="shared" si="0"/>
        <v>1042.4794123749998</v>
      </c>
      <c r="J17" s="1154">
        <f t="shared" si="0"/>
        <v>1250.97529485</v>
      </c>
      <c r="K17" s="1154">
        <f t="shared" si="0"/>
        <v>0</v>
      </c>
      <c r="L17" s="1155">
        <f t="shared" si="0"/>
        <v>0</v>
      </c>
    </row>
    <row r="18" spans="1:12" hidden="1">
      <c r="A18" s="2"/>
      <c r="B18" s="15" t="s">
        <v>3</v>
      </c>
      <c r="C18" s="16"/>
      <c r="D18" s="24">
        <f>+I70</f>
        <v>245.28927349999998</v>
      </c>
      <c r="E18" s="160">
        <f t="shared" si="1"/>
        <v>0.75</v>
      </c>
      <c r="F18" s="160">
        <f t="shared" si="1"/>
        <v>0.9</v>
      </c>
      <c r="G18" s="160">
        <f t="shared" si="1"/>
        <v>0</v>
      </c>
      <c r="H18" s="160">
        <f t="shared" si="1"/>
        <v>0</v>
      </c>
      <c r="I18" s="1154">
        <f t="shared" si="0"/>
        <v>183.96695512499997</v>
      </c>
      <c r="J18" s="1154">
        <f t="shared" si="0"/>
        <v>220.76034614999998</v>
      </c>
      <c r="K18" s="1154">
        <f t="shared" si="0"/>
        <v>0</v>
      </c>
      <c r="L18" s="1155">
        <f t="shared" si="0"/>
        <v>0</v>
      </c>
    </row>
    <row r="19" spans="1:12" hidden="1">
      <c r="A19" s="2"/>
      <c r="B19" s="15" t="s">
        <v>4</v>
      </c>
      <c r="C19" s="16"/>
      <c r="D19" s="24">
        <f>+I76</f>
        <v>50.136299675053458</v>
      </c>
      <c r="E19" s="160">
        <f t="shared" si="1"/>
        <v>0.75</v>
      </c>
      <c r="F19" s="160">
        <f t="shared" si="1"/>
        <v>0.9</v>
      </c>
      <c r="G19" s="160">
        <f t="shared" si="1"/>
        <v>0</v>
      </c>
      <c r="H19" s="160">
        <f t="shared" si="1"/>
        <v>0</v>
      </c>
      <c r="I19" s="1154">
        <f t="shared" si="0"/>
        <v>37.602224756290092</v>
      </c>
      <c r="J19" s="1154">
        <f t="shared" si="0"/>
        <v>45.122669707548113</v>
      </c>
      <c r="K19" s="1154">
        <f t="shared" si="0"/>
        <v>0</v>
      </c>
      <c r="L19" s="1155">
        <f t="shared" si="0"/>
        <v>0</v>
      </c>
    </row>
    <row r="20" spans="1:12" hidden="1">
      <c r="A20" s="2"/>
      <c r="B20" s="15" t="s">
        <v>26</v>
      </c>
      <c r="C20" s="16"/>
      <c r="D20" s="24">
        <f>+I79</f>
        <v>16.712099891684485</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1738.0583887351863</v>
      </c>
      <c r="E25" s="1158"/>
      <c r="F25" s="1158"/>
      <c r="G25" s="28"/>
      <c r="H25" s="28"/>
      <c r="I25" s="1159">
        <f>SUM(I16:I24)</f>
        <v>1291.0097166326261</v>
      </c>
      <c r="J25" s="1159">
        <f>SUM(J16:J24)</f>
        <v>1549.2116599591518</v>
      </c>
      <c r="K25" s="1159">
        <f>SUM(K16:K24)</f>
        <v>0</v>
      </c>
      <c r="L25" s="1160">
        <f>SUM(L16:L24)</f>
        <v>0</v>
      </c>
    </row>
    <row r="26" spans="1:12" hidden="1"/>
    <row r="27" spans="1:12" ht="15.75">
      <c r="A27" s="2"/>
      <c r="B27" s="50" t="s">
        <v>28</v>
      </c>
      <c r="C27" s="2"/>
      <c r="D27" s="2"/>
      <c r="E27" s="2"/>
      <c r="F27" s="2"/>
      <c r="G27" s="2"/>
      <c r="H27" s="2"/>
      <c r="I27" s="5"/>
    </row>
    <row r="28" spans="1:12">
      <c r="A28" s="174"/>
      <c r="B28" s="29" t="s">
        <v>1413</v>
      </c>
      <c r="C28" s="30"/>
      <c r="D28" s="30"/>
      <c r="E28" s="31"/>
      <c r="F28" s="31"/>
      <c r="G28" s="31"/>
      <c r="H28" s="31"/>
      <c r="I28" s="32"/>
    </row>
    <row r="29" spans="1:12">
      <c r="A29" s="2"/>
      <c r="B29" s="1161" t="s">
        <v>1406</v>
      </c>
      <c r="C29" s="34"/>
      <c r="D29" s="34"/>
      <c r="E29" s="35"/>
      <c r="F29" s="35"/>
      <c r="G29" s="35"/>
      <c r="H29" s="35"/>
      <c r="I29" s="36"/>
    </row>
    <row r="30" spans="1:12">
      <c r="A30" s="2"/>
      <c r="B30" s="1161" t="s">
        <v>1395</v>
      </c>
      <c r="C30" s="143"/>
      <c r="D30" s="34"/>
      <c r="E30" s="35"/>
      <c r="F30" s="1163"/>
      <c r="G30" s="35"/>
      <c r="H30" s="35"/>
      <c r="I30" s="36"/>
    </row>
    <row r="31" spans="1:12">
      <c r="A31" s="2"/>
      <c r="B31" s="37" t="s">
        <v>1407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35.948165835115226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0.4</v>
      </c>
      <c r="G43" s="1171">
        <f t="shared" si="2"/>
        <v>3.5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(SUM(G57:G63)*0.85)</f>
        <v>1389.9725498333332</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3" si="3">+F57*E57</f>
        <v>114.76224000000001</v>
      </c>
      <c r="H57" s="35"/>
      <c r="I57" s="47"/>
    </row>
    <row r="58" spans="1:9">
      <c r="A58" s="2"/>
      <c r="B58" s="1206" t="str">
        <f>+'[29]Core Rates'!A265</f>
        <v>Rock, Filter Fabric, Pipe, Cattle Panel, Labor (Installed)</v>
      </c>
      <c r="C58" s="6"/>
      <c r="D58" s="1382" t="str">
        <f>+'[29]Core Rates'!B265</f>
        <v>Ton</v>
      </c>
      <c r="E58" s="1383">
        <f>+'[29]Core Rates'!C265</f>
        <v>40.312249999999999</v>
      </c>
      <c r="F58" s="1170">
        <v>35</v>
      </c>
      <c r="G58" s="1171">
        <f t="shared" si="3"/>
        <v>1410.92875</v>
      </c>
      <c r="H58" s="35"/>
      <c r="I58" s="47"/>
    </row>
    <row r="59" spans="1:9">
      <c r="A59" s="2"/>
      <c r="B59" s="40" t="s">
        <v>461</v>
      </c>
      <c r="C59" s="6"/>
      <c r="D59" s="1168" t="s">
        <v>408</v>
      </c>
      <c r="E59" s="1169">
        <f>+'[29]Core Rates'!C104</f>
        <v>20</v>
      </c>
      <c r="F59" s="1170">
        <v>0.5</v>
      </c>
      <c r="G59" s="1171">
        <f t="shared" si="3"/>
        <v>10</v>
      </c>
      <c r="H59" s="35"/>
      <c r="I59" s="47"/>
    </row>
    <row r="60" spans="1:9">
      <c r="A60" s="2"/>
      <c r="B60" s="40" t="s">
        <v>462</v>
      </c>
      <c r="C60" s="6"/>
      <c r="D60" s="1168" t="s">
        <v>408</v>
      </c>
      <c r="E60" s="1169">
        <f>+'[29]Core Rates'!AN33</f>
        <v>5.416666666666667</v>
      </c>
      <c r="F60" s="1170">
        <v>0.5</v>
      </c>
      <c r="G60" s="1171">
        <f t="shared" si="3"/>
        <v>2.7083333333333335</v>
      </c>
      <c r="H60" s="35"/>
      <c r="I60" s="47"/>
    </row>
    <row r="61" spans="1:9">
      <c r="A61" s="2"/>
      <c r="B61" s="40" t="s">
        <v>463</v>
      </c>
      <c r="C61" s="6"/>
      <c r="D61" s="1168" t="s">
        <v>452</v>
      </c>
      <c r="E61" s="1169">
        <f>+'[29]Core Rates'!AN34</f>
        <v>5.5</v>
      </c>
      <c r="F61" s="1170">
        <v>0.2</v>
      </c>
      <c r="G61" s="1171">
        <f t="shared" si="3"/>
        <v>1.1000000000000001</v>
      </c>
      <c r="H61" s="35"/>
      <c r="I61" s="47"/>
    </row>
    <row r="62" spans="1:9">
      <c r="A62" s="2"/>
      <c r="B62" s="40" t="s">
        <v>464</v>
      </c>
      <c r="C62" s="6"/>
      <c r="D62" s="1168" t="s">
        <v>452</v>
      </c>
      <c r="E62" s="1169">
        <f>+'[29]Core Rates'!AN32</f>
        <v>6.3125</v>
      </c>
      <c r="F62" s="1170">
        <v>0.2</v>
      </c>
      <c r="G62" s="1171">
        <f t="shared" si="3"/>
        <v>1.2625000000000002</v>
      </c>
      <c r="H62" s="35"/>
      <c r="I62" s="47"/>
    </row>
    <row r="63" spans="1:9">
      <c r="A63" s="2"/>
      <c r="B63" s="40" t="s">
        <v>1280</v>
      </c>
      <c r="C63" s="6"/>
      <c r="D63" s="1168" t="s">
        <v>619</v>
      </c>
      <c r="E63" s="1169">
        <f>+'[29]Core Rates'!C217</f>
        <v>472.5</v>
      </c>
      <c r="F63" s="1170">
        <v>0.2</v>
      </c>
      <c r="G63" s="1171">
        <f t="shared" si="3"/>
        <v>94.5</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457</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245.28927349999998</v>
      </c>
    </row>
    <row r="71" spans="1:9">
      <c r="A71" s="2"/>
      <c r="B71" s="2007" t="s">
        <v>465</v>
      </c>
      <c r="C71" s="2008"/>
      <c r="D71" s="35"/>
      <c r="E71" s="35"/>
      <c r="F71" s="35"/>
      <c r="G71" s="35"/>
      <c r="H71" s="35"/>
      <c r="I71" s="48"/>
    </row>
    <row r="72" spans="1:9">
      <c r="A72" s="2"/>
      <c r="B72" s="37" t="s">
        <v>466</v>
      </c>
      <c r="C72" s="39"/>
      <c r="D72" s="39"/>
      <c r="E72" s="153">
        <f>SUM(G57:G63)*0.15</f>
        <v>245.28927349999998</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0.03*(I40+I55+I70)</f>
        <v>50.136299675053458</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0.01*(I40+I55+I70)</f>
        <v>16.712099891684485</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104</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104</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+I40+I55+I70+I76+I82+I92</f>
        <v>1721.346288843502</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SUM(I39:I92)</f>
        <v>1738.0583887351863</v>
      </c>
    </row>
  </sheetData>
  <mergeCells count="4">
    <mergeCell ref="B1:D1"/>
    <mergeCell ref="E55:H55"/>
    <mergeCell ref="B66:I67"/>
    <mergeCell ref="B71:C71"/>
  </mergeCells>
  <pageMargins left="0.75" right="0.75" top="1" bottom="1" header="0.5" footer="0.5"/>
  <pageSetup scale="59" orientation="portrait" r:id="rId1"/>
  <headerFooter alignWithMargins="0"/>
</worksheet>
</file>

<file path=xl/worksheets/sheet139.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1414</v>
      </c>
      <c r="F6" s="7" t="str">
        <f>+D36</f>
        <v>Each</v>
      </c>
      <c r="G6" s="85">
        <f>+I25</f>
        <v>3034.9176516326265</v>
      </c>
    </row>
    <row r="7" spans="1:12" hidden="1">
      <c r="A7" s="2"/>
      <c r="B7" s="54">
        <f>+B6</f>
        <v>410</v>
      </c>
      <c r="C7" s="7" t="str">
        <f>+C6</f>
        <v>EQIP</v>
      </c>
      <c r="D7" s="53" t="s">
        <v>1391</v>
      </c>
      <c r="E7" s="53" t="str">
        <f>CONCATENATE(E6, "-HU")</f>
        <v>Wire Panel Straight Drop 24' wide 4'-8' overfall-HU</v>
      </c>
      <c r="F7" s="7" t="str">
        <f>+F6</f>
        <v>Each</v>
      </c>
      <c r="G7" s="85">
        <f>+J25</f>
        <v>3641.9011819591519</v>
      </c>
    </row>
    <row r="8" spans="1:12" hidden="1">
      <c r="A8" s="2"/>
      <c r="B8" s="54">
        <v>410</v>
      </c>
      <c r="C8" s="7" t="str">
        <f>+G12</f>
        <v>WHIP</v>
      </c>
      <c r="D8" s="53" t="s">
        <v>1391</v>
      </c>
      <c r="E8" s="53" t="s">
        <v>1414</v>
      </c>
      <c r="F8" s="7" t="str">
        <f>+D36</f>
        <v>Each</v>
      </c>
      <c r="G8" s="85">
        <f>+K25</f>
        <v>0</v>
      </c>
    </row>
    <row r="9" spans="1:12" hidden="1">
      <c r="A9" s="2"/>
      <c r="B9" s="8">
        <f>+B8</f>
        <v>410</v>
      </c>
      <c r="C9" s="10" t="str">
        <f>+C8</f>
        <v>WHIP</v>
      </c>
      <c r="D9" s="9" t="s">
        <v>1391</v>
      </c>
      <c r="E9" s="9" t="str">
        <f>CONCATENATE(E6, "-HU")</f>
        <v>Wire Panel Straight Drop 24' wide 4'-8' overfall-HU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35.948165835115226</v>
      </c>
      <c r="E16" s="160">
        <f>+'[10]Payment Factors'!D18</f>
        <v>0.75</v>
      </c>
      <c r="F16" s="160">
        <f>+'[10]Payment Factors'!E18</f>
        <v>0.9</v>
      </c>
      <c r="G16" s="160">
        <f>+'[10]Payment Factors'!F19</f>
        <v>0</v>
      </c>
      <c r="H16" s="160">
        <f>+'[10]Payment Factors'!G19</f>
        <v>0</v>
      </c>
      <c r="I16" s="1154">
        <f t="shared" ref="I16:L24" si="0">+$D16*E16</f>
        <v>26.961124376336421</v>
      </c>
      <c r="J16" s="1154">
        <f t="shared" si="0"/>
        <v>32.353349251603703</v>
      </c>
      <c r="K16" s="1154">
        <f t="shared" si="0"/>
        <v>0</v>
      </c>
      <c r="L16" s="1155">
        <f t="shared" si="0"/>
        <v>0</v>
      </c>
    </row>
    <row r="17" spans="1:12" hidden="1">
      <c r="A17" s="2"/>
      <c r="B17" s="15" t="s">
        <v>2</v>
      </c>
      <c r="C17" s="16"/>
      <c r="D17" s="24">
        <f>+I55</f>
        <v>3308.8356498333333</v>
      </c>
      <c r="E17" s="160">
        <f t="shared" ref="E17:H19" si="1">+E16</f>
        <v>0.75</v>
      </c>
      <c r="F17" s="160">
        <f t="shared" si="1"/>
        <v>0.9</v>
      </c>
      <c r="G17" s="160">
        <f t="shared" si="1"/>
        <v>0</v>
      </c>
      <c r="H17" s="160">
        <f t="shared" si="1"/>
        <v>0</v>
      </c>
      <c r="I17" s="1154">
        <f t="shared" si="0"/>
        <v>2481.6267373749997</v>
      </c>
      <c r="J17" s="1154">
        <f t="shared" si="0"/>
        <v>2977.9520848500001</v>
      </c>
      <c r="K17" s="1154">
        <f t="shared" si="0"/>
        <v>0</v>
      </c>
      <c r="L17" s="1155">
        <f t="shared" si="0"/>
        <v>0</v>
      </c>
    </row>
    <row r="18" spans="1:12" hidden="1">
      <c r="A18" s="2"/>
      <c r="B18" s="15" t="s">
        <v>3</v>
      </c>
      <c r="C18" s="16"/>
      <c r="D18" s="24">
        <f>+I70</f>
        <v>583.91217349999999</v>
      </c>
      <c r="E18" s="160">
        <f t="shared" si="1"/>
        <v>0.75</v>
      </c>
      <c r="F18" s="160">
        <f t="shared" si="1"/>
        <v>0.9</v>
      </c>
      <c r="G18" s="160">
        <f t="shared" si="1"/>
        <v>0</v>
      </c>
      <c r="H18" s="160">
        <f t="shared" si="1"/>
        <v>0</v>
      </c>
      <c r="I18" s="1154">
        <f t="shared" si="0"/>
        <v>437.93413012500002</v>
      </c>
      <c r="J18" s="1154">
        <f t="shared" si="0"/>
        <v>525.52095614999996</v>
      </c>
      <c r="K18" s="1154">
        <f t="shared" si="0"/>
        <v>0</v>
      </c>
      <c r="L18" s="1155">
        <f t="shared" si="0"/>
        <v>0</v>
      </c>
    </row>
    <row r="19" spans="1:12" hidden="1">
      <c r="A19" s="2"/>
      <c r="B19" s="15" t="s">
        <v>4</v>
      </c>
      <c r="C19" s="16"/>
      <c r="D19" s="24">
        <f>+I76</f>
        <v>117.86087967505344</v>
      </c>
      <c r="E19" s="160">
        <f t="shared" si="1"/>
        <v>0.75</v>
      </c>
      <c r="F19" s="160">
        <f t="shared" si="1"/>
        <v>0.9</v>
      </c>
      <c r="G19" s="160">
        <f t="shared" si="1"/>
        <v>0</v>
      </c>
      <c r="H19" s="160">
        <f t="shared" si="1"/>
        <v>0</v>
      </c>
      <c r="I19" s="1154">
        <f t="shared" si="0"/>
        <v>88.395659756290087</v>
      </c>
      <c r="J19" s="1154">
        <f t="shared" si="0"/>
        <v>106.0747917075481</v>
      </c>
      <c r="K19" s="1154">
        <f t="shared" si="0"/>
        <v>0</v>
      </c>
      <c r="L19" s="1155">
        <f t="shared" si="0"/>
        <v>0</v>
      </c>
    </row>
    <row r="20" spans="1:12" hidden="1">
      <c r="A20" s="2"/>
      <c r="B20" s="15" t="s">
        <v>26</v>
      </c>
      <c r="C20" s="16"/>
      <c r="D20" s="24">
        <f>+I79</f>
        <v>39.286959891684482</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4085.8438287351864</v>
      </c>
      <c r="E25" s="1158"/>
      <c r="F25" s="1158"/>
      <c r="G25" s="28"/>
      <c r="H25" s="28"/>
      <c r="I25" s="1159">
        <f>SUM(I16:I24)</f>
        <v>3034.9176516326265</v>
      </c>
      <c r="J25" s="1159">
        <f>SUM(J16:J24)</f>
        <v>3641.9011819591519</v>
      </c>
      <c r="K25" s="1159">
        <f>SUM(K16:K24)</f>
        <v>0</v>
      </c>
      <c r="L25" s="1160">
        <f>SUM(L16:L24)</f>
        <v>0</v>
      </c>
    </row>
    <row r="26" spans="1:12" hidden="1"/>
    <row r="27" spans="1:12" ht="15.75">
      <c r="A27" s="2"/>
      <c r="B27" s="50" t="s">
        <v>28</v>
      </c>
      <c r="C27" s="2"/>
      <c r="D27" s="2"/>
      <c r="E27" s="2"/>
      <c r="F27" s="2"/>
      <c r="G27" s="2"/>
      <c r="H27" s="2"/>
      <c r="I27" s="5"/>
    </row>
    <row r="28" spans="1:12">
      <c r="A28" s="2"/>
      <c r="B28" s="29" t="s">
        <v>1415</v>
      </c>
      <c r="C28" s="30"/>
      <c r="D28" s="30"/>
      <c r="E28" s="31"/>
      <c r="F28" s="31"/>
      <c r="G28" s="31"/>
      <c r="H28" s="31"/>
      <c r="I28" s="32"/>
    </row>
    <row r="29" spans="1:12">
      <c r="A29" s="2"/>
      <c r="B29" s="1161" t="s">
        <v>1406</v>
      </c>
      <c r="C29" s="34"/>
      <c r="D29" s="34"/>
      <c r="E29" s="35"/>
      <c r="F29" s="35"/>
      <c r="G29" s="35"/>
      <c r="H29" s="35"/>
      <c r="I29" s="36"/>
    </row>
    <row r="30" spans="1:12">
      <c r="A30" s="2"/>
      <c r="B30" s="1161" t="s">
        <v>1395</v>
      </c>
      <c r="C30" s="143"/>
      <c r="D30" s="34"/>
      <c r="E30" s="35"/>
      <c r="F30" s="1163"/>
      <c r="G30" s="35"/>
      <c r="H30" s="35"/>
      <c r="I30" s="36"/>
    </row>
    <row r="31" spans="1:12">
      <c r="A31" s="2"/>
      <c r="B31" s="37" t="s">
        <v>1407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35.948165835115226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0.4</v>
      </c>
      <c r="G43" s="1171">
        <f t="shared" si="2"/>
        <v>3.5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(SUM(G57:G63)*0.85)</f>
        <v>3308.8356498333333</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3" si="3">+F57*E57</f>
        <v>114.76224000000001</v>
      </c>
      <c r="H57" s="35"/>
      <c r="I57" s="47"/>
    </row>
    <row r="58" spans="1:9">
      <c r="A58" s="2"/>
      <c r="B58" s="1206" t="str">
        <f>+'[29]Core Rates'!A265</f>
        <v>Rock, Filter Fabric, Pipe, Cattle Panel, Labor (Installed)</v>
      </c>
      <c r="C58" s="6"/>
      <c r="D58" s="1382" t="str">
        <f>+'[29]Core Rates'!B265</f>
        <v>Ton</v>
      </c>
      <c r="E58" s="1383">
        <f>+'[29]Core Rates'!C265</f>
        <v>40.312249999999999</v>
      </c>
      <c r="F58" s="1170">
        <v>91</v>
      </c>
      <c r="G58" s="1171">
        <f t="shared" si="3"/>
        <v>3668.4147499999999</v>
      </c>
      <c r="H58" s="35"/>
      <c r="I58" s="47"/>
    </row>
    <row r="59" spans="1:9">
      <c r="A59" s="2"/>
      <c r="B59" s="40" t="s">
        <v>461</v>
      </c>
      <c r="C59" s="6"/>
      <c r="D59" s="1168" t="s">
        <v>408</v>
      </c>
      <c r="E59" s="1169">
        <f>+'[29]Core Rates'!C104</f>
        <v>20</v>
      </c>
      <c r="F59" s="1170">
        <v>0.5</v>
      </c>
      <c r="G59" s="1171">
        <f t="shared" si="3"/>
        <v>10</v>
      </c>
      <c r="H59" s="35"/>
      <c r="I59" s="47"/>
    </row>
    <row r="60" spans="1:9">
      <c r="A60" s="2"/>
      <c r="B60" s="40" t="s">
        <v>462</v>
      </c>
      <c r="C60" s="6"/>
      <c r="D60" s="1168" t="s">
        <v>408</v>
      </c>
      <c r="E60" s="1169">
        <f>+'[29]Core Rates'!AN33</f>
        <v>5.416666666666667</v>
      </c>
      <c r="F60" s="1170">
        <v>0.5</v>
      </c>
      <c r="G60" s="1171">
        <f t="shared" si="3"/>
        <v>2.7083333333333335</v>
      </c>
      <c r="H60" s="35"/>
      <c r="I60" s="47"/>
    </row>
    <row r="61" spans="1:9">
      <c r="A61" s="2"/>
      <c r="B61" s="40" t="s">
        <v>463</v>
      </c>
      <c r="C61" s="6"/>
      <c r="D61" s="1168" t="s">
        <v>452</v>
      </c>
      <c r="E61" s="1169">
        <f>+'[29]Core Rates'!AN34</f>
        <v>5.5</v>
      </c>
      <c r="F61" s="1170">
        <v>0.2</v>
      </c>
      <c r="G61" s="1171">
        <f t="shared" si="3"/>
        <v>1.1000000000000001</v>
      </c>
      <c r="H61" s="35"/>
      <c r="I61" s="47"/>
    </row>
    <row r="62" spans="1:9">
      <c r="A62" s="2"/>
      <c r="B62" s="40" t="s">
        <v>464</v>
      </c>
      <c r="C62" s="6"/>
      <c r="D62" s="1168" t="s">
        <v>452</v>
      </c>
      <c r="E62" s="1169">
        <f>+'[29]Core Rates'!AN32</f>
        <v>6.3125</v>
      </c>
      <c r="F62" s="1170">
        <v>0.2</v>
      </c>
      <c r="G62" s="1171">
        <f t="shared" si="3"/>
        <v>1.2625000000000002</v>
      </c>
      <c r="H62" s="35"/>
      <c r="I62" s="47"/>
    </row>
    <row r="63" spans="1:9">
      <c r="A63" s="2"/>
      <c r="B63" s="40" t="s">
        <v>1280</v>
      </c>
      <c r="C63" s="6"/>
      <c r="D63" s="1168" t="s">
        <v>619</v>
      </c>
      <c r="E63" s="1169">
        <f>+'[29]Core Rates'!C217</f>
        <v>472.5</v>
      </c>
      <c r="F63" s="1170">
        <v>0.2</v>
      </c>
      <c r="G63" s="1171">
        <f t="shared" si="3"/>
        <v>94.5</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457</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583.91217349999999</v>
      </c>
    </row>
    <row r="71" spans="1:9">
      <c r="A71" s="2"/>
      <c r="B71" s="2007" t="s">
        <v>465</v>
      </c>
      <c r="C71" s="2008"/>
      <c r="D71" s="35"/>
      <c r="E71" s="35"/>
      <c r="F71" s="35"/>
      <c r="G71" s="35"/>
      <c r="H71" s="35"/>
      <c r="I71" s="48"/>
    </row>
    <row r="72" spans="1:9">
      <c r="A72" s="2"/>
      <c r="B72" s="37" t="s">
        <v>466</v>
      </c>
      <c r="C72" s="39"/>
      <c r="D72" s="39"/>
      <c r="E72" s="153">
        <f>SUM(G57:G63)*0.15</f>
        <v>583.91217349999999</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0.03*(I40+I55+I70)</f>
        <v>117.86087967505344</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0.01*(I40+I55+I70)</f>
        <v>39.286959891684482</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104</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104</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+I40+I55+I70+I76+I82+I92</f>
        <v>4046.5568688435019</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SUM(I39:I92)</f>
        <v>4085.8438287351864</v>
      </c>
    </row>
  </sheetData>
  <mergeCells count="4">
    <mergeCell ref="B1:D1"/>
    <mergeCell ref="E55:H55"/>
    <mergeCell ref="B66:I67"/>
    <mergeCell ref="B71:C71"/>
  </mergeCells>
  <pageMargins left="0.75" right="0.75" top="1" bottom="1" header="0.5" footer="0.5"/>
  <pageSetup scale="59" orientation="portrait" r:id="rId1"/>
  <headerFooter alignWithMargins="0"/>
</worksheet>
</file>

<file path=xl/worksheets/sheet14.xml><?xml version="1.0" encoding="utf-8"?>
<worksheet xmlns="http://schemas.openxmlformats.org/spreadsheetml/2006/main" xmlns:r="http://schemas.openxmlformats.org/officeDocument/2006/relationships">
  <dimension ref="B1:P105"/>
  <sheetViews>
    <sheetView zoomScaleNormal="100" workbookViewId="0">
      <selection activeCell="D31" sqref="D31:H31"/>
    </sheetView>
  </sheetViews>
  <sheetFormatPr defaultRowHeight="12.75"/>
  <cols>
    <col min="1" max="1" width="2.85546875" style="2" customWidth="1"/>
    <col min="2" max="2" width="11.5703125" style="2" customWidth="1"/>
    <col min="3" max="3" width="18.7109375" style="2" customWidth="1"/>
    <col min="4" max="4" width="27.5703125" style="2" customWidth="1"/>
    <col min="5" max="5" width="20.85546875" style="2" bestFit="1" customWidth="1"/>
    <col min="6" max="6" width="10.140625" style="2" customWidth="1"/>
    <col min="7" max="7" width="10.42578125" style="2" customWidth="1"/>
    <col min="8" max="8" width="10.5703125" style="2" customWidth="1"/>
    <col min="9" max="9" width="10.140625" style="2" customWidth="1"/>
    <col min="10" max="10" width="8.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12.75" customHeight="1">
      <c r="B2" s="163" t="s">
        <v>129</v>
      </c>
      <c r="C2" s="79">
        <v>106</v>
      </c>
      <c r="D2" s="79" t="s">
        <v>130</v>
      </c>
      <c r="E2" s="79" t="s">
        <v>146</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c r="B6" s="54">
        <v>106</v>
      </c>
      <c r="C6" s="7" t="str">
        <f>+E10</f>
        <v>EQIP</v>
      </c>
      <c r="D6" s="53" t="s">
        <v>130</v>
      </c>
      <c r="E6" s="53" t="s">
        <v>146</v>
      </c>
      <c r="F6" s="7" t="s">
        <v>47</v>
      </c>
      <c r="G6" s="85">
        <f>G23</f>
        <v>814.5</v>
      </c>
      <c r="H6" s="89"/>
      <c r="I6" s="89"/>
      <c r="J6"/>
    </row>
    <row r="7" spans="2:10">
      <c r="B7" s="8">
        <v>106</v>
      </c>
      <c r="C7" s="10" t="s">
        <v>15</v>
      </c>
      <c r="D7" s="9" t="s">
        <v>130</v>
      </c>
      <c r="E7" s="9" t="s">
        <v>147</v>
      </c>
      <c r="F7" s="10" t="s">
        <v>47</v>
      </c>
      <c r="G7" s="86">
        <f>$H$23</f>
        <v>977.4</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1086</v>
      </c>
      <c r="E16" s="160">
        <v>0.75</v>
      </c>
      <c r="F16" s="160">
        <v>0.9</v>
      </c>
      <c r="G16" s="73">
        <f t="shared" si="0"/>
        <v>814.5</v>
      </c>
      <c r="H16" s="74">
        <f t="shared" si="0"/>
        <v>977.4</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I58</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1086</v>
      </c>
      <c r="E23" s="28"/>
      <c r="F23" s="28"/>
      <c r="G23" s="51">
        <f t="shared" ref="G23:H23" si="1">SUM(G14:G22)</f>
        <v>814.5</v>
      </c>
      <c r="H23" s="77">
        <f t="shared" si="1"/>
        <v>977.4</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134</v>
      </c>
      <c r="E28" s="1955"/>
      <c r="F28" s="1955"/>
      <c r="G28" s="1955"/>
      <c r="H28" s="1955"/>
      <c r="I28" s="36"/>
    </row>
    <row r="29" spans="2:16">
      <c r="B29" s="42"/>
      <c r="C29" s="34"/>
      <c r="D29" s="115"/>
      <c r="E29" s="97"/>
      <c r="F29" s="97"/>
      <c r="G29" s="97"/>
      <c r="H29" s="97"/>
      <c r="I29" s="36"/>
    </row>
    <row r="30" spans="2:16" ht="15" customHeight="1">
      <c r="B30" s="37" t="s">
        <v>41</v>
      </c>
      <c r="C30" s="34"/>
      <c r="D30" s="1956" t="s">
        <v>135</v>
      </c>
      <c r="E30" s="1957"/>
      <c r="F30" s="1957"/>
      <c r="G30" s="1957"/>
      <c r="H30" s="1957"/>
      <c r="I30" s="36"/>
    </row>
    <row r="31" spans="2:16" ht="36.75" customHeight="1">
      <c r="B31" s="91" t="s">
        <v>40</v>
      </c>
      <c r="C31" s="34"/>
      <c r="D31" s="1956" t="s">
        <v>148</v>
      </c>
      <c r="E31" s="1957"/>
      <c r="F31" s="1957"/>
      <c r="G31" s="1957"/>
      <c r="H31" s="1957"/>
      <c r="I31" s="36"/>
    </row>
    <row r="32" spans="2:16" ht="63" customHeight="1">
      <c r="B32" s="91" t="s">
        <v>33</v>
      </c>
      <c r="C32" s="90"/>
      <c r="D32" s="1956" t="s">
        <v>137</v>
      </c>
      <c r="E32" s="1957"/>
      <c r="F32" s="1957"/>
      <c r="G32" s="1957"/>
      <c r="H32" s="1957"/>
      <c r="I32" s="36"/>
    </row>
    <row r="33" spans="2:15" ht="72" customHeight="1">
      <c r="B33" s="91" t="s">
        <v>35</v>
      </c>
      <c r="C33" s="90"/>
      <c r="D33" s="1956" t="s">
        <v>138</v>
      </c>
      <c r="E33" s="1957"/>
      <c r="F33" s="1957"/>
      <c r="G33" s="1957"/>
      <c r="H33" s="1957"/>
      <c r="I33" s="36"/>
    </row>
    <row r="34" spans="2:15" ht="14.25" customHeight="1">
      <c r="B34" s="91" t="s">
        <v>34</v>
      </c>
      <c r="C34" s="90"/>
      <c r="D34" s="1956" t="s">
        <v>139</v>
      </c>
      <c r="E34" s="1957"/>
      <c r="F34" s="1957"/>
      <c r="G34" s="1957"/>
      <c r="H34" s="1957"/>
      <c r="I34" s="36"/>
    </row>
    <row r="35" spans="2:15">
      <c r="B35" s="37"/>
      <c r="C35" s="34"/>
      <c r="D35" s="34"/>
      <c r="E35" s="35"/>
      <c r="F35" s="35"/>
      <c r="G35" s="35"/>
      <c r="H35" s="35"/>
      <c r="I35" s="36"/>
    </row>
    <row r="36" spans="2:15">
      <c r="B36" s="38" t="s">
        <v>25</v>
      </c>
      <c r="C36" s="34"/>
      <c r="D36" s="1958" t="s">
        <v>129</v>
      </c>
      <c r="E36" s="1952"/>
      <c r="F36" s="1952"/>
      <c r="G36" s="1952"/>
      <c r="H36" s="1952"/>
      <c r="I36" s="36"/>
      <c r="J36" s="49"/>
    </row>
    <row r="37" spans="2:15">
      <c r="B37" s="37"/>
      <c r="C37" s="34"/>
      <c r="D37" s="35"/>
      <c r="E37" s="35"/>
      <c r="F37" s="35"/>
      <c r="G37" s="35"/>
      <c r="H37" s="35"/>
      <c r="I37" s="36"/>
    </row>
    <row r="38" spans="2:15">
      <c r="B38" s="38" t="s">
        <v>8</v>
      </c>
      <c r="C38" s="34"/>
      <c r="D38" s="39" t="s">
        <v>38</v>
      </c>
      <c r="E38" s="35"/>
      <c r="F38" s="35"/>
      <c r="G38" s="35"/>
      <c r="H38" s="35"/>
      <c r="I38" s="36"/>
    </row>
    <row r="39" spans="2:15">
      <c r="B39" s="38" t="s">
        <v>9</v>
      </c>
      <c r="C39" s="34"/>
      <c r="D39" s="92">
        <v>1</v>
      </c>
      <c r="E39" s="35"/>
      <c r="F39" s="35"/>
      <c r="G39" s="35"/>
      <c r="H39" s="35"/>
      <c r="I39" s="36"/>
    </row>
    <row r="40" spans="2:15">
      <c r="B40" s="38" t="s">
        <v>10</v>
      </c>
      <c r="C40" s="35"/>
      <c r="D40" s="93">
        <v>0</v>
      </c>
      <c r="E40" s="35"/>
      <c r="F40" s="35"/>
      <c r="G40" s="35"/>
      <c r="H40" s="35"/>
      <c r="I40" s="96" t="s">
        <v>6</v>
      </c>
    </row>
    <row r="41" spans="2:15">
      <c r="B41" s="40"/>
      <c r="C41" s="35"/>
      <c r="D41" s="35"/>
      <c r="E41" s="41"/>
      <c r="F41" s="35"/>
      <c r="G41" s="35"/>
      <c r="H41" s="35"/>
      <c r="I41" s="149"/>
      <c r="L41" s="64"/>
      <c r="M41" s="64"/>
      <c r="N41" s="61"/>
      <c r="O41" s="61"/>
    </row>
    <row r="42" spans="2:15">
      <c r="B42" s="42" t="s">
        <v>0</v>
      </c>
      <c r="C42" s="35"/>
      <c r="D42" s="35"/>
      <c r="E42" s="35"/>
      <c r="F42" s="35"/>
      <c r="G42" s="35"/>
      <c r="H42" s="35"/>
      <c r="I42" s="46">
        <v>0</v>
      </c>
      <c r="L42" s="64"/>
      <c r="M42" s="64"/>
      <c r="N42" s="61"/>
      <c r="O42" s="61"/>
    </row>
    <row r="43" spans="2:15" ht="14.25" customHeight="1">
      <c r="B43" s="37" t="s">
        <v>39</v>
      </c>
      <c r="C43" s="35"/>
      <c r="D43" s="166"/>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0</v>
      </c>
      <c r="L45" s="64"/>
      <c r="M45" s="61"/>
    </row>
    <row r="46" spans="2:15" ht="12.75" customHeight="1">
      <c r="B46" s="1959" t="s">
        <v>39</v>
      </c>
      <c r="C46" s="1955"/>
      <c r="D46" s="1955"/>
      <c r="E46" s="1955"/>
      <c r="F46" s="1955"/>
      <c r="G46" s="1955"/>
      <c r="H46" s="1955"/>
      <c r="I46" s="46"/>
      <c r="L46" s="64"/>
      <c r="M46" s="61"/>
    </row>
    <row r="47" spans="2:15" ht="12.75" customHeight="1">
      <c r="B47" s="117"/>
      <c r="C47" s="97"/>
      <c r="D47" s="97"/>
      <c r="E47" s="97"/>
      <c r="F47" s="97"/>
      <c r="G47" s="97"/>
      <c r="H47" s="97"/>
      <c r="I47" s="46"/>
      <c r="L47" s="64"/>
      <c r="M47" s="61"/>
    </row>
    <row r="48" spans="2:15">
      <c r="B48" s="42" t="s">
        <v>3</v>
      </c>
      <c r="C48" s="167"/>
      <c r="D48" s="167"/>
      <c r="E48" s="167"/>
      <c r="F48" s="167"/>
      <c r="G48" s="167"/>
      <c r="H48" s="167"/>
      <c r="I48" s="46">
        <v>1086</v>
      </c>
      <c r="L48" s="64"/>
      <c r="M48" s="61"/>
    </row>
    <row r="49" spans="2:15" ht="15.75" customHeight="1">
      <c r="B49" s="1959" t="s">
        <v>149</v>
      </c>
      <c r="C49" s="1955"/>
      <c r="D49" s="1955"/>
      <c r="E49" s="1955"/>
      <c r="F49" s="1955"/>
      <c r="G49" s="1955"/>
      <c r="H49" s="1955"/>
      <c r="I49" s="46"/>
      <c r="L49" s="64"/>
      <c r="M49" s="61"/>
    </row>
    <row r="50" spans="2:15" ht="7.5" customHeight="1">
      <c r="B50" s="33"/>
      <c r="C50" s="35"/>
      <c r="D50" s="35"/>
      <c r="E50" s="35"/>
      <c r="F50" s="35"/>
      <c r="G50" s="35"/>
      <c r="H50" s="35"/>
      <c r="I50" s="48"/>
      <c r="L50" s="64"/>
      <c r="M50" s="61"/>
    </row>
    <row r="51" spans="2:15">
      <c r="B51" s="42" t="s">
        <v>4</v>
      </c>
      <c r="C51" s="35"/>
      <c r="D51" s="35"/>
      <c r="E51" s="35"/>
      <c r="F51" s="35"/>
      <c r="G51" s="35"/>
      <c r="H51" s="35"/>
      <c r="I51" s="48">
        <v>0</v>
      </c>
      <c r="L51" s="64"/>
      <c r="M51" s="61"/>
    </row>
    <row r="52" spans="2:15" ht="12" customHeight="1">
      <c r="B52" s="37" t="s">
        <v>39</v>
      </c>
      <c r="C52" s="35"/>
      <c r="D52" s="35"/>
      <c r="E52" s="35"/>
      <c r="F52" s="35"/>
      <c r="G52" s="35"/>
      <c r="H52" s="35"/>
      <c r="I52" s="36"/>
      <c r="L52" s="64"/>
      <c r="M52" s="61"/>
    </row>
    <row r="53" spans="2:15" ht="5.25" customHeight="1">
      <c r="B53" s="37"/>
      <c r="C53" s="35"/>
      <c r="D53" s="35"/>
      <c r="E53" s="35"/>
      <c r="F53" s="35"/>
      <c r="G53" s="35"/>
      <c r="H53" s="35"/>
      <c r="I53" s="36"/>
      <c r="L53" s="64"/>
      <c r="M53" s="61"/>
    </row>
    <row r="54" spans="2:15">
      <c r="B54" s="42" t="s">
        <v>26</v>
      </c>
      <c r="C54" s="35"/>
      <c r="D54" s="35"/>
      <c r="E54" s="35"/>
      <c r="F54" s="35"/>
      <c r="G54" s="35"/>
      <c r="H54" s="35"/>
      <c r="I54" s="46">
        <v>0</v>
      </c>
      <c r="L54" s="64"/>
      <c r="M54" s="61"/>
    </row>
    <row r="55" spans="2:15" ht="14.25" customHeight="1">
      <c r="B55" s="1959" t="s">
        <v>39</v>
      </c>
      <c r="C55" s="1955"/>
      <c r="D55" s="1955"/>
      <c r="E55" s="1955"/>
      <c r="F55" s="1955"/>
      <c r="G55" s="1955"/>
      <c r="H55" s="1955"/>
      <c r="I55" s="48"/>
      <c r="L55" s="64"/>
      <c r="M55" s="61"/>
    </row>
    <row r="56" spans="2:15" ht="8.25" customHeight="1">
      <c r="B56" s="1943"/>
      <c r="C56" s="1944"/>
      <c r="D56" s="1944"/>
      <c r="E56" s="1944"/>
      <c r="F56" s="1944"/>
      <c r="G56" s="1944"/>
      <c r="H56" s="35"/>
      <c r="I56" s="48"/>
      <c r="L56" s="64"/>
      <c r="M56" s="61"/>
    </row>
    <row r="57" spans="2:15" ht="5.25" customHeight="1">
      <c r="B57" s="37"/>
      <c r="C57" s="35"/>
      <c r="D57" s="35"/>
      <c r="E57" s="35"/>
      <c r="F57" s="35"/>
      <c r="G57" s="35"/>
      <c r="H57" s="35"/>
      <c r="I57" s="36"/>
      <c r="L57" s="64"/>
      <c r="M57" s="64"/>
    </row>
    <row r="58" spans="2:15">
      <c r="B58" s="42" t="s">
        <v>7</v>
      </c>
      <c r="C58" s="35"/>
      <c r="D58" s="35"/>
      <c r="E58" s="35"/>
      <c r="F58" s="35"/>
      <c r="G58" s="35"/>
      <c r="H58" s="35"/>
      <c r="I58" s="46">
        <v>0</v>
      </c>
      <c r="L58" s="64"/>
      <c r="M58" s="64"/>
      <c r="N58" s="64"/>
      <c r="O58" s="64"/>
    </row>
    <row r="59" spans="2:15" ht="12" customHeight="1">
      <c r="B59" s="37" t="s">
        <v>141</v>
      </c>
      <c r="C59" s="35"/>
      <c r="D59" s="35"/>
      <c r="E59" s="35"/>
      <c r="F59" s="35"/>
      <c r="G59" s="35"/>
      <c r="H59" s="35"/>
      <c r="I59" s="36"/>
      <c r="L59" s="64"/>
      <c r="M59" s="64"/>
      <c r="N59" s="61"/>
      <c r="O59" s="61"/>
    </row>
    <row r="60" spans="2:15" ht="6" customHeight="1">
      <c r="B60" s="37"/>
      <c r="C60" s="35"/>
      <c r="D60" s="35"/>
      <c r="E60" s="35"/>
      <c r="F60" s="35"/>
      <c r="G60" s="35"/>
      <c r="H60" s="35"/>
      <c r="I60" s="36"/>
      <c r="L60" s="64"/>
      <c r="M60" s="64"/>
      <c r="N60" s="65"/>
      <c r="O60" s="65"/>
    </row>
    <row r="61" spans="2:15">
      <c r="B61" s="42" t="s">
        <v>27</v>
      </c>
      <c r="C61" s="35"/>
      <c r="D61" s="35"/>
      <c r="E61" s="35"/>
      <c r="F61" s="35"/>
      <c r="G61" s="35"/>
      <c r="H61" s="35"/>
      <c r="I61" s="46">
        <v>0</v>
      </c>
      <c r="L61" s="64"/>
      <c r="M61" s="64"/>
      <c r="N61" s="61"/>
      <c r="O61" s="61"/>
    </row>
    <row r="62" spans="2:15" ht="13.5" customHeight="1">
      <c r="B62" s="37" t="s">
        <v>39</v>
      </c>
      <c r="C62" s="35"/>
      <c r="D62" s="35"/>
      <c r="E62" s="35"/>
      <c r="F62" s="35"/>
      <c r="G62" s="35"/>
      <c r="H62" s="35"/>
      <c r="I62" s="47"/>
      <c r="L62" s="64"/>
      <c r="M62" s="64"/>
      <c r="N62" s="65"/>
      <c r="O62" s="65"/>
    </row>
    <row r="63" spans="2:15" ht="3.75" customHeight="1">
      <c r="B63" s="37"/>
      <c r="C63" s="35"/>
      <c r="D63" s="35"/>
      <c r="E63" s="35"/>
      <c r="F63" s="35"/>
      <c r="G63" s="35"/>
      <c r="H63" s="35"/>
      <c r="I63" s="36"/>
      <c r="L63" s="64"/>
      <c r="M63" s="64"/>
      <c r="N63" s="61"/>
      <c r="O63" s="61"/>
    </row>
    <row r="64" spans="2:15">
      <c r="B64" s="42" t="s">
        <v>5</v>
      </c>
      <c r="C64" s="35"/>
      <c r="D64" s="35"/>
      <c r="E64" s="35"/>
      <c r="F64" s="35"/>
      <c r="G64" s="35"/>
      <c r="H64" s="35"/>
      <c r="I64" s="46">
        <v>0</v>
      </c>
      <c r="L64" s="64"/>
      <c r="M64" s="64"/>
      <c r="N64" s="61"/>
      <c r="O64" s="61"/>
    </row>
    <row r="65" spans="2:15" ht="11.25" customHeight="1">
      <c r="B65" s="37" t="s">
        <v>39</v>
      </c>
      <c r="C65" s="35"/>
      <c r="D65" s="35"/>
      <c r="E65" s="35"/>
      <c r="F65" s="35"/>
      <c r="G65" s="35"/>
      <c r="H65" s="35"/>
      <c r="I65" s="47"/>
      <c r="L65" s="64"/>
      <c r="M65" s="64"/>
      <c r="N65" s="64"/>
      <c r="O65" s="64"/>
    </row>
    <row r="66" spans="2:15" ht="4.5" customHeight="1">
      <c r="B66" s="37"/>
      <c r="C66" s="35"/>
      <c r="D66" s="35"/>
      <c r="E66" s="35"/>
      <c r="F66" s="35"/>
      <c r="G66" s="35"/>
      <c r="H66" s="35"/>
      <c r="I66" s="36"/>
      <c r="L66" s="64"/>
      <c r="M66" s="64"/>
      <c r="N66" s="64"/>
      <c r="O66" s="64"/>
    </row>
    <row r="67" spans="2:15">
      <c r="B67" s="42" t="s">
        <v>20</v>
      </c>
      <c r="C67" s="35"/>
      <c r="D67" s="35"/>
      <c r="E67" s="35"/>
      <c r="F67" s="35"/>
      <c r="G67" s="35"/>
      <c r="H67" s="35"/>
      <c r="I67" s="46">
        <v>0</v>
      </c>
      <c r="L67" s="64"/>
      <c r="M67" s="64"/>
      <c r="N67" s="61"/>
      <c r="O67" s="61"/>
    </row>
    <row r="68" spans="2:15" ht="12" customHeight="1">
      <c r="B68" s="37" t="s">
        <v>39</v>
      </c>
      <c r="C68" s="35"/>
      <c r="D68" s="35"/>
      <c r="E68" s="35"/>
      <c r="F68" s="35"/>
      <c r="G68" s="35"/>
      <c r="H68" s="35"/>
      <c r="I68" s="46"/>
      <c r="L68" s="64"/>
      <c r="M68" s="64"/>
      <c r="N68" s="61"/>
      <c r="O68" s="61"/>
    </row>
    <row r="69" spans="2:15" ht="6.75" customHeight="1">
      <c r="B69" s="42"/>
      <c r="C69" s="35"/>
      <c r="D69" s="35"/>
      <c r="E69" s="35"/>
      <c r="F69" s="35"/>
      <c r="G69" s="35"/>
      <c r="H69" s="35"/>
      <c r="I69" s="46"/>
      <c r="L69" s="64"/>
      <c r="M69" s="64"/>
      <c r="N69" s="61"/>
      <c r="O69" s="61"/>
    </row>
    <row r="70" spans="2:15" ht="5.25" customHeight="1">
      <c r="B70" s="40"/>
      <c r="C70" s="35"/>
      <c r="D70" s="35"/>
      <c r="E70" s="35"/>
      <c r="F70" s="35"/>
      <c r="G70" s="35"/>
      <c r="H70" s="35"/>
      <c r="I70" s="36"/>
      <c r="L70" s="64"/>
      <c r="M70" s="64"/>
      <c r="N70" s="64"/>
      <c r="O70" s="64"/>
    </row>
    <row r="71" spans="2:15">
      <c r="B71" s="43" t="s">
        <v>11</v>
      </c>
      <c r="C71" s="44"/>
      <c r="D71" s="44"/>
      <c r="E71" s="44"/>
      <c r="F71" s="44"/>
      <c r="G71" s="44"/>
      <c r="H71" s="44"/>
      <c r="I71" s="52">
        <f>+I67+I64+I61+I58+I54+I51+I48+I45+I42</f>
        <v>1086</v>
      </c>
      <c r="L71" s="64"/>
      <c r="M71" s="64"/>
      <c r="N71" s="64"/>
      <c r="O71" s="64"/>
    </row>
    <row r="73" spans="2:15">
      <c r="B73" s="168" t="s">
        <v>142</v>
      </c>
      <c r="C73" s="169"/>
      <c r="D73" s="169"/>
      <c r="E73" s="169"/>
      <c r="F73" s="169"/>
      <c r="G73" s="169"/>
      <c r="H73" s="169"/>
      <c r="I73" s="170"/>
    </row>
    <row r="74" spans="2:15">
      <c r="B74" s="1961" t="s">
        <v>143</v>
      </c>
      <c r="C74" s="1962"/>
      <c r="D74" s="1962"/>
      <c r="E74" s="1962"/>
      <c r="F74" s="1962"/>
      <c r="G74" s="1962"/>
      <c r="H74" s="1962"/>
      <c r="I74" s="1963"/>
    </row>
    <row r="75" spans="2:15">
      <c r="B75" s="141" t="s">
        <v>144</v>
      </c>
      <c r="C75" s="173"/>
      <c r="D75" s="173"/>
      <c r="E75" s="173"/>
      <c r="F75" s="173"/>
      <c r="G75" s="173"/>
      <c r="H75" s="173"/>
      <c r="I75" s="174"/>
    </row>
    <row r="76" spans="2:15">
      <c r="B76" s="175" t="s">
        <v>145</v>
      </c>
      <c r="C76" s="119"/>
      <c r="D76" s="119"/>
      <c r="E76" s="119"/>
      <c r="F76" s="119"/>
      <c r="G76" s="119"/>
      <c r="H76" s="119"/>
      <c r="I76" s="176"/>
    </row>
    <row r="94" spans="5:5">
      <c r="E94" s="57"/>
    </row>
    <row r="95" spans="5:5">
      <c r="E95" s="57"/>
    </row>
    <row r="96" spans="5:5">
      <c r="E96" s="57"/>
    </row>
    <row r="97" spans="5:5">
      <c r="E97" s="57"/>
    </row>
    <row r="98" spans="5:5">
      <c r="E98" s="57"/>
    </row>
    <row r="99" spans="5:5">
      <c r="E99" s="57"/>
    </row>
    <row r="101" spans="5:5">
      <c r="E101" s="57"/>
    </row>
    <row r="103" spans="5:5">
      <c r="E103" s="56"/>
    </row>
    <row r="105" spans="5:5">
      <c r="E105" s="57"/>
    </row>
  </sheetData>
  <mergeCells count="12">
    <mergeCell ref="B74:I74"/>
    <mergeCell ref="D28:H28"/>
    <mergeCell ref="D30:H30"/>
    <mergeCell ref="D31:H31"/>
    <mergeCell ref="D32:H32"/>
    <mergeCell ref="D33:H33"/>
    <mergeCell ref="D34:H34"/>
    <mergeCell ref="D36:H36"/>
    <mergeCell ref="B46:H46"/>
    <mergeCell ref="B49:H49"/>
    <mergeCell ref="B55:H55"/>
    <mergeCell ref="B56:G56"/>
  </mergeCells>
  <pageMargins left="0.36" right="0.3" top="0.43" bottom="0.64" header="0.28000000000000003" footer="0.36"/>
  <pageSetup scale="71" orientation="portrait" r:id="rId1"/>
  <headerFooter alignWithMargins="0"/>
</worksheet>
</file>

<file path=xl/worksheets/sheet140.xml><?xml version="1.0" encoding="utf-8"?>
<worksheet xmlns="http://schemas.openxmlformats.org/spreadsheetml/2006/main" xmlns:r="http://schemas.openxmlformats.org/officeDocument/2006/relationships">
  <sheetPr>
    <pageSetUpPr fitToPage="1"/>
  </sheetPr>
  <dimension ref="A1:L101"/>
  <sheetViews>
    <sheetView workbookViewId="0">
      <selection activeCell="B54" sqref="B54:I55"/>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410</v>
      </c>
      <c r="C6" s="7" t="str">
        <f>+E12</f>
        <v>EQIP</v>
      </c>
      <c r="D6" s="53" t="s">
        <v>1391</v>
      </c>
      <c r="E6" s="53" t="s">
        <v>1416</v>
      </c>
      <c r="F6" s="7" t="str">
        <f>+D36</f>
        <v>Each</v>
      </c>
      <c r="G6" s="85">
        <f>+I25</f>
        <v>2635.2591760076266</v>
      </c>
    </row>
    <row r="7" spans="1:12" hidden="1">
      <c r="A7" s="2"/>
      <c r="B7" s="54">
        <f>+B6</f>
        <v>410</v>
      </c>
      <c r="C7" s="7" t="str">
        <f>+C6</f>
        <v>EQIP</v>
      </c>
      <c r="D7" s="53" t="s">
        <v>1391</v>
      </c>
      <c r="E7" s="53" t="str">
        <f>CONCATENATE(E6, "-HU")</f>
        <v>Pipe Drop Structure-HU</v>
      </c>
      <c r="F7" s="7" t="str">
        <f>+F6</f>
        <v>Each</v>
      </c>
      <c r="G7" s="85">
        <f>+J25</f>
        <v>3162.3110112091517</v>
      </c>
    </row>
    <row r="8" spans="1:12" hidden="1">
      <c r="A8" s="2"/>
      <c r="B8" s="54">
        <v>410</v>
      </c>
      <c r="C8" s="7" t="str">
        <f>+G12</f>
        <v>WHIP</v>
      </c>
      <c r="D8" s="53" t="s">
        <v>1391</v>
      </c>
      <c r="E8" s="53" t="s">
        <v>1416</v>
      </c>
      <c r="F8" s="7" t="str">
        <f>+D36</f>
        <v>Each</v>
      </c>
      <c r="G8" s="85">
        <f>+K25</f>
        <v>0</v>
      </c>
    </row>
    <row r="9" spans="1:12" hidden="1">
      <c r="A9" s="2"/>
      <c r="B9" s="8">
        <f>+B8</f>
        <v>410</v>
      </c>
      <c r="C9" s="10" t="str">
        <f>+C8</f>
        <v>WHIP</v>
      </c>
      <c r="D9" s="9" t="s">
        <v>1391</v>
      </c>
      <c r="E9" s="9" t="str">
        <f>CONCATENATE(E6, "-HU")</f>
        <v>Pipe Drop Structure-HU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35.948165835115226</v>
      </c>
      <c r="E16" s="160">
        <f>+'[10]Payment Factors'!D18</f>
        <v>0.75</v>
      </c>
      <c r="F16" s="160">
        <f>+'[10]Payment Factors'!E18</f>
        <v>0.9</v>
      </c>
      <c r="G16" s="160">
        <f>+'[10]Payment Factors'!F19</f>
        <v>0</v>
      </c>
      <c r="H16" s="160">
        <f>+'[10]Payment Factors'!G19</f>
        <v>0</v>
      </c>
      <c r="I16" s="1154">
        <f t="shared" ref="I16:L24" si="0">+$D16*E16</f>
        <v>26.961124376336421</v>
      </c>
      <c r="J16" s="1154">
        <f t="shared" si="0"/>
        <v>32.353349251603703</v>
      </c>
      <c r="K16" s="1154">
        <f t="shared" si="0"/>
        <v>0</v>
      </c>
      <c r="L16" s="1155">
        <f t="shared" si="0"/>
        <v>0</v>
      </c>
    </row>
    <row r="17" spans="1:12" hidden="1">
      <c r="A17" s="2"/>
      <c r="B17" s="15" t="s">
        <v>2</v>
      </c>
      <c r="C17" s="16"/>
      <c r="D17" s="24">
        <f>+I55</f>
        <v>2869.0819873333335</v>
      </c>
      <c r="E17" s="160">
        <f t="shared" ref="E17:H19" si="1">+E16</f>
        <v>0.75</v>
      </c>
      <c r="F17" s="160">
        <f t="shared" si="1"/>
        <v>0.9</v>
      </c>
      <c r="G17" s="160">
        <f t="shared" si="1"/>
        <v>0</v>
      </c>
      <c r="H17" s="160">
        <f t="shared" si="1"/>
        <v>0</v>
      </c>
      <c r="I17" s="1154">
        <f t="shared" si="0"/>
        <v>2151.8114905000002</v>
      </c>
      <c r="J17" s="1154">
        <f t="shared" si="0"/>
        <v>2582.1737886000001</v>
      </c>
      <c r="K17" s="1154">
        <f t="shared" si="0"/>
        <v>0</v>
      </c>
      <c r="L17" s="1155">
        <f t="shared" si="0"/>
        <v>0</v>
      </c>
    </row>
    <row r="18" spans="1:12" hidden="1">
      <c r="A18" s="2"/>
      <c r="B18" s="15" t="s">
        <v>3</v>
      </c>
      <c r="C18" s="16"/>
      <c r="D18" s="24">
        <f>+I73</f>
        <v>506.30858599999999</v>
      </c>
      <c r="E18" s="160">
        <f t="shared" si="1"/>
        <v>0.75</v>
      </c>
      <c r="F18" s="160">
        <f t="shared" si="1"/>
        <v>0.9</v>
      </c>
      <c r="G18" s="160">
        <f t="shared" si="1"/>
        <v>0</v>
      </c>
      <c r="H18" s="160">
        <f t="shared" si="1"/>
        <v>0</v>
      </c>
      <c r="I18" s="1154">
        <f t="shared" si="0"/>
        <v>379.73143949999996</v>
      </c>
      <c r="J18" s="1154">
        <f t="shared" si="0"/>
        <v>455.67772739999998</v>
      </c>
      <c r="K18" s="1154">
        <f t="shared" si="0"/>
        <v>0</v>
      </c>
      <c r="L18" s="1155">
        <f t="shared" si="0"/>
        <v>0</v>
      </c>
    </row>
    <row r="19" spans="1:12" hidden="1">
      <c r="A19" s="2"/>
      <c r="B19" s="15" t="s">
        <v>4</v>
      </c>
      <c r="C19" s="16"/>
      <c r="D19" s="24">
        <f>+I79</f>
        <v>102.34016217505345</v>
      </c>
      <c r="E19" s="160">
        <f t="shared" si="1"/>
        <v>0.75</v>
      </c>
      <c r="F19" s="160">
        <f t="shared" si="1"/>
        <v>0.9</v>
      </c>
      <c r="G19" s="160">
        <f t="shared" si="1"/>
        <v>0</v>
      </c>
      <c r="H19" s="160">
        <f t="shared" si="1"/>
        <v>0</v>
      </c>
      <c r="I19" s="1154">
        <f t="shared" si="0"/>
        <v>76.755121631290081</v>
      </c>
      <c r="J19" s="1154">
        <f t="shared" si="0"/>
        <v>92.106145957548108</v>
      </c>
      <c r="K19" s="1154">
        <f t="shared" si="0"/>
        <v>0</v>
      </c>
      <c r="L19" s="1155">
        <f t="shared" si="0"/>
        <v>0</v>
      </c>
    </row>
    <row r="20" spans="1:12" hidden="1">
      <c r="A20" s="2"/>
      <c r="B20" s="15" t="s">
        <v>26</v>
      </c>
      <c r="C20" s="16"/>
      <c r="D20" s="24">
        <f>+I82</f>
        <v>34.113387391684491</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+I85</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+I88</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+I92</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+I95</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3547.792288735187</v>
      </c>
      <c r="E25" s="1158"/>
      <c r="F25" s="1158"/>
      <c r="G25" s="28"/>
      <c r="H25" s="28"/>
      <c r="I25" s="1159">
        <f>SUM(I16:I24)</f>
        <v>2635.2591760076266</v>
      </c>
      <c r="J25" s="1159">
        <f>SUM(J16:J24)</f>
        <v>3162.3110112091517</v>
      </c>
      <c r="K25" s="1159">
        <f>SUM(K16:K24)</f>
        <v>0</v>
      </c>
      <c r="L25" s="1160">
        <f>SUM(L16:L24)</f>
        <v>0</v>
      </c>
    </row>
    <row r="26" spans="1:12" hidden="1"/>
    <row r="27" spans="1:12" ht="15.75">
      <c r="A27" s="2"/>
      <c r="B27" s="50" t="s">
        <v>28</v>
      </c>
      <c r="C27" s="2"/>
      <c r="D27" s="2"/>
      <c r="E27" s="2"/>
      <c r="F27" s="2"/>
      <c r="G27" s="2"/>
      <c r="H27" s="2"/>
      <c r="I27" s="5"/>
    </row>
    <row r="28" spans="1:12">
      <c r="A28" s="174"/>
      <c r="B28" s="29" t="s">
        <v>1416</v>
      </c>
      <c r="C28" s="30"/>
      <c r="D28" s="30"/>
      <c r="E28" s="31"/>
      <c r="F28" s="31"/>
      <c r="G28" s="31"/>
      <c r="H28" s="31"/>
      <c r="I28" s="32"/>
    </row>
    <row r="29" spans="1:12">
      <c r="A29" s="2"/>
      <c r="B29" s="1161" t="s">
        <v>1417</v>
      </c>
      <c r="C29" s="34"/>
      <c r="D29" s="34"/>
      <c r="E29" s="35"/>
      <c r="F29" s="35"/>
      <c r="G29" s="35"/>
      <c r="H29" s="35"/>
      <c r="I29" s="36"/>
    </row>
    <row r="30" spans="1:12">
      <c r="A30" s="2"/>
      <c r="B30" s="1161" t="s">
        <v>1395</v>
      </c>
      <c r="C30" s="143"/>
      <c r="D30" s="34"/>
      <c r="E30" s="35"/>
      <c r="F30" s="1163"/>
      <c r="G30" s="35"/>
      <c r="H30" s="35"/>
      <c r="I30" s="36"/>
    </row>
    <row r="31" spans="1:12">
      <c r="A31" s="2"/>
      <c r="B31" s="37" t="s">
        <v>1418</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Factors'!C18</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35.948165835115226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+'[29]Core Rates'!C203</f>
        <v>8.75</v>
      </c>
      <c r="F43" s="1170">
        <v>0.4</v>
      </c>
      <c r="G43" s="1171">
        <f t="shared" si="2"/>
        <v>3.5</v>
      </c>
      <c r="H43" s="35"/>
      <c r="I43" s="36"/>
    </row>
    <row r="44" spans="1:9">
      <c r="A44" s="2"/>
      <c r="B44" s="1184" t="s">
        <v>453</v>
      </c>
      <c r="C44" s="6"/>
      <c r="D44" s="1185" t="s">
        <v>454</v>
      </c>
      <c r="E44" s="1169">
        <f>+'[29]Core Rates'!C228</f>
        <v>0.82427536231884069</v>
      </c>
      <c r="F44" s="1170">
        <v>10</v>
      </c>
      <c r="G44" s="1171">
        <f t="shared" si="2"/>
        <v>8.2427536231884062</v>
      </c>
      <c r="H44" s="35"/>
      <c r="I44" s="36"/>
    </row>
    <row r="45" spans="1:9">
      <c r="A45" s="2"/>
      <c r="B45" s="1186" t="s">
        <v>455</v>
      </c>
      <c r="C45" s="1187"/>
      <c r="D45" s="1185" t="s">
        <v>454</v>
      </c>
      <c r="E45" s="1169">
        <f>+'[29]Core Rates'!C235</f>
        <v>1.1702898550724636</v>
      </c>
      <c r="F45" s="1170">
        <v>10</v>
      </c>
      <c r="G45" s="1171">
        <f t="shared" si="2"/>
        <v>11.702898550724637</v>
      </c>
      <c r="H45" s="35"/>
      <c r="I45" s="36"/>
    </row>
    <row r="46" spans="1:9">
      <c r="A46" s="2"/>
      <c r="B46" s="1186" t="s">
        <v>456</v>
      </c>
      <c r="C46" s="1187"/>
      <c r="D46" s="1168" t="s">
        <v>454</v>
      </c>
      <c r="E46" s="1169">
        <f>+'[29]Core Rates'!C246</f>
        <v>0.58825136612021856</v>
      </c>
      <c r="F46" s="1170">
        <v>10</v>
      </c>
      <c r="G46" s="1171">
        <f t="shared" si="2"/>
        <v>5.8825136612021858</v>
      </c>
      <c r="H46" s="35"/>
      <c r="I46" s="36"/>
    </row>
    <row r="47" spans="1:9">
      <c r="A47" s="2"/>
      <c r="B47" s="1186" t="s">
        <v>479</v>
      </c>
      <c r="C47" s="1187"/>
      <c r="D47" s="1185" t="s">
        <v>454</v>
      </c>
      <c r="E47" s="1169">
        <f>+'[29]Core Rates 2011'!BE307</f>
        <v>1.68</v>
      </c>
      <c r="F47" s="1170">
        <v>2</v>
      </c>
      <c r="G47" s="1171">
        <f t="shared" si="2"/>
        <v>3.36</v>
      </c>
      <c r="H47" s="35"/>
      <c r="I47" s="36"/>
    </row>
    <row r="48" spans="1:9">
      <c r="A48" s="2"/>
      <c r="B48" s="1186" t="s">
        <v>480</v>
      </c>
      <c r="C48" s="1187"/>
      <c r="D48" s="1185" t="s">
        <v>454</v>
      </c>
      <c r="E48" s="1169">
        <f>+'[29]Core Rates 2011'!BE308</f>
        <v>1.61</v>
      </c>
      <c r="F48" s="1170">
        <v>1</v>
      </c>
      <c r="G48" s="1171">
        <f t="shared" si="2"/>
        <v>1.61</v>
      </c>
      <c r="H48" s="35"/>
      <c r="I48" s="36"/>
    </row>
    <row r="49" spans="1:9">
      <c r="A49" s="2"/>
      <c r="B49" s="1186" t="s">
        <v>481</v>
      </c>
      <c r="C49" s="1187"/>
      <c r="D49" s="1185" t="s">
        <v>454</v>
      </c>
      <c r="E49" s="1169">
        <f>+'[29]Core Rates 2011'!BE309</f>
        <v>2.75</v>
      </c>
      <c r="F49" s="1170">
        <v>0.6</v>
      </c>
      <c r="G49" s="1171">
        <f t="shared" si="2"/>
        <v>1.65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(SUM(G57:G66)*0.85)</f>
        <v>2869.0819873333335</v>
      </c>
    </row>
    <row r="56" spans="1:9">
      <c r="A56" s="2"/>
      <c r="B56" s="1174"/>
      <c r="C56" s="35"/>
      <c r="D56" s="1167" t="s">
        <v>447</v>
      </c>
      <c r="E56" s="1167" t="s">
        <v>448</v>
      </c>
      <c r="F56" s="1167" t="s">
        <v>449</v>
      </c>
      <c r="G56" s="1167" t="s">
        <v>450</v>
      </c>
      <c r="H56" s="35"/>
      <c r="I56" s="46"/>
    </row>
    <row r="57" spans="1:9">
      <c r="A57" s="2"/>
      <c r="B57" s="1206" t="str">
        <f>+'[29]Core Rates'!A56</f>
        <v>Construction Site Prep - Medium</v>
      </c>
      <c r="C57" s="6"/>
      <c r="D57" s="1382" t="str">
        <f>+'[29]Core Rates'!B56</f>
        <v>Ac</v>
      </c>
      <c r="E57" s="1169">
        <f>+'[29]Core Rates'!C56</f>
        <v>573.81119999999999</v>
      </c>
      <c r="F57" s="1170">
        <v>0.2</v>
      </c>
      <c r="G57" s="1171">
        <f t="shared" ref="G57:G66" si="3">+F57*E57</f>
        <v>114.76224000000001</v>
      </c>
      <c r="H57" s="35"/>
      <c r="I57" s="47"/>
    </row>
    <row r="58" spans="1:9">
      <c r="A58" s="2"/>
      <c r="B58" s="1387" t="str">
        <f>+'[29]Core Rates'!A105</f>
        <v>Earthmoving: Compacted Embankment</v>
      </c>
      <c r="C58" s="6"/>
      <c r="D58" s="1384" t="str">
        <f>+'[29]Core Rates'!B105</f>
        <v>Cu Yd</v>
      </c>
      <c r="E58" s="1383">
        <f>+'[29]Core Rates'!C105</f>
        <v>2.5499999999999998</v>
      </c>
      <c r="F58" s="1170">
        <v>555</v>
      </c>
      <c r="G58" s="1171">
        <f t="shared" si="3"/>
        <v>1415.25</v>
      </c>
      <c r="H58" s="35"/>
      <c r="I58" s="47"/>
    </row>
    <row r="59" spans="1:9">
      <c r="A59" s="2"/>
      <c r="B59" s="1206" t="str">
        <f>+'[29]Core Rates'!A75</f>
        <v>Corrugated Metal Pipe: 30" Dia, 14 gage - Galvanized (Inst)</v>
      </c>
      <c r="C59" s="6"/>
      <c r="D59" s="1382" t="str">
        <f>+'[29]Core Rates'!B75</f>
        <v>Lin Ft</v>
      </c>
      <c r="E59" s="1383">
        <f>+'[29]Core Rates'!C75</f>
        <v>22.470000000000002</v>
      </c>
      <c r="F59" s="1170">
        <v>49</v>
      </c>
      <c r="G59" s="1171">
        <f>+F59*E59</f>
        <v>1101.0300000000002</v>
      </c>
      <c r="H59" s="35"/>
      <c r="I59" s="47"/>
    </row>
    <row r="60" spans="1:9">
      <c r="A60" s="2"/>
      <c r="B60" s="1206" t="str">
        <f>+'[29]Core Rates'!A206</f>
        <v>Metal Pipe, Anti-Vortex Baffle (pipe diameter installed)</v>
      </c>
      <c r="C60" s="6"/>
      <c r="D60" s="1382" t="str">
        <f>+'[29]Core Rates'!B206</f>
        <v>Inches</v>
      </c>
      <c r="E60" s="1383">
        <f>+'[29]Core Rates'!C206</f>
        <v>13.482000000000001</v>
      </c>
      <c r="F60" s="1170">
        <v>30</v>
      </c>
      <c r="G60" s="1171">
        <f>+F60*E60</f>
        <v>404.46000000000004</v>
      </c>
      <c r="H60" s="35"/>
      <c r="I60" s="47"/>
    </row>
    <row r="61" spans="1:9">
      <c r="A61" s="2"/>
      <c r="B61" s="1206" t="str">
        <f>+'[29]Core Rates'!A213</f>
        <v>Metal, Anti-Seep Collar, 24" Dia, 14 gage</v>
      </c>
      <c r="C61" s="6"/>
      <c r="D61" s="1382" t="str">
        <f>+'[29]Core Rates'!B213</f>
        <v>Ea</v>
      </c>
      <c r="E61" s="1383">
        <f>+'[29]Core Rates'!C213</f>
        <v>230.31750000000002</v>
      </c>
      <c r="F61" s="1170">
        <v>1</v>
      </c>
      <c r="G61" s="1171">
        <f>+F61*E61</f>
        <v>230.31750000000002</v>
      </c>
      <c r="H61" s="35"/>
      <c r="I61" s="47"/>
    </row>
    <row r="62" spans="1:9">
      <c r="A62" s="2"/>
      <c r="B62" s="40" t="s">
        <v>461</v>
      </c>
      <c r="C62" s="6"/>
      <c r="D62" s="1168" t="s">
        <v>408</v>
      </c>
      <c r="E62" s="1169">
        <f>+'[29]Core Rates'!C104</f>
        <v>20</v>
      </c>
      <c r="F62" s="1170">
        <v>0.5</v>
      </c>
      <c r="G62" s="1171">
        <f t="shared" si="3"/>
        <v>10</v>
      </c>
      <c r="H62" s="35"/>
      <c r="I62" s="47"/>
    </row>
    <row r="63" spans="1:9">
      <c r="A63" s="2"/>
      <c r="B63" s="40" t="s">
        <v>462</v>
      </c>
      <c r="C63" s="6"/>
      <c r="D63" s="1168" t="s">
        <v>408</v>
      </c>
      <c r="E63" s="1169">
        <f>+'[29]Core Rates'!AN33</f>
        <v>5.416666666666667</v>
      </c>
      <c r="F63" s="1170">
        <v>0.5</v>
      </c>
      <c r="G63" s="1171">
        <f t="shared" si="3"/>
        <v>2.7083333333333335</v>
      </c>
      <c r="H63" s="35"/>
      <c r="I63" s="47"/>
    </row>
    <row r="64" spans="1:9">
      <c r="A64" s="2"/>
      <c r="B64" s="40" t="s">
        <v>463</v>
      </c>
      <c r="C64" s="6"/>
      <c r="D64" s="1168" t="s">
        <v>452</v>
      </c>
      <c r="E64" s="1169">
        <f>+'[29]Core Rates'!AN34</f>
        <v>5.5</v>
      </c>
      <c r="F64" s="1170">
        <v>0.2</v>
      </c>
      <c r="G64" s="1171">
        <f t="shared" si="3"/>
        <v>1.1000000000000001</v>
      </c>
      <c r="H64" s="35"/>
      <c r="I64" s="47"/>
    </row>
    <row r="65" spans="1:9">
      <c r="A65" s="2"/>
      <c r="B65" s="40" t="s">
        <v>464</v>
      </c>
      <c r="C65" s="6"/>
      <c r="D65" s="1168" t="s">
        <v>452</v>
      </c>
      <c r="E65" s="1169">
        <f>+'[29]Core Rates'!AN32</f>
        <v>6.3125</v>
      </c>
      <c r="F65" s="1170">
        <v>0.2</v>
      </c>
      <c r="G65" s="1171">
        <f t="shared" si="3"/>
        <v>1.2625000000000002</v>
      </c>
      <c r="H65" s="35"/>
      <c r="I65" s="47"/>
    </row>
    <row r="66" spans="1:9">
      <c r="A66" s="2"/>
      <c r="B66" s="40" t="s">
        <v>1280</v>
      </c>
      <c r="C66" s="6"/>
      <c r="D66" s="1168" t="s">
        <v>619</v>
      </c>
      <c r="E66" s="1169">
        <f>+'[29]Core Rates'!C217</f>
        <v>472.5</v>
      </c>
      <c r="F66" s="1170">
        <v>0.2</v>
      </c>
      <c r="G66" s="1171">
        <f t="shared" si="3"/>
        <v>94.5</v>
      </c>
      <c r="H66" s="35"/>
      <c r="I66" s="47"/>
    </row>
    <row r="67" spans="1:9">
      <c r="A67" s="2"/>
      <c r="B67" s="40"/>
      <c r="C67" s="6"/>
      <c r="D67" s="63"/>
      <c r="E67" s="150"/>
      <c r="F67" s="150"/>
      <c r="G67" s="1169"/>
      <c r="H67" s="35"/>
      <c r="I67" s="47"/>
    </row>
    <row r="68" spans="1:9">
      <c r="A68" s="2"/>
      <c r="B68" s="37" t="s">
        <v>43</v>
      </c>
      <c r="C68" s="35"/>
      <c r="D68" s="35"/>
      <c r="E68" s="60"/>
      <c r="F68" s="60"/>
      <c r="G68" s="60"/>
      <c r="H68" s="35"/>
      <c r="I68" s="46"/>
    </row>
    <row r="69" spans="1:9" ht="12.75" customHeight="1">
      <c r="A69" s="2"/>
      <c r="B69" s="2004" t="s">
        <v>457</v>
      </c>
      <c r="C69" s="2005"/>
      <c r="D69" s="2005"/>
      <c r="E69" s="2005"/>
      <c r="F69" s="2005"/>
      <c r="G69" s="2005"/>
      <c r="H69" s="2005"/>
      <c r="I69" s="2006"/>
    </row>
    <row r="70" spans="1:9">
      <c r="A70" s="2"/>
      <c r="B70" s="2004"/>
      <c r="C70" s="2005"/>
      <c r="D70" s="2005"/>
      <c r="E70" s="2005"/>
      <c r="F70" s="2005"/>
      <c r="G70" s="2005"/>
      <c r="H70" s="2005"/>
      <c r="I70" s="2006"/>
    </row>
    <row r="71" spans="1:9">
      <c r="A71" s="2"/>
      <c r="B71" s="1177"/>
      <c r="C71" s="1178"/>
      <c r="D71" s="1178"/>
      <c r="E71" s="1178"/>
      <c r="F71" s="1178"/>
      <c r="G71" s="1178"/>
      <c r="H71" s="1178"/>
      <c r="I71" s="1179"/>
    </row>
    <row r="72" spans="1:9">
      <c r="A72" s="2"/>
      <c r="B72" s="1177"/>
      <c r="C72" s="1178"/>
      <c r="D72" s="1178"/>
      <c r="E72" s="1178"/>
      <c r="F72" s="1178"/>
      <c r="G72" s="1178"/>
      <c r="H72" s="1178"/>
      <c r="I72" s="1179"/>
    </row>
    <row r="73" spans="1:9">
      <c r="A73" s="2"/>
      <c r="B73" s="42" t="s">
        <v>3</v>
      </c>
      <c r="C73" s="35"/>
      <c r="D73" s="35"/>
      <c r="E73" s="35"/>
      <c r="F73" s="39"/>
      <c r="G73" s="35"/>
      <c r="H73" s="35"/>
      <c r="I73" s="1182">
        <f>E75</f>
        <v>506.30858599999999</v>
      </c>
    </row>
    <row r="74" spans="1:9">
      <c r="A74" s="2"/>
      <c r="B74" s="2007" t="s">
        <v>465</v>
      </c>
      <c r="C74" s="2008"/>
      <c r="D74" s="35"/>
      <c r="E74" s="35"/>
      <c r="F74" s="35"/>
      <c r="G74" s="35"/>
      <c r="H74" s="35"/>
      <c r="I74" s="48"/>
    </row>
    <row r="75" spans="1:9">
      <c r="A75" s="2"/>
      <c r="B75" s="37" t="s">
        <v>466</v>
      </c>
      <c r="C75" s="39"/>
      <c r="D75" s="39"/>
      <c r="E75" s="153">
        <f>SUM(G57:G66)*0.15</f>
        <v>506.30858599999999</v>
      </c>
      <c r="F75" s="35"/>
      <c r="G75" s="35"/>
      <c r="H75" s="35"/>
      <c r="I75" s="46"/>
    </row>
    <row r="76" spans="1:9">
      <c r="A76" s="2"/>
      <c r="B76" s="37"/>
      <c r="C76" s="39"/>
      <c r="D76" s="1180"/>
      <c r="E76" s="153"/>
      <c r="F76" s="35"/>
      <c r="G76" s="35"/>
      <c r="H76" s="35"/>
      <c r="I76" s="46"/>
    </row>
    <row r="77" spans="1:9">
      <c r="A77" s="2"/>
      <c r="B77" s="37"/>
      <c r="C77" s="39"/>
      <c r="D77" s="1181"/>
      <c r="E77" s="153"/>
      <c r="F77" s="35"/>
      <c r="G77" s="35"/>
      <c r="H77" s="35"/>
      <c r="I77" s="46"/>
    </row>
    <row r="78" spans="1:9">
      <c r="A78" s="2"/>
      <c r="B78" s="33"/>
      <c r="C78" s="35"/>
      <c r="D78" s="35"/>
      <c r="E78" s="35"/>
      <c r="F78" s="35"/>
      <c r="G78" s="35"/>
      <c r="H78" s="35"/>
      <c r="I78" s="36"/>
    </row>
    <row r="79" spans="1:9">
      <c r="A79" s="2"/>
      <c r="B79" s="42" t="s">
        <v>4</v>
      </c>
      <c r="C79" s="35"/>
      <c r="D79" s="35"/>
      <c r="E79" s="35"/>
      <c r="F79" s="35"/>
      <c r="G79" s="35"/>
      <c r="H79" s="35"/>
      <c r="I79" s="1182">
        <f>0.03*(I40+I55+I73)</f>
        <v>102.34016217505345</v>
      </c>
    </row>
    <row r="80" spans="1:9">
      <c r="A80" s="2"/>
      <c r="B80" s="33" t="s">
        <v>467</v>
      </c>
      <c r="C80" s="35"/>
      <c r="D80" s="35"/>
      <c r="E80" s="35"/>
      <c r="F80" s="35"/>
      <c r="G80" s="35"/>
      <c r="H80" s="35"/>
      <c r="I80" s="36"/>
    </row>
    <row r="81" spans="1:9">
      <c r="A81" s="2"/>
      <c r="B81" s="37"/>
      <c r="C81" s="35"/>
      <c r="D81" s="35"/>
      <c r="E81" s="35"/>
      <c r="F81" s="35"/>
      <c r="G81" s="35"/>
      <c r="H81" s="35"/>
      <c r="I81" s="36"/>
    </row>
    <row r="82" spans="1:9">
      <c r="A82" s="2"/>
      <c r="B82" s="42" t="s">
        <v>468</v>
      </c>
      <c r="C82" s="35"/>
      <c r="D82" s="35"/>
      <c r="E82" s="35"/>
      <c r="F82" s="35"/>
      <c r="G82" s="35"/>
      <c r="H82" s="35"/>
      <c r="I82" s="1182">
        <f>0.01*(I40+I55+I73)</f>
        <v>34.113387391684491</v>
      </c>
    </row>
    <row r="83" spans="1:9">
      <c r="A83" s="2"/>
      <c r="B83" s="33" t="s">
        <v>749</v>
      </c>
      <c r="C83" s="35"/>
      <c r="D83" s="35"/>
      <c r="E83" s="35"/>
      <c r="F83" s="35"/>
      <c r="G83" s="35"/>
      <c r="H83" s="35"/>
      <c r="I83" s="36"/>
    </row>
    <row r="84" spans="1:9">
      <c r="A84" s="2"/>
      <c r="B84" s="37"/>
      <c r="C84" s="35"/>
      <c r="D84" s="35"/>
      <c r="E84" s="35"/>
      <c r="F84" s="35"/>
      <c r="G84" s="35"/>
      <c r="H84" s="35"/>
      <c r="I84" s="36"/>
    </row>
    <row r="85" spans="1:9">
      <c r="A85" s="2"/>
      <c r="B85" s="42" t="s">
        <v>7</v>
      </c>
      <c r="C85" s="35"/>
      <c r="D85" s="35"/>
      <c r="E85" s="35"/>
      <c r="F85" s="35"/>
      <c r="G85" s="35"/>
      <c r="H85" s="35"/>
      <c r="I85" s="1166">
        <v>0</v>
      </c>
    </row>
    <row r="86" spans="1:9">
      <c r="A86" s="2"/>
      <c r="B86" s="33" t="s">
        <v>104</v>
      </c>
      <c r="C86" s="35"/>
      <c r="D86" s="35"/>
      <c r="E86" s="35"/>
      <c r="F86" s="35"/>
      <c r="G86" s="35"/>
      <c r="H86" s="35"/>
      <c r="I86" s="36"/>
    </row>
    <row r="87" spans="1:9">
      <c r="A87" s="2"/>
      <c r="B87" s="37"/>
      <c r="C87" s="35"/>
      <c r="D87" s="35"/>
      <c r="E87" s="35"/>
      <c r="F87" s="35"/>
      <c r="G87" s="35"/>
      <c r="H87" s="35"/>
      <c r="I87" s="36"/>
    </row>
    <row r="88" spans="1:9">
      <c r="A88" s="2"/>
      <c r="B88" s="42" t="s">
        <v>471</v>
      </c>
      <c r="C88" s="35"/>
      <c r="D88" s="35"/>
      <c r="E88" s="35"/>
      <c r="F88" s="39"/>
      <c r="G88" s="35"/>
      <c r="H88" s="35"/>
      <c r="I88" s="1166">
        <v>0</v>
      </c>
    </row>
    <row r="89" spans="1:9">
      <c r="A89" s="2"/>
      <c r="B89" s="756" t="s">
        <v>104</v>
      </c>
      <c r="C89" s="35"/>
      <c r="D89" s="35"/>
      <c r="E89" s="35"/>
      <c r="F89" s="35"/>
      <c r="G89" s="35"/>
      <c r="H89" s="35"/>
      <c r="I89" s="47"/>
    </row>
    <row r="90" spans="1:9">
      <c r="A90" s="2"/>
      <c r="B90" s="756"/>
      <c r="C90" s="35"/>
      <c r="D90" s="35"/>
      <c r="E90" s="35"/>
      <c r="F90" s="35"/>
      <c r="G90" s="35"/>
      <c r="H90" s="35"/>
      <c r="I90" s="47"/>
    </row>
    <row r="91" spans="1:9">
      <c r="A91" s="2"/>
      <c r="B91" s="37"/>
      <c r="C91" s="35"/>
      <c r="D91" s="35"/>
      <c r="E91" s="35"/>
      <c r="F91" s="35"/>
      <c r="G91" s="35"/>
      <c r="H91" s="35"/>
      <c r="I91" s="36"/>
    </row>
    <row r="92" spans="1:9">
      <c r="A92" s="2"/>
      <c r="B92" s="42" t="s">
        <v>5</v>
      </c>
      <c r="C92" s="35"/>
      <c r="D92" s="35"/>
      <c r="E92" s="35"/>
      <c r="F92" s="35"/>
      <c r="G92" s="35"/>
      <c r="H92" s="35"/>
      <c r="I92" s="1166">
        <v>0</v>
      </c>
    </row>
    <row r="93" spans="1:9">
      <c r="A93" s="2"/>
      <c r="B93" s="33" t="s">
        <v>104</v>
      </c>
      <c r="C93" s="35"/>
      <c r="D93" s="35"/>
      <c r="E93" s="35"/>
      <c r="F93" s="35"/>
      <c r="G93" s="35"/>
      <c r="H93" s="35"/>
      <c r="I93" s="47"/>
    </row>
    <row r="94" spans="1:9">
      <c r="A94" s="2"/>
      <c r="B94" s="37"/>
      <c r="C94" s="35"/>
      <c r="D94" s="35"/>
      <c r="E94" s="35"/>
      <c r="F94" s="35"/>
      <c r="G94" s="35"/>
      <c r="H94" s="35"/>
      <c r="I94" s="36"/>
    </row>
    <row r="95" spans="1:9">
      <c r="A95" s="2"/>
      <c r="B95" s="42" t="s">
        <v>20</v>
      </c>
      <c r="C95" s="35"/>
      <c r="D95" s="35"/>
      <c r="E95" s="35"/>
      <c r="F95" s="35"/>
      <c r="G95" s="35"/>
      <c r="H95" s="35"/>
      <c r="I95" s="1166">
        <v>0</v>
      </c>
    </row>
    <row r="96" spans="1:9">
      <c r="A96" s="2"/>
      <c r="B96" s="33" t="s">
        <v>104</v>
      </c>
      <c r="C96" s="35"/>
      <c r="D96" s="35"/>
      <c r="E96" s="35"/>
      <c r="F96" s="35"/>
      <c r="G96" s="35"/>
      <c r="H96" s="35"/>
      <c r="I96" s="36"/>
    </row>
    <row r="97" spans="1:9">
      <c r="A97" s="2"/>
      <c r="B97" s="40"/>
      <c r="C97" s="35"/>
      <c r="D97" s="35"/>
      <c r="E97" s="35"/>
      <c r="F97" s="35"/>
      <c r="G97" s="35"/>
      <c r="H97" s="35"/>
      <c r="I97" s="36"/>
    </row>
    <row r="98" spans="1:9">
      <c r="A98" s="2"/>
      <c r="B98" s="42" t="s">
        <v>473</v>
      </c>
      <c r="C98" s="35"/>
      <c r="D98" s="35"/>
      <c r="E98" s="35"/>
      <c r="F98" s="35"/>
      <c r="G98" s="35"/>
      <c r="H98" s="35"/>
      <c r="I98" s="1183">
        <f>+I40+I55+I73+I79+I85+I95</f>
        <v>3513.6789013435023</v>
      </c>
    </row>
    <row r="99" spans="1:9" ht="15.75">
      <c r="A99" s="2"/>
      <c r="B99" s="33" t="s">
        <v>474</v>
      </c>
      <c r="C99" s="35"/>
      <c r="D99" s="35"/>
      <c r="E99" s="35"/>
      <c r="F99" s="35"/>
      <c r="G99" s="35"/>
      <c r="H99" s="35"/>
      <c r="I99" s="36"/>
    </row>
    <row r="100" spans="1:9">
      <c r="A100" s="2"/>
      <c r="B100" s="40"/>
      <c r="C100" s="35"/>
      <c r="D100" s="35"/>
      <c r="E100" s="35"/>
      <c r="F100" s="35"/>
      <c r="G100" s="35"/>
      <c r="H100" s="35"/>
      <c r="I100" s="36"/>
    </row>
    <row r="101" spans="1:9">
      <c r="A101" s="2"/>
      <c r="B101" s="43" t="s">
        <v>11</v>
      </c>
      <c r="C101" s="44"/>
      <c r="D101" s="44"/>
      <c r="E101" s="44"/>
      <c r="F101" s="44"/>
      <c r="G101" s="44"/>
      <c r="H101" s="44"/>
      <c r="I101" s="621">
        <f>SUM(I40:I95)</f>
        <v>3547.792288735187</v>
      </c>
    </row>
  </sheetData>
  <mergeCells count="4">
    <mergeCell ref="B1:D1"/>
    <mergeCell ref="E55:H55"/>
    <mergeCell ref="B69:I70"/>
    <mergeCell ref="B74:C74"/>
  </mergeCells>
  <pageMargins left="0.75" right="0.75" top="1" bottom="1" header="0.5" footer="0.5"/>
  <pageSetup scale="59" orientation="portrait" r:id="rId1"/>
  <headerFooter alignWithMargins="0"/>
</worksheet>
</file>

<file path=xl/worksheets/sheet141.xml><?xml version="1.0" encoding="utf-8"?>
<worksheet xmlns="http://schemas.openxmlformats.org/spreadsheetml/2006/main" xmlns:r="http://schemas.openxmlformats.org/officeDocument/2006/relationships">
  <sheetPr>
    <pageSetUpPr fitToPage="1"/>
  </sheetPr>
  <dimension ref="A1:L97"/>
  <sheetViews>
    <sheetView zoomScale="75" zoomScaleNormal="75" workbookViewId="0">
      <selection activeCell="B54" sqref="B54:I55"/>
    </sheetView>
  </sheetViews>
  <sheetFormatPr defaultRowHeight="12.75"/>
  <cols>
    <col min="1" max="1" width="1.85546875" customWidth="1"/>
    <col min="2" max="2" width="9.28515625" bestFit="1" customWidth="1"/>
    <col min="3" max="3" width="24.140625" customWidth="1"/>
    <col min="4" max="4" width="23.140625" customWidth="1"/>
    <col min="5" max="5" width="46.28515625" customWidth="1"/>
    <col min="6" max="6" width="10.42578125" customWidth="1"/>
    <col min="7" max="8" width="9.28515625" bestFit="1" customWidth="1"/>
    <col min="9" max="9" width="11" bestFit="1" customWidth="1"/>
    <col min="10" max="10" width="10.5703125" bestFit="1" customWidth="1"/>
    <col min="11" max="12" width="9.28515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412</v>
      </c>
      <c r="C6" s="7" t="str">
        <f>+E12</f>
        <v>EQIP</v>
      </c>
      <c r="D6" s="53" t="s">
        <v>1419</v>
      </c>
      <c r="E6" s="110" t="s">
        <v>1420</v>
      </c>
      <c r="F6" s="7" t="str">
        <f>+D36</f>
        <v>Acre</v>
      </c>
      <c r="G6" s="85">
        <f>+I25</f>
        <v>6099.3374780381337</v>
      </c>
    </row>
    <row r="7" spans="1:12" ht="25.5" hidden="1">
      <c r="A7" s="2"/>
      <c r="B7" s="54">
        <f>+B6</f>
        <v>412</v>
      </c>
      <c r="C7" s="7" t="str">
        <f>+C6</f>
        <v>EQIP</v>
      </c>
      <c r="D7" s="53" t="s">
        <v>1419</v>
      </c>
      <c r="E7" s="110" t="str">
        <f>CONCATENATE(E6, "-HU")</f>
        <v>Grassed Waterway - Erosion Control Blanket on ~80%-HU</v>
      </c>
      <c r="F7" s="7" t="str">
        <f>+F6</f>
        <v>Acre</v>
      </c>
      <c r="G7" s="85">
        <f>+J25</f>
        <v>7319.2049736457602</v>
      </c>
    </row>
    <row r="8" spans="1:12" ht="25.5" hidden="1">
      <c r="A8" s="2"/>
      <c r="B8" s="54">
        <v>412</v>
      </c>
      <c r="C8" s="7" t="str">
        <f>+G12</f>
        <v>WHIP</v>
      </c>
      <c r="D8" s="53" t="s">
        <v>1419</v>
      </c>
      <c r="E8" s="110" t="s">
        <v>1420</v>
      </c>
      <c r="F8" s="7" t="str">
        <f>+D36</f>
        <v>Acre</v>
      </c>
      <c r="G8" s="85">
        <f>+K25</f>
        <v>0</v>
      </c>
    </row>
    <row r="9" spans="1:12" ht="25.5" hidden="1">
      <c r="A9" s="2"/>
      <c r="B9" s="8">
        <f>+B8</f>
        <v>412</v>
      </c>
      <c r="C9" s="10" t="str">
        <f>+C8</f>
        <v>WHIP</v>
      </c>
      <c r="D9" s="9" t="s">
        <v>1419</v>
      </c>
      <c r="E9" s="111" t="str">
        <f>CONCATENATE(E6, "-HU")</f>
        <v>Grassed Waterway - Erosion Control Blanket on ~80%-HU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179.74082917557618</v>
      </c>
      <c r="E16" s="160">
        <f>+'[10]Payment Factors'!D19</f>
        <v>0.75</v>
      </c>
      <c r="F16" s="160">
        <f>+'[10]Payment Factors'!E19</f>
        <v>0.9</v>
      </c>
      <c r="G16" s="160">
        <f>+'[10]Payment Factors'!F19</f>
        <v>0</v>
      </c>
      <c r="H16" s="160">
        <f>+'[10]Payment Factors'!G19</f>
        <v>0</v>
      </c>
      <c r="I16" s="1154">
        <f t="shared" ref="I16:L24" si="0">+$D16*E16</f>
        <v>134.80562188168213</v>
      </c>
      <c r="J16" s="1154">
        <f t="shared" si="0"/>
        <v>161.76674625801857</v>
      </c>
      <c r="K16" s="1154">
        <f t="shared" si="0"/>
        <v>0</v>
      </c>
      <c r="L16" s="1155">
        <f t="shared" si="0"/>
        <v>0</v>
      </c>
    </row>
    <row r="17" spans="1:12" hidden="1">
      <c r="A17" s="2"/>
      <c r="B17" s="15" t="s">
        <v>2</v>
      </c>
      <c r="C17" s="16"/>
      <c r="D17" s="24">
        <f>+I55</f>
        <v>6558.4654166666678</v>
      </c>
      <c r="E17" s="160">
        <f t="shared" ref="E17:H19" si="1">+E16</f>
        <v>0.75</v>
      </c>
      <c r="F17" s="160">
        <f t="shared" si="1"/>
        <v>0.9</v>
      </c>
      <c r="G17" s="160">
        <f t="shared" si="1"/>
        <v>0</v>
      </c>
      <c r="H17" s="160">
        <f t="shared" si="1"/>
        <v>0</v>
      </c>
      <c r="I17" s="1154">
        <f t="shared" si="0"/>
        <v>4918.8490625000013</v>
      </c>
      <c r="J17" s="1154">
        <f t="shared" si="0"/>
        <v>5902.618875000001</v>
      </c>
      <c r="K17" s="1154">
        <f t="shared" si="0"/>
        <v>0</v>
      </c>
      <c r="L17" s="1155">
        <f t="shared" si="0"/>
        <v>0</v>
      </c>
    </row>
    <row r="18" spans="1:12" hidden="1">
      <c r="A18" s="2"/>
      <c r="B18" s="15" t="s">
        <v>3</v>
      </c>
      <c r="C18" s="16"/>
      <c r="D18" s="24">
        <f>+I69</f>
        <v>1157.3762500000003</v>
      </c>
      <c r="E18" s="160">
        <f t="shared" si="1"/>
        <v>0.75</v>
      </c>
      <c r="F18" s="160">
        <f t="shared" si="1"/>
        <v>0.9</v>
      </c>
      <c r="G18" s="160">
        <f t="shared" si="1"/>
        <v>0</v>
      </c>
      <c r="H18" s="160">
        <f t="shared" si="1"/>
        <v>0</v>
      </c>
      <c r="I18" s="1154">
        <f t="shared" si="0"/>
        <v>868.03218750000019</v>
      </c>
      <c r="J18" s="1154">
        <f t="shared" si="0"/>
        <v>1041.6386250000003</v>
      </c>
      <c r="K18" s="1154">
        <f t="shared" si="0"/>
        <v>0</v>
      </c>
      <c r="L18" s="1155">
        <f t="shared" si="0"/>
        <v>0</v>
      </c>
    </row>
    <row r="19" spans="1:12" hidden="1">
      <c r="A19" s="2"/>
      <c r="B19" s="15" t="s">
        <v>4</v>
      </c>
      <c r="C19" s="16"/>
      <c r="D19" s="24">
        <f>+I75</f>
        <v>236.86747487526733</v>
      </c>
      <c r="E19" s="160">
        <f t="shared" si="1"/>
        <v>0.75</v>
      </c>
      <c r="F19" s="160">
        <f t="shared" si="1"/>
        <v>0.9</v>
      </c>
      <c r="G19" s="160">
        <f t="shared" si="1"/>
        <v>0</v>
      </c>
      <c r="H19" s="160">
        <f t="shared" si="1"/>
        <v>0</v>
      </c>
      <c r="I19" s="1154">
        <f t="shared" si="0"/>
        <v>177.65060615645049</v>
      </c>
      <c r="J19" s="1154">
        <f t="shared" si="0"/>
        <v>213.1807273877406</v>
      </c>
      <c r="K19" s="1154">
        <f t="shared" si="0"/>
        <v>0</v>
      </c>
      <c r="L19" s="1155">
        <f t="shared" si="0"/>
        <v>0</v>
      </c>
    </row>
    <row r="20" spans="1:12" hidden="1">
      <c r="A20" s="2"/>
      <c r="B20" s="15" t="s">
        <v>26</v>
      </c>
      <c r="C20" s="16"/>
      <c r="D20" s="24">
        <f>+I78</f>
        <v>78.95582495842244</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+I84</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8211.4057956759334</v>
      </c>
      <c r="E25" s="1158"/>
      <c r="F25" s="1158"/>
      <c r="G25" s="28"/>
      <c r="H25" s="28"/>
      <c r="I25" s="1159">
        <f>SUM(I16:I24)</f>
        <v>6099.3374780381337</v>
      </c>
      <c r="J25" s="1159">
        <f>SUM(J16:J24)</f>
        <v>7319.2049736457602</v>
      </c>
      <c r="K25" s="1159">
        <f>SUM(K16:K24)</f>
        <v>0</v>
      </c>
      <c r="L25" s="1160">
        <f>SUM(L16:L24)</f>
        <v>0</v>
      </c>
    </row>
    <row r="26" spans="1:12" hidden="1"/>
    <row r="27" spans="1:12" ht="15.75">
      <c r="A27" s="2"/>
      <c r="B27" s="50" t="s">
        <v>28</v>
      </c>
      <c r="C27" s="2"/>
      <c r="D27" s="2"/>
      <c r="E27" s="2"/>
      <c r="F27" s="2"/>
      <c r="G27" s="2"/>
      <c r="H27" s="2"/>
      <c r="I27" s="5"/>
    </row>
    <row r="28" spans="1:12">
      <c r="A28" s="2"/>
      <c r="B28" s="29" t="s">
        <v>1421</v>
      </c>
      <c r="C28" s="30"/>
      <c r="D28" s="30"/>
      <c r="E28" s="31"/>
      <c r="F28" s="31"/>
      <c r="G28" s="31"/>
      <c r="H28" s="31"/>
      <c r="I28" s="32"/>
    </row>
    <row r="29" spans="1:12">
      <c r="A29" s="2"/>
      <c r="B29" s="1161" t="s">
        <v>1422</v>
      </c>
      <c r="C29" s="34"/>
      <c r="D29" s="34"/>
      <c r="E29" s="35"/>
      <c r="F29" s="35"/>
      <c r="G29" s="35"/>
      <c r="H29" s="35"/>
      <c r="I29" s="36"/>
    </row>
    <row r="30" spans="1:12">
      <c r="A30" s="2"/>
      <c r="B30" s="1161" t="s">
        <v>1423</v>
      </c>
      <c r="C30" s="143"/>
      <c r="D30" s="34"/>
      <c r="E30" s="35"/>
      <c r="F30" s="1163"/>
      <c r="G30" s="35"/>
      <c r="H30" s="35"/>
      <c r="I30" s="36"/>
    </row>
    <row r="31" spans="1:12">
      <c r="A31" s="2"/>
      <c r="B31" s="37" t="s">
        <v>1424</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f>+'[10]Payment Factors'!C19</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+'[30]Core Rates'!C203</f>
        <v>8.75</v>
      </c>
      <c r="F43" s="1170">
        <v>2</v>
      </c>
      <c r="G43" s="1171">
        <f t="shared" si="2"/>
        <v>17.5</v>
      </c>
      <c r="H43" s="35"/>
      <c r="I43" s="36"/>
    </row>
    <row r="44" spans="1:9">
      <c r="A44" s="2"/>
      <c r="B44" s="1184" t="s">
        <v>453</v>
      </c>
      <c r="C44" s="6"/>
      <c r="D44" s="1185" t="s">
        <v>454</v>
      </c>
      <c r="E44" s="1169">
        <f>+'[30]Core Rates'!C228</f>
        <v>0.82427536231884069</v>
      </c>
      <c r="F44" s="1170">
        <v>50</v>
      </c>
      <c r="G44" s="1171">
        <f t="shared" si="2"/>
        <v>41.213768115942031</v>
      </c>
      <c r="H44" s="35"/>
      <c r="I44" s="36"/>
    </row>
    <row r="45" spans="1:9">
      <c r="A45" s="2"/>
      <c r="B45" s="1186" t="s">
        <v>455</v>
      </c>
      <c r="C45" s="1187"/>
      <c r="D45" s="1185" t="s">
        <v>454</v>
      </c>
      <c r="E45" s="1169">
        <f>+'[30]Core Rates'!C235</f>
        <v>1.1702898550724636</v>
      </c>
      <c r="F45" s="1170">
        <v>50</v>
      </c>
      <c r="G45" s="1171">
        <f t="shared" si="2"/>
        <v>58.51449275362318</v>
      </c>
      <c r="H45" s="35"/>
      <c r="I45" s="36"/>
    </row>
    <row r="46" spans="1:9">
      <c r="A46" s="2"/>
      <c r="B46" s="1186" t="s">
        <v>456</v>
      </c>
      <c r="C46" s="1187"/>
      <c r="D46" s="1168" t="s">
        <v>454</v>
      </c>
      <c r="E46" s="1169">
        <f>+'[30]Core Rates'!C246</f>
        <v>0.58825136612021856</v>
      </c>
      <c r="F46" s="1170">
        <v>50</v>
      </c>
      <c r="G46" s="1171">
        <f t="shared" si="2"/>
        <v>29.412568306010929</v>
      </c>
      <c r="H46" s="35"/>
      <c r="I46" s="36"/>
    </row>
    <row r="47" spans="1:9">
      <c r="A47" s="2"/>
      <c r="B47" s="1186" t="s">
        <v>479</v>
      </c>
      <c r="C47" s="1187"/>
      <c r="D47" s="1185" t="s">
        <v>454</v>
      </c>
      <c r="E47" s="1169">
        <f>+'[30]Core Rates 2011'!BE307</f>
        <v>1.68</v>
      </c>
      <c r="F47" s="1170">
        <v>10</v>
      </c>
      <c r="G47" s="1171">
        <f t="shared" si="2"/>
        <v>16.8</v>
      </c>
      <c r="H47" s="35"/>
      <c r="I47" s="36"/>
    </row>
    <row r="48" spans="1:9">
      <c r="A48" s="2"/>
      <c r="B48" s="1186" t="s">
        <v>480</v>
      </c>
      <c r="C48" s="1187"/>
      <c r="D48" s="1185" t="s">
        <v>454</v>
      </c>
      <c r="E48" s="1169">
        <f>+'[30]Core Rates 2011'!BE308</f>
        <v>1.61</v>
      </c>
      <c r="F48" s="1170">
        <v>5</v>
      </c>
      <c r="G48" s="1171">
        <f t="shared" si="2"/>
        <v>8.0500000000000007</v>
      </c>
      <c r="H48" s="35"/>
      <c r="I48" s="36"/>
    </row>
    <row r="49" spans="1:9">
      <c r="A49" s="2"/>
      <c r="B49" s="1186" t="s">
        <v>481</v>
      </c>
      <c r="C49" s="1187"/>
      <c r="D49" s="1185" t="s">
        <v>454</v>
      </c>
      <c r="E49" s="1169">
        <f>+'[30]Core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(SUM(G57:G62)*0.85)</f>
        <v>6558.4654166666678</v>
      </c>
    </row>
    <row r="56" spans="1:9">
      <c r="A56" s="2"/>
      <c r="B56" s="1174"/>
      <c r="C56" s="35"/>
      <c r="D56" s="1167" t="s">
        <v>447</v>
      </c>
      <c r="E56" s="1167" t="s">
        <v>448</v>
      </c>
      <c r="F56" s="1167" t="s">
        <v>449</v>
      </c>
      <c r="G56" s="1167" t="s">
        <v>450</v>
      </c>
      <c r="H56" s="35"/>
      <c r="I56" s="46"/>
    </row>
    <row r="57" spans="1:9">
      <c r="A57" s="2"/>
      <c r="B57" s="1206" t="str">
        <f>+'[30]Core Rates'!A114</f>
        <v>Earthmoving: Heavy shaping (1.0'-2.0' cut/fill)</v>
      </c>
      <c r="C57" s="6"/>
      <c r="D57" s="1168" t="s">
        <v>408</v>
      </c>
      <c r="E57" s="1169">
        <f>+'[30]Core Rates'!C114</f>
        <v>1708.5</v>
      </c>
      <c r="F57" s="1170">
        <v>0.8</v>
      </c>
      <c r="G57" s="1171">
        <f t="shared" ref="G57:G62" si="3">+F57*E57</f>
        <v>1366.8000000000002</v>
      </c>
      <c r="H57" s="35"/>
      <c r="I57" s="47"/>
    </row>
    <row r="58" spans="1:9">
      <c r="A58" s="2"/>
      <c r="B58" s="1389" t="str">
        <f>+'[30]Core Rates'!A123</f>
        <v>Erosion Control Blanket, Type II (Installed)</v>
      </c>
      <c r="C58" s="6"/>
      <c r="D58" s="1168" t="s">
        <v>986</v>
      </c>
      <c r="E58" s="1169">
        <f>+'[30]Core Rates'!C123</f>
        <v>1.5750000000000002</v>
      </c>
      <c r="F58" s="1170">
        <v>4000</v>
      </c>
      <c r="G58" s="1171">
        <f t="shared" si="3"/>
        <v>6300.0000000000009</v>
      </c>
      <c r="H58" s="35"/>
      <c r="I58" s="47"/>
    </row>
    <row r="59" spans="1:9">
      <c r="A59" s="2"/>
      <c r="B59" s="40" t="s">
        <v>461</v>
      </c>
      <c r="C59" s="6"/>
      <c r="D59" s="1168" t="s">
        <v>408</v>
      </c>
      <c r="E59" s="1169">
        <f>+'[30]Core Rates'!C104</f>
        <v>20</v>
      </c>
      <c r="F59" s="1170">
        <v>1</v>
      </c>
      <c r="G59" s="1171">
        <f t="shared" si="3"/>
        <v>20</v>
      </c>
      <c r="H59" s="35"/>
      <c r="I59" s="47"/>
    </row>
    <row r="60" spans="1:9">
      <c r="A60" s="2"/>
      <c r="B60" s="40" t="s">
        <v>462</v>
      </c>
      <c r="C60" s="6"/>
      <c r="D60" s="1168" t="s">
        <v>408</v>
      </c>
      <c r="E60" s="1169">
        <f>+'[30]Core Rates'!AN33</f>
        <v>5.416666666666667</v>
      </c>
      <c r="F60" s="1170">
        <v>1</v>
      </c>
      <c r="G60" s="1171">
        <f t="shared" si="3"/>
        <v>5.416666666666667</v>
      </c>
      <c r="H60" s="35"/>
      <c r="I60" s="47"/>
    </row>
    <row r="61" spans="1:9">
      <c r="A61" s="2"/>
      <c r="B61" s="40" t="s">
        <v>463</v>
      </c>
      <c r="C61" s="6"/>
      <c r="D61" s="1168" t="s">
        <v>452</v>
      </c>
      <c r="E61" s="1169">
        <f>+'[30]Core Rates'!AN34</f>
        <v>5.5</v>
      </c>
      <c r="F61" s="1170">
        <v>2</v>
      </c>
      <c r="G61" s="1171">
        <f t="shared" si="3"/>
        <v>11</v>
      </c>
      <c r="H61" s="35"/>
      <c r="I61" s="47"/>
    </row>
    <row r="62" spans="1:9">
      <c r="A62" s="2"/>
      <c r="B62" s="40" t="s">
        <v>464</v>
      </c>
      <c r="C62" s="6"/>
      <c r="D62" s="1168" t="s">
        <v>452</v>
      </c>
      <c r="E62" s="1169">
        <f>+'[30]Core Rates'!AN32</f>
        <v>6.3125</v>
      </c>
      <c r="F62" s="1170">
        <v>2</v>
      </c>
      <c r="G62" s="1171">
        <f t="shared" si="3"/>
        <v>12.625</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1157.3762500000003</v>
      </c>
    </row>
    <row r="70" spans="1:9">
      <c r="A70" s="2"/>
      <c r="B70" s="2007" t="s">
        <v>465</v>
      </c>
      <c r="C70" s="2008"/>
      <c r="D70" s="35"/>
      <c r="E70" s="35"/>
      <c r="F70" s="35"/>
      <c r="G70" s="35"/>
      <c r="H70" s="35"/>
      <c r="I70" s="48"/>
    </row>
    <row r="71" spans="1:9">
      <c r="A71" s="2"/>
      <c r="B71" s="37" t="s">
        <v>466</v>
      </c>
      <c r="C71" s="39"/>
      <c r="D71" s="39"/>
      <c r="E71" s="153">
        <f>SUM(G57:G62)*0.15</f>
        <v>1157.3762500000003</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0.03*(I40+I55+I69)</f>
        <v>236.86747487526733</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0.01*(I40+I55+I69)</f>
        <v>78.95582495842244</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1425</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0</v>
      </c>
    </row>
    <row r="85" spans="1:9">
      <c r="A85" s="2"/>
      <c r="B85" s="756" t="s">
        <v>104</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104</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+I40+I55+I69+I75+I81+I91</f>
        <v>8132.4499707175119</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8211.4057956759334</v>
      </c>
    </row>
  </sheetData>
  <mergeCells count="4">
    <mergeCell ref="B1:D1"/>
    <mergeCell ref="E55:H55"/>
    <mergeCell ref="B65:I66"/>
    <mergeCell ref="B70:C70"/>
  </mergeCells>
  <pageMargins left="0.75" right="0.75" top="1" bottom="1" header="0.5" footer="0.5"/>
  <pageSetup scale="63" orientation="portrait" r:id="rId1"/>
  <headerFooter alignWithMargins="0"/>
</worksheet>
</file>

<file path=xl/worksheets/sheet142.xml><?xml version="1.0" encoding="utf-8"?>
<worksheet xmlns="http://schemas.openxmlformats.org/spreadsheetml/2006/main" xmlns:r="http://schemas.openxmlformats.org/officeDocument/2006/relationships">
  <sheetPr>
    <pageSetUpPr fitToPage="1"/>
  </sheetPr>
  <dimension ref="A1:L100"/>
  <sheetViews>
    <sheetView workbookViewId="0">
      <selection activeCell="B54" sqref="B54:I55"/>
    </sheetView>
  </sheetViews>
  <sheetFormatPr defaultRowHeight="12.75"/>
  <cols>
    <col min="1" max="1" width="1.85546875" customWidth="1"/>
    <col min="3" max="3" width="24.140625" customWidth="1"/>
    <col min="4" max="4" width="23.140625" customWidth="1"/>
    <col min="5" max="5" width="46.2851562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412</v>
      </c>
      <c r="C6" s="7" t="str">
        <f>+E12</f>
        <v>EQIP</v>
      </c>
      <c r="D6" s="53" t="s">
        <v>1419</v>
      </c>
      <c r="E6" s="110" t="s">
        <v>1426</v>
      </c>
      <c r="F6" s="7" t="str">
        <f>+D36</f>
        <v>Acre</v>
      </c>
      <c r="G6" s="85">
        <f>+I25</f>
        <v>7447.570159850633</v>
      </c>
    </row>
    <row r="7" spans="1:12" hidden="1">
      <c r="A7" s="2"/>
      <c r="B7" s="54">
        <f>+B6</f>
        <v>412</v>
      </c>
      <c r="C7" s="7" t="str">
        <f>+C6</f>
        <v>EQIP</v>
      </c>
      <c r="D7" s="53" t="s">
        <v>1419</v>
      </c>
      <c r="E7" s="110" t="str">
        <f>CONCATENATE(E6, "-HU")</f>
        <v>Grassed Waterway - ECB on ~80% + ~1100ft tile-HU</v>
      </c>
      <c r="F7" s="7" t="str">
        <f>+F6</f>
        <v>Acre</v>
      </c>
      <c r="G7" s="85">
        <f>+J25</f>
        <v>8937.0841918207607</v>
      </c>
    </row>
    <row r="8" spans="1:12" hidden="1">
      <c r="A8" s="2"/>
      <c r="B8" s="54">
        <v>412</v>
      </c>
      <c r="C8" s="7" t="str">
        <f>+G12</f>
        <v>WHIP</v>
      </c>
      <c r="D8" s="53" t="s">
        <v>1419</v>
      </c>
      <c r="E8" s="110" t="s">
        <v>1426</v>
      </c>
      <c r="F8" s="7" t="str">
        <f>+D36</f>
        <v>Acre</v>
      </c>
      <c r="G8" s="85">
        <f>+K25</f>
        <v>0</v>
      </c>
    </row>
    <row r="9" spans="1:12" hidden="1">
      <c r="A9" s="2"/>
      <c r="B9" s="8">
        <f>+B8</f>
        <v>412</v>
      </c>
      <c r="C9" s="10" t="str">
        <f>+C8</f>
        <v>WHIP</v>
      </c>
      <c r="D9" s="9" t="s">
        <v>1419</v>
      </c>
      <c r="E9" s="111" t="str">
        <f>CONCATENATE(E6, "-HU")</f>
        <v>Grassed Waterway - ECB on ~80% + ~1100ft tile-HU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179.74082917557618</v>
      </c>
      <c r="E16" s="160">
        <f>+'[10]Payment Factors'!D19</f>
        <v>0.75</v>
      </c>
      <c r="F16" s="160">
        <f>+'[10]Payment Factors'!E19</f>
        <v>0.9</v>
      </c>
      <c r="G16" s="160">
        <f>+'[10]Payment Factors'!F19</f>
        <v>0</v>
      </c>
      <c r="H16" s="160">
        <f>+'[10]Payment Factors'!G19</f>
        <v>0</v>
      </c>
      <c r="I16" s="1154">
        <f t="shared" ref="I16:L24" si="0">+$D16*E16</f>
        <v>134.80562188168213</v>
      </c>
      <c r="J16" s="1154">
        <f t="shared" si="0"/>
        <v>161.76674625801857</v>
      </c>
      <c r="K16" s="1154">
        <f t="shared" si="0"/>
        <v>0</v>
      </c>
      <c r="L16" s="1155">
        <f t="shared" si="0"/>
        <v>0</v>
      </c>
    </row>
    <row r="17" spans="1:12" hidden="1">
      <c r="A17" s="2"/>
      <c r="B17" s="15" t="s">
        <v>2</v>
      </c>
      <c r="C17" s="16"/>
      <c r="D17" s="24">
        <f>+I55</f>
        <v>8041.957687916668</v>
      </c>
      <c r="E17" s="160">
        <f t="shared" ref="E17:H19" si="1">+E16</f>
        <v>0.75</v>
      </c>
      <c r="F17" s="160">
        <f t="shared" si="1"/>
        <v>0.9</v>
      </c>
      <c r="G17" s="160">
        <f t="shared" si="1"/>
        <v>0</v>
      </c>
      <c r="H17" s="160">
        <f t="shared" si="1"/>
        <v>0</v>
      </c>
      <c r="I17" s="1154">
        <f t="shared" si="0"/>
        <v>6031.4682659375012</v>
      </c>
      <c r="J17" s="1154">
        <f t="shared" si="0"/>
        <v>7237.7619191250014</v>
      </c>
      <c r="K17" s="1154">
        <f t="shared" si="0"/>
        <v>0</v>
      </c>
      <c r="L17" s="1155">
        <f t="shared" si="0"/>
        <v>0</v>
      </c>
    </row>
    <row r="18" spans="1:12" hidden="1">
      <c r="A18" s="2"/>
      <c r="B18" s="15" t="s">
        <v>3</v>
      </c>
      <c r="C18" s="16"/>
      <c r="D18" s="24">
        <f>+I72</f>
        <v>1419.1690037500002</v>
      </c>
      <c r="E18" s="160">
        <f t="shared" si="1"/>
        <v>0.75</v>
      </c>
      <c r="F18" s="160">
        <f t="shared" si="1"/>
        <v>0.9</v>
      </c>
      <c r="G18" s="160">
        <f t="shared" si="1"/>
        <v>0</v>
      </c>
      <c r="H18" s="160">
        <f t="shared" si="1"/>
        <v>0</v>
      </c>
      <c r="I18" s="1154">
        <f t="shared" si="0"/>
        <v>1064.3767528125002</v>
      </c>
      <c r="J18" s="1154">
        <f t="shared" si="0"/>
        <v>1277.2521033750002</v>
      </c>
      <c r="K18" s="1154">
        <f t="shared" si="0"/>
        <v>0</v>
      </c>
      <c r="L18" s="1155">
        <f t="shared" si="0"/>
        <v>0</v>
      </c>
    </row>
    <row r="19" spans="1:12" hidden="1">
      <c r="A19" s="2"/>
      <c r="B19" s="15" t="s">
        <v>4</v>
      </c>
      <c r="C19" s="16"/>
      <c r="D19" s="24">
        <f>+I78</f>
        <v>289.22602562526725</v>
      </c>
      <c r="E19" s="160">
        <f t="shared" si="1"/>
        <v>0.75</v>
      </c>
      <c r="F19" s="160">
        <f t="shared" si="1"/>
        <v>0.9</v>
      </c>
      <c r="G19" s="160">
        <f t="shared" si="1"/>
        <v>0</v>
      </c>
      <c r="H19" s="160">
        <f t="shared" si="1"/>
        <v>0</v>
      </c>
      <c r="I19" s="1154">
        <f t="shared" si="0"/>
        <v>216.91951921895043</v>
      </c>
      <c r="J19" s="1154">
        <f t="shared" si="0"/>
        <v>260.30342306274053</v>
      </c>
      <c r="K19" s="1154">
        <f t="shared" si="0"/>
        <v>0</v>
      </c>
      <c r="L19" s="1155">
        <f t="shared" si="0"/>
        <v>0</v>
      </c>
    </row>
    <row r="20" spans="1:12" hidden="1">
      <c r="A20" s="2"/>
      <c r="B20" s="15" t="s">
        <v>26</v>
      </c>
      <c r="C20" s="16"/>
      <c r="D20" s="24">
        <f>+I81</f>
        <v>96.408675208422437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+I84</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+I87</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+I91</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+I94</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10026.502221675932</v>
      </c>
      <c r="E25" s="1158"/>
      <c r="F25" s="1158"/>
      <c r="G25" s="28"/>
      <c r="H25" s="28"/>
      <c r="I25" s="1159">
        <f>SUM(I16:I24)</f>
        <v>7447.570159850633</v>
      </c>
      <c r="J25" s="1159">
        <f>SUM(J16:J24)</f>
        <v>8937.0841918207607</v>
      </c>
      <c r="K25" s="1159">
        <f>SUM(K16:K24)</f>
        <v>0</v>
      </c>
      <c r="L25" s="1160">
        <f>SUM(L16:L24)</f>
        <v>0</v>
      </c>
    </row>
    <row r="26" spans="1:12" hidden="1"/>
    <row r="27" spans="1:12" ht="15.75">
      <c r="A27" s="2"/>
      <c r="B27" s="50" t="s">
        <v>28</v>
      </c>
      <c r="C27" s="2"/>
      <c r="D27" s="2"/>
      <c r="E27" s="2"/>
      <c r="F27" s="2"/>
      <c r="G27" s="2"/>
      <c r="H27" s="2"/>
      <c r="I27" s="5"/>
    </row>
    <row r="28" spans="1:12">
      <c r="A28" s="2"/>
      <c r="B28" s="29" t="s">
        <v>1427</v>
      </c>
      <c r="C28" s="30"/>
      <c r="D28" s="30"/>
      <c r="E28" s="31"/>
      <c r="F28" s="31"/>
      <c r="G28" s="31"/>
      <c r="H28" s="31"/>
      <c r="I28" s="32"/>
    </row>
    <row r="29" spans="1:12">
      <c r="A29" s="2"/>
      <c r="B29" s="1161" t="s">
        <v>1428</v>
      </c>
      <c r="C29" s="34"/>
      <c r="D29" s="34"/>
      <c r="E29" s="35"/>
      <c r="F29" s="35"/>
      <c r="G29" s="35"/>
      <c r="H29" s="35"/>
      <c r="I29" s="36"/>
    </row>
    <row r="30" spans="1:12">
      <c r="A30" s="2"/>
      <c r="B30" s="1161" t="s">
        <v>1423</v>
      </c>
      <c r="C30" s="143"/>
      <c r="D30" s="34"/>
      <c r="E30" s="35"/>
      <c r="F30" s="1163"/>
      <c r="G30" s="35"/>
      <c r="H30" s="35"/>
      <c r="I30" s="36"/>
    </row>
    <row r="31" spans="1:12">
      <c r="A31" s="2"/>
      <c r="B31" s="37" t="s">
        <v>1424</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f>+'[10]Payment Factors'!C19</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+'[30]Core Rates'!C203</f>
        <v>8.75</v>
      </c>
      <c r="F43" s="1170">
        <v>2</v>
      </c>
      <c r="G43" s="1171">
        <f t="shared" si="2"/>
        <v>17.5</v>
      </c>
      <c r="H43" s="35"/>
      <c r="I43" s="36"/>
    </row>
    <row r="44" spans="1:9">
      <c r="A44" s="2"/>
      <c r="B44" s="1184" t="s">
        <v>453</v>
      </c>
      <c r="C44" s="6"/>
      <c r="D44" s="1185" t="s">
        <v>454</v>
      </c>
      <c r="E44" s="1169">
        <f>+'[30]Core Rates'!C228</f>
        <v>0.82427536231884069</v>
      </c>
      <c r="F44" s="1170">
        <v>50</v>
      </c>
      <c r="G44" s="1171">
        <f t="shared" si="2"/>
        <v>41.213768115942031</v>
      </c>
      <c r="H44" s="35"/>
      <c r="I44" s="36"/>
    </row>
    <row r="45" spans="1:9">
      <c r="A45" s="2"/>
      <c r="B45" s="1186" t="s">
        <v>455</v>
      </c>
      <c r="C45" s="1187"/>
      <c r="D45" s="1185" t="s">
        <v>454</v>
      </c>
      <c r="E45" s="1169">
        <f>+'[30]Core Rates'!C235</f>
        <v>1.1702898550724636</v>
      </c>
      <c r="F45" s="1170">
        <v>50</v>
      </c>
      <c r="G45" s="1171">
        <f t="shared" si="2"/>
        <v>58.51449275362318</v>
      </c>
      <c r="H45" s="35"/>
      <c r="I45" s="36"/>
    </row>
    <row r="46" spans="1:9">
      <c r="A46" s="2"/>
      <c r="B46" s="1186" t="s">
        <v>456</v>
      </c>
      <c r="C46" s="1187"/>
      <c r="D46" s="1168" t="s">
        <v>454</v>
      </c>
      <c r="E46" s="1169">
        <f>+'[30]Core Rates'!C246</f>
        <v>0.58825136612021856</v>
      </c>
      <c r="F46" s="1170">
        <v>50</v>
      </c>
      <c r="G46" s="1171">
        <f t="shared" si="2"/>
        <v>29.412568306010929</v>
      </c>
      <c r="H46" s="35"/>
      <c r="I46" s="36"/>
    </row>
    <row r="47" spans="1:9">
      <c r="A47" s="2"/>
      <c r="B47" s="1186" t="s">
        <v>479</v>
      </c>
      <c r="C47" s="1187"/>
      <c r="D47" s="1185" t="s">
        <v>454</v>
      </c>
      <c r="E47" s="1169">
        <f>+'[30]Core Rates 2011'!BE307</f>
        <v>1.68</v>
      </c>
      <c r="F47" s="1170">
        <v>10</v>
      </c>
      <c r="G47" s="1171">
        <f t="shared" si="2"/>
        <v>16.8</v>
      </c>
      <c r="H47" s="35"/>
      <c r="I47" s="36"/>
    </row>
    <row r="48" spans="1:9">
      <c r="A48" s="2"/>
      <c r="B48" s="1186" t="s">
        <v>480</v>
      </c>
      <c r="C48" s="1187"/>
      <c r="D48" s="1185" t="s">
        <v>454</v>
      </c>
      <c r="E48" s="1169">
        <f>+'[30]Core Rates 2011'!BE308</f>
        <v>1.61</v>
      </c>
      <c r="F48" s="1170">
        <v>5</v>
      </c>
      <c r="G48" s="1171">
        <f t="shared" si="2"/>
        <v>8.0500000000000007</v>
      </c>
      <c r="H48" s="35"/>
      <c r="I48" s="36"/>
    </row>
    <row r="49" spans="1:9">
      <c r="A49" s="2"/>
      <c r="B49" s="1186" t="s">
        <v>481</v>
      </c>
      <c r="C49" s="1187"/>
      <c r="D49" s="1185" t="s">
        <v>454</v>
      </c>
      <c r="E49" s="1169">
        <f>+'[30]Core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(SUM(G57:G65)*0.85)</f>
        <v>8041.957687916668</v>
      </c>
    </row>
    <row r="56" spans="1:9">
      <c r="A56" s="2"/>
      <c r="B56" s="1174"/>
      <c r="C56" s="35"/>
      <c r="D56" s="1167" t="s">
        <v>447</v>
      </c>
      <c r="E56" s="1167" t="s">
        <v>448</v>
      </c>
      <c r="F56" s="1167" t="s">
        <v>449</v>
      </c>
      <c r="G56" s="1167" t="s">
        <v>450</v>
      </c>
      <c r="H56" s="35"/>
      <c r="I56" s="46"/>
    </row>
    <row r="57" spans="1:9">
      <c r="A57" s="2"/>
      <c r="B57" s="1206" t="str">
        <f>+'[30]Core Rates'!A114</f>
        <v>Earthmoving: Heavy shaping (1.0'-2.0' cut/fill)</v>
      </c>
      <c r="C57" s="6"/>
      <c r="D57" s="1168" t="s">
        <v>408</v>
      </c>
      <c r="E57" s="1169">
        <f>+'[30]Core Rates'!C114</f>
        <v>1708.5</v>
      </c>
      <c r="F57" s="1170">
        <v>0.8</v>
      </c>
      <c r="G57" s="1171">
        <f t="shared" ref="G57:G65" si="3">+F57*E57</f>
        <v>1366.8000000000002</v>
      </c>
      <c r="H57" s="35"/>
      <c r="I57" s="47"/>
    </row>
    <row r="58" spans="1:9">
      <c r="A58" s="2"/>
      <c r="B58" s="1416" t="str">
        <f>+'[30]Core Rates'!A123</f>
        <v>Erosion Control Blanket, Type II (Installed)</v>
      </c>
      <c r="C58" s="1376"/>
      <c r="D58" s="1168" t="s">
        <v>986</v>
      </c>
      <c r="E58" s="1169">
        <f>+'[30]Core Rates'!C123</f>
        <v>1.5750000000000002</v>
      </c>
      <c r="F58" s="1170">
        <v>4000</v>
      </c>
      <c r="G58" s="1171">
        <f t="shared" si="3"/>
        <v>6300.0000000000009</v>
      </c>
      <c r="H58" s="35"/>
      <c r="I58" s="47"/>
    </row>
    <row r="59" spans="1:9">
      <c r="A59" s="2"/>
      <c r="B59" s="1186" t="str">
        <f>+'[30]Core Rates'!A78</f>
        <v>Corrugated Plastic Pipe: 5" (Installed)</v>
      </c>
      <c r="C59" s="6"/>
      <c r="D59" s="1382" t="str">
        <f>+'[30]Core Rates'!B78</f>
        <v>Lin Ft</v>
      </c>
      <c r="E59" s="1382">
        <f>+'[30]Core Rates'!C78</f>
        <v>1.5407999999999999</v>
      </c>
      <c r="F59" s="1170">
        <v>1089</v>
      </c>
      <c r="G59" s="1171">
        <f>+F59*E59</f>
        <v>1677.9312</v>
      </c>
      <c r="H59" s="35"/>
      <c r="I59" s="47"/>
    </row>
    <row r="60" spans="1:9">
      <c r="A60" s="2"/>
      <c r="B60" s="1186" t="str">
        <f>+'[30]Core Rates'!A279</f>
        <v>Schd 40 PVC Pipe: 6" (Installed)</v>
      </c>
      <c r="C60" s="6"/>
      <c r="D60" s="1382" t="str">
        <f>+'[30]Core Rates'!B279</f>
        <v>Lin Ft</v>
      </c>
      <c r="E60" s="1382">
        <f>+'[30]Core Rates'!C279</f>
        <v>5.1681000000000008</v>
      </c>
      <c r="F60" s="1170">
        <v>10</v>
      </c>
      <c r="G60" s="1171">
        <f>+F60*E60</f>
        <v>51.681000000000012</v>
      </c>
      <c r="H60" s="35"/>
      <c r="I60" s="47"/>
    </row>
    <row r="61" spans="1:9">
      <c r="A61" s="2"/>
      <c r="B61" s="1188" t="str">
        <f>+'[30]Core Rates'!A268</f>
        <v>Rodent Guard - 6" (Installed)</v>
      </c>
      <c r="C61" s="6"/>
      <c r="D61" s="1384" t="str">
        <f>+'[30]Core Rates'!B268</f>
        <v>Ea</v>
      </c>
      <c r="E61" s="1385">
        <f>+'[30]Core Rates'!C268</f>
        <v>15.672825000000001</v>
      </c>
      <c r="F61" s="1170">
        <v>1</v>
      </c>
      <c r="G61" s="1171">
        <f>+F61*E61</f>
        <v>15.672825000000001</v>
      </c>
      <c r="H61" s="35"/>
      <c r="I61" s="47"/>
    </row>
    <row r="62" spans="1:9">
      <c r="A62" s="2"/>
      <c r="B62" s="40" t="s">
        <v>461</v>
      </c>
      <c r="C62" s="6"/>
      <c r="D62" s="1168" t="s">
        <v>408</v>
      </c>
      <c r="E62" s="1169">
        <f>+'[30]Core Rates'!C104</f>
        <v>20</v>
      </c>
      <c r="F62" s="1170">
        <v>1</v>
      </c>
      <c r="G62" s="1171">
        <f t="shared" si="3"/>
        <v>20</v>
      </c>
      <c r="H62" s="35"/>
      <c r="I62" s="47"/>
    </row>
    <row r="63" spans="1:9">
      <c r="A63" s="2"/>
      <c r="B63" s="40" t="s">
        <v>462</v>
      </c>
      <c r="C63" s="6"/>
      <c r="D63" s="1168" t="s">
        <v>408</v>
      </c>
      <c r="E63" s="1169">
        <f>+'[30]Core Rates'!AN33</f>
        <v>5.416666666666667</v>
      </c>
      <c r="F63" s="1170">
        <v>1</v>
      </c>
      <c r="G63" s="1171">
        <f t="shared" si="3"/>
        <v>5.416666666666667</v>
      </c>
      <c r="H63" s="35"/>
      <c r="I63" s="47"/>
    </row>
    <row r="64" spans="1:9">
      <c r="A64" s="2"/>
      <c r="B64" s="40" t="s">
        <v>463</v>
      </c>
      <c r="C64" s="6"/>
      <c r="D64" s="1168" t="s">
        <v>452</v>
      </c>
      <c r="E64" s="1169">
        <f>+'[30]Core Rates'!AN34</f>
        <v>5.5</v>
      </c>
      <c r="F64" s="1170">
        <v>2</v>
      </c>
      <c r="G64" s="1171">
        <f t="shared" si="3"/>
        <v>11</v>
      </c>
      <c r="H64" s="35"/>
      <c r="I64" s="47"/>
    </row>
    <row r="65" spans="1:9">
      <c r="A65" s="2"/>
      <c r="B65" s="40" t="s">
        <v>464</v>
      </c>
      <c r="C65" s="6"/>
      <c r="D65" s="1168" t="s">
        <v>452</v>
      </c>
      <c r="E65" s="1169">
        <f>+'[30]Core Rates'!AN32</f>
        <v>6.3125</v>
      </c>
      <c r="F65" s="1170">
        <v>2</v>
      </c>
      <c r="G65" s="1171">
        <f t="shared" si="3"/>
        <v>12.625</v>
      </c>
      <c r="H65" s="35"/>
      <c r="I65" s="47"/>
    </row>
    <row r="66" spans="1:9">
      <c r="A66" s="2"/>
      <c r="B66" s="40"/>
      <c r="C66" s="6"/>
      <c r="D66" s="63"/>
      <c r="E66" s="150"/>
      <c r="F66" s="150"/>
      <c r="G66" s="1169"/>
      <c r="H66" s="35"/>
      <c r="I66" s="47"/>
    </row>
    <row r="67" spans="1:9">
      <c r="A67" s="2"/>
      <c r="B67" s="37" t="s">
        <v>43</v>
      </c>
      <c r="C67" s="35"/>
      <c r="D67" s="35"/>
      <c r="E67" s="60"/>
      <c r="F67" s="60"/>
      <c r="G67" s="60"/>
      <c r="H67" s="35"/>
      <c r="I67" s="46"/>
    </row>
    <row r="68" spans="1:9" ht="12.75" customHeight="1">
      <c r="A68" s="2"/>
      <c r="B68" s="2004" t="s">
        <v>457</v>
      </c>
      <c r="C68" s="2005"/>
      <c r="D68" s="2005"/>
      <c r="E68" s="2005"/>
      <c r="F68" s="2005"/>
      <c r="G68" s="2005"/>
      <c r="H68" s="2005"/>
      <c r="I68" s="2006"/>
    </row>
    <row r="69" spans="1:9">
      <c r="A69" s="2"/>
      <c r="B69" s="2004"/>
      <c r="C69" s="2005"/>
      <c r="D69" s="2005"/>
      <c r="E69" s="2005"/>
      <c r="F69" s="2005"/>
      <c r="G69" s="2005"/>
      <c r="H69" s="2005"/>
      <c r="I69" s="2006"/>
    </row>
    <row r="70" spans="1:9">
      <c r="A70" s="2"/>
      <c r="B70" s="1177"/>
      <c r="C70" s="1178"/>
      <c r="D70" s="1178"/>
      <c r="E70" s="1178"/>
      <c r="F70" s="1178"/>
      <c r="G70" s="1178"/>
      <c r="H70" s="1178"/>
      <c r="I70" s="1179"/>
    </row>
    <row r="71" spans="1:9">
      <c r="A71" s="2"/>
      <c r="B71" s="1177"/>
      <c r="C71" s="1178"/>
      <c r="D71" s="1178"/>
      <c r="E71" s="1178"/>
      <c r="F71" s="1178"/>
      <c r="G71" s="1178"/>
      <c r="H71" s="1178"/>
      <c r="I71" s="1179"/>
    </row>
    <row r="72" spans="1:9">
      <c r="A72" s="2"/>
      <c r="B72" s="42" t="s">
        <v>3</v>
      </c>
      <c r="C72" s="35"/>
      <c r="D72" s="35"/>
      <c r="E72" s="35"/>
      <c r="F72" s="39"/>
      <c r="G72" s="35"/>
      <c r="H72" s="35"/>
      <c r="I72" s="1182">
        <f>E74</f>
        <v>1419.1690037500002</v>
      </c>
    </row>
    <row r="73" spans="1:9">
      <c r="A73" s="2"/>
      <c r="B73" s="2007" t="s">
        <v>465</v>
      </c>
      <c r="C73" s="2008"/>
      <c r="D73" s="35"/>
      <c r="E73" s="35"/>
      <c r="F73" s="35"/>
      <c r="G73" s="35"/>
      <c r="H73" s="35"/>
      <c r="I73" s="48"/>
    </row>
    <row r="74" spans="1:9">
      <c r="A74" s="2"/>
      <c r="B74" s="37" t="s">
        <v>466</v>
      </c>
      <c r="C74" s="39"/>
      <c r="D74" s="39"/>
      <c r="E74" s="153">
        <f>SUM(G57:G65)*0.15</f>
        <v>1419.1690037500002</v>
      </c>
      <c r="F74" s="35"/>
      <c r="G74" s="35"/>
      <c r="H74" s="35"/>
      <c r="I74" s="46"/>
    </row>
    <row r="75" spans="1:9">
      <c r="A75" s="2"/>
      <c r="B75" s="37"/>
      <c r="C75" s="39"/>
      <c r="D75" s="1180"/>
      <c r="E75" s="153"/>
      <c r="F75" s="35"/>
      <c r="G75" s="35"/>
      <c r="H75" s="35"/>
      <c r="I75" s="46"/>
    </row>
    <row r="76" spans="1:9">
      <c r="A76" s="2"/>
      <c r="B76" s="37"/>
      <c r="C76" s="39"/>
      <c r="D76" s="1181"/>
      <c r="E76" s="153"/>
      <c r="F76" s="35"/>
      <c r="G76" s="35"/>
      <c r="H76" s="35"/>
      <c r="I76" s="46"/>
    </row>
    <row r="77" spans="1:9">
      <c r="A77" s="2"/>
      <c r="B77" s="33"/>
      <c r="C77" s="35"/>
      <c r="D77" s="35"/>
      <c r="E77" s="35"/>
      <c r="F77" s="35"/>
      <c r="G77" s="35"/>
      <c r="H77" s="35"/>
      <c r="I77" s="36"/>
    </row>
    <row r="78" spans="1:9">
      <c r="A78" s="2"/>
      <c r="B78" s="42" t="s">
        <v>4</v>
      </c>
      <c r="C78" s="35"/>
      <c r="D78" s="35"/>
      <c r="E78" s="35"/>
      <c r="F78" s="35"/>
      <c r="G78" s="35"/>
      <c r="H78" s="35"/>
      <c r="I78" s="1182">
        <f>0.03*(I40+I55+I72)</f>
        <v>289.22602562526725</v>
      </c>
    </row>
    <row r="79" spans="1:9">
      <c r="A79" s="2"/>
      <c r="B79" s="33" t="s">
        <v>467</v>
      </c>
      <c r="C79" s="35"/>
      <c r="D79" s="35"/>
      <c r="E79" s="35"/>
      <c r="F79" s="35"/>
      <c r="G79" s="35"/>
      <c r="H79" s="35"/>
      <c r="I79" s="36"/>
    </row>
    <row r="80" spans="1:9">
      <c r="A80" s="2"/>
      <c r="B80" s="37"/>
      <c r="C80" s="35"/>
      <c r="D80" s="35"/>
      <c r="E80" s="35"/>
      <c r="F80" s="35"/>
      <c r="G80" s="35"/>
      <c r="H80" s="35"/>
      <c r="I80" s="36"/>
    </row>
    <row r="81" spans="1:9">
      <c r="A81" s="2"/>
      <c r="B81" s="42" t="s">
        <v>468</v>
      </c>
      <c r="C81" s="35"/>
      <c r="D81" s="35"/>
      <c r="E81" s="35"/>
      <c r="F81" s="35"/>
      <c r="G81" s="35"/>
      <c r="H81" s="35"/>
      <c r="I81" s="1182">
        <f>0.01*(I40+I55+I72)</f>
        <v>96.408675208422437</v>
      </c>
    </row>
    <row r="82" spans="1:9">
      <c r="A82" s="2"/>
      <c r="B82" s="33" t="s">
        <v>749</v>
      </c>
      <c r="C82" s="35"/>
      <c r="D82" s="35"/>
      <c r="E82" s="35"/>
      <c r="F82" s="35"/>
      <c r="G82" s="35"/>
      <c r="H82" s="35"/>
      <c r="I82" s="36"/>
    </row>
    <row r="83" spans="1:9">
      <c r="A83" s="2"/>
      <c r="B83" s="37"/>
      <c r="C83" s="35"/>
      <c r="D83" s="35"/>
      <c r="E83" s="35"/>
      <c r="F83" s="35"/>
      <c r="G83" s="35"/>
      <c r="H83" s="35"/>
      <c r="I83" s="36"/>
    </row>
    <row r="84" spans="1:9">
      <c r="A84" s="2"/>
      <c r="B84" s="42" t="s">
        <v>7</v>
      </c>
      <c r="C84" s="35"/>
      <c r="D84" s="35"/>
      <c r="E84" s="35"/>
      <c r="F84" s="35"/>
      <c r="G84" s="35"/>
      <c r="H84" s="35"/>
      <c r="I84" s="1166">
        <v>0</v>
      </c>
    </row>
    <row r="85" spans="1:9">
      <c r="A85" s="2"/>
      <c r="B85" s="33" t="s">
        <v>1425</v>
      </c>
      <c r="C85" s="35"/>
      <c r="D85" s="35"/>
      <c r="E85" s="35"/>
      <c r="F85" s="35"/>
      <c r="G85" s="35"/>
      <c r="H85" s="35"/>
      <c r="I85" s="36"/>
    </row>
    <row r="86" spans="1:9">
      <c r="A86" s="2"/>
      <c r="B86" s="37"/>
      <c r="C86" s="35"/>
      <c r="D86" s="35"/>
      <c r="E86" s="35"/>
      <c r="F86" s="35"/>
      <c r="G86" s="35"/>
      <c r="H86" s="35"/>
      <c r="I86" s="36"/>
    </row>
    <row r="87" spans="1:9">
      <c r="A87" s="2"/>
      <c r="B87" s="42" t="s">
        <v>471</v>
      </c>
      <c r="C87" s="35"/>
      <c r="D87" s="35"/>
      <c r="E87" s="35"/>
      <c r="F87" s="39"/>
      <c r="G87" s="35"/>
      <c r="H87" s="35"/>
      <c r="I87" s="1166">
        <v>0</v>
      </c>
    </row>
    <row r="88" spans="1:9">
      <c r="A88" s="2"/>
      <c r="B88" s="756" t="s">
        <v>104</v>
      </c>
      <c r="C88" s="35"/>
      <c r="D88" s="35"/>
      <c r="E88" s="35"/>
      <c r="F88" s="35"/>
      <c r="G88" s="35"/>
      <c r="H88" s="35"/>
      <c r="I88" s="47"/>
    </row>
    <row r="89" spans="1:9">
      <c r="A89" s="2"/>
      <c r="B89" s="756"/>
      <c r="C89" s="35"/>
      <c r="D89" s="35"/>
      <c r="E89" s="35"/>
      <c r="F89" s="35"/>
      <c r="G89" s="35"/>
      <c r="H89" s="35"/>
      <c r="I89" s="47"/>
    </row>
    <row r="90" spans="1:9">
      <c r="A90" s="2"/>
      <c r="B90" s="37"/>
      <c r="C90" s="35"/>
      <c r="D90" s="35"/>
      <c r="E90" s="35"/>
      <c r="F90" s="35"/>
      <c r="G90" s="35"/>
      <c r="H90" s="35"/>
      <c r="I90" s="36"/>
    </row>
    <row r="91" spans="1:9">
      <c r="A91" s="2"/>
      <c r="B91" s="42" t="s">
        <v>5</v>
      </c>
      <c r="C91" s="35"/>
      <c r="D91" s="35"/>
      <c r="E91" s="35"/>
      <c r="F91" s="35"/>
      <c r="G91" s="35"/>
      <c r="H91" s="35"/>
      <c r="I91" s="1166">
        <v>0</v>
      </c>
    </row>
    <row r="92" spans="1:9">
      <c r="A92" s="2"/>
      <c r="B92" s="33" t="s">
        <v>104</v>
      </c>
      <c r="C92" s="35"/>
      <c r="D92" s="35"/>
      <c r="E92" s="35"/>
      <c r="F92" s="35"/>
      <c r="G92" s="35"/>
      <c r="H92" s="35"/>
      <c r="I92" s="47"/>
    </row>
    <row r="93" spans="1:9">
      <c r="A93" s="2"/>
      <c r="B93" s="37"/>
      <c r="C93" s="35"/>
      <c r="D93" s="35"/>
      <c r="E93" s="35"/>
      <c r="F93" s="35"/>
      <c r="G93" s="35"/>
      <c r="H93" s="35"/>
      <c r="I93" s="36"/>
    </row>
    <row r="94" spans="1:9">
      <c r="A94" s="2"/>
      <c r="B94" s="42" t="s">
        <v>20</v>
      </c>
      <c r="C94" s="35"/>
      <c r="D94" s="35"/>
      <c r="E94" s="35"/>
      <c r="F94" s="35"/>
      <c r="G94" s="35"/>
      <c r="H94" s="35"/>
      <c r="I94" s="1166">
        <v>0</v>
      </c>
    </row>
    <row r="95" spans="1:9">
      <c r="A95" s="2"/>
      <c r="B95" s="33" t="s">
        <v>104</v>
      </c>
      <c r="C95" s="35"/>
      <c r="D95" s="35"/>
      <c r="E95" s="35"/>
      <c r="F95" s="35"/>
      <c r="G95" s="35"/>
      <c r="H95" s="35"/>
      <c r="I95" s="36"/>
    </row>
    <row r="96" spans="1:9">
      <c r="A96" s="2"/>
      <c r="B96" s="40"/>
      <c r="C96" s="35"/>
      <c r="D96" s="35"/>
      <c r="E96" s="35"/>
      <c r="F96" s="35"/>
      <c r="G96" s="35"/>
      <c r="H96" s="35"/>
      <c r="I96" s="36"/>
    </row>
    <row r="97" spans="1:9">
      <c r="A97" s="2"/>
      <c r="B97" s="42" t="s">
        <v>473</v>
      </c>
      <c r="C97" s="35"/>
      <c r="D97" s="35"/>
      <c r="E97" s="35"/>
      <c r="F97" s="35"/>
      <c r="G97" s="35"/>
      <c r="H97" s="35"/>
      <c r="I97" s="1183">
        <f>+I40+I55+I72+I78+I84+I94</f>
        <v>9930.0935464675094</v>
      </c>
    </row>
    <row r="98" spans="1:9" ht="15.75">
      <c r="A98" s="2"/>
      <c r="B98" s="33" t="s">
        <v>474</v>
      </c>
      <c r="C98" s="35"/>
      <c r="D98" s="35"/>
      <c r="E98" s="35"/>
      <c r="F98" s="35"/>
      <c r="G98" s="35"/>
      <c r="H98" s="35"/>
      <c r="I98" s="36"/>
    </row>
    <row r="99" spans="1:9">
      <c r="A99" s="2"/>
      <c r="B99" s="40"/>
      <c r="C99" s="35"/>
      <c r="D99" s="35"/>
      <c r="E99" s="35"/>
      <c r="F99" s="35"/>
      <c r="G99" s="35"/>
      <c r="H99" s="35"/>
      <c r="I99" s="36"/>
    </row>
    <row r="100" spans="1:9">
      <c r="A100" s="2"/>
      <c r="B100" s="43" t="s">
        <v>11</v>
      </c>
      <c r="C100" s="44"/>
      <c r="D100" s="44"/>
      <c r="E100" s="44"/>
      <c r="F100" s="44"/>
      <c r="G100" s="44"/>
      <c r="H100" s="44"/>
      <c r="I100" s="621">
        <f>SUM(I40:I94)</f>
        <v>10026.502221675932</v>
      </c>
    </row>
  </sheetData>
  <mergeCells count="4">
    <mergeCell ref="B1:D1"/>
    <mergeCell ref="E55:H55"/>
    <mergeCell ref="B68:I69"/>
    <mergeCell ref="B73:C73"/>
  </mergeCells>
  <pageMargins left="0.75" right="0.75" top="1" bottom="1" header="0.5" footer="0.5"/>
  <pageSetup scale="63" orientation="portrait" r:id="rId1"/>
  <headerFooter alignWithMargins="0"/>
</worksheet>
</file>

<file path=xl/worksheets/sheet143.xml><?xml version="1.0" encoding="utf-8"?>
<worksheet xmlns="http://schemas.openxmlformats.org/spreadsheetml/2006/main" xmlns:r="http://schemas.openxmlformats.org/officeDocument/2006/relationships">
  <sheetPr>
    <pageSetUpPr fitToPage="1"/>
  </sheetPr>
  <dimension ref="A1:L97"/>
  <sheetViews>
    <sheetView workbookViewId="0">
      <selection activeCell="B54" sqref="B54:I55"/>
    </sheetView>
  </sheetViews>
  <sheetFormatPr defaultRowHeight="12.75"/>
  <cols>
    <col min="1" max="1" width="1.85546875" customWidth="1"/>
    <col min="3" max="3" width="24.140625" customWidth="1"/>
    <col min="4" max="4" width="23.140625" customWidth="1"/>
    <col min="5" max="5" width="46.2851562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412</v>
      </c>
      <c r="C6" s="7" t="str">
        <f>+E12</f>
        <v>EQIP</v>
      </c>
      <c r="D6" s="53" t="s">
        <v>1419</v>
      </c>
      <c r="E6" s="110" t="s">
        <v>1429</v>
      </c>
      <c r="F6" s="7" t="str">
        <f>+D36</f>
        <v>Acre</v>
      </c>
      <c r="G6" s="85">
        <f>+I25</f>
        <v>3665.9624780381337</v>
      </c>
    </row>
    <row r="7" spans="1:12" ht="25.5" hidden="1">
      <c r="A7" s="2"/>
      <c r="B7" s="54">
        <f>+B6</f>
        <v>412</v>
      </c>
      <c r="C7" s="7" t="str">
        <f>+C6</f>
        <v>EQIP</v>
      </c>
      <c r="D7" s="53" t="s">
        <v>1419</v>
      </c>
      <c r="E7" s="110" t="str">
        <f>CONCATENATE(E6, "-HU")</f>
        <v>Grassed Waterway - Erosion Control Blanket on ~40%-HU</v>
      </c>
      <c r="F7" s="7" t="str">
        <f>+F6</f>
        <v>Acre</v>
      </c>
      <c r="G7" s="85">
        <f>+J25</f>
        <v>4399.1549736457609</v>
      </c>
    </row>
    <row r="8" spans="1:12" ht="25.5" hidden="1">
      <c r="A8" s="2"/>
      <c r="B8" s="54">
        <v>412</v>
      </c>
      <c r="C8" s="7" t="str">
        <f>+G12</f>
        <v>WHIP</v>
      </c>
      <c r="D8" s="53" t="s">
        <v>1419</v>
      </c>
      <c r="E8" s="110" t="s">
        <v>1429</v>
      </c>
      <c r="F8" s="7" t="str">
        <f>+D36</f>
        <v>Acre</v>
      </c>
      <c r="G8" s="85">
        <f>+K25</f>
        <v>0</v>
      </c>
    </row>
    <row r="9" spans="1:12" ht="25.5" hidden="1">
      <c r="A9" s="2"/>
      <c r="B9" s="8">
        <f>+B8</f>
        <v>412</v>
      </c>
      <c r="C9" s="10" t="str">
        <f>+C8</f>
        <v>WHIP</v>
      </c>
      <c r="D9" s="9" t="s">
        <v>1419</v>
      </c>
      <c r="E9" s="111" t="str">
        <f>CONCATENATE(E6, "-HU")</f>
        <v>Grassed Waterway - Erosion Control Blanket on ~40%-HU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179.74082917557618</v>
      </c>
      <c r="E16" s="160">
        <f>+'[10]Payment Factors'!D19</f>
        <v>0.75</v>
      </c>
      <c r="F16" s="160">
        <f>+'[10]Payment Factors'!E19</f>
        <v>0.9</v>
      </c>
      <c r="G16" s="160">
        <f>+'[10]Payment Factors'!F19</f>
        <v>0</v>
      </c>
      <c r="H16" s="160">
        <f>+'[10]Payment Factors'!G19</f>
        <v>0</v>
      </c>
      <c r="I16" s="1154">
        <f t="shared" ref="I16:L24" si="0">+$D16*E16</f>
        <v>134.80562188168213</v>
      </c>
      <c r="J16" s="1154">
        <f t="shared" si="0"/>
        <v>161.76674625801857</v>
      </c>
      <c r="K16" s="1154">
        <f t="shared" si="0"/>
        <v>0</v>
      </c>
      <c r="L16" s="1155">
        <f t="shared" si="0"/>
        <v>0</v>
      </c>
    </row>
    <row r="17" spans="1:12" hidden="1">
      <c r="A17" s="2"/>
      <c r="B17" s="15" t="s">
        <v>2</v>
      </c>
      <c r="C17" s="16"/>
      <c r="D17" s="24">
        <f>+I55</f>
        <v>3880.9654166666678</v>
      </c>
      <c r="E17" s="160">
        <f t="shared" ref="E17:H19" si="1">+E16</f>
        <v>0.75</v>
      </c>
      <c r="F17" s="160">
        <f t="shared" si="1"/>
        <v>0.9</v>
      </c>
      <c r="G17" s="160">
        <f t="shared" si="1"/>
        <v>0</v>
      </c>
      <c r="H17" s="160">
        <f t="shared" si="1"/>
        <v>0</v>
      </c>
      <c r="I17" s="1154">
        <f t="shared" si="0"/>
        <v>2910.7240625000009</v>
      </c>
      <c r="J17" s="1154">
        <f t="shared" si="0"/>
        <v>3492.868875000001</v>
      </c>
      <c r="K17" s="1154">
        <f t="shared" si="0"/>
        <v>0</v>
      </c>
      <c r="L17" s="1155">
        <f t="shared" si="0"/>
        <v>0</v>
      </c>
    </row>
    <row r="18" spans="1:12" hidden="1">
      <c r="A18" s="2"/>
      <c r="B18" s="15" t="s">
        <v>3</v>
      </c>
      <c r="C18" s="16"/>
      <c r="D18" s="24">
        <f>+I69</f>
        <v>684.87625000000014</v>
      </c>
      <c r="E18" s="160">
        <f t="shared" si="1"/>
        <v>0.75</v>
      </c>
      <c r="F18" s="160">
        <f t="shared" si="1"/>
        <v>0.9</v>
      </c>
      <c r="G18" s="160">
        <f t="shared" si="1"/>
        <v>0</v>
      </c>
      <c r="H18" s="160">
        <f t="shared" si="1"/>
        <v>0</v>
      </c>
      <c r="I18" s="1154">
        <f t="shared" si="0"/>
        <v>513.65718750000008</v>
      </c>
      <c r="J18" s="1154">
        <f t="shared" si="0"/>
        <v>616.38862500000016</v>
      </c>
      <c r="K18" s="1154">
        <f t="shared" si="0"/>
        <v>0</v>
      </c>
      <c r="L18" s="1155">
        <f t="shared" si="0"/>
        <v>0</v>
      </c>
    </row>
    <row r="19" spans="1:12" hidden="1">
      <c r="A19" s="2"/>
      <c r="B19" s="15" t="s">
        <v>4</v>
      </c>
      <c r="C19" s="16"/>
      <c r="D19" s="24">
        <f>+I75</f>
        <v>142.36747487526731</v>
      </c>
      <c r="E19" s="160">
        <f t="shared" si="1"/>
        <v>0.75</v>
      </c>
      <c r="F19" s="160">
        <f t="shared" si="1"/>
        <v>0.9</v>
      </c>
      <c r="G19" s="160">
        <f t="shared" si="1"/>
        <v>0</v>
      </c>
      <c r="H19" s="160">
        <f t="shared" si="1"/>
        <v>0</v>
      </c>
      <c r="I19" s="1154">
        <f t="shared" si="0"/>
        <v>106.77560615645048</v>
      </c>
      <c r="J19" s="1154">
        <f t="shared" si="0"/>
        <v>128.13072738774059</v>
      </c>
      <c r="K19" s="1154">
        <f t="shared" si="0"/>
        <v>0</v>
      </c>
      <c r="L19" s="1155">
        <f t="shared" si="0"/>
        <v>0</v>
      </c>
    </row>
    <row r="20" spans="1:12" hidden="1">
      <c r="A20" s="2"/>
      <c r="B20" s="15" t="s">
        <v>26</v>
      </c>
      <c r="C20" s="16"/>
      <c r="D20" s="24">
        <f>+I78</f>
        <v>47.45582495842244</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+I84</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4935.4057956759334</v>
      </c>
      <c r="E25" s="1158"/>
      <c r="F25" s="1158"/>
      <c r="G25" s="28"/>
      <c r="H25" s="28"/>
      <c r="I25" s="1159">
        <f>SUM(I16:I24)</f>
        <v>3665.9624780381337</v>
      </c>
      <c r="J25" s="1159">
        <f>SUM(J16:J24)</f>
        <v>4399.1549736457609</v>
      </c>
      <c r="K25" s="1159">
        <f>SUM(K16:K24)</f>
        <v>0</v>
      </c>
      <c r="L25" s="1160">
        <f>SUM(L16:L24)</f>
        <v>0</v>
      </c>
    </row>
    <row r="26" spans="1:12" hidden="1"/>
    <row r="27" spans="1:12" ht="15.75">
      <c r="A27" s="2"/>
      <c r="B27" s="50" t="s">
        <v>28</v>
      </c>
      <c r="C27" s="2"/>
      <c r="D27" s="2"/>
      <c r="E27" s="2"/>
      <c r="F27" s="2"/>
      <c r="G27" s="2"/>
      <c r="H27" s="2"/>
      <c r="I27" s="5"/>
    </row>
    <row r="28" spans="1:12">
      <c r="A28" s="2"/>
      <c r="B28" s="29" t="s">
        <v>1430</v>
      </c>
      <c r="C28" s="30"/>
      <c r="D28" s="30"/>
      <c r="E28" s="31"/>
      <c r="F28" s="31"/>
      <c r="G28" s="31"/>
      <c r="H28" s="31"/>
      <c r="I28" s="32"/>
    </row>
    <row r="29" spans="1:12">
      <c r="A29" s="2"/>
      <c r="B29" s="1161" t="s">
        <v>1431</v>
      </c>
      <c r="C29" s="34"/>
      <c r="D29" s="34"/>
      <c r="E29" s="35"/>
      <c r="F29" s="35"/>
      <c r="G29" s="35"/>
      <c r="H29" s="35"/>
      <c r="I29" s="36"/>
    </row>
    <row r="30" spans="1:12">
      <c r="A30" s="2"/>
      <c r="B30" s="1161" t="s">
        <v>1423</v>
      </c>
      <c r="C30" s="143"/>
      <c r="D30" s="34"/>
      <c r="E30" s="35"/>
      <c r="F30" s="1163"/>
      <c r="G30" s="35"/>
      <c r="H30" s="35"/>
      <c r="I30" s="36"/>
    </row>
    <row r="31" spans="1:12">
      <c r="A31" s="2"/>
      <c r="B31" s="37" t="s">
        <v>1424</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f>+'[10]Payment Factors'!C19</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+'[30]Core Rates'!C203</f>
        <v>8.75</v>
      </c>
      <c r="F43" s="1170">
        <v>2</v>
      </c>
      <c r="G43" s="1171">
        <f t="shared" si="2"/>
        <v>17.5</v>
      </c>
      <c r="H43" s="35"/>
      <c r="I43" s="36"/>
    </row>
    <row r="44" spans="1:9">
      <c r="A44" s="2"/>
      <c r="B44" s="1184" t="s">
        <v>453</v>
      </c>
      <c r="C44" s="6"/>
      <c r="D44" s="1185" t="s">
        <v>454</v>
      </c>
      <c r="E44" s="1169">
        <f>+'[30]Core Rates'!C228</f>
        <v>0.82427536231884069</v>
      </c>
      <c r="F44" s="1170">
        <v>50</v>
      </c>
      <c r="G44" s="1171">
        <f t="shared" si="2"/>
        <v>41.213768115942031</v>
      </c>
      <c r="H44" s="35"/>
      <c r="I44" s="36"/>
    </row>
    <row r="45" spans="1:9">
      <c r="A45" s="2"/>
      <c r="B45" s="1186" t="s">
        <v>455</v>
      </c>
      <c r="C45" s="1187"/>
      <c r="D45" s="1185" t="s">
        <v>454</v>
      </c>
      <c r="E45" s="1169">
        <f>+'[30]Core Rates'!C235</f>
        <v>1.1702898550724636</v>
      </c>
      <c r="F45" s="1170">
        <v>50</v>
      </c>
      <c r="G45" s="1171">
        <f t="shared" si="2"/>
        <v>58.51449275362318</v>
      </c>
      <c r="H45" s="35"/>
      <c r="I45" s="36"/>
    </row>
    <row r="46" spans="1:9">
      <c r="A46" s="2"/>
      <c r="B46" s="1186" t="s">
        <v>456</v>
      </c>
      <c r="C46" s="1187"/>
      <c r="D46" s="1168" t="s">
        <v>454</v>
      </c>
      <c r="E46" s="1169">
        <f>+'[30]Core Rates'!C246</f>
        <v>0.58825136612021856</v>
      </c>
      <c r="F46" s="1170">
        <v>50</v>
      </c>
      <c r="G46" s="1171">
        <f t="shared" si="2"/>
        <v>29.412568306010929</v>
      </c>
      <c r="H46" s="35"/>
      <c r="I46" s="36"/>
    </row>
    <row r="47" spans="1:9">
      <c r="A47" s="2"/>
      <c r="B47" s="1186" t="s">
        <v>479</v>
      </c>
      <c r="C47" s="1187"/>
      <c r="D47" s="1185" t="s">
        <v>454</v>
      </c>
      <c r="E47" s="1169">
        <f>+'[30]Core Rates 2011'!BE307</f>
        <v>1.68</v>
      </c>
      <c r="F47" s="1170">
        <v>10</v>
      </c>
      <c r="G47" s="1171">
        <f t="shared" si="2"/>
        <v>16.8</v>
      </c>
      <c r="H47" s="35"/>
      <c r="I47" s="36"/>
    </row>
    <row r="48" spans="1:9">
      <c r="A48" s="2"/>
      <c r="B48" s="1186" t="s">
        <v>480</v>
      </c>
      <c r="C48" s="1187"/>
      <c r="D48" s="1185" t="s">
        <v>454</v>
      </c>
      <c r="E48" s="1169">
        <f>+'[30]Core Rates 2011'!BE308</f>
        <v>1.61</v>
      </c>
      <c r="F48" s="1170">
        <v>5</v>
      </c>
      <c r="G48" s="1171">
        <f t="shared" si="2"/>
        <v>8.0500000000000007</v>
      </c>
      <c r="H48" s="35"/>
      <c r="I48" s="36"/>
    </row>
    <row r="49" spans="1:9">
      <c r="A49" s="2"/>
      <c r="B49" s="1186" t="s">
        <v>481</v>
      </c>
      <c r="C49" s="1187"/>
      <c r="D49" s="1185" t="s">
        <v>454</v>
      </c>
      <c r="E49" s="1169">
        <f>+'[30]Core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(SUM(G57:G62)*0.85)</f>
        <v>3880.9654166666678</v>
      </c>
    </row>
    <row r="56" spans="1:9">
      <c r="A56" s="2"/>
      <c r="B56" s="1174"/>
      <c r="C56" s="35"/>
      <c r="D56" s="1167" t="s">
        <v>447</v>
      </c>
      <c r="E56" s="1167" t="s">
        <v>448</v>
      </c>
      <c r="F56" s="1167" t="s">
        <v>449</v>
      </c>
      <c r="G56" s="1167" t="s">
        <v>450</v>
      </c>
      <c r="H56" s="35"/>
      <c r="I56" s="46"/>
    </row>
    <row r="57" spans="1:9">
      <c r="A57" s="2"/>
      <c r="B57" s="1206" t="str">
        <f>+'[30]Core Rates'!A114</f>
        <v>Earthmoving: Heavy shaping (1.0'-2.0' cut/fill)</v>
      </c>
      <c r="C57" s="6"/>
      <c r="D57" s="1168" t="s">
        <v>408</v>
      </c>
      <c r="E57" s="1169">
        <f>+'[30]Core Rates'!C114</f>
        <v>1708.5</v>
      </c>
      <c r="F57" s="1170">
        <v>0.8</v>
      </c>
      <c r="G57" s="1171">
        <f t="shared" ref="G57:G62" si="3">+F57*E57</f>
        <v>1366.8000000000002</v>
      </c>
      <c r="H57" s="35"/>
      <c r="I57" s="47"/>
    </row>
    <row r="58" spans="1:9">
      <c r="A58" s="2"/>
      <c r="B58" s="1389" t="str">
        <f>+'[30]Core Rates'!A123</f>
        <v>Erosion Control Blanket, Type II (Installed)</v>
      </c>
      <c r="C58" s="6"/>
      <c r="D58" s="1168" t="s">
        <v>986</v>
      </c>
      <c r="E58" s="1169">
        <f>+'[30]Core Rates'!C123</f>
        <v>1.5750000000000002</v>
      </c>
      <c r="F58" s="1170">
        <v>2000</v>
      </c>
      <c r="G58" s="1171">
        <f t="shared" si="3"/>
        <v>3150.0000000000005</v>
      </c>
      <c r="H58" s="35"/>
      <c r="I58" s="47"/>
    </row>
    <row r="59" spans="1:9">
      <c r="A59" s="2"/>
      <c r="B59" s="40" t="s">
        <v>461</v>
      </c>
      <c r="C59" s="6"/>
      <c r="D59" s="1168" t="s">
        <v>408</v>
      </c>
      <c r="E59" s="1169">
        <f>+'[30]Core Rates'!C104</f>
        <v>20</v>
      </c>
      <c r="F59" s="1170">
        <v>1</v>
      </c>
      <c r="G59" s="1171">
        <f t="shared" si="3"/>
        <v>20</v>
      </c>
      <c r="H59" s="35"/>
      <c r="I59" s="47"/>
    </row>
    <row r="60" spans="1:9">
      <c r="A60" s="2"/>
      <c r="B60" s="40" t="s">
        <v>462</v>
      </c>
      <c r="C60" s="6"/>
      <c r="D60" s="1168" t="s">
        <v>408</v>
      </c>
      <c r="E60" s="1169">
        <f>+'[30]Core Rates'!AN33</f>
        <v>5.416666666666667</v>
      </c>
      <c r="F60" s="1170">
        <v>1</v>
      </c>
      <c r="G60" s="1171">
        <f t="shared" si="3"/>
        <v>5.416666666666667</v>
      </c>
      <c r="H60" s="35"/>
      <c r="I60" s="47"/>
    </row>
    <row r="61" spans="1:9">
      <c r="A61" s="2"/>
      <c r="B61" s="40" t="s">
        <v>463</v>
      </c>
      <c r="C61" s="6"/>
      <c r="D61" s="1168" t="s">
        <v>452</v>
      </c>
      <c r="E61" s="1169">
        <f>+'[30]Core Rates'!AN34</f>
        <v>5.5</v>
      </c>
      <c r="F61" s="1170">
        <v>2</v>
      </c>
      <c r="G61" s="1171">
        <f t="shared" si="3"/>
        <v>11</v>
      </c>
      <c r="H61" s="35"/>
      <c r="I61" s="47"/>
    </row>
    <row r="62" spans="1:9">
      <c r="A62" s="2"/>
      <c r="B62" s="40" t="s">
        <v>464</v>
      </c>
      <c r="C62" s="6"/>
      <c r="D62" s="1168" t="s">
        <v>452</v>
      </c>
      <c r="E62" s="1169">
        <f>+'[30]Core Rates'!AN32</f>
        <v>6.3125</v>
      </c>
      <c r="F62" s="1170">
        <v>2</v>
      </c>
      <c r="G62" s="1171">
        <f t="shared" si="3"/>
        <v>12.625</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684.87625000000014</v>
      </c>
    </row>
    <row r="70" spans="1:9">
      <c r="A70" s="2"/>
      <c r="B70" s="2007" t="s">
        <v>465</v>
      </c>
      <c r="C70" s="2008"/>
      <c r="D70" s="35"/>
      <c r="E70" s="35"/>
      <c r="F70" s="35"/>
      <c r="G70" s="35"/>
      <c r="H70" s="35"/>
      <c r="I70" s="48"/>
    </row>
    <row r="71" spans="1:9">
      <c r="A71" s="2"/>
      <c r="B71" s="37" t="s">
        <v>466</v>
      </c>
      <c r="C71" s="39"/>
      <c r="D71" s="39"/>
      <c r="E71" s="153">
        <f>SUM(G57:G62)*0.15</f>
        <v>684.87625000000014</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0.03*(I40+I55+I69)</f>
        <v>142.36747487526731</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0.01*(I40+I55+I69)</f>
        <v>47.45582495842244</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1425</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0</v>
      </c>
    </row>
    <row r="85" spans="1:9">
      <c r="A85" s="2"/>
      <c r="B85" s="756" t="s">
        <v>104</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104</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+I40+I55+I69+I75+I81+I91</f>
        <v>4887.949970717511</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4935.4057956759334</v>
      </c>
    </row>
  </sheetData>
  <mergeCells count="4">
    <mergeCell ref="B1:D1"/>
    <mergeCell ref="E55:H55"/>
    <mergeCell ref="B65:I66"/>
    <mergeCell ref="B70:C70"/>
  </mergeCells>
  <pageMargins left="0.75" right="0.75" top="1" bottom="1" header="0.5" footer="0.5"/>
  <pageSetup scale="63" orientation="portrait" r:id="rId1"/>
  <headerFooter alignWithMargins="0"/>
</worksheet>
</file>

<file path=xl/worksheets/sheet144.xml><?xml version="1.0" encoding="utf-8"?>
<worksheet xmlns="http://schemas.openxmlformats.org/spreadsheetml/2006/main" xmlns:r="http://schemas.openxmlformats.org/officeDocument/2006/relationships">
  <sheetPr>
    <pageSetUpPr fitToPage="1"/>
  </sheetPr>
  <dimension ref="A1:L100"/>
  <sheetViews>
    <sheetView workbookViewId="0">
      <selection activeCell="B54" sqref="B54:I55"/>
    </sheetView>
  </sheetViews>
  <sheetFormatPr defaultRowHeight="12.75"/>
  <cols>
    <col min="1" max="1" width="1.85546875" customWidth="1"/>
    <col min="3" max="3" width="24.140625" customWidth="1"/>
    <col min="4" max="4" width="23.140625" customWidth="1"/>
    <col min="5" max="5" width="46.2851562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412</v>
      </c>
      <c r="C6" s="7" t="str">
        <f>+E12</f>
        <v>EQIP</v>
      </c>
      <c r="D6" s="53" t="s">
        <v>1419</v>
      </c>
      <c r="E6" s="110" t="s">
        <v>1432</v>
      </c>
      <c r="F6" s="7" t="str">
        <f>+D36</f>
        <v>Acre</v>
      </c>
      <c r="G6" s="85">
        <f>+I25</f>
        <v>5014.195159850633</v>
      </c>
    </row>
    <row r="7" spans="1:12" hidden="1">
      <c r="A7" s="2"/>
      <c r="B7" s="54">
        <f>+B6</f>
        <v>412</v>
      </c>
      <c r="C7" s="7" t="str">
        <f>+C6</f>
        <v>EQIP</v>
      </c>
      <c r="D7" s="53" t="s">
        <v>1419</v>
      </c>
      <c r="E7" s="110" t="str">
        <f>CONCATENATE(E6, "-HU")</f>
        <v>Grassed Waterway - ECB on ~40% + ~1100ft tile-HU</v>
      </c>
      <c r="F7" s="7" t="str">
        <f>+F6</f>
        <v>Acre</v>
      </c>
      <c r="G7" s="85">
        <f>+J25</f>
        <v>6017.0341918207596</v>
      </c>
    </row>
    <row r="8" spans="1:12" hidden="1">
      <c r="A8" s="2"/>
      <c r="B8" s="54">
        <v>412</v>
      </c>
      <c r="C8" s="7" t="str">
        <f>+G12</f>
        <v>WHIP</v>
      </c>
      <c r="D8" s="53" t="s">
        <v>1419</v>
      </c>
      <c r="E8" s="110" t="s">
        <v>1432</v>
      </c>
      <c r="F8" s="7" t="str">
        <f>+D36</f>
        <v>Acre</v>
      </c>
      <c r="G8" s="85">
        <f>+K25</f>
        <v>0</v>
      </c>
    </row>
    <row r="9" spans="1:12" hidden="1">
      <c r="A9" s="2"/>
      <c r="B9" s="8">
        <f>+B8</f>
        <v>412</v>
      </c>
      <c r="C9" s="10" t="str">
        <f>+C8</f>
        <v>WHIP</v>
      </c>
      <c r="D9" s="9" t="s">
        <v>1419</v>
      </c>
      <c r="E9" s="111" t="str">
        <f>CONCATENATE(E6, "-HU")</f>
        <v>Grassed Waterway - ECB on ~40% + ~1100ft tile-HU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179.74082917557618</v>
      </c>
      <c r="E16" s="160">
        <f>+'[10]Payment Factors'!D19</f>
        <v>0.75</v>
      </c>
      <c r="F16" s="160">
        <f>+'[10]Payment Factors'!E19</f>
        <v>0.9</v>
      </c>
      <c r="G16" s="160">
        <f>+'[10]Payment Factors'!F19</f>
        <v>0</v>
      </c>
      <c r="H16" s="160">
        <f>+'[10]Payment Factors'!G19</f>
        <v>0</v>
      </c>
      <c r="I16" s="1154">
        <f t="shared" ref="I16:L24" si="0">+$D16*E16</f>
        <v>134.80562188168213</v>
      </c>
      <c r="J16" s="1154">
        <f t="shared" si="0"/>
        <v>161.76674625801857</v>
      </c>
      <c r="K16" s="1154">
        <f t="shared" si="0"/>
        <v>0</v>
      </c>
      <c r="L16" s="1155">
        <f t="shared" si="0"/>
        <v>0</v>
      </c>
    </row>
    <row r="17" spans="1:12" hidden="1">
      <c r="A17" s="2"/>
      <c r="B17" s="15" t="s">
        <v>2</v>
      </c>
      <c r="C17" s="16"/>
      <c r="D17" s="24">
        <f>+I55</f>
        <v>5364.4576879166671</v>
      </c>
      <c r="E17" s="160">
        <f t="shared" ref="E17:H19" si="1">+E16</f>
        <v>0.75</v>
      </c>
      <c r="F17" s="160">
        <f t="shared" si="1"/>
        <v>0.9</v>
      </c>
      <c r="G17" s="160">
        <f t="shared" si="1"/>
        <v>0</v>
      </c>
      <c r="H17" s="160">
        <f t="shared" si="1"/>
        <v>0</v>
      </c>
      <c r="I17" s="1154">
        <f t="shared" si="0"/>
        <v>4023.3432659375003</v>
      </c>
      <c r="J17" s="1154">
        <f t="shared" si="0"/>
        <v>4828.0119191250005</v>
      </c>
      <c r="K17" s="1154">
        <f t="shared" si="0"/>
        <v>0</v>
      </c>
      <c r="L17" s="1155">
        <f t="shared" si="0"/>
        <v>0</v>
      </c>
    </row>
    <row r="18" spans="1:12" hidden="1">
      <c r="A18" s="2"/>
      <c r="B18" s="15" t="s">
        <v>3</v>
      </c>
      <c r="C18" s="16"/>
      <c r="D18" s="24">
        <f>+I72</f>
        <v>946.66900375</v>
      </c>
      <c r="E18" s="160">
        <f t="shared" si="1"/>
        <v>0.75</v>
      </c>
      <c r="F18" s="160">
        <f t="shared" si="1"/>
        <v>0.9</v>
      </c>
      <c r="G18" s="160">
        <f t="shared" si="1"/>
        <v>0</v>
      </c>
      <c r="H18" s="160">
        <f t="shared" si="1"/>
        <v>0</v>
      </c>
      <c r="I18" s="1154">
        <f t="shared" si="0"/>
        <v>710.00175281249994</v>
      </c>
      <c r="J18" s="1154">
        <f t="shared" si="0"/>
        <v>852.00210337500005</v>
      </c>
      <c r="K18" s="1154">
        <f t="shared" si="0"/>
        <v>0</v>
      </c>
      <c r="L18" s="1155">
        <f t="shared" si="0"/>
        <v>0</v>
      </c>
    </row>
    <row r="19" spans="1:12" hidden="1">
      <c r="A19" s="2"/>
      <c r="B19" s="15" t="s">
        <v>4</v>
      </c>
      <c r="C19" s="16"/>
      <c r="D19" s="24">
        <f>+I78</f>
        <v>194.72602562526731</v>
      </c>
      <c r="E19" s="160">
        <f t="shared" si="1"/>
        <v>0.75</v>
      </c>
      <c r="F19" s="160">
        <f t="shared" si="1"/>
        <v>0.9</v>
      </c>
      <c r="G19" s="160">
        <f t="shared" si="1"/>
        <v>0</v>
      </c>
      <c r="H19" s="160">
        <f t="shared" si="1"/>
        <v>0</v>
      </c>
      <c r="I19" s="1154">
        <f t="shared" si="0"/>
        <v>146.04451921895048</v>
      </c>
      <c r="J19" s="1154">
        <f t="shared" si="0"/>
        <v>175.25342306274058</v>
      </c>
      <c r="K19" s="1154">
        <f t="shared" si="0"/>
        <v>0</v>
      </c>
      <c r="L19" s="1155">
        <f t="shared" si="0"/>
        <v>0</v>
      </c>
    </row>
    <row r="20" spans="1:12" hidden="1">
      <c r="A20" s="2"/>
      <c r="B20" s="15" t="s">
        <v>26</v>
      </c>
      <c r="C20" s="16"/>
      <c r="D20" s="24">
        <f>+I81</f>
        <v>64.908675208422437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+I84</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+I87</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+I91</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+I94</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6750.5022216759335</v>
      </c>
      <c r="E25" s="1158"/>
      <c r="F25" s="1158"/>
      <c r="G25" s="28"/>
      <c r="H25" s="28"/>
      <c r="I25" s="1159">
        <f>SUM(I16:I24)</f>
        <v>5014.195159850633</v>
      </c>
      <c r="J25" s="1159">
        <f>SUM(J16:J24)</f>
        <v>6017.0341918207596</v>
      </c>
      <c r="K25" s="1159">
        <f>SUM(K16:K24)</f>
        <v>0</v>
      </c>
      <c r="L25" s="1160">
        <f>SUM(L16:L24)</f>
        <v>0</v>
      </c>
    </row>
    <row r="26" spans="1:12" hidden="1"/>
    <row r="27" spans="1:12" ht="15.75">
      <c r="A27" s="2"/>
      <c r="B27" s="50" t="s">
        <v>28</v>
      </c>
      <c r="C27" s="2"/>
      <c r="D27" s="2"/>
      <c r="E27" s="2"/>
      <c r="F27" s="2"/>
      <c r="G27" s="2"/>
      <c r="H27" s="2"/>
      <c r="I27" s="5"/>
    </row>
    <row r="28" spans="1:12">
      <c r="A28" s="2"/>
      <c r="B28" s="29" t="s">
        <v>1433</v>
      </c>
      <c r="C28" s="30"/>
      <c r="D28" s="30"/>
      <c r="E28" s="31"/>
      <c r="F28" s="31"/>
      <c r="G28" s="31"/>
      <c r="H28" s="31"/>
      <c r="I28" s="32"/>
    </row>
    <row r="29" spans="1:12">
      <c r="A29" s="2"/>
      <c r="B29" s="1161" t="s">
        <v>1434</v>
      </c>
      <c r="C29" s="34"/>
      <c r="D29" s="34"/>
      <c r="E29" s="35"/>
      <c r="F29" s="35"/>
      <c r="G29" s="35"/>
      <c r="H29" s="35"/>
      <c r="I29" s="36"/>
    </row>
    <row r="30" spans="1:12">
      <c r="A30" s="2"/>
      <c r="B30" s="1161" t="s">
        <v>1423</v>
      </c>
      <c r="C30" s="143"/>
      <c r="D30" s="34"/>
      <c r="E30" s="35"/>
      <c r="F30" s="1163"/>
      <c r="G30" s="35"/>
      <c r="H30" s="35"/>
      <c r="I30" s="36"/>
    </row>
    <row r="31" spans="1:12">
      <c r="A31" s="2"/>
      <c r="B31" s="37" t="s">
        <v>1424</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f>+'[10]Payment Factors'!C19</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+'[30]Core Rates'!C203</f>
        <v>8.75</v>
      </c>
      <c r="F43" s="1170">
        <v>2</v>
      </c>
      <c r="G43" s="1171">
        <f t="shared" si="2"/>
        <v>17.5</v>
      </c>
      <c r="H43" s="35"/>
      <c r="I43" s="36"/>
    </row>
    <row r="44" spans="1:9">
      <c r="A44" s="2"/>
      <c r="B44" s="1184" t="s">
        <v>453</v>
      </c>
      <c r="C44" s="6"/>
      <c r="D44" s="1185" t="s">
        <v>454</v>
      </c>
      <c r="E44" s="1169">
        <f>+'[30]Core Rates'!C228</f>
        <v>0.82427536231884069</v>
      </c>
      <c r="F44" s="1170">
        <v>50</v>
      </c>
      <c r="G44" s="1171">
        <f t="shared" si="2"/>
        <v>41.213768115942031</v>
      </c>
      <c r="H44" s="35"/>
      <c r="I44" s="36"/>
    </row>
    <row r="45" spans="1:9">
      <c r="A45" s="2"/>
      <c r="B45" s="1186" t="s">
        <v>455</v>
      </c>
      <c r="C45" s="1187"/>
      <c r="D45" s="1185" t="s">
        <v>454</v>
      </c>
      <c r="E45" s="1169">
        <f>+'[30]Core Rates'!C235</f>
        <v>1.1702898550724636</v>
      </c>
      <c r="F45" s="1170">
        <v>50</v>
      </c>
      <c r="G45" s="1171">
        <f t="shared" si="2"/>
        <v>58.51449275362318</v>
      </c>
      <c r="H45" s="35"/>
      <c r="I45" s="36"/>
    </row>
    <row r="46" spans="1:9">
      <c r="A46" s="2"/>
      <c r="B46" s="1186" t="s">
        <v>456</v>
      </c>
      <c r="C46" s="1187"/>
      <c r="D46" s="1168" t="s">
        <v>454</v>
      </c>
      <c r="E46" s="1169">
        <f>+'[30]Core Rates'!C246</f>
        <v>0.58825136612021856</v>
      </c>
      <c r="F46" s="1170">
        <v>50</v>
      </c>
      <c r="G46" s="1171">
        <f t="shared" si="2"/>
        <v>29.412568306010929</v>
      </c>
      <c r="H46" s="35"/>
      <c r="I46" s="36"/>
    </row>
    <row r="47" spans="1:9">
      <c r="A47" s="2"/>
      <c r="B47" s="1186" t="s">
        <v>479</v>
      </c>
      <c r="C47" s="1187"/>
      <c r="D47" s="1185" t="s">
        <v>454</v>
      </c>
      <c r="E47" s="1169">
        <f>+'[30]Core Rates 2011'!BE307</f>
        <v>1.68</v>
      </c>
      <c r="F47" s="1170">
        <v>10</v>
      </c>
      <c r="G47" s="1171">
        <f t="shared" si="2"/>
        <v>16.8</v>
      </c>
      <c r="H47" s="35"/>
      <c r="I47" s="36"/>
    </row>
    <row r="48" spans="1:9">
      <c r="A48" s="2"/>
      <c r="B48" s="1186" t="s">
        <v>480</v>
      </c>
      <c r="C48" s="1187"/>
      <c r="D48" s="1185" t="s">
        <v>454</v>
      </c>
      <c r="E48" s="1169">
        <f>+'[30]Core Rates 2011'!BE308</f>
        <v>1.61</v>
      </c>
      <c r="F48" s="1170">
        <v>5</v>
      </c>
      <c r="G48" s="1171">
        <f t="shared" si="2"/>
        <v>8.0500000000000007</v>
      </c>
      <c r="H48" s="35"/>
      <c r="I48" s="36"/>
    </row>
    <row r="49" spans="1:9">
      <c r="A49" s="2"/>
      <c r="B49" s="1186" t="s">
        <v>481</v>
      </c>
      <c r="C49" s="1187"/>
      <c r="D49" s="1185" t="s">
        <v>454</v>
      </c>
      <c r="E49" s="1169">
        <f>+'[30]Core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(SUM(G57:G65)*0.85)</f>
        <v>5364.4576879166671</v>
      </c>
    </row>
    <row r="56" spans="1:9">
      <c r="A56" s="2"/>
      <c r="B56" s="1174"/>
      <c r="C56" s="35"/>
      <c r="D56" s="1167" t="s">
        <v>447</v>
      </c>
      <c r="E56" s="1167" t="s">
        <v>448</v>
      </c>
      <c r="F56" s="1167" t="s">
        <v>449</v>
      </c>
      <c r="G56" s="1167" t="s">
        <v>450</v>
      </c>
      <c r="H56" s="35"/>
      <c r="I56" s="46"/>
    </row>
    <row r="57" spans="1:9">
      <c r="A57" s="2"/>
      <c r="B57" s="1206" t="str">
        <f>+'[30]Core Rates'!A114</f>
        <v>Earthmoving: Heavy shaping (1.0'-2.0' cut/fill)</v>
      </c>
      <c r="C57" s="6"/>
      <c r="D57" s="1168" t="s">
        <v>408</v>
      </c>
      <c r="E57" s="1169">
        <f>+'[30]Core Rates'!C114</f>
        <v>1708.5</v>
      </c>
      <c r="F57" s="1170">
        <v>0.8</v>
      </c>
      <c r="G57" s="1171">
        <f t="shared" ref="G57:G65" si="3">+F57*E57</f>
        <v>1366.8000000000002</v>
      </c>
      <c r="H57" s="35"/>
      <c r="I57" s="47"/>
    </row>
    <row r="58" spans="1:9">
      <c r="A58" s="2"/>
      <c r="B58" s="1416" t="str">
        <f>+'[30]Core Rates'!A123</f>
        <v>Erosion Control Blanket, Type II (Installed)</v>
      </c>
      <c r="C58" s="1376"/>
      <c r="D58" s="1168" t="s">
        <v>986</v>
      </c>
      <c r="E58" s="1169">
        <f>+'[30]Core Rates'!C123</f>
        <v>1.5750000000000002</v>
      </c>
      <c r="F58" s="1170">
        <v>2000</v>
      </c>
      <c r="G58" s="1171">
        <f t="shared" si="3"/>
        <v>3150.0000000000005</v>
      </c>
      <c r="H58" s="35"/>
      <c r="I58" s="47"/>
    </row>
    <row r="59" spans="1:9">
      <c r="A59" s="2"/>
      <c r="B59" s="1186" t="str">
        <f>+'[30]Core Rates'!A78</f>
        <v>Corrugated Plastic Pipe: 5" (Installed)</v>
      </c>
      <c r="C59" s="6"/>
      <c r="D59" s="1382" t="str">
        <f>+'[30]Core Rates'!B78</f>
        <v>Lin Ft</v>
      </c>
      <c r="E59" s="1382">
        <f>+'[30]Core Rates'!C78</f>
        <v>1.5407999999999999</v>
      </c>
      <c r="F59" s="1170">
        <v>1089</v>
      </c>
      <c r="G59" s="1171">
        <f t="shared" si="3"/>
        <v>1677.9312</v>
      </c>
      <c r="H59" s="35"/>
      <c r="I59" s="47"/>
    </row>
    <row r="60" spans="1:9">
      <c r="A60" s="2"/>
      <c r="B60" s="1186" t="str">
        <f>+'[30]Core Rates'!A279</f>
        <v>Schd 40 PVC Pipe: 6" (Installed)</v>
      </c>
      <c r="C60" s="6"/>
      <c r="D60" s="1382" t="str">
        <f>+'[30]Core Rates'!B279</f>
        <v>Lin Ft</v>
      </c>
      <c r="E60" s="1382">
        <f>+'[30]Core Rates'!C279</f>
        <v>5.1681000000000008</v>
      </c>
      <c r="F60" s="1170">
        <v>10</v>
      </c>
      <c r="G60" s="1171">
        <f t="shared" si="3"/>
        <v>51.681000000000012</v>
      </c>
      <c r="H60" s="35"/>
      <c r="I60" s="47"/>
    </row>
    <row r="61" spans="1:9">
      <c r="A61" s="2"/>
      <c r="B61" s="1188" t="str">
        <f>+'[30]Core Rates'!A268</f>
        <v>Rodent Guard - 6" (Installed)</v>
      </c>
      <c r="C61" s="6"/>
      <c r="D61" s="1384" t="str">
        <f>+'[30]Core Rates'!B268</f>
        <v>Ea</v>
      </c>
      <c r="E61" s="1385">
        <f>+'[30]Core Rates'!C268</f>
        <v>15.672825000000001</v>
      </c>
      <c r="F61" s="1170">
        <v>1</v>
      </c>
      <c r="G61" s="1171">
        <f t="shared" si="3"/>
        <v>15.672825000000001</v>
      </c>
      <c r="H61" s="35"/>
      <c r="I61" s="47"/>
    </row>
    <row r="62" spans="1:9">
      <c r="A62" s="2"/>
      <c r="B62" s="40" t="s">
        <v>461</v>
      </c>
      <c r="C62" s="6"/>
      <c r="D62" s="1168" t="s">
        <v>408</v>
      </c>
      <c r="E62" s="1169">
        <f>+'[30]Core Rates'!C104</f>
        <v>20</v>
      </c>
      <c r="F62" s="1170">
        <v>1</v>
      </c>
      <c r="G62" s="1171">
        <f t="shared" si="3"/>
        <v>20</v>
      </c>
      <c r="H62" s="35"/>
      <c r="I62" s="47"/>
    </row>
    <row r="63" spans="1:9">
      <c r="A63" s="2"/>
      <c r="B63" s="40" t="s">
        <v>462</v>
      </c>
      <c r="C63" s="6"/>
      <c r="D63" s="1168" t="s">
        <v>408</v>
      </c>
      <c r="E63" s="1169">
        <f>+'[30]Core Rates'!AN33</f>
        <v>5.416666666666667</v>
      </c>
      <c r="F63" s="1170">
        <v>1</v>
      </c>
      <c r="G63" s="1171">
        <f t="shared" si="3"/>
        <v>5.416666666666667</v>
      </c>
      <c r="H63" s="35"/>
      <c r="I63" s="47"/>
    </row>
    <row r="64" spans="1:9">
      <c r="A64" s="2"/>
      <c r="B64" s="40" t="s">
        <v>463</v>
      </c>
      <c r="C64" s="6"/>
      <c r="D64" s="1168" t="s">
        <v>452</v>
      </c>
      <c r="E64" s="1169">
        <f>+'[30]Core Rates'!AN34</f>
        <v>5.5</v>
      </c>
      <c r="F64" s="1170">
        <v>2</v>
      </c>
      <c r="G64" s="1171">
        <f t="shared" si="3"/>
        <v>11</v>
      </c>
      <c r="H64" s="35"/>
      <c r="I64" s="47"/>
    </row>
    <row r="65" spans="1:9">
      <c r="A65" s="2"/>
      <c r="B65" s="40" t="s">
        <v>464</v>
      </c>
      <c r="C65" s="6"/>
      <c r="D65" s="1168" t="s">
        <v>452</v>
      </c>
      <c r="E65" s="1169">
        <f>+'[30]Core Rates'!AN32</f>
        <v>6.3125</v>
      </c>
      <c r="F65" s="1170">
        <v>2</v>
      </c>
      <c r="G65" s="1171">
        <f t="shared" si="3"/>
        <v>12.625</v>
      </c>
      <c r="H65" s="35"/>
      <c r="I65" s="47"/>
    </row>
    <row r="66" spans="1:9">
      <c r="A66" s="2"/>
      <c r="B66" s="40"/>
      <c r="C66" s="6"/>
      <c r="D66" s="63"/>
      <c r="E66" s="150"/>
      <c r="F66" s="150"/>
      <c r="G66" s="1169"/>
      <c r="H66" s="35"/>
      <c r="I66" s="47"/>
    </row>
    <row r="67" spans="1:9">
      <c r="A67" s="2"/>
      <c r="B67" s="37" t="s">
        <v>43</v>
      </c>
      <c r="C67" s="35"/>
      <c r="D67" s="35"/>
      <c r="E67" s="60"/>
      <c r="F67" s="60"/>
      <c r="G67" s="60"/>
      <c r="H67" s="35"/>
      <c r="I67" s="46"/>
    </row>
    <row r="68" spans="1:9" ht="12.75" customHeight="1">
      <c r="A68" s="2"/>
      <c r="B68" s="2004" t="s">
        <v>457</v>
      </c>
      <c r="C68" s="2005"/>
      <c r="D68" s="2005"/>
      <c r="E68" s="2005"/>
      <c r="F68" s="2005"/>
      <c r="G68" s="2005"/>
      <c r="H68" s="2005"/>
      <c r="I68" s="2006"/>
    </row>
    <row r="69" spans="1:9">
      <c r="A69" s="2"/>
      <c r="B69" s="2004"/>
      <c r="C69" s="2005"/>
      <c r="D69" s="2005"/>
      <c r="E69" s="2005"/>
      <c r="F69" s="2005"/>
      <c r="G69" s="2005"/>
      <c r="H69" s="2005"/>
      <c r="I69" s="2006"/>
    </row>
    <row r="70" spans="1:9">
      <c r="A70" s="2"/>
      <c r="B70" s="1177"/>
      <c r="C70" s="1178"/>
      <c r="D70" s="1178"/>
      <c r="E70" s="1178"/>
      <c r="F70" s="1178"/>
      <c r="G70" s="1178"/>
      <c r="H70" s="1178"/>
      <c r="I70" s="1179"/>
    </row>
    <row r="71" spans="1:9">
      <c r="A71" s="2"/>
      <c r="B71" s="1177"/>
      <c r="C71" s="1178"/>
      <c r="D71" s="1178"/>
      <c r="E71" s="1178"/>
      <c r="F71" s="1178"/>
      <c r="G71" s="1178"/>
      <c r="H71" s="1178"/>
      <c r="I71" s="1179"/>
    </row>
    <row r="72" spans="1:9">
      <c r="A72" s="2"/>
      <c r="B72" s="42" t="s">
        <v>3</v>
      </c>
      <c r="C72" s="35"/>
      <c r="D72" s="35"/>
      <c r="E72" s="35"/>
      <c r="F72" s="39"/>
      <c r="G72" s="35"/>
      <c r="H72" s="35"/>
      <c r="I72" s="1182">
        <f>E74</f>
        <v>946.66900375</v>
      </c>
    </row>
    <row r="73" spans="1:9">
      <c r="A73" s="2"/>
      <c r="B73" s="2007" t="s">
        <v>465</v>
      </c>
      <c r="C73" s="2008"/>
      <c r="D73" s="35"/>
      <c r="E73" s="35"/>
      <c r="F73" s="35"/>
      <c r="G73" s="35"/>
      <c r="H73" s="35"/>
      <c r="I73" s="48"/>
    </row>
    <row r="74" spans="1:9">
      <c r="A74" s="2"/>
      <c r="B74" s="37" t="s">
        <v>466</v>
      </c>
      <c r="C74" s="39"/>
      <c r="D74" s="39"/>
      <c r="E74" s="153">
        <f>SUM(G57:G65)*0.15</f>
        <v>946.66900375</v>
      </c>
      <c r="F74" s="35"/>
      <c r="G74" s="35"/>
      <c r="H74" s="35"/>
      <c r="I74" s="46"/>
    </row>
    <row r="75" spans="1:9">
      <c r="A75" s="2"/>
      <c r="B75" s="37"/>
      <c r="C75" s="39"/>
      <c r="D75" s="1180"/>
      <c r="E75" s="153"/>
      <c r="F75" s="35"/>
      <c r="G75" s="35"/>
      <c r="H75" s="35"/>
      <c r="I75" s="46"/>
    </row>
    <row r="76" spans="1:9">
      <c r="A76" s="2"/>
      <c r="B76" s="37"/>
      <c r="C76" s="39"/>
      <c r="D76" s="1181"/>
      <c r="E76" s="153"/>
      <c r="F76" s="35"/>
      <c r="G76" s="35"/>
      <c r="H76" s="35"/>
      <c r="I76" s="46"/>
    </row>
    <row r="77" spans="1:9">
      <c r="A77" s="2"/>
      <c r="B77" s="33"/>
      <c r="C77" s="35"/>
      <c r="D77" s="35"/>
      <c r="E77" s="35"/>
      <c r="F77" s="35"/>
      <c r="G77" s="35"/>
      <c r="H77" s="35"/>
      <c r="I77" s="36"/>
    </row>
    <row r="78" spans="1:9">
      <c r="A78" s="2"/>
      <c r="B78" s="42" t="s">
        <v>4</v>
      </c>
      <c r="C78" s="35"/>
      <c r="D78" s="35"/>
      <c r="E78" s="35"/>
      <c r="F78" s="35"/>
      <c r="G78" s="35"/>
      <c r="H78" s="35"/>
      <c r="I78" s="1182">
        <f>0.03*(I40+I55+I72)</f>
        <v>194.72602562526731</v>
      </c>
    </row>
    <row r="79" spans="1:9">
      <c r="A79" s="2"/>
      <c r="B79" s="33" t="s">
        <v>467</v>
      </c>
      <c r="C79" s="35"/>
      <c r="D79" s="35"/>
      <c r="E79" s="35"/>
      <c r="F79" s="35"/>
      <c r="G79" s="35"/>
      <c r="H79" s="35"/>
      <c r="I79" s="36"/>
    </row>
    <row r="80" spans="1:9">
      <c r="A80" s="2"/>
      <c r="B80" s="37"/>
      <c r="C80" s="35"/>
      <c r="D80" s="35"/>
      <c r="E80" s="35"/>
      <c r="F80" s="35"/>
      <c r="G80" s="35"/>
      <c r="H80" s="35"/>
      <c r="I80" s="36"/>
    </row>
    <row r="81" spans="1:9">
      <c r="A81" s="2"/>
      <c r="B81" s="42" t="s">
        <v>468</v>
      </c>
      <c r="C81" s="35"/>
      <c r="D81" s="35"/>
      <c r="E81" s="35"/>
      <c r="F81" s="35"/>
      <c r="G81" s="35"/>
      <c r="H81" s="35"/>
      <c r="I81" s="1182">
        <f>0.01*(I40+I55+I72)</f>
        <v>64.908675208422437</v>
      </c>
    </row>
    <row r="82" spans="1:9">
      <c r="A82" s="2"/>
      <c r="B82" s="33" t="s">
        <v>749</v>
      </c>
      <c r="C82" s="35"/>
      <c r="D82" s="35"/>
      <c r="E82" s="35"/>
      <c r="F82" s="35"/>
      <c r="G82" s="35"/>
      <c r="H82" s="35"/>
      <c r="I82" s="36"/>
    </row>
    <row r="83" spans="1:9">
      <c r="A83" s="2"/>
      <c r="B83" s="37"/>
      <c r="C83" s="35"/>
      <c r="D83" s="35"/>
      <c r="E83" s="35"/>
      <c r="F83" s="35"/>
      <c r="G83" s="35"/>
      <c r="H83" s="35"/>
      <c r="I83" s="36"/>
    </row>
    <row r="84" spans="1:9">
      <c r="A84" s="2"/>
      <c r="B84" s="42" t="s">
        <v>7</v>
      </c>
      <c r="C84" s="35"/>
      <c r="D84" s="35"/>
      <c r="E84" s="35"/>
      <c r="F84" s="35"/>
      <c r="G84" s="35"/>
      <c r="H84" s="35"/>
      <c r="I84" s="1166">
        <v>0</v>
      </c>
    </row>
    <row r="85" spans="1:9">
      <c r="A85" s="2"/>
      <c r="B85" s="33" t="s">
        <v>1425</v>
      </c>
      <c r="C85" s="35"/>
      <c r="D85" s="35"/>
      <c r="E85" s="35"/>
      <c r="F85" s="35"/>
      <c r="G85" s="35"/>
      <c r="H85" s="35"/>
      <c r="I85" s="36"/>
    </row>
    <row r="86" spans="1:9">
      <c r="A86" s="2"/>
      <c r="B86" s="37"/>
      <c r="C86" s="35"/>
      <c r="D86" s="35"/>
      <c r="E86" s="35"/>
      <c r="F86" s="35"/>
      <c r="G86" s="35"/>
      <c r="H86" s="35"/>
      <c r="I86" s="36"/>
    </row>
    <row r="87" spans="1:9">
      <c r="A87" s="2"/>
      <c r="B87" s="42" t="s">
        <v>471</v>
      </c>
      <c r="C87" s="35"/>
      <c r="D87" s="35"/>
      <c r="E87" s="35"/>
      <c r="F87" s="39"/>
      <c r="G87" s="35"/>
      <c r="H87" s="35"/>
      <c r="I87" s="1166">
        <v>0</v>
      </c>
    </row>
    <row r="88" spans="1:9">
      <c r="A88" s="2"/>
      <c r="B88" s="756" t="s">
        <v>104</v>
      </c>
      <c r="C88" s="35"/>
      <c r="D88" s="35"/>
      <c r="E88" s="35"/>
      <c r="F88" s="35"/>
      <c r="G88" s="35"/>
      <c r="H88" s="35"/>
      <c r="I88" s="47"/>
    </row>
    <row r="89" spans="1:9">
      <c r="A89" s="2"/>
      <c r="B89" s="756"/>
      <c r="C89" s="35"/>
      <c r="D89" s="35"/>
      <c r="E89" s="35"/>
      <c r="F89" s="35"/>
      <c r="G89" s="35"/>
      <c r="H89" s="35"/>
      <c r="I89" s="47"/>
    </row>
    <row r="90" spans="1:9">
      <c r="A90" s="2"/>
      <c r="B90" s="37"/>
      <c r="C90" s="35"/>
      <c r="D90" s="35"/>
      <c r="E90" s="35"/>
      <c r="F90" s="35"/>
      <c r="G90" s="35"/>
      <c r="H90" s="35"/>
      <c r="I90" s="36"/>
    </row>
    <row r="91" spans="1:9">
      <c r="A91" s="2"/>
      <c r="B91" s="42" t="s">
        <v>5</v>
      </c>
      <c r="C91" s="35"/>
      <c r="D91" s="35"/>
      <c r="E91" s="35"/>
      <c r="F91" s="35"/>
      <c r="G91" s="35"/>
      <c r="H91" s="35"/>
      <c r="I91" s="1166">
        <v>0</v>
      </c>
    </row>
    <row r="92" spans="1:9">
      <c r="A92" s="2"/>
      <c r="B92" s="33" t="s">
        <v>104</v>
      </c>
      <c r="C92" s="35"/>
      <c r="D92" s="35"/>
      <c r="E92" s="35"/>
      <c r="F92" s="35"/>
      <c r="G92" s="35"/>
      <c r="H92" s="35"/>
      <c r="I92" s="47"/>
    </row>
    <row r="93" spans="1:9">
      <c r="A93" s="2"/>
      <c r="B93" s="37"/>
      <c r="C93" s="35"/>
      <c r="D93" s="35"/>
      <c r="E93" s="35"/>
      <c r="F93" s="35"/>
      <c r="G93" s="35"/>
      <c r="H93" s="35"/>
      <c r="I93" s="36"/>
    </row>
    <row r="94" spans="1:9">
      <c r="A94" s="2"/>
      <c r="B94" s="42" t="s">
        <v>20</v>
      </c>
      <c r="C94" s="35"/>
      <c r="D94" s="35"/>
      <c r="E94" s="35"/>
      <c r="F94" s="35"/>
      <c r="G94" s="35"/>
      <c r="H94" s="35"/>
      <c r="I94" s="1166">
        <v>0</v>
      </c>
    </row>
    <row r="95" spans="1:9">
      <c r="A95" s="2"/>
      <c r="B95" s="33" t="s">
        <v>104</v>
      </c>
      <c r="C95" s="35"/>
      <c r="D95" s="35"/>
      <c r="E95" s="35"/>
      <c r="F95" s="35"/>
      <c r="G95" s="35"/>
      <c r="H95" s="35"/>
      <c r="I95" s="36"/>
    </row>
    <row r="96" spans="1:9">
      <c r="A96" s="2"/>
      <c r="B96" s="40"/>
      <c r="C96" s="35"/>
      <c r="D96" s="35"/>
      <c r="E96" s="35"/>
      <c r="F96" s="35"/>
      <c r="G96" s="35"/>
      <c r="H96" s="35"/>
      <c r="I96" s="36"/>
    </row>
    <row r="97" spans="1:9">
      <c r="A97" s="2"/>
      <c r="B97" s="42" t="s">
        <v>473</v>
      </c>
      <c r="C97" s="35"/>
      <c r="D97" s="35"/>
      <c r="E97" s="35"/>
      <c r="F97" s="35"/>
      <c r="G97" s="35"/>
      <c r="H97" s="35"/>
      <c r="I97" s="1183">
        <f>+I40+I55+I72+I78+I84+I94</f>
        <v>6685.5935464675113</v>
      </c>
    </row>
    <row r="98" spans="1:9" ht="15.75">
      <c r="A98" s="2"/>
      <c r="B98" s="33" t="s">
        <v>474</v>
      </c>
      <c r="C98" s="35"/>
      <c r="D98" s="35"/>
      <c r="E98" s="35"/>
      <c r="F98" s="35"/>
      <c r="G98" s="35"/>
      <c r="H98" s="35"/>
      <c r="I98" s="36"/>
    </row>
    <row r="99" spans="1:9">
      <c r="A99" s="2"/>
      <c r="B99" s="40"/>
      <c r="C99" s="35"/>
      <c r="D99" s="35"/>
      <c r="E99" s="35"/>
      <c r="F99" s="35"/>
      <c r="G99" s="35"/>
      <c r="H99" s="35"/>
      <c r="I99" s="36"/>
    </row>
    <row r="100" spans="1:9">
      <c r="A100" s="2"/>
      <c r="B100" s="43" t="s">
        <v>11</v>
      </c>
      <c r="C100" s="44"/>
      <c r="D100" s="44"/>
      <c r="E100" s="44"/>
      <c r="F100" s="44"/>
      <c r="G100" s="44"/>
      <c r="H100" s="44"/>
      <c r="I100" s="621">
        <f>SUM(I40:I94)</f>
        <v>6750.5022216759335</v>
      </c>
    </row>
  </sheetData>
  <mergeCells count="4">
    <mergeCell ref="B1:D1"/>
    <mergeCell ref="E55:H55"/>
    <mergeCell ref="B68:I69"/>
    <mergeCell ref="B73:C73"/>
  </mergeCells>
  <pageMargins left="0.75" right="0.75" top="1" bottom="1" header="0.5" footer="0.5"/>
  <pageSetup scale="63" orientation="portrait" r:id="rId1"/>
  <headerFooter alignWithMargins="0"/>
</worksheet>
</file>

<file path=xl/worksheets/sheet145.xml><?xml version="1.0" encoding="utf-8"?>
<worksheet xmlns="http://schemas.openxmlformats.org/spreadsheetml/2006/main" xmlns:r="http://schemas.openxmlformats.org/officeDocument/2006/relationships">
  <sheetPr>
    <pageSetUpPr fitToPage="1"/>
  </sheetPr>
  <dimension ref="A1:L97"/>
  <sheetViews>
    <sheetView workbookViewId="0">
      <selection activeCell="B54" sqref="B54:I55"/>
    </sheetView>
  </sheetViews>
  <sheetFormatPr defaultRowHeight="12.75"/>
  <cols>
    <col min="1" max="1" width="1.85546875" customWidth="1"/>
    <col min="3" max="3" width="24.140625" customWidth="1"/>
    <col min="4" max="4" width="23.140625" customWidth="1"/>
    <col min="5" max="5" width="46.2851562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412</v>
      </c>
      <c r="C6" s="7" t="str">
        <f>+E12</f>
        <v>EQIP</v>
      </c>
      <c r="D6" s="53" t="s">
        <v>1419</v>
      </c>
      <c r="E6" s="110" t="s">
        <v>1435</v>
      </c>
      <c r="F6" s="7" t="str">
        <f>+D36</f>
        <v>Acre</v>
      </c>
      <c r="G6" s="85">
        <f>+I25</f>
        <v>1232.5874780381328</v>
      </c>
    </row>
    <row r="7" spans="1:12" hidden="1">
      <c r="A7" s="2"/>
      <c r="B7" s="54">
        <f>+B6</f>
        <v>412</v>
      </c>
      <c r="C7" s="7" t="str">
        <f>+C6</f>
        <v>EQIP</v>
      </c>
      <c r="D7" s="53" t="s">
        <v>1419</v>
      </c>
      <c r="E7" s="110" t="str">
        <f>CONCATENATE(E6, "-HU")</f>
        <v>Grassed Waterway - NO ECB or TILES-HU</v>
      </c>
      <c r="F7" s="7" t="str">
        <f>+F6</f>
        <v>Acre</v>
      </c>
      <c r="G7" s="85">
        <f>+J25</f>
        <v>1479.1049736457596</v>
      </c>
    </row>
    <row r="8" spans="1:12" hidden="1">
      <c r="A8" s="2"/>
      <c r="B8" s="54">
        <v>412</v>
      </c>
      <c r="C8" s="7" t="str">
        <f>+G12</f>
        <v>WHIP</v>
      </c>
      <c r="D8" s="53" t="s">
        <v>1419</v>
      </c>
      <c r="E8" s="110" t="s">
        <v>1435</v>
      </c>
      <c r="F8" s="7" t="str">
        <f>+D36</f>
        <v>Acre</v>
      </c>
      <c r="G8" s="85">
        <f>+K25</f>
        <v>0</v>
      </c>
    </row>
    <row r="9" spans="1:12" hidden="1">
      <c r="A9" s="2"/>
      <c r="B9" s="8">
        <f>+B8</f>
        <v>412</v>
      </c>
      <c r="C9" s="10" t="str">
        <f>+C8</f>
        <v>WHIP</v>
      </c>
      <c r="D9" s="9" t="s">
        <v>1419</v>
      </c>
      <c r="E9" s="111" t="str">
        <f>CONCATENATE(E6, "-HU")</f>
        <v>Grassed Waterway - NO ECB or TILES-HU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179.74082917557618</v>
      </c>
      <c r="E16" s="160">
        <f>+'[10]Payment Factors'!D19</f>
        <v>0.75</v>
      </c>
      <c r="F16" s="160">
        <f>+'[10]Payment Factors'!E19</f>
        <v>0.9</v>
      </c>
      <c r="G16" s="160">
        <f>+'[10]Payment Factors'!F19</f>
        <v>0</v>
      </c>
      <c r="H16" s="160">
        <f>+'[10]Payment Factors'!G19</f>
        <v>0</v>
      </c>
      <c r="I16" s="1154">
        <f t="shared" ref="I16:L24" si="0">+$D16*E16</f>
        <v>134.80562188168213</v>
      </c>
      <c r="J16" s="1154">
        <f t="shared" si="0"/>
        <v>161.76674625801857</v>
      </c>
      <c r="K16" s="1154">
        <f t="shared" si="0"/>
        <v>0</v>
      </c>
      <c r="L16" s="1155">
        <f t="shared" si="0"/>
        <v>0</v>
      </c>
    </row>
    <row r="17" spans="1:12" hidden="1">
      <c r="A17" s="2"/>
      <c r="B17" s="15" t="s">
        <v>2</v>
      </c>
      <c r="C17" s="16"/>
      <c r="D17" s="24">
        <f>+I55</f>
        <v>1203.4654166666669</v>
      </c>
      <c r="E17" s="160">
        <f t="shared" ref="E17:H19" si="1">+E16</f>
        <v>0.75</v>
      </c>
      <c r="F17" s="160">
        <f t="shared" si="1"/>
        <v>0.9</v>
      </c>
      <c r="G17" s="160">
        <f t="shared" si="1"/>
        <v>0</v>
      </c>
      <c r="H17" s="160">
        <f t="shared" si="1"/>
        <v>0</v>
      </c>
      <c r="I17" s="1154">
        <f t="shared" si="0"/>
        <v>902.59906250000017</v>
      </c>
      <c r="J17" s="1154">
        <f t="shared" si="0"/>
        <v>1083.1188750000003</v>
      </c>
      <c r="K17" s="1154">
        <f t="shared" si="0"/>
        <v>0</v>
      </c>
      <c r="L17" s="1155">
        <f t="shared" si="0"/>
        <v>0</v>
      </c>
    </row>
    <row r="18" spans="1:12" hidden="1">
      <c r="A18" s="2"/>
      <c r="B18" s="15" t="s">
        <v>3</v>
      </c>
      <c r="C18" s="16"/>
      <c r="D18" s="24">
        <f>+I69</f>
        <v>212.37625000000003</v>
      </c>
      <c r="E18" s="160">
        <f t="shared" si="1"/>
        <v>0.75</v>
      </c>
      <c r="F18" s="160">
        <f t="shared" si="1"/>
        <v>0.9</v>
      </c>
      <c r="G18" s="160">
        <f t="shared" si="1"/>
        <v>0</v>
      </c>
      <c r="H18" s="160">
        <f t="shared" si="1"/>
        <v>0</v>
      </c>
      <c r="I18" s="1154">
        <f t="shared" si="0"/>
        <v>159.28218750000002</v>
      </c>
      <c r="J18" s="1154">
        <f t="shared" si="0"/>
        <v>191.13862500000002</v>
      </c>
      <c r="K18" s="1154">
        <f t="shared" si="0"/>
        <v>0</v>
      </c>
      <c r="L18" s="1155">
        <f t="shared" si="0"/>
        <v>0</v>
      </c>
    </row>
    <row r="19" spans="1:12" hidden="1">
      <c r="A19" s="2"/>
      <c r="B19" s="15" t="s">
        <v>4</v>
      </c>
      <c r="C19" s="16"/>
      <c r="D19" s="24">
        <f>+I75</f>
        <v>47.867474875267291</v>
      </c>
      <c r="E19" s="160">
        <f t="shared" si="1"/>
        <v>0.75</v>
      </c>
      <c r="F19" s="160">
        <f t="shared" si="1"/>
        <v>0.9</v>
      </c>
      <c r="G19" s="160">
        <f t="shared" si="1"/>
        <v>0</v>
      </c>
      <c r="H19" s="160">
        <f t="shared" si="1"/>
        <v>0</v>
      </c>
      <c r="I19" s="1154">
        <f t="shared" si="0"/>
        <v>35.900606156450465</v>
      </c>
      <c r="J19" s="1154">
        <f t="shared" si="0"/>
        <v>43.080727387740566</v>
      </c>
      <c r="K19" s="1154">
        <f t="shared" si="0"/>
        <v>0</v>
      </c>
      <c r="L19" s="1155">
        <f t="shared" si="0"/>
        <v>0</v>
      </c>
    </row>
    <row r="20" spans="1:12" hidden="1">
      <c r="A20" s="2"/>
      <c r="B20" s="15" t="s">
        <v>26</v>
      </c>
      <c r="C20" s="16"/>
      <c r="D20" s="24">
        <f>+I78</f>
        <v>15.955824958422431</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+I84</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1659.4057956759329</v>
      </c>
      <c r="E25" s="1158"/>
      <c r="F25" s="1158"/>
      <c r="G25" s="28"/>
      <c r="H25" s="28"/>
      <c r="I25" s="1159">
        <f>SUM(I16:I24)</f>
        <v>1232.5874780381328</v>
      </c>
      <c r="J25" s="1159">
        <f>SUM(J16:J24)</f>
        <v>1479.1049736457596</v>
      </c>
      <c r="K25" s="1159">
        <f>SUM(K16:K24)</f>
        <v>0</v>
      </c>
      <c r="L25" s="1160">
        <f>SUM(L16:L24)</f>
        <v>0</v>
      </c>
    </row>
    <row r="26" spans="1:12" hidden="1"/>
    <row r="27" spans="1:12" ht="15.75">
      <c r="A27" s="2"/>
      <c r="B27" s="50" t="s">
        <v>28</v>
      </c>
      <c r="C27" s="2"/>
      <c r="D27" s="2"/>
      <c r="E27" s="2"/>
      <c r="F27" s="2"/>
      <c r="G27" s="2"/>
      <c r="H27" s="2"/>
      <c r="I27" s="5"/>
    </row>
    <row r="28" spans="1:12">
      <c r="A28" s="2"/>
      <c r="B28" s="29" t="s">
        <v>1436</v>
      </c>
      <c r="C28" s="30"/>
      <c r="D28" s="30"/>
      <c r="E28" s="31"/>
      <c r="F28" s="31"/>
      <c r="G28" s="31"/>
      <c r="H28" s="31"/>
      <c r="I28" s="32"/>
    </row>
    <row r="29" spans="1:12">
      <c r="A29" s="2"/>
      <c r="B29" s="1161" t="s">
        <v>1437</v>
      </c>
      <c r="C29" s="34"/>
      <c r="D29" s="34"/>
      <c r="E29" s="35"/>
      <c r="F29" s="35"/>
      <c r="G29" s="35"/>
      <c r="H29" s="35"/>
      <c r="I29" s="36"/>
    </row>
    <row r="30" spans="1:12">
      <c r="A30" s="2"/>
      <c r="B30" s="1161" t="s">
        <v>1423</v>
      </c>
      <c r="C30" s="143"/>
      <c r="D30" s="34"/>
      <c r="E30" s="35"/>
      <c r="F30" s="1163"/>
      <c r="G30" s="35"/>
      <c r="H30" s="35"/>
      <c r="I30" s="36"/>
    </row>
    <row r="31" spans="1:12">
      <c r="A31" s="2"/>
      <c r="B31" s="37" t="s">
        <v>1424</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f>+'[10]Payment Factors'!C19</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+'[30]Core Rates'!C203</f>
        <v>8.75</v>
      </c>
      <c r="F43" s="1170">
        <v>2</v>
      </c>
      <c r="G43" s="1171">
        <f t="shared" si="2"/>
        <v>17.5</v>
      </c>
      <c r="H43" s="35"/>
      <c r="I43" s="36"/>
    </row>
    <row r="44" spans="1:9">
      <c r="A44" s="2"/>
      <c r="B44" s="1184" t="s">
        <v>453</v>
      </c>
      <c r="C44" s="6"/>
      <c r="D44" s="1185" t="s">
        <v>454</v>
      </c>
      <c r="E44" s="1169">
        <f>+'[30]Core Rates'!C228</f>
        <v>0.82427536231884069</v>
      </c>
      <c r="F44" s="1170">
        <v>50</v>
      </c>
      <c r="G44" s="1171">
        <f t="shared" si="2"/>
        <v>41.213768115942031</v>
      </c>
      <c r="H44" s="35"/>
      <c r="I44" s="36"/>
    </row>
    <row r="45" spans="1:9">
      <c r="A45" s="2"/>
      <c r="B45" s="1186" t="s">
        <v>455</v>
      </c>
      <c r="C45" s="1187"/>
      <c r="D45" s="1185" t="s">
        <v>454</v>
      </c>
      <c r="E45" s="1169">
        <f>+'[30]Core Rates'!C235</f>
        <v>1.1702898550724636</v>
      </c>
      <c r="F45" s="1170">
        <v>50</v>
      </c>
      <c r="G45" s="1171">
        <f t="shared" si="2"/>
        <v>58.51449275362318</v>
      </c>
      <c r="H45" s="35"/>
      <c r="I45" s="36"/>
    </row>
    <row r="46" spans="1:9">
      <c r="A46" s="2"/>
      <c r="B46" s="1186" t="s">
        <v>456</v>
      </c>
      <c r="C46" s="1187"/>
      <c r="D46" s="1168" t="s">
        <v>454</v>
      </c>
      <c r="E46" s="1169">
        <f>+'[30]Core Rates'!C246</f>
        <v>0.58825136612021856</v>
      </c>
      <c r="F46" s="1170">
        <v>50</v>
      </c>
      <c r="G46" s="1171">
        <f t="shared" si="2"/>
        <v>29.412568306010929</v>
      </c>
      <c r="H46" s="35"/>
      <c r="I46" s="36"/>
    </row>
    <row r="47" spans="1:9">
      <c r="A47" s="2"/>
      <c r="B47" s="1186" t="s">
        <v>479</v>
      </c>
      <c r="C47" s="1187"/>
      <c r="D47" s="1185" t="s">
        <v>454</v>
      </c>
      <c r="E47" s="1169">
        <f>+'[30]Core Rates 2011'!BE307</f>
        <v>1.68</v>
      </c>
      <c r="F47" s="1170">
        <v>10</v>
      </c>
      <c r="G47" s="1171">
        <f t="shared" si="2"/>
        <v>16.8</v>
      </c>
      <c r="H47" s="35"/>
      <c r="I47" s="36"/>
    </row>
    <row r="48" spans="1:9">
      <c r="A48" s="2"/>
      <c r="B48" s="1186" t="s">
        <v>480</v>
      </c>
      <c r="C48" s="1187"/>
      <c r="D48" s="1185" t="s">
        <v>454</v>
      </c>
      <c r="E48" s="1169">
        <f>+'[30]Core Rates 2011'!BE308</f>
        <v>1.61</v>
      </c>
      <c r="F48" s="1170">
        <v>5</v>
      </c>
      <c r="G48" s="1171">
        <f t="shared" si="2"/>
        <v>8.0500000000000007</v>
      </c>
      <c r="H48" s="35"/>
      <c r="I48" s="36"/>
    </row>
    <row r="49" spans="1:9">
      <c r="A49" s="2"/>
      <c r="B49" s="1186" t="s">
        <v>481</v>
      </c>
      <c r="C49" s="1187"/>
      <c r="D49" s="1185" t="s">
        <v>454</v>
      </c>
      <c r="E49" s="1169">
        <f>+'[30]Core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ht="12.75" customHeight="1">
      <c r="A55" s="2"/>
      <c r="B55" s="42" t="s">
        <v>2</v>
      </c>
      <c r="C55" s="35"/>
      <c r="D55" s="35"/>
      <c r="E55" s="2003" t="s">
        <v>459</v>
      </c>
      <c r="F55" s="2003"/>
      <c r="G55" s="2003"/>
      <c r="H55" s="2003"/>
      <c r="I55" s="1166">
        <f>(SUM(G57:G62)*0.85)</f>
        <v>1203.4654166666669</v>
      </c>
    </row>
    <row r="56" spans="1:9">
      <c r="A56" s="2"/>
      <c r="B56" s="1174"/>
      <c r="C56" s="35"/>
      <c r="D56" s="1167" t="s">
        <v>447</v>
      </c>
      <c r="E56" s="1167" t="s">
        <v>448</v>
      </c>
      <c r="F56" s="1167" t="s">
        <v>449</v>
      </c>
      <c r="G56" s="1167" t="s">
        <v>450</v>
      </c>
      <c r="H56" s="35"/>
      <c r="I56" s="46"/>
    </row>
    <row r="57" spans="1:9">
      <c r="A57" s="2"/>
      <c r="B57" s="1206" t="str">
        <f>+'[30]Core Rates'!A114</f>
        <v>Earthmoving: Heavy shaping (1.0'-2.0' cut/fill)</v>
      </c>
      <c r="C57" s="6"/>
      <c r="D57" s="1168" t="s">
        <v>408</v>
      </c>
      <c r="E57" s="1169">
        <f>+'[30]Core Rates'!C114</f>
        <v>1708.5</v>
      </c>
      <c r="F57" s="1170">
        <v>0.8</v>
      </c>
      <c r="G57" s="1171">
        <f t="shared" ref="G57:G62" si="3">+F57*E57</f>
        <v>1366.8000000000002</v>
      </c>
      <c r="H57" s="35"/>
      <c r="I57" s="47"/>
    </row>
    <row r="58" spans="1:9">
      <c r="A58" s="2"/>
      <c r="B58" s="1389" t="str">
        <f>+'[30]Core Rates'!A123</f>
        <v>Erosion Control Blanket, Type II (Installed)</v>
      </c>
      <c r="C58" s="6"/>
      <c r="D58" s="1168" t="s">
        <v>986</v>
      </c>
      <c r="E58" s="1169">
        <f>+'[30]Core Rates'!C123</f>
        <v>1.5750000000000002</v>
      </c>
      <c r="F58" s="1170">
        <v>0</v>
      </c>
      <c r="G58" s="1171">
        <f t="shared" si="3"/>
        <v>0</v>
      </c>
      <c r="H58" s="35"/>
      <c r="I58" s="47"/>
    </row>
    <row r="59" spans="1:9">
      <c r="A59" s="2"/>
      <c r="B59" s="40" t="s">
        <v>461</v>
      </c>
      <c r="C59" s="6"/>
      <c r="D59" s="1168" t="s">
        <v>408</v>
      </c>
      <c r="E59" s="1169">
        <f>+'[30]Core Rates'!C104</f>
        <v>20</v>
      </c>
      <c r="F59" s="1170">
        <v>1</v>
      </c>
      <c r="G59" s="1171">
        <f t="shared" si="3"/>
        <v>20</v>
      </c>
      <c r="H59" s="35"/>
      <c r="I59" s="47"/>
    </row>
    <row r="60" spans="1:9">
      <c r="A60" s="2"/>
      <c r="B60" s="40" t="s">
        <v>462</v>
      </c>
      <c r="C60" s="6"/>
      <c r="D60" s="1168" t="s">
        <v>408</v>
      </c>
      <c r="E60" s="1169">
        <f>+'[30]Core Rates'!AN33</f>
        <v>5.416666666666667</v>
      </c>
      <c r="F60" s="1170">
        <v>1</v>
      </c>
      <c r="G60" s="1171">
        <f t="shared" si="3"/>
        <v>5.416666666666667</v>
      </c>
      <c r="H60" s="35"/>
      <c r="I60" s="47"/>
    </row>
    <row r="61" spans="1:9">
      <c r="A61" s="2"/>
      <c r="B61" s="40" t="s">
        <v>463</v>
      </c>
      <c r="C61" s="6"/>
      <c r="D61" s="1168" t="s">
        <v>452</v>
      </c>
      <c r="E61" s="1169">
        <f>+'[30]Core Rates'!AN34</f>
        <v>5.5</v>
      </c>
      <c r="F61" s="1170">
        <v>2</v>
      </c>
      <c r="G61" s="1171">
        <f t="shared" si="3"/>
        <v>11</v>
      </c>
      <c r="H61" s="35"/>
      <c r="I61" s="47"/>
    </row>
    <row r="62" spans="1:9">
      <c r="A62" s="2"/>
      <c r="B62" s="40" t="s">
        <v>464</v>
      </c>
      <c r="C62" s="6"/>
      <c r="D62" s="1168" t="s">
        <v>452</v>
      </c>
      <c r="E62" s="1169">
        <f>+'[30]Core Rates'!AN32</f>
        <v>6.3125</v>
      </c>
      <c r="F62" s="1170">
        <v>2</v>
      </c>
      <c r="G62" s="1171">
        <f t="shared" si="3"/>
        <v>12.625</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212.37625000000003</v>
      </c>
    </row>
    <row r="70" spans="1:9">
      <c r="A70" s="2"/>
      <c r="B70" s="2007" t="s">
        <v>465</v>
      </c>
      <c r="C70" s="2008"/>
      <c r="D70" s="35"/>
      <c r="E70" s="35"/>
      <c r="F70" s="35"/>
      <c r="G70" s="35"/>
      <c r="H70" s="35"/>
      <c r="I70" s="48"/>
    </row>
    <row r="71" spans="1:9">
      <c r="A71" s="2"/>
      <c r="B71" s="37" t="s">
        <v>466</v>
      </c>
      <c r="C71" s="39"/>
      <c r="D71" s="39"/>
      <c r="E71" s="153">
        <f>SUM(G57:G62)*0.15</f>
        <v>212.37625000000003</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0.03*(I40+I55+I69)</f>
        <v>47.867474875267291</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0.01*(I40+I55+I69)</f>
        <v>15.955824958422431</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1425</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0</v>
      </c>
    </row>
    <row r="85" spans="1:9">
      <c r="A85" s="2"/>
      <c r="B85" s="756" t="s">
        <v>104</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104</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+I40+I55+I69+I75+I81+I91</f>
        <v>1643.4499707175105</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SUM(I37:I91)</f>
        <v>1659.4057956759329</v>
      </c>
    </row>
  </sheetData>
  <mergeCells count="4">
    <mergeCell ref="B1:D1"/>
    <mergeCell ref="E55:H55"/>
    <mergeCell ref="B65:I66"/>
    <mergeCell ref="B70:C70"/>
  </mergeCells>
  <pageMargins left="0.75" right="0.75" top="1" bottom="1" header="0.5" footer="0.5"/>
  <pageSetup scale="63" orientation="portrait" r:id="rId1"/>
  <headerFooter alignWithMargins="0"/>
</worksheet>
</file>

<file path=xl/worksheets/sheet146.xml><?xml version="1.0" encoding="utf-8"?>
<worksheet xmlns="http://schemas.openxmlformats.org/spreadsheetml/2006/main" xmlns:r="http://schemas.openxmlformats.org/officeDocument/2006/relationships">
  <sheetPr>
    <pageSetUpPr fitToPage="1"/>
  </sheetPr>
  <dimension ref="A1:L100"/>
  <sheetViews>
    <sheetView workbookViewId="0">
      <selection activeCell="B54" sqref="B54:I55"/>
    </sheetView>
  </sheetViews>
  <sheetFormatPr defaultRowHeight="12.75"/>
  <cols>
    <col min="1" max="1" width="1.85546875" customWidth="1"/>
    <col min="3" max="3" width="24.140625" customWidth="1"/>
    <col min="4" max="4" width="23.140625" customWidth="1"/>
    <col min="5" max="5" width="46.2851562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412</v>
      </c>
      <c r="C6" s="7" t="str">
        <f>+E12</f>
        <v>EQIP</v>
      </c>
      <c r="D6" s="53" t="s">
        <v>1419</v>
      </c>
      <c r="E6" s="110" t="s">
        <v>1438</v>
      </c>
      <c r="F6" s="7" t="str">
        <f>+D36</f>
        <v>Acre</v>
      </c>
      <c r="G6" s="85">
        <f>+I25</f>
        <v>2580.8201598506325</v>
      </c>
    </row>
    <row r="7" spans="1:12" hidden="1">
      <c r="A7" s="2"/>
      <c r="B7" s="54">
        <f>+B6</f>
        <v>412</v>
      </c>
      <c r="C7" s="7" t="str">
        <f>+C6</f>
        <v>EQIP</v>
      </c>
      <c r="D7" s="53" t="s">
        <v>1419</v>
      </c>
      <c r="E7" s="110" t="str">
        <f>CONCATENATE(E6, "-HU")</f>
        <v>Grassed Waterway - ~1100ft tile, NO ECB-HU</v>
      </c>
      <c r="F7" s="7" t="str">
        <f>+F6</f>
        <v>Acre</v>
      </c>
      <c r="G7" s="85">
        <f>+J25</f>
        <v>3096.984191820759</v>
      </c>
    </row>
    <row r="8" spans="1:12" hidden="1">
      <c r="A8" s="2"/>
      <c r="B8" s="54">
        <v>412</v>
      </c>
      <c r="C8" s="7" t="str">
        <f>+G12</f>
        <v>WHIP</v>
      </c>
      <c r="D8" s="53" t="s">
        <v>1419</v>
      </c>
      <c r="E8" s="110" t="s">
        <v>1438</v>
      </c>
      <c r="F8" s="7" t="str">
        <f>+D36</f>
        <v>Acre</v>
      </c>
      <c r="G8" s="85">
        <f>+K25</f>
        <v>0</v>
      </c>
    </row>
    <row r="9" spans="1:12" hidden="1">
      <c r="A9" s="2"/>
      <c r="B9" s="8">
        <f>+B8</f>
        <v>412</v>
      </c>
      <c r="C9" s="10" t="str">
        <f>+C8</f>
        <v>WHIP</v>
      </c>
      <c r="D9" s="9" t="s">
        <v>1419</v>
      </c>
      <c r="E9" s="111" t="str">
        <f>CONCATENATE(E6, "-HU")</f>
        <v>Grassed Waterway - ~1100ft tile, NO ECB-HU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179.74082917557618</v>
      </c>
      <c r="E16" s="160">
        <f>+'[10]Payment Factors'!D19</f>
        <v>0.75</v>
      </c>
      <c r="F16" s="160">
        <f>+'[10]Payment Factors'!E19</f>
        <v>0.9</v>
      </c>
      <c r="G16" s="160">
        <f>+'[10]Payment Factors'!F19</f>
        <v>0</v>
      </c>
      <c r="H16" s="160">
        <f>+'[10]Payment Factors'!G19</f>
        <v>0</v>
      </c>
      <c r="I16" s="1154">
        <f t="shared" ref="I16:L24" si="0">+$D16*E16</f>
        <v>134.80562188168213</v>
      </c>
      <c r="J16" s="1154">
        <f t="shared" si="0"/>
        <v>161.76674625801857</v>
      </c>
      <c r="K16" s="1154">
        <f t="shared" si="0"/>
        <v>0</v>
      </c>
      <c r="L16" s="1155">
        <f t="shared" si="0"/>
        <v>0</v>
      </c>
    </row>
    <row r="17" spans="1:12" hidden="1">
      <c r="A17" s="2"/>
      <c r="B17" s="15" t="s">
        <v>2</v>
      </c>
      <c r="C17" s="16"/>
      <c r="D17" s="24">
        <f>+I55</f>
        <v>2686.9576879166666</v>
      </c>
      <c r="E17" s="160">
        <f t="shared" ref="E17:H19" si="1">+E16</f>
        <v>0.75</v>
      </c>
      <c r="F17" s="160">
        <f t="shared" si="1"/>
        <v>0.9</v>
      </c>
      <c r="G17" s="160">
        <f t="shared" si="1"/>
        <v>0</v>
      </c>
      <c r="H17" s="160">
        <f t="shared" si="1"/>
        <v>0</v>
      </c>
      <c r="I17" s="1154">
        <f t="shared" si="0"/>
        <v>2015.2182659374998</v>
      </c>
      <c r="J17" s="1154">
        <f t="shared" si="0"/>
        <v>2418.2619191250001</v>
      </c>
      <c r="K17" s="1154">
        <f t="shared" si="0"/>
        <v>0</v>
      </c>
      <c r="L17" s="1155">
        <f t="shared" si="0"/>
        <v>0</v>
      </c>
    </row>
    <row r="18" spans="1:12" hidden="1">
      <c r="A18" s="2"/>
      <c r="B18" s="15" t="s">
        <v>3</v>
      </c>
      <c r="C18" s="16"/>
      <c r="D18" s="24">
        <f>+I72</f>
        <v>474.16900375</v>
      </c>
      <c r="E18" s="160">
        <f t="shared" si="1"/>
        <v>0.75</v>
      </c>
      <c r="F18" s="160">
        <f t="shared" si="1"/>
        <v>0.9</v>
      </c>
      <c r="G18" s="160">
        <f t="shared" si="1"/>
        <v>0</v>
      </c>
      <c r="H18" s="160">
        <f t="shared" si="1"/>
        <v>0</v>
      </c>
      <c r="I18" s="1154">
        <f t="shared" si="0"/>
        <v>355.6267528125</v>
      </c>
      <c r="J18" s="1154">
        <f t="shared" si="0"/>
        <v>426.75210337499999</v>
      </c>
      <c r="K18" s="1154">
        <f t="shared" si="0"/>
        <v>0</v>
      </c>
      <c r="L18" s="1155">
        <f t="shared" si="0"/>
        <v>0</v>
      </c>
    </row>
    <row r="19" spans="1:12" hidden="1">
      <c r="A19" s="2"/>
      <c r="B19" s="15" t="s">
        <v>4</v>
      </c>
      <c r="C19" s="16"/>
      <c r="D19" s="24">
        <f>+I78</f>
        <v>100.22602562526728</v>
      </c>
      <c r="E19" s="160">
        <f t="shared" si="1"/>
        <v>0.75</v>
      </c>
      <c r="F19" s="160">
        <f t="shared" si="1"/>
        <v>0.9</v>
      </c>
      <c r="G19" s="160">
        <f t="shared" si="1"/>
        <v>0</v>
      </c>
      <c r="H19" s="160">
        <f t="shared" si="1"/>
        <v>0</v>
      </c>
      <c r="I19" s="1154">
        <f t="shared" si="0"/>
        <v>75.169519218950455</v>
      </c>
      <c r="J19" s="1154">
        <f t="shared" si="0"/>
        <v>90.203423062740555</v>
      </c>
      <c r="K19" s="1154">
        <f t="shared" si="0"/>
        <v>0</v>
      </c>
      <c r="L19" s="1155">
        <f t="shared" si="0"/>
        <v>0</v>
      </c>
    </row>
    <row r="20" spans="1:12" hidden="1">
      <c r="A20" s="2"/>
      <c r="B20" s="15" t="s">
        <v>26</v>
      </c>
      <c r="C20" s="16"/>
      <c r="D20" s="24">
        <f>+I81</f>
        <v>33.40867520842243</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+I84</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+I87</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+I91</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+I94</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3474.5022216759321</v>
      </c>
      <c r="E25" s="1158"/>
      <c r="F25" s="1158"/>
      <c r="G25" s="28"/>
      <c r="H25" s="28"/>
      <c r="I25" s="1159">
        <f>SUM(I16:I24)</f>
        <v>2580.8201598506325</v>
      </c>
      <c r="J25" s="1159">
        <f>SUM(J16:J24)</f>
        <v>3096.984191820759</v>
      </c>
      <c r="K25" s="1159">
        <f>SUM(K16:K24)</f>
        <v>0</v>
      </c>
      <c r="L25" s="1160">
        <f>SUM(L16:L24)</f>
        <v>0</v>
      </c>
    </row>
    <row r="26" spans="1:12" hidden="1"/>
    <row r="27" spans="1:12" ht="15.75">
      <c r="A27" s="2"/>
      <c r="B27" s="50" t="s">
        <v>28</v>
      </c>
      <c r="C27" s="2"/>
      <c r="D27" s="2"/>
      <c r="E27" s="2"/>
      <c r="F27" s="2"/>
      <c r="G27" s="2"/>
      <c r="H27" s="2"/>
      <c r="I27" s="5"/>
    </row>
    <row r="28" spans="1:12">
      <c r="A28" s="2"/>
      <c r="B28" s="29" t="s">
        <v>1439</v>
      </c>
      <c r="C28" s="30"/>
      <c r="D28" s="30"/>
      <c r="E28" s="31"/>
      <c r="F28" s="31"/>
      <c r="G28" s="31"/>
      <c r="H28" s="31"/>
      <c r="I28" s="32"/>
    </row>
    <row r="29" spans="1:12">
      <c r="A29" s="2"/>
      <c r="B29" s="1161" t="s">
        <v>1440</v>
      </c>
      <c r="C29" s="34"/>
      <c r="D29" s="34"/>
      <c r="E29" s="35"/>
      <c r="F29" s="35"/>
      <c r="G29" s="35"/>
      <c r="H29" s="35"/>
      <c r="I29" s="36"/>
    </row>
    <row r="30" spans="1:12">
      <c r="A30" s="2"/>
      <c r="B30" s="1161" t="s">
        <v>1423</v>
      </c>
      <c r="C30" s="143"/>
      <c r="D30" s="34"/>
      <c r="E30" s="35"/>
      <c r="F30" s="1163"/>
      <c r="G30" s="35"/>
      <c r="H30" s="35"/>
      <c r="I30" s="36"/>
    </row>
    <row r="31" spans="1:12">
      <c r="A31" s="2"/>
      <c r="B31" s="37" t="s">
        <v>1424</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f>+'[10]Payment Factors'!C19</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+'[30]Core Rates'!C203</f>
        <v>8.75</v>
      </c>
      <c r="F43" s="1170">
        <v>2</v>
      </c>
      <c r="G43" s="1171">
        <f t="shared" si="2"/>
        <v>17.5</v>
      </c>
      <c r="H43" s="35"/>
      <c r="I43" s="36"/>
    </row>
    <row r="44" spans="1:9">
      <c r="A44" s="2"/>
      <c r="B44" s="1184" t="s">
        <v>453</v>
      </c>
      <c r="C44" s="6"/>
      <c r="D44" s="1185" t="s">
        <v>454</v>
      </c>
      <c r="E44" s="1169">
        <f>+'[30]Core Rates'!C228</f>
        <v>0.82427536231884069</v>
      </c>
      <c r="F44" s="1170">
        <v>50</v>
      </c>
      <c r="G44" s="1171">
        <f t="shared" si="2"/>
        <v>41.213768115942031</v>
      </c>
      <c r="H44" s="35"/>
      <c r="I44" s="36"/>
    </row>
    <row r="45" spans="1:9">
      <c r="A45" s="2"/>
      <c r="B45" s="1186" t="s">
        <v>455</v>
      </c>
      <c r="C45" s="1187"/>
      <c r="D45" s="1185" t="s">
        <v>454</v>
      </c>
      <c r="E45" s="1169">
        <f>+'[30]Core Rates'!C235</f>
        <v>1.1702898550724636</v>
      </c>
      <c r="F45" s="1170">
        <v>50</v>
      </c>
      <c r="G45" s="1171">
        <f t="shared" si="2"/>
        <v>58.51449275362318</v>
      </c>
      <c r="H45" s="35"/>
      <c r="I45" s="36"/>
    </row>
    <row r="46" spans="1:9">
      <c r="A46" s="2"/>
      <c r="B46" s="1186" t="s">
        <v>456</v>
      </c>
      <c r="C46" s="1187"/>
      <c r="D46" s="1168" t="s">
        <v>454</v>
      </c>
      <c r="E46" s="1169">
        <f>+'[30]Core Rates'!C246</f>
        <v>0.58825136612021856</v>
      </c>
      <c r="F46" s="1170">
        <v>50</v>
      </c>
      <c r="G46" s="1171">
        <f t="shared" si="2"/>
        <v>29.412568306010929</v>
      </c>
      <c r="H46" s="35"/>
      <c r="I46" s="36"/>
    </row>
    <row r="47" spans="1:9">
      <c r="A47" s="2"/>
      <c r="B47" s="1186" t="s">
        <v>479</v>
      </c>
      <c r="C47" s="1187"/>
      <c r="D47" s="1185" t="s">
        <v>454</v>
      </c>
      <c r="E47" s="1169">
        <f>+'[30]Core Rates 2011'!BE307</f>
        <v>1.68</v>
      </c>
      <c r="F47" s="1170">
        <v>10</v>
      </c>
      <c r="G47" s="1171">
        <f t="shared" si="2"/>
        <v>16.8</v>
      </c>
      <c r="H47" s="35"/>
      <c r="I47" s="36"/>
    </row>
    <row r="48" spans="1:9">
      <c r="A48" s="2"/>
      <c r="B48" s="1186" t="s">
        <v>480</v>
      </c>
      <c r="C48" s="1187"/>
      <c r="D48" s="1185" t="s">
        <v>454</v>
      </c>
      <c r="E48" s="1169">
        <f>+'[30]Core Rates 2011'!BE308</f>
        <v>1.61</v>
      </c>
      <c r="F48" s="1170">
        <v>5</v>
      </c>
      <c r="G48" s="1171">
        <f t="shared" si="2"/>
        <v>8.0500000000000007</v>
      </c>
      <c r="H48" s="35"/>
      <c r="I48" s="36"/>
    </row>
    <row r="49" spans="1:9">
      <c r="A49" s="2"/>
      <c r="B49" s="1186" t="s">
        <v>481</v>
      </c>
      <c r="C49" s="1187"/>
      <c r="D49" s="1185" t="s">
        <v>454</v>
      </c>
      <c r="E49" s="1169">
        <f>+'[30]Core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(SUM(G57:G65)*0.85)</f>
        <v>2686.9576879166666</v>
      </c>
    </row>
    <row r="56" spans="1:9">
      <c r="A56" s="2"/>
      <c r="B56" s="1174"/>
      <c r="C56" s="35"/>
      <c r="D56" s="1167" t="s">
        <v>447</v>
      </c>
      <c r="E56" s="1167" t="s">
        <v>448</v>
      </c>
      <c r="F56" s="1167" t="s">
        <v>449</v>
      </c>
      <c r="G56" s="1167" t="s">
        <v>450</v>
      </c>
      <c r="H56" s="35"/>
      <c r="I56" s="46"/>
    </row>
    <row r="57" spans="1:9">
      <c r="A57" s="2"/>
      <c r="B57" s="1206" t="str">
        <f>+'[30]Core Rates'!A114</f>
        <v>Earthmoving: Heavy shaping (1.0'-2.0' cut/fill)</v>
      </c>
      <c r="C57" s="6"/>
      <c r="D57" s="1168" t="s">
        <v>408</v>
      </c>
      <c r="E57" s="1169">
        <f>+'[30]Core Rates'!C114</f>
        <v>1708.5</v>
      </c>
      <c r="F57" s="1170">
        <v>0.8</v>
      </c>
      <c r="G57" s="1171">
        <f t="shared" ref="G57:G65" si="3">+F57*E57</f>
        <v>1366.8000000000002</v>
      </c>
      <c r="H57" s="35"/>
      <c r="I57" s="47"/>
    </row>
    <row r="58" spans="1:9">
      <c r="A58" s="2"/>
      <c r="B58" s="1416" t="str">
        <f>+'[30]Core Rates'!A123</f>
        <v>Erosion Control Blanket, Type II (Installed)</v>
      </c>
      <c r="C58" s="1376"/>
      <c r="D58" s="1168" t="s">
        <v>986</v>
      </c>
      <c r="E58" s="1169">
        <f>+'[30]Core Rates'!C123</f>
        <v>1.5750000000000002</v>
      </c>
      <c r="F58" s="1170">
        <v>0</v>
      </c>
      <c r="G58" s="1171">
        <f t="shared" si="3"/>
        <v>0</v>
      </c>
      <c r="H58" s="35"/>
      <c r="I58" s="47"/>
    </row>
    <row r="59" spans="1:9">
      <c r="A59" s="2"/>
      <c r="B59" s="1186" t="str">
        <f>+'[30]Core Rates'!A78</f>
        <v>Corrugated Plastic Pipe: 5" (Installed)</v>
      </c>
      <c r="C59" s="6"/>
      <c r="D59" s="1382" t="str">
        <f>+'[30]Core Rates'!B78</f>
        <v>Lin Ft</v>
      </c>
      <c r="E59" s="1382">
        <f>+'[30]Core Rates'!C78</f>
        <v>1.5407999999999999</v>
      </c>
      <c r="F59" s="1170">
        <v>1089</v>
      </c>
      <c r="G59" s="1171">
        <f t="shared" si="3"/>
        <v>1677.9312</v>
      </c>
      <c r="H59" s="35"/>
      <c r="I59" s="47"/>
    </row>
    <row r="60" spans="1:9">
      <c r="A60" s="2"/>
      <c r="B60" s="1186" t="str">
        <f>+'[30]Core Rates'!A279</f>
        <v>Schd 40 PVC Pipe: 6" (Installed)</v>
      </c>
      <c r="C60" s="6"/>
      <c r="D60" s="1382" t="str">
        <f>+'[30]Core Rates'!B279</f>
        <v>Lin Ft</v>
      </c>
      <c r="E60" s="1382">
        <f>+'[30]Core Rates'!C279</f>
        <v>5.1681000000000008</v>
      </c>
      <c r="F60" s="1170">
        <v>10</v>
      </c>
      <c r="G60" s="1171">
        <f t="shared" si="3"/>
        <v>51.681000000000012</v>
      </c>
      <c r="H60" s="35"/>
      <c r="I60" s="47"/>
    </row>
    <row r="61" spans="1:9">
      <c r="A61" s="2"/>
      <c r="B61" s="1188" t="str">
        <f>+'[30]Core Rates'!A268</f>
        <v>Rodent Guard - 6" (Installed)</v>
      </c>
      <c r="C61" s="6"/>
      <c r="D61" s="1384" t="str">
        <f>+'[30]Core Rates'!B268</f>
        <v>Ea</v>
      </c>
      <c r="E61" s="1385">
        <f>+'[30]Core Rates'!C268</f>
        <v>15.672825000000001</v>
      </c>
      <c r="F61" s="1170">
        <v>1</v>
      </c>
      <c r="G61" s="1171">
        <f t="shared" si="3"/>
        <v>15.672825000000001</v>
      </c>
      <c r="H61" s="35"/>
      <c r="I61" s="47"/>
    </row>
    <row r="62" spans="1:9">
      <c r="A62" s="2"/>
      <c r="B62" s="40" t="s">
        <v>461</v>
      </c>
      <c r="C62" s="6"/>
      <c r="D62" s="1168" t="s">
        <v>408</v>
      </c>
      <c r="E62" s="1169">
        <f>+'[30]Core Rates'!C104</f>
        <v>20</v>
      </c>
      <c r="F62" s="1170">
        <v>1</v>
      </c>
      <c r="G62" s="1171">
        <f t="shared" si="3"/>
        <v>20</v>
      </c>
      <c r="H62" s="35"/>
      <c r="I62" s="47"/>
    </row>
    <row r="63" spans="1:9">
      <c r="A63" s="2"/>
      <c r="B63" s="40" t="s">
        <v>462</v>
      </c>
      <c r="C63" s="6"/>
      <c r="D63" s="1168" t="s">
        <v>408</v>
      </c>
      <c r="E63" s="1169">
        <f>+'[30]Core Rates'!AN33</f>
        <v>5.416666666666667</v>
      </c>
      <c r="F63" s="1170">
        <v>1</v>
      </c>
      <c r="G63" s="1171">
        <f t="shared" si="3"/>
        <v>5.416666666666667</v>
      </c>
      <c r="H63" s="35"/>
      <c r="I63" s="47"/>
    </row>
    <row r="64" spans="1:9">
      <c r="A64" s="2"/>
      <c r="B64" s="40" t="s">
        <v>463</v>
      </c>
      <c r="C64" s="6"/>
      <c r="D64" s="1168" t="s">
        <v>452</v>
      </c>
      <c r="E64" s="1169">
        <f>+'[30]Core Rates'!AN34</f>
        <v>5.5</v>
      </c>
      <c r="F64" s="1170">
        <v>2</v>
      </c>
      <c r="G64" s="1171">
        <f t="shared" si="3"/>
        <v>11</v>
      </c>
      <c r="H64" s="35"/>
      <c r="I64" s="47"/>
    </row>
    <row r="65" spans="1:9">
      <c r="A65" s="2"/>
      <c r="B65" s="40" t="s">
        <v>464</v>
      </c>
      <c r="C65" s="6"/>
      <c r="D65" s="1168" t="s">
        <v>452</v>
      </c>
      <c r="E65" s="1169">
        <f>+'[30]Core Rates'!AN32</f>
        <v>6.3125</v>
      </c>
      <c r="F65" s="1170">
        <v>2</v>
      </c>
      <c r="G65" s="1171">
        <f t="shared" si="3"/>
        <v>12.625</v>
      </c>
      <c r="H65" s="35"/>
      <c r="I65" s="47"/>
    </row>
    <row r="66" spans="1:9">
      <c r="A66" s="2"/>
      <c r="B66" s="40"/>
      <c r="C66" s="6"/>
      <c r="D66" s="63"/>
      <c r="E66" s="150"/>
      <c r="F66" s="150"/>
      <c r="G66" s="1169"/>
      <c r="H66" s="35"/>
      <c r="I66" s="47"/>
    </row>
    <row r="67" spans="1:9">
      <c r="A67" s="2"/>
      <c r="B67" s="37" t="s">
        <v>43</v>
      </c>
      <c r="C67" s="35"/>
      <c r="D67" s="35"/>
      <c r="E67" s="60"/>
      <c r="F67" s="60"/>
      <c r="G67" s="60"/>
      <c r="H67" s="35"/>
      <c r="I67" s="46"/>
    </row>
    <row r="68" spans="1:9" ht="12.75" customHeight="1">
      <c r="A68" s="2"/>
      <c r="B68" s="2004" t="s">
        <v>457</v>
      </c>
      <c r="C68" s="2005"/>
      <c r="D68" s="2005"/>
      <c r="E68" s="2005"/>
      <c r="F68" s="2005"/>
      <c r="G68" s="2005"/>
      <c r="H68" s="2005"/>
      <c r="I68" s="2006"/>
    </row>
    <row r="69" spans="1:9">
      <c r="A69" s="2"/>
      <c r="B69" s="2004"/>
      <c r="C69" s="2005"/>
      <c r="D69" s="2005"/>
      <c r="E69" s="2005"/>
      <c r="F69" s="2005"/>
      <c r="G69" s="2005"/>
      <c r="H69" s="2005"/>
      <c r="I69" s="2006"/>
    </row>
    <row r="70" spans="1:9">
      <c r="A70" s="2"/>
      <c r="B70" s="1177"/>
      <c r="C70" s="1178"/>
      <c r="D70" s="1178"/>
      <c r="E70" s="1178"/>
      <c r="F70" s="1178"/>
      <c r="G70" s="1178"/>
      <c r="H70" s="1178"/>
      <c r="I70" s="1179"/>
    </row>
    <row r="71" spans="1:9">
      <c r="A71" s="2"/>
      <c r="B71" s="1177"/>
      <c r="C71" s="1178"/>
      <c r="D71" s="1178"/>
      <c r="E71" s="1178"/>
      <c r="F71" s="1178"/>
      <c r="G71" s="1178"/>
      <c r="H71" s="1178"/>
      <c r="I71" s="1179"/>
    </row>
    <row r="72" spans="1:9">
      <c r="A72" s="2"/>
      <c r="B72" s="42" t="s">
        <v>3</v>
      </c>
      <c r="C72" s="35"/>
      <c r="D72" s="35"/>
      <c r="E72" s="35"/>
      <c r="F72" s="39"/>
      <c r="G72" s="35"/>
      <c r="H72" s="35"/>
      <c r="I72" s="1182">
        <f>E74</f>
        <v>474.16900375</v>
      </c>
    </row>
    <row r="73" spans="1:9">
      <c r="A73" s="2"/>
      <c r="B73" s="2007" t="s">
        <v>465</v>
      </c>
      <c r="C73" s="2008"/>
      <c r="D73" s="35"/>
      <c r="E73" s="35"/>
      <c r="F73" s="35"/>
      <c r="G73" s="35"/>
      <c r="H73" s="35"/>
      <c r="I73" s="48"/>
    </row>
    <row r="74" spans="1:9">
      <c r="A74" s="2"/>
      <c r="B74" s="37" t="s">
        <v>466</v>
      </c>
      <c r="C74" s="39"/>
      <c r="D74" s="39"/>
      <c r="E74" s="153">
        <f>SUM(G57:G65)*0.15</f>
        <v>474.16900375</v>
      </c>
      <c r="F74" s="35"/>
      <c r="G74" s="35"/>
      <c r="H74" s="35"/>
      <c r="I74" s="46"/>
    </row>
    <row r="75" spans="1:9">
      <c r="A75" s="2"/>
      <c r="B75" s="37"/>
      <c r="C75" s="39"/>
      <c r="D75" s="1180"/>
      <c r="E75" s="153"/>
      <c r="F75" s="35"/>
      <c r="G75" s="35"/>
      <c r="H75" s="35"/>
      <c r="I75" s="46"/>
    </row>
    <row r="76" spans="1:9">
      <c r="A76" s="2"/>
      <c r="B76" s="37"/>
      <c r="C76" s="39"/>
      <c r="D76" s="1181"/>
      <c r="E76" s="153"/>
      <c r="F76" s="35"/>
      <c r="G76" s="35"/>
      <c r="H76" s="35"/>
      <c r="I76" s="46"/>
    </row>
    <row r="77" spans="1:9">
      <c r="A77" s="2"/>
      <c r="B77" s="33"/>
      <c r="C77" s="35"/>
      <c r="D77" s="35"/>
      <c r="E77" s="35"/>
      <c r="F77" s="35"/>
      <c r="G77" s="35"/>
      <c r="H77" s="35"/>
      <c r="I77" s="36"/>
    </row>
    <row r="78" spans="1:9">
      <c r="A78" s="2"/>
      <c r="B78" s="42" t="s">
        <v>4</v>
      </c>
      <c r="C78" s="35"/>
      <c r="D78" s="35"/>
      <c r="E78" s="35"/>
      <c r="F78" s="35"/>
      <c r="G78" s="35"/>
      <c r="H78" s="35"/>
      <c r="I78" s="1182">
        <f>0.03*(I40+I55+I72)</f>
        <v>100.22602562526728</v>
      </c>
    </row>
    <row r="79" spans="1:9">
      <c r="A79" s="2"/>
      <c r="B79" s="33" t="s">
        <v>467</v>
      </c>
      <c r="C79" s="35"/>
      <c r="D79" s="35"/>
      <c r="E79" s="35"/>
      <c r="F79" s="35"/>
      <c r="G79" s="35"/>
      <c r="H79" s="35"/>
      <c r="I79" s="36"/>
    </row>
    <row r="80" spans="1:9">
      <c r="A80" s="2"/>
      <c r="B80" s="37"/>
      <c r="C80" s="35"/>
      <c r="D80" s="35"/>
      <c r="E80" s="35"/>
      <c r="F80" s="35"/>
      <c r="G80" s="35"/>
      <c r="H80" s="35"/>
      <c r="I80" s="36"/>
    </row>
    <row r="81" spans="1:9">
      <c r="A81" s="2"/>
      <c r="B81" s="42" t="s">
        <v>468</v>
      </c>
      <c r="C81" s="35"/>
      <c r="D81" s="35"/>
      <c r="E81" s="35"/>
      <c r="F81" s="35"/>
      <c r="G81" s="35"/>
      <c r="H81" s="35"/>
      <c r="I81" s="1182">
        <f>0.01*(I40+I55+I72)</f>
        <v>33.40867520842243</v>
      </c>
    </row>
    <row r="82" spans="1:9">
      <c r="A82" s="2"/>
      <c r="B82" s="33" t="s">
        <v>749</v>
      </c>
      <c r="C82" s="35"/>
      <c r="D82" s="35"/>
      <c r="E82" s="35"/>
      <c r="F82" s="35"/>
      <c r="G82" s="35"/>
      <c r="H82" s="35"/>
      <c r="I82" s="36"/>
    </row>
    <row r="83" spans="1:9">
      <c r="A83" s="2"/>
      <c r="B83" s="37"/>
      <c r="C83" s="35"/>
      <c r="D83" s="35"/>
      <c r="E83" s="35"/>
      <c r="F83" s="35"/>
      <c r="G83" s="35"/>
      <c r="H83" s="35"/>
      <c r="I83" s="36"/>
    </row>
    <row r="84" spans="1:9">
      <c r="A84" s="2"/>
      <c r="B84" s="42" t="s">
        <v>7</v>
      </c>
      <c r="C84" s="35"/>
      <c r="D84" s="35"/>
      <c r="E84" s="35"/>
      <c r="F84" s="35"/>
      <c r="G84" s="35"/>
      <c r="H84" s="35"/>
      <c r="I84" s="1166">
        <v>0</v>
      </c>
    </row>
    <row r="85" spans="1:9">
      <c r="A85" s="2"/>
      <c r="B85" s="33" t="s">
        <v>1425</v>
      </c>
      <c r="C85" s="35"/>
      <c r="D85" s="35"/>
      <c r="E85" s="35"/>
      <c r="F85" s="35"/>
      <c r="G85" s="35"/>
      <c r="H85" s="35"/>
      <c r="I85" s="36"/>
    </row>
    <row r="86" spans="1:9">
      <c r="A86" s="2"/>
      <c r="B86" s="37"/>
      <c r="C86" s="35"/>
      <c r="D86" s="35"/>
      <c r="E86" s="35"/>
      <c r="F86" s="35"/>
      <c r="G86" s="35"/>
      <c r="H86" s="35"/>
      <c r="I86" s="36"/>
    </row>
    <row r="87" spans="1:9">
      <c r="A87" s="2"/>
      <c r="B87" s="42" t="s">
        <v>471</v>
      </c>
      <c r="C87" s="35"/>
      <c r="D87" s="35"/>
      <c r="E87" s="35"/>
      <c r="F87" s="39"/>
      <c r="G87" s="35"/>
      <c r="H87" s="35"/>
      <c r="I87" s="1166">
        <v>0</v>
      </c>
    </row>
    <row r="88" spans="1:9">
      <c r="A88" s="2"/>
      <c r="B88" s="756" t="s">
        <v>104</v>
      </c>
      <c r="C88" s="35"/>
      <c r="D88" s="35"/>
      <c r="E88" s="35"/>
      <c r="F88" s="35"/>
      <c r="G88" s="35"/>
      <c r="H88" s="35"/>
      <c r="I88" s="47"/>
    </row>
    <row r="89" spans="1:9">
      <c r="A89" s="2"/>
      <c r="B89" s="756"/>
      <c r="C89" s="35"/>
      <c r="D89" s="35"/>
      <c r="E89" s="35"/>
      <c r="F89" s="35"/>
      <c r="G89" s="35"/>
      <c r="H89" s="35"/>
      <c r="I89" s="47"/>
    </row>
    <row r="90" spans="1:9">
      <c r="A90" s="2"/>
      <c r="B90" s="37"/>
      <c r="C90" s="35"/>
      <c r="D90" s="35"/>
      <c r="E90" s="35"/>
      <c r="F90" s="35"/>
      <c r="G90" s="35"/>
      <c r="H90" s="35"/>
      <c r="I90" s="36"/>
    </row>
    <row r="91" spans="1:9">
      <c r="A91" s="2"/>
      <c r="B91" s="42" t="s">
        <v>5</v>
      </c>
      <c r="C91" s="35"/>
      <c r="D91" s="35"/>
      <c r="E91" s="35"/>
      <c r="F91" s="35"/>
      <c r="G91" s="35"/>
      <c r="H91" s="35"/>
      <c r="I91" s="1166">
        <v>0</v>
      </c>
    </row>
    <row r="92" spans="1:9">
      <c r="A92" s="2"/>
      <c r="B92" s="33" t="s">
        <v>104</v>
      </c>
      <c r="C92" s="35"/>
      <c r="D92" s="35"/>
      <c r="E92" s="35"/>
      <c r="F92" s="35"/>
      <c r="G92" s="35"/>
      <c r="H92" s="35"/>
      <c r="I92" s="47"/>
    </row>
    <row r="93" spans="1:9">
      <c r="A93" s="2"/>
      <c r="B93" s="37"/>
      <c r="C93" s="35"/>
      <c r="D93" s="35"/>
      <c r="E93" s="35"/>
      <c r="F93" s="35"/>
      <c r="G93" s="35"/>
      <c r="H93" s="35"/>
      <c r="I93" s="36"/>
    </row>
    <row r="94" spans="1:9">
      <c r="A94" s="2"/>
      <c r="B94" s="42" t="s">
        <v>20</v>
      </c>
      <c r="C94" s="35"/>
      <c r="D94" s="35"/>
      <c r="E94" s="35"/>
      <c r="F94" s="35"/>
      <c r="G94" s="35"/>
      <c r="H94" s="35"/>
      <c r="I94" s="1166">
        <v>0</v>
      </c>
    </row>
    <row r="95" spans="1:9">
      <c r="A95" s="2"/>
      <c r="B95" s="33" t="s">
        <v>104</v>
      </c>
      <c r="C95" s="35"/>
      <c r="D95" s="35"/>
      <c r="E95" s="35"/>
      <c r="F95" s="35"/>
      <c r="G95" s="35"/>
      <c r="H95" s="35"/>
      <c r="I95" s="36"/>
    </row>
    <row r="96" spans="1:9">
      <c r="A96" s="2"/>
      <c r="B96" s="40"/>
      <c r="C96" s="35"/>
      <c r="D96" s="35"/>
      <c r="E96" s="35"/>
      <c r="F96" s="35"/>
      <c r="G96" s="35"/>
      <c r="H96" s="35"/>
      <c r="I96" s="36"/>
    </row>
    <row r="97" spans="1:9">
      <c r="A97" s="2"/>
      <c r="B97" s="42" t="s">
        <v>473</v>
      </c>
      <c r="C97" s="35"/>
      <c r="D97" s="35"/>
      <c r="E97" s="35"/>
      <c r="F97" s="35"/>
      <c r="G97" s="35"/>
      <c r="H97" s="35"/>
      <c r="I97" s="1183">
        <f>+I40+I55+I72+I78+I84+I94</f>
        <v>3441.0935464675099</v>
      </c>
    </row>
    <row r="98" spans="1:9" ht="15.75">
      <c r="A98" s="2"/>
      <c r="B98" s="33" t="s">
        <v>474</v>
      </c>
      <c r="C98" s="35"/>
      <c r="D98" s="35"/>
      <c r="E98" s="35"/>
      <c r="F98" s="35"/>
      <c r="G98" s="35"/>
      <c r="H98" s="35"/>
      <c r="I98" s="36"/>
    </row>
    <row r="99" spans="1:9">
      <c r="A99" s="2"/>
      <c r="B99" s="40"/>
      <c r="C99" s="35"/>
      <c r="D99" s="35"/>
      <c r="E99" s="35"/>
      <c r="F99" s="35"/>
      <c r="G99" s="35"/>
      <c r="H99" s="35"/>
      <c r="I99" s="36"/>
    </row>
    <row r="100" spans="1:9">
      <c r="A100" s="2"/>
      <c r="B100" s="43" t="s">
        <v>11</v>
      </c>
      <c r="C100" s="44"/>
      <c r="D100" s="44"/>
      <c r="E100" s="44"/>
      <c r="F100" s="44"/>
      <c r="G100" s="44"/>
      <c r="H100" s="44"/>
      <c r="I100" s="621">
        <f>SUM(I40:I94)</f>
        <v>3474.5022216759321</v>
      </c>
    </row>
  </sheetData>
  <mergeCells count="4">
    <mergeCell ref="B1:D1"/>
    <mergeCell ref="E55:H55"/>
    <mergeCell ref="B68:I69"/>
    <mergeCell ref="B73:C73"/>
  </mergeCells>
  <pageMargins left="0.75" right="0.75" top="1" bottom="1" header="0.5" footer="0.5"/>
  <pageSetup scale="63" orientation="portrait" r:id="rId1"/>
  <headerFooter alignWithMargins="0"/>
</worksheet>
</file>

<file path=xl/worksheets/sheet147.xml><?xml version="1.0" encoding="utf-8"?>
<worksheet xmlns="http://schemas.openxmlformats.org/spreadsheetml/2006/main" xmlns:r="http://schemas.openxmlformats.org/officeDocument/2006/relationships">
  <sheetPr>
    <pageSetUpPr fitToPage="1"/>
  </sheetPr>
  <dimension ref="A1:L100"/>
  <sheetViews>
    <sheetView workbookViewId="0">
      <selection activeCell="B54" sqref="B54:I55"/>
    </sheetView>
  </sheetViews>
  <sheetFormatPr defaultRowHeight="12.75"/>
  <cols>
    <col min="1" max="1" width="1.85546875" customWidth="1"/>
    <col min="3" max="3" width="24.140625" customWidth="1"/>
    <col min="4" max="4" width="23.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412</v>
      </c>
      <c r="C6" s="7" t="str">
        <f>+E12</f>
        <v>EQIP</v>
      </c>
      <c r="D6" s="53" t="s">
        <v>1419</v>
      </c>
      <c r="E6" s="110" t="s">
        <v>1441</v>
      </c>
      <c r="F6" s="7" t="str">
        <f>+D36</f>
        <v>Acre</v>
      </c>
      <c r="G6" s="85">
        <f>+I25</f>
        <v>3050.5296693506334</v>
      </c>
    </row>
    <row r="7" spans="1:12" ht="25.5" hidden="1">
      <c r="A7" s="2"/>
      <c r="B7" s="54">
        <f>+B6</f>
        <v>412</v>
      </c>
      <c r="C7" s="7" t="str">
        <f>+C6</f>
        <v>EQIP</v>
      </c>
      <c r="D7" s="53" t="s">
        <v>1419</v>
      </c>
      <c r="E7" s="110" t="str">
        <f>CONCATENATE(E6, "-HU")</f>
        <v>Grassed Waterway - Rock Barriers + ~1100ft tile, NO ECB-HU</v>
      </c>
      <c r="F7" s="7" t="str">
        <f>+F6</f>
        <v>Acre</v>
      </c>
      <c r="G7" s="85">
        <f>+J25</f>
        <v>3660.6356032207595</v>
      </c>
    </row>
    <row r="8" spans="1:12" ht="25.5" hidden="1">
      <c r="A8" s="2"/>
      <c r="B8" s="54">
        <v>412</v>
      </c>
      <c r="C8" s="7" t="str">
        <f>+G12</f>
        <v>WHIP</v>
      </c>
      <c r="D8" s="53" t="s">
        <v>1419</v>
      </c>
      <c r="E8" s="110" t="s">
        <v>1441</v>
      </c>
      <c r="F8" s="7" t="str">
        <f>+D36</f>
        <v>Acre</v>
      </c>
      <c r="G8" s="85">
        <f>+K25</f>
        <v>0</v>
      </c>
    </row>
    <row r="9" spans="1:12" ht="25.5" hidden="1">
      <c r="A9" s="2"/>
      <c r="B9" s="8">
        <f>+B8</f>
        <v>412</v>
      </c>
      <c r="C9" s="10" t="str">
        <f>+C8</f>
        <v>WHIP</v>
      </c>
      <c r="D9" s="9" t="s">
        <v>1419</v>
      </c>
      <c r="E9" s="111" t="str">
        <f>CONCATENATE(E6, "-HU")</f>
        <v>Grassed Waterway - Rock Barriers + ~1100ft tile, NO ECB-HU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179.74082917557618</v>
      </c>
      <c r="E16" s="160">
        <f>+'[10]Payment Factors'!D19</f>
        <v>0.75</v>
      </c>
      <c r="F16" s="160">
        <f>+'[10]Payment Factors'!E19</f>
        <v>0.9</v>
      </c>
      <c r="G16" s="160">
        <f>+'[10]Payment Factors'!F19</f>
        <v>0</v>
      </c>
      <c r="H16" s="160">
        <f>+'[10]Payment Factors'!G19</f>
        <v>0</v>
      </c>
      <c r="I16" s="1154">
        <f t="shared" ref="I16:L24" si="0">+$D16*E16</f>
        <v>134.80562188168213</v>
      </c>
      <c r="J16" s="1154">
        <f t="shared" si="0"/>
        <v>161.76674625801857</v>
      </c>
      <c r="K16" s="1154">
        <f t="shared" si="0"/>
        <v>0</v>
      </c>
      <c r="L16" s="1155">
        <f t="shared" si="0"/>
        <v>0</v>
      </c>
    </row>
    <row r="17" spans="1:12" hidden="1">
      <c r="A17" s="2"/>
      <c r="B17" s="15" t="s">
        <v>2</v>
      </c>
      <c r="C17" s="16"/>
      <c r="D17" s="24">
        <f>+I55</f>
        <v>3203.7901579166669</v>
      </c>
      <c r="E17" s="160">
        <f t="shared" ref="E17:H19" si="1">+E16</f>
        <v>0.75</v>
      </c>
      <c r="F17" s="160">
        <f t="shared" si="1"/>
        <v>0.9</v>
      </c>
      <c r="G17" s="160">
        <f t="shared" si="1"/>
        <v>0</v>
      </c>
      <c r="H17" s="160">
        <f t="shared" si="1"/>
        <v>0</v>
      </c>
      <c r="I17" s="1154">
        <f t="shared" si="0"/>
        <v>2402.8426184375003</v>
      </c>
      <c r="J17" s="1154">
        <f t="shared" si="0"/>
        <v>2883.4111421250004</v>
      </c>
      <c r="K17" s="1154">
        <f t="shared" si="0"/>
        <v>0</v>
      </c>
      <c r="L17" s="1155">
        <f t="shared" si="0"/>
        <v>0</v>
      </c>
    </row>
    <row r="18" spans="1:12" hidden="1">
      <c r="A18" s="2"/>
      <c r="B18" s="15" t="s">
        <v>3</v>
      </c>
      <c r="C18" s="16"/>
      <c r="D18" s="24">
        <f>+I72</f>
        <v>565.37473375000002</v>
      </c>
      <c r="E18" s="160">
        <f t="shared" si="1"/>
        <v>0.75</v>
      </c>
      <c r="F18" s="160">
        <f t="shared" si="1"/>
        <v>0.9</v>
      </c>
      <c r="G18" s="160">
        <f t="shared" si="1"/>
        <v>0</v>
      </c>
      <c r="H18" s="160">
        <f t="shared" si="1"/>
        <v>0</v>
      </c>
      <c r="I18" s="1154">
        <f t="shared" si="0"/>
        <v>424.03105031250004</v>
      </c>
      <c r="J18" s="1154">
        <f t="shared" si="0"/>
        <v>508.83726037500003</v>
      </c>
      <c r="K18" s="1154">
        <f t="shared" si="0"/>
        <v>0</v>
      </c>
      <c r="L18" s="1155">
        <f t="shared" si="0"/>
        <v>0</v>
      </c>
    </row>
    <row r="19" spans="1:12" hidden="1">
      <c r="A19" s="2"/>
      <c r="B19" s="15" t="s">
        <v>4</v>
      </c>
      <c r="C19" s="16"/>
      <c r="D19" s="24">
        <f>+I78</f>
        <v>118.46717162526728</v>
      </c>
      <c r="E19" s="160">
        <f t="shared" si="1"/>
        <v>0.75</v>
      </c>
      <c r="F19" s="160">
        <f t="shared" si="1"/>
        <v>0.9</v>
      </c>
      <c r="G19" s="160">
        <f t="shared" si="1"/>
        <v>0</v>
      </c>
      <c r="H19" s="160">
        <f t="shared" si="1"/>
        <v>0</v>
      </c>
      <c r="I19" s="1154">
        <f t="shared" si="0"/>
        <v>88.850378718950466</v>
      </c>
      <c r="J19" s="1154">
        <f t="shared" si="0"/>
        <v>106.62045446274055</v>
      </c>
      <c r="K19" s="1154">
        <f t="shared" si="0"/>
        <v>0</v>
      </c>
      <c r="L19" s="1155">
        <f t="shared" si="0"/>
        <v>0</v>
      </c>
    </row>
    <row r="20" spans="1:12" hidden="1">
      <c r="A20" s="2"/>
      <c r="B20" s="15" t="s">
        <v>26</v>
      </c>
      <c r="C20" s="16"/>
      <c r="D20" s="24">
        <f>+I81</f>
        <v>39.48905720842243</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+I84</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+I87</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+I91</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+I94</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4106.8619496759329</v>
      </c>
      <c r="E25" s="1158"/>
      <c r="F25" s="1158"/>
      <c r="G25" s="28"/>
      <c r="H25" s="28"/>
      <c r="I25" s="1159">
        <f>SUM(I16:I24)</f>
        <v>3050.5296693506334</v>
      </c>
      <c r="J25" s="1159">
        <f>SUM(J16:J24)</f>
        <v>3660.6356032207595</v>
      </c>
      <c r="K25" s="1159">
        <f>SUM(K16:K24)</f>
        <v>0</v>
      </c>
      <c r="L25" s="1160">
        <f>SUM(L16:L24)</f>
        <v>0</v>
      </c>
    </row>
    <row r="26" spans="1:12" hidden="1"/>
    <row r="27" spans="1:12" ht="15.75">
      <c r="A27" s="2"/>
      <c r="B27" s="50" t="s">
        <v>28</v>
      </c>
      <c r="C27" s="2"/>
      <c r="D27" s="2"/>
      <c r="E27" s="2"/>
      <c r="F27" s="2"/>
      <c r="G27" s="2"/>
      <c r="H27" s="2"/>
      <c r="I27" s="5"/>
    </row>
    <row r="28" spans="1:12">
      <c r="A28" s="2"/>
      <c r="B28" s="29" t="s">
        <v>1442</v>
      </c>
      <c r="C28" s="30"/>
      <c r="D28" s="30"/>
      <c r="E28" s="31"/>
      <c r="F28" s="31"/>
      <c r="G28" s="31"/>
      <c r="H28" s="31"/>
      <c r="I28" s="32"/>
    </row>
    <row r="29" spans="1:12">
      <c r="A29" s="2"/>
      <c r="B29" s="1161" t="s">
        <v>1443</v>
      </c>
      <c r="C29" s="34"/>
      <c r="D29" s="34"/>
      <c r="E29" s="35"/>
      <c r="F29" s="35"/>
      <c r="G29" s="35"/>
      <c r="H29" s="35"/>
      <c r="I29" s="36"/>
    </row>
    <row r="30" spans="1:12">
      <c r="A30" s="2"/>
      <c r="B30" s="1161" t="s">
        <v>1423</v>
      </c>
      <c r="C30" s="143"/>
      <c r="D30" s="34"/>
      <c r="E30" s="35"/>
      <c r="F30" s="1163"/>
      <c r="G30" s="35"/>
      <c r="H30" s="35"/>
      <c r="I30" s="36"/>
    </row>
    <row r="31" spans="1:12">
      <c r="A31" s="2"/>
      <c r="B31" s="37" t="s">
        <v>1424</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f>+'[10]Payment Factors'!C19</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+'[30]Core Rates'!C203</f>
        <v>8.75</v>
      </c>
      <c r="F43" s="1170">
        <v>2</v>
      </c>
      <c r="G43" s="1171">
        <f t="shared" si="2"/>
        <v>17.5</v>
      </c>
      <c r="H43" s="35"/>
      <c r="I43" s="36"/>
    </row>
    <row r="44" spans="1:9">
      <c r="A44" s="2"/>
      <c r="B44" s="1184" t="s">
        <v>453</v>
      </c>
      <c r="C44" s="6"/>
      <c r="D44" s="1185" t="s">
        <v>454</v>
      </c>
      <c r="E44" s="1169">
        <f>+'[30]Core Rates'!C228</f>
        <v>0.82427536231884069</v>
      </c>
      <c r="F44" s="1170">
        <v>50</v>
      </c>
      <c r="G44" s="1171">
        <f t="shared" si="2"/>
        <v>41.213768115942031</v>
      </c>
      <c r="H44" s="35"/>
      <c r="I44" s="36"/>
    </row>
    <row r="45" spans="1:9">
      <c r="A45" s="2"/>
      <c r="B45" s="1186" t="s">
        <v>455</v>
      </c>
      <c r="C45" s="1187"/>
      <c r="D45" s="1185" t="s">
        <v>454</v>
      </c>
      <c r="E45" s="1169">
        <f>+'[30]Core Rates'!C235</f>
        <v>1.1702898550724636</v>
      </c>
      <c r="F45" s="1170">
        <v>50</v>
      </c>
      <c r="G45" s="1171">
        <f t="shared" si="2"/>
        <v>58.51449275362318</v>
      </c>
      <c r="H45" s="35"/>
      <c r="I45" s="36"/>
    </row>
    <row r="46" spans="1:9">
      <c r="A46" s="2"/>
      <c r="B46" s="1186" t="s">
        <v>456</v>
      </c>
      <c r="C46" s="1187"/>
      <c r="D46" s="1168" t="s">
        <v>454</v>
      </c>
      <c r="E46" s="1169">
        <f>+'[30]Core Rates'!C246</f>
        <v>0.58825136612021856</v>
      </c>
      <c r="F46" s="1170">
        <v>50</v>
      </c>
      <c r="G46" s="1171">
        <f t="shared" si="2"/>
        <v>29.412568306010929</v>
      </c>
      <c r="H46" s="35"/>
      <c r="I46" s="36"/>
    </row>
    <row r="47" spans="1:9">
      <c r="A47" s="2"/>
      <c r="B47" s="1186" t="s">
        <v>479</v>
      </c>
      <c r="C47" s="1187"/>
      <c r="D47" s="1185" t="s">
        <v>454</v>
      </c>
      <c r="E47" s="1169">
        <f>+'[30]Core Rates 2011'!BE307</f>
        <v>1.68</v>
      </c>
      <c r="F47" s="1170">
        <v>10</v>
      </c>
      <c r="G47" s="1171">
        <f t="shared" si="2"/>
        <v>16.8</v>
      </c>
      <c r="H47" s="35"/>
      <c r="I47" s="36"/>
    </row>
    <row r="48" spans="1:9">
      <c r="A48" s="2"/>
      <c r="B48" s="1186" t="s">
        <v>480</v>
      </c>
      <c r="C48" s="1187"/>
      <c r="D48" s="1185" t="s">
        <v>454</v>
      </c>
      <c r="E48" s="1169">
        <f>+'[30]Core Rates 2011'!BE308</f>
        <v>1.61</v>
      </c>
      <c r="F48" s="1170">
        <v>5</v>
      </c>
      <c r="G48" s="1171">
        <f t="shared" si="2"/>
        <v>8.0500000000000007</v>
      </c>
      <c r="H48" s="35"/>
      <c r="I48" s="36"/>
    </row>
    <row r="49" spans="1:9">
      <c r="A49" s="2"/>
      <c r="B49" s="1186" t="s">
        <v>481</v>
      </c>
      <c r="C49" s="1187"/>
      <c r="D49" s="1185" t="s">
        <v>454</v>
      </c>
      <c r="E49" s="1169">
        <f>+'[30]Core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(SUM(G57:G65)*0.85)</f>
        <v>3203.7901579166669</v>
      </c>
    </row>
    <row r="56" spans="1:9">
      <c r="A56" s="2"/>
      <c r="B56" s="1174"/>
      <c r="C56" s="35"/>
      <c r="D56" s="1167" t="s">
        <v>447</v>
      </c>
      <c r="E56" s="1167" t="s">
        <v>448</v>
      </c>
      <c r="F56" s="1167" t="s">
        <v>449</v>
      </c>
      <c r="G56" s="1167" t="s">
        <v>450</v>
      </c>
      <c r="H56" s="35"/>
      <c r="I56" s="46"/>
    </row>
    <row r="57" spans="1:9">
      <c r="A57" s="2"/>
      <c r="B57" s="1206" t="str">
        <f>+'[30]Core Rates'!A114</f>
        <v>Earthmoving: Heavy shaping (1.0'-2.0' cut/fill)</v>
      </c>
      <c r="C57" s="6"/>
      <c r="D57" s="1168" t="s">
        <v>408</v>
      </c>
      <c r="E57" s="1169">
        <f>+'[30]Core Rates'!C114</f>
        <v>1708.5</v>
      </c>
      <c r="F57" s="1170">
        <v>0.8</v>
      </c>
      <c r="G57" s="1171">
        <f t="shared" ref="G57:G65" si="3">+F57*E57</f>
        <v>1366.8000000000002</v>
      </c>
      <c r="H57" s="35"/>
      <c r="I57" s="47"/>
    </row>
    <row r="58" spans="1:9">
      <c r="A58" s="2"/>
      <c r="B58" s="1188" t="str">
        <f>+'[30]Core Rates'!A264</f>
        <v>Rock Retarding Barrier (Installed)</v>
      </c>
      <c r="C58" s="1376"/>
      <c r="D58" s="1384" t="str">
        <f>+'[30]Core Rates'!B264</f>
        <v>Ton</v>
      </c>
      <c r="E58" s="1384">
        <f>+'[30]Core Rates'!C264</f>
        <v>28.9542</v>
      </c>
      <c r="F58" s="1170">
        <v>21</v>
      </c>
      <c r="G58" s="1171">
        <f t="shared" si="3"/>
        <v>608.03819999999996</v>
      </c>
      <c r="H58" s="35"/>
      <c r="I58" s="47"/>
    </row>
    <row r="59" spans="1:9">
      <c r="A59" s="2"/>
      <c r="B59" s="1186" t="str">
        <f>+'[30]Core Rates'!A78</f>
        <v>Corrugated Plastic Pipe: 5" (Installed)</v>
      </c>
      <c r="C59" s="6"/>
      <c r="D59" s="1382" t="str">
        <f>+'[30]Core Rates'!B78</f>
        <v>Lin Ft</v>
      </c>
      <c r="E59" s="1382">
        <f>+'[30]Core Rates'!C78</f>
        <v>1.5407999999999999</v>
      </c>
      <c r="F59" s="1170">
        <v>1089</v>
      </c>
      <c r="G59" s="1171">
        <f t="shared" si="3"/>
        <v>1677.9312</v>
      </c>
      <c r="H59" s="35"/>
      <c r="I59" s="47"/>
    </row>
    <row r="60" spans="1:9">
      <c r="A60" s="2"/>
      <c r="B60" s="1186" t="str">
        <f>+'[30]Core Rates'!A279</f>
        <v>Schd 40 PVC Pipe: 6" (Installed)</v>
      </c>
      <c r="C60" s="6"/>
      <c r="D60" s="1382" t="str">
        <f>+'[30]Core Rates'!B279</f>
        <v>Lin Ft</v>
      </c>
      <c r="E60" s="1382">
        <f>+'[30]Core Rates'!C279</f>
        <v>5.1681000000000008</v>
      </c>
      <c r="F60" s="1170">
        <v>10</v>
      </c>
      <c r="G60" s="1171">
        <f t="shared" si="3"/>
        <v>51.681000000000012</v>
      </c>
      <c r="H60" s="35"/>
      <c r="I60" s="47"/>
    </row>
    <row r="61" spans="1:9">
      <c r="A61" s="2"/>
      <c r="B61" s="1188" t="str">
        <f>+'[30]Core Rates'!A268</f>
        <v>Rodent Guard - 6" (Installed)</v>
      </c>
      <c r="C61" s="6"/>
      <c r="D61" s="1384" t="str">
        <f>+'[30]Core Rates'!B268</f>
        <v>Ea</v>
      </c>
      <c r="E61" s="1385">
        <f>+'[30]Core Rates'!C268</f>
        <v>15.672825000000001</v>
      </c>
      <c r="F61" s="1170">
        <v>1</v>
      </c>
      <c r="G61" s="1171">
        <f t="shared" si="3"/>
        <v>15.672825000000001</v>
      </c>
      <c r="H61" s="35"/>
      <c r="I61" s="47"/>
    </row>
    <row r="62" spans="1:9">
      <c r="A62" s="2"/>
      <c r="B62" s="40" t="s">
        <v>461</v>
      </c>
      <c r="C62" s="6"/>
      <c r="D62" s="1168" t="s">
        <v>408</v>
      </c>
      <c r="E62" s="1169">
        <f>+'[30]Core Rates'!C104</f>
        <v>20</v>
      </c>
      <c r="F62" s="1170">
        <v>1</v>
      </c>
      <c r="G62" s="1171">
        <f t="shared" si="3"/>
        <v>20</v>
      </c>
      <c r="H62" s="35"/>
      <c r="I62" s="47"/>
    </row>
    <row r="63" spans="1:9">
      <c r="A63" s="2"/>
      <c r="B63" s="40" t="s">
        <v>462</v>
      </c>
      <c r="C63" s="6"/>
      <c r="D63" s="1168" t="s">
        <v>408</v>
      </c>
      <c r="E63" s="1169">
        <f>+'[30]Core Rates'!AN33</f>
        <v>5.416666666666667</v>
      </c>
      <c r="F63" s="1170">
        <v>1</v>
      </c>
      <c r="G63" s="1171">
        <f t="shared" si="3"/>
        <v>5.416666666666667</v>
      </c>
      <c r="H63" s="35"/>
      <c r="I63" s="47"/>
    </row>
    <row r="64" spans="1:9">
      <c r="A64" s="2"/>
      <c r="B64" s="40" t="s">
        <v>463</v>
      </c>
      <c r="C64" s="6"/>
      <c r="D64" s="1168" t="s">
        <v>452</v>
      </c>
      <c r="E64" s="1169">
        <f>+'[30]Core Rates'!AN34</f>
        <v>5.5</v>
      </c>
      <c r="F64" s="1170">
        <v>2</v>
      </c>
      <c r="G64" s="1171">
        <f t="shared" si="3"/>
        <v>11</v>
      </c>
      <c r="H64" s="35"/>
      <c r="I64" s="47"/>
    </row>
    <row r="65" spans="1:9">
      <c r="A65" s="2"/>
      <c r="B65" s="40" t="s">
        <v>464</v>
      </c>
      <c r="C65" s="6"/>
      <c r="D65" s="1168" t="s">
        <v>452</v>
      </c>
      <c r="E65" s="1169">
        <f>+'[30]Core Rates'!AN32</f>
        <v>6.3125</v>
      </c>
      <c r="F65" s="1170">
        <v>2</v>
      </c>
      <c r="G65" s="1171">
        <f t="shared" si="3"/>
        <v>12.625</v>
      </c>
      <c r="H65" s="35"/>
      <c r="I65" s="47"/>
    </row>
    <row r="66" spans="1:9">
      <c r="A66" s="2"/>
      <c r="B66" s="40"/>
      <c r="C66" s="6"/>
      <c r="D66" s="63"/>
      <c r="E66" s="150"/>
      <c r="F66" s="150"/>
      <c r="G66" s="1169"/>
      <c r="H66" s="35"/>
      <c r="I66" s="47"/>
    </row>
    <row r="67" spans="1:9">
      <c r="A67" s="2"/>
      <c r="B67" s="37" t="s">
        <v>43</v>
      </c>
      <c r="C67" s="35"/>
      <c r="D67" s="35"/>
      <c r="E67" s="60"/>
      <c r="F67" s="60"/>
      <c r="G67" s="60"/>
      <c r="H67" s="35"/>
      <c r="I67" s="46"/>
    </row>
    <row r="68" spans="1:9" ht="12.75" customHeight="1">
      <c r="A68" s="2"/>
      <c r="B68" s="2004" t="s">
        <v>457</v>
      </c>
      <c r="C68" s="2005"/>
      <c r="D68" s="2005"/>
      <c r="E68" s="2005"/>
      <c r="F68" s="2005"/>
      <c r="G68" s="2005"/>
      <c r="H68" s="2005"/>
      <c r="I68" s="2006"/>
    </row>
    <row r="69" spans="1:9">
      <c r="A69" s="2"/>
      <c r="B69" s="2004"/>
      <c r="C69" s="2005"/>
      <c r="D69" s="2005"/>
      <c r="E69" s="2005"/>
      <c r="F69" s="2005"/>
      <c r="G69" s="2005"/>
      <c r="H69" s="2005"/>
      <c r="I69" s="2006"/>
    </row>
    <row r="70" spans="1:9">
      <c r="A70" s="2"/>
      <c r="B70" s="1177"/>
      <c r="C70" s="1178"/>
      <c r="D70" s="1178"/>
      <c r="E70" s="1178"/>
      <c r="F70" s="1178"/>
      <c r="G70" s="1178"/>
      <c r="H70" s="1178"/>
      <c r="I70" s="1179"/>
    </row>
    <row r="71" spans="1:9">
      <c r="A71" s="2"/>
      <c r="B71" s="1177"/>
      <c r="C71" s="1178"/>
      <c r="D71" s="1178"/>
      <c r="E71" s="1178"/>
      <c r="F71" s="1178"/>
      <c r="G71" s="1178"/>
      <c r="H71" s="1178"/>
      <c r="I71" s="1179"/>
    </row>
    <row r="72" spans="1:9">
      <c r="A72" s="2"/>
      <c r="B72" s="42" t="s">
        <v>3</v>
      </c>
      <c r="C72" s="35"/>
      <c r="D72" s="35"/>
      <c r="E72" s="35"/>
      <c r="F72" s="39"/>
      <c r="G72" s="35"/>
      <c r="H72" s="35"/>
      <c r="I72" s="1182">
        <f>E74</f>
        <v>565.37473375000002</v>
      </c>
    </row>
    <row r="73" spans="1:9">
      <c r="A73" s="2"/>
      <c r="B73" s="2007" t="s">
        <v>465</v>
      </c>
      <c r="C73" s="2008"/>
      <c r="D73" s="35"/>
      <c r="E73" s="35"/>
      <c r="F73" s="35"/>
      <c r="G73" s="35"/>
      <c r="H73" s="35"/>
      <c r="I73" s="48"/>
    </row>
    <row r="74" spans="1:9">
      <c r="A74" s="2"/>
      <c r="B74" s="37" t="s">
        <v>466</v>
      </c>
      <c r="C74" s="39"/>
      <c r="D74" s="39"/>
      <c r="E74" s="153">
        <f>SUM(G57:G65)*0.15</f>
        <v>565.37473375000002</v>
      </c>
      <c r="F74" s="35"/>
      <c r="G74" s="35"/>
      <c r="H74" s="35"/>
      <c r="I74" s="46"/>
    </row>
    <row r="75" spans="1:9">
      <c r="A75" s="2"/>
      <c r="B75" s="37"/>
      <c r="C75" s="39"/>
      <c r="D75" s="1180"/>
      <c r="E75" s="153"/>
      <c r="F75" s="35"/>
      <c r="G75" s="35"/>
      <c r="H75" s="35"/>
      <c r="I75" s="46"/>
    </row>
    <row r="76" spans="1:9">
      <c r="A76" s="2"/>
      <c r="B76" s="37"/>
      <c r="C76" s="39"/>
      <c r="D76" s="1181"/>
      <c r="E76" s="153"/>
      <c r="F76" s="35"/>
      <c r="G76" s="35"/>
      <c r="H76" s="35"/>
      <c r="I76" s="46"/>
    </row>
    <row r="77" spans="1:9">
      <c r="A77" s="2"/>
      <c r="B77" s="33"/>
      <c r="C77" s="35"/>
      <c r="D77" s="35"/>
      <c r="E77" s="35"/>
      <c r="F77" s="35"/>
      <c r="G77" s="35"/>
      <c r="H77" s="35"/>
      <c r="I77" s="36"/>
    </row>
    <row r="78" spans="1:9">
      <c r="A78" s="2"/>
      <c r="B78" s="42" t="s">
        <v>4</v>
      </c>
      <c r="C78" s="35"/>
      <c r="D78" s="35"/>
      <c r="E78" s="35"/>
      <c r="F78" s="35"/>
      <c r="G78" s="35"/>
      <c r="H78" s="35"/>
      <c r="I78" s="1182">
        <f>0.03*(I40+I55+I72)</f>
        <v>118.46717162526728</v>
      </c>
    </row>
    <row r="79" spans="1:9">
      <c r="A79" s="2"/>
      <c r="B79" s="33" t="s">
        <v>467</v>
      </c>
      <c r="C79" s="35"/>
      <c r="D79" s="35"/>
      <c r="E79" s="35"/>
      <c r="F79" s="35"/>
      <c r="G79" s="35"/>
      <c r="H79" s="35"/>
      <c r="I79" s="36"/>
    </row>
    <row r="80" spans="1:9">
      <c r="A80" s="2"/>
      <c r="B80" s="37"/>
      <c r="C80" s="35"/>
      <c r="D80" s="35"/>
      <c r="E80" s="35"/>
      <c r="F80" s="35"/>
      <c r="G80" s="35"/>
      <c r="H80" s="35"/>
      <c r="I80" s="36"/>
    </row>
    <row r="81" spans="1:9">
      <c r="A81" s="2"/>
      <c r="B81" s="42" t="s">
        <v>468</v>
      </c>
      <c r="C81" s="35"/>
      <c r="D81" s="35"/>
      <c r="E81" s="35"/>
      <c r="F81" s="35"/>
      <c r="G81" s="35"/>
      <c r="H81" s="35"/>
      <c r="I81" s="1182">
        <f>0.01*(I40+I55+I72)</f>
        <v>39.48905720842243</v>
      </c>
    </row>
    <row r="82" spans="1:9">
      <c r="A82" s="2"/>
      <c r="B82" s="33" t="s">
        <v>749</v>
      </c>
      <c r="C82" s="35"/>
      <c r="D82" s="35"/>
      <c r="E82" s="35"/>
      <c r="F82" s="35"/>
      <c r="G82" s="35"/>
      <c r="H82" s="35"/>
      <c r="I82" s="36"/>
    </row>
    <row r="83" spans="1:9">
      <c r="A83" s="2"/>
      <c r="B83" s="37"/>
      <c r="C83" s="35"/>
      <c r="D83" s="35"/>
      <c r="E83" s="35"/>
      <c r="F83" s="35"/>
      <c r="G83" s="35"/>
      <c r="H83" s="35"/>
      <c r="I83" s="36"/>
    </row>
    <row r="84" spans="1:9">
      <c r="A84" s="2"/>
      <c r="B84" s="42" t="s">
        <v>7</v>
      </c>
      <c r="C84" s="35"/>
      <c r="D84" s="35"/>
      <c r="E84" s="35"/>
      <c r="F84" s="35"/>
      <c r="G84" s="35"/>
      <c r="H84" s="35"/>
      <c r="I84" s="1166">
        <v>0</v>
      </c>
    </row>
    <row r="85" spans="1:9">
      <c r="A85" s="2"/>
      <c r="B85" s="33" t="s">
        <v>1425</v>
      </c>
      <c r="C85" s="35"/>
      <c r="D85" s="35"/>
      <c r="E85" s="35"/>
      <c r="F85" s="35"/>
      <c r="G85" s="35"/>
      <c r="H85" s="35"/>
      <c r="I85" s="36"/>
    </row>
    <row r="86" spans="1:9">
      <c r="A86" s="2"/>
      <c r="B86" s="37"/>
      <c r="C86" s="35"/>
      <c r="D86" s="35"/>
      <c r="E86" s="35"/>
      <c r="F86" s="35"/>
      <c r="G86" s="35"/>
      <c r="H86" s="35"/>
      <c r="I86" s="36"/>
    </row>
    <row r="87" spans="1:9">
      <c r="A87" s="2"/>
      <c r="B87" s="42" t="s">
        <v>471</v>
      </c>
      <c r="C87" s="35"/>
      <c r="D87" s="35"/>
      <c r="E87" s="35"/>
      <c r="F87" s="39"/>
      <c r="G87" s="35"/>
      <c r="H87" s="35"/>
      <c r="I87" s="1166">
        <v>0</v>
      </c>
    </row>
    <row r="88" spans="1:9">
      <c r="A88" s="2"/>
      <c r="B88" s="756" t="s">
        <v>104</v>
      </c>
      <c r="C88" s="35"/>
      <c r="D88" s="35"/>
      <c r="E88" s="35"/>
      <c r="F88" s="35"/>
      <c r="G88" s="35"/>
      <c r="H88" s="35"/>
      <c r="I88" s="47"/>
    </row>
    <row r="89" spans="1:9">
      <c r="A89" s="2"/>
      <c r="B89" s="756"/>
      <c r="C89" s="35"/>
      <c r="D89" s="35"/>
      <c r="E89" s="35"/>
      <c r="F89" s="35"/>
      <c r="G89" s="35"/>
      <c r="H89" s="35"/>
      <c r="I89" s="47"/>
    </row>
    <row r="90" spans="1:9">
      <c r="A90" s="2"/>
      <c r="B90" s="37"/>
      <c r="C90" s="35"/>
      <c r="D90" s="35"/>
      <c r="E90" s="35"/>
      <c r="F90" s="35"/>
      <c r="G90" s="35"/>
      <c r="H90" s="35"/>
      <c r="I90" s="36"/>
    </row>
    <row r="91" spans="1:9">
      <c r="A91" s="2"/>
      <c r="B91" s="42" t="s">
        <v>5</v>
      </c>
      <c r="C91" s="35"/>
      <c r="D91" s="35"/>
      <c r="E91" s="35"/>
      <c r="F91" s="35"/>
      <c r="G91" s="35"/>
      <c r="H91" s="35"/>
      <c r="I91" s="1166">
        <v>0</v>
      </c>
    </row>
    <row r="92" spans="1:9">
      <c r="A92" s="2"/>
      <c r="B92" s="33" t="s">
        <v>104</v>
      </c>
      <c r="C92" s="35"/>
      <c r="D92" s="35"/>
      <c r="E92" s="35"/>
      <c r="F92" s="35"/>
      <c r="G92" s="35"/>
      <c r="H92" s="35"/>
      <c r="I92" s="47"/>
    </row>
    <row r="93" spans="1:9">
      <c r="A93" s="2"/>
      <c r="B93" s="37"/>
      <c r="C93" s="35"/>
      <c r="D93" s="35"/>
      <c r="E93" s="35"/>
      <c r="F93" s="35"/>
      <c r="G93" s="35"/>
      <c r="H93" s="35"/>
      <c r="I93" s="36"/>
    </row>
    <row r="94" spans="1:9">
      <c r="A94" s="2"/>
      <c r="B94" s="42" t="s">
        <v>20</v>
      </c>
      <c r="C94" s="35"/>
      <c r="D94" s="35"/>
      <c r="E94" s="35"/>
      <c r="F94" s="35"/>
      <c r="G94" s="35"/>
      <c r="H94" s="35"/>
      <c r="I94" s="1166">
        <v>0</v>
      </c>
    </row>
    <row r="95" spans="1:9">
      <c r="A95" s="2"/>
      <c r="B95" s="33" t="s">
        <v>104</v>
      </c>
      <c r="C95" s="35"/>
      <c r="D95" s="35"/>
      <c r="E95" s="35"/>
      <c r="F95" s="35"/>
      <c r="G95" s="35"/>
      <c r="H95" s="35"/>
      <c r="I95" s="36"/>
    </row>
    <row r="96" spans="1:9">
      <c r="A96" s="2"/>
      <c r="B96" s="40"/>
      <c r="C96" s="35"/>
      <c r="D96" s="35"/>
      <c r="E96" s="35"/>
      <c r="F96" s="35"/>
      <c r="G96" s="35"/>
      <c r="H96" s="35"/>
      <c r="I96" s="36"/>
    </row>
    <row r="97" spans="1:9">
      <c r="A97" s="2"/>
      <c r="B97" s="42" t="s">
        <v>473</v>
      </c>
      <c r="C97" s="35"/>
      <c r="D97" s="35"/>
      <c r="E97" s="35"/>
      <c r="F97" s="35"/>
      <c r="G97" s="35"/>
      <c r="H97" s="35"/>
      <c r="I97" s="1183">
        <f>+I40+I55+I72+I78+I84+I94</f>
        <v>4067.3728924675102</v>
      </c>
    </row>
    <row r="98" spans="1:9" ht="15.75">
      <c r="A98" s="2"/>
      <c r="B98" s="33" t="s">
        <v>474</v>
      </c>
      <c r="C98" s="35"/>
      <c r="D98" s="35"/>
      <c r="E98" s="35"/>
      <c r="F98" s="35"/>
      <c r="G98" s="35"/>
      <c r="H98" s="35"/>
      <c r="I98" s="36"/>
    </row>
    <row r="99" spans="1:9">
      <c r="A99" s="2"/>
      <c r="B99" s="40"/>
      <c r="C99" s="35"/>
      <c r="D99" s="35"/>
      <c r="E99" s="35"/>
      <c r="F99" s="35"/>
      <c r="G99" s="35"/>
      <c r="H99" s="35"/>
      <c r="I99" s="36"/>
    </row>
    <row r="100" spans="1:9">
      <c r="A100" s="2"/>
      <c r="B100" s="43" t="s">
        <v>11</v>
      </c>
      <c r="C100" s="44"/>
      <c r="D100" s="44"/>
      <c r="E100" s="44"/>
      <c r="F100" s="44"/>
      <c r="G100" s="44"/>
      <c r="H100" s="44"/>
      <c r="I100" s="621">
        <f>SUM(I40:I94)</f>
        <v>4106.8619496759329</v>
      </c>
    </row>
  </sheetData>
  <mergeCells count="4">
    <mergeCell ref="B1:D1"/>
    <mergeCell ref="E55:H55"/>
    <mergeCell ref="B68:I69"/>
    <mergeCell ref="B73:C73"/>
  </mergeCells>
  <pageMargins left="0.75" right="0.75" top="1" bottom="1" header="0.5" footer="0.5"/>
  <pageSetup scale="62" orientation="portrait" r:id="rId1"/>
  <headerFooter alignWithMargins="0"/>
</worksheet>
</file>

<file path=xl/worksheets/sheet148.xml><?xml version="1.0" encoding="utf-8"?>
<worksheet xmlns="http://schemas.openxmlformats.org/spreadsheetml/2006/main" xmlns:r="http://schemas.openxmlformats.org/officeDocument/2006/relationships">
  <sheetPr>
    <pageSetUpPr fitToPage="1"/>
  </sheetPr>
  <dimension ref="A1:L100"/>
  <sheetViews>
    <sheetView workbookViewId="0">
      <selection activeCell="B54" sqref="B54:I55"/>
    </sheetView>
  </sheetViews>
  <sheetFormatPr defaultRowHeight="12.75"/>
  <cols>
    <col min="1" max="1" width="1.85546875" customWidth="1"/>
    <col min="3" max="3" width="24.140625" customWidth="1"/>
    <col min="4" max="4" width="23.140625" customWidth="1"/>
    <col min="5" max="5" width="46.2851562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412</v>
      </c>
      <c r="C6" s="7" t="str">
        <f>+E12</f>
        <v>EQIP</v>
      </c>
      <c r="D6" s="53" t="s">
        <v>1419</v>
      </c>
      <c r="E6" s="53" t="s">
        <v>1444</v>
      </c>
      <c r="F6" s="7" t="str">
        <f>+D36</f>
        <v>Acre</v>
      </c>
      <c r="G6" s="85">
        <f>+I25</f>
        <v>1702.2969875381325</v>
      </c>
    </row>
    <row r="7" spans="1:12" hidden="1">
      <c r="A7" s="2"/>
      <c r="B7" s="54">
        <f>+B6</f>
        <v>412</v>
      </c>
      <c r="C7" s="7" t="str">
        <f>+C6</f>
        <v>EQIP</v>
      </c>
      <c r="D7" s="53" t="s">
        <v>1419</v>
      </c>
      <c r="E7" s="53" t="str">
        <f>CONCATENATE(E6, "-HU")</f>
        <v>Grassed Waterway - Rock Barriers, NO ECB-HU</v>
      </c>
      <c r="F7" s="7" t="str">
        <f>+F6</f>
        <v>Acre</v>
      </c>
      <c r="G7" s="85">
        <f>+J25</f>
        <v>2042.7563850457593</v>
      </c>
    </row>
    <row r="8" spans="1:12" hidden="1">
      <c r="A8" s="2"/>
      <c r="B8" s="54">
        <v>412</v>
      </c>
      <c r="C8" s="7" t="str">
        <f>+G12</f>
        <v>WHIP</v>
      </c>
      <c r="D8" s="53" t="s">
        <v>1419</v>
      </c>
      <c r="E8" s="53" t="s">
        <v>1444</v>
      </c>
      <c r="F8" s="7" t="str">
        <f>+D36</f>
        <v>Acre</v>
      </c>
      <c r="G8" s="85">
        <f>+K25</f>
        <v>0</v>
      </c>
    </row>
    <row r="9" spans="1:12" hidden="1">
      <c r="A9" s="2"/>
      <c r="B9" s="8">
        <f>+B8</f>
        <v>412</v>
      </c>
      <c r="C9" s="10" t="str">
        <f>+C8</f>
        <v>WHIP</v>
      </c>
      <c r="D9" s="9" t="s">
        <v>1419</v>
      </c>
      <c r="E9" s="9" t="str">
        <f>CONCATENATE(E6, "-HU")</f>
        <v>Grassed Waterway - Rock Barriers, NO ECB-HU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179.74082917557618</v>
      </c>
      <c r="E16" s="160">
        <f>+'[10]Payment Factors'!D19</f>
        <v>0.75</v>
      </c>
      <c r="F16" s="160">
        <f>+'[10]Payment Factors'!E19</f>
        <v>0.9</v>
      </c>
      <c r="G16" s="160">
        <f>+'[10]Payment Factors'!F19</f>
        <v>0</v>
      </c>
      <c r="H16" s="160">
        <f>+'[10]Payment Factors'!G19</f>
        <v>0</v>
      </c>
      <c r="I16" s="1154">
        <f t="shared" ref="I16:L24" si="0">+$D16*E16</f>
        <v>134.80562188168213</v>
      </c>
      <c r="J16" s="1154">
        <f t="shared" si="0"/>
        <v>161.76674625801857</v>
      </c>
      <c r="K16" s="1154">
        <f t="shared" si="0"/>
        <v>0</v>
      </c>
      <c r="L16" s="1155">
        <f t="shared" si="0"/>
        <v>0</v>
      </c>
    </row>
    <row r="17" spans="1:12" hidden="1">
      <c r="A17" s="2"/>
      <c r="B17" s="15" t="s">
        <v>2</v>
      </c>
      <c r="C17" s="16"/>
      <c r="D17" s="24">
        <f>+I55</f>
        <v>1720.2978866666667</v>
      </c>
      <c r="E17" s="160">
        <f t="shared" ref="E17:H19" si="1">+E16</f>
        <v>0.75</v>
      </c>
      <c r="F17" s="160">
        <f t="shared" si="1"/>
        <v>0.9</v>
      </c>
      <c r="G17" s="160">
        <f t="shared" si="1"/>
        <v>0</v>
      </c>
      <c r="H17" s="160">
        <f t="shared" si="1"/>
        <v>0</v>
      </c>
      <c r="I17" s="1154">
        <f t="shared" si="0"/>
        <v>1290.2234149999999</v>
      </c>
      <c r="J17" s="1154">
        <f t="shared" si="0"/>
        <v>1548.268098</v>
      </c>
      <c r="K17" s="1154">
        <f t="shared" si="0"/>
        <v>0</v>
      </c>
      <c r="L17" s="1155">
        <f t="shared" si="0"/>
        <v>0</v>
      </c>
    </row>
    <row r="18" spans="1:12" hidden="1">
      <c r="A18" s="2"/>
      <c r="B18" s="15" t="s">
        <v>3</v>
      </c>
      <c r="C18" s="16"/>
      <c r="D18" s="24">
        <f>+I72</f>
        <v>303.58198000000004</v>
      </c>
      <c r="E18" s="160">
        <f t="shared" si="1"/>
        <v>0.75</v>
      </c>
      <c r="F18" s="160">
        <f t="shared" si="1"/>
        <v>0.9</v>
      </c>
      <c r="G18" s="160">
        <f t="shared" si="1"/>
        <v>0</v>
      </c>
      <c r="H18" s="160">
        <f t="shared" si="1"/>
        <v>0</v>
      </c>
      <c r="I18" s="1154">
        <f t="shared" si="0"/>
        <v>227.68648500000003</v>
      </c>
      <c r="J18" s="1154">
        <f t="shared" si="0"/>
        <v>273.22378200000003</v>
      </c>
      <c r="K18" s="1154">
        <f t="shared" si="0"/>
        <v>0</v>
      </c>
      <c r="L18" s="1155">
        <f t="shared" si="0"/>
        <v>0</v>
      </c>
    </row>
    <row r="19" spans="1:12" hidden="1">
      <c r="A19" s="2"/>
      <c r="B19" s="15" t="s">
        <v>4</v>
      </c>
      <c r="C19" s="16"/>
      <c r="D19" s="24">
        <f>+I78</f>
        <v>66.108620875267292</v>
      </c>
      <c r="E19" s="160">
        <f t="shared" si="1"/>
        <v>0.75</v>
      </c>
      <c r="F19" s="160">
        <f t="shared" si="1"/>
        <v>0.9</v>
      </c>
      <c r="G19" s="160">
        <f t="shared" si="1"/>
        <v>0</v>
      </c>
      <c r="H19" s="160">
        <f t="shared" si="1"/>
        <v>0</v>
      </c>
      <c r="I19" s="1154">
        <f t="shared" si="0"/>
        <v>49.581465656450469</v>
      </c>
      <c r="J19" s="1154">
        <f t="shared" si="0"/>
        <v>59.497758787740565</v>
      </c>
      <c r="K19" s="1154">
        <f t="shared" si="0"/>
        <v>0</v>
      </c>
      <c r="L19" s="1155">
        <f t="shared" si="0"/>
        <v>0</v>
      </c>
    </row>
    <row r="20" spans="1:12" hidden="1">
      <c r="A20" s="2"/>
      <c r="B20" s="15" t="s">
        <v>26</v>
      </c>
      <c r="C20" s="16"/>
      <c r="D20" s="24">
        <f>+I81</f>
        <v>22.036206958422433</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+I84</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+I87</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+I91</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+I94</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2291.7655236759329</v>
      </c>
      <c r="E25" s="1158"/>
      <c r="F25" s="1158"/>
      <c r="G25" s="28"/>
      <c r="H25" s="28"/>
      <c r="I25" s="1159">
        <f>SUM(I16:I24)</f>
        <v>1702.2969875381325</v>
      </c>
      <c r="J25" s="1159">
        <f>SUM(J16:J24)</f>
        <v>2042.7563850457593</v>
      </c>
      <c r="K25" s="1159">
        <f>SUM(K16:K24)</f>
        <v>0</v>
      </c>
      <c r="L25" s="1160">
        <f>SUM(L16:L24)</f>
        <v>0</v>
      </c>
    </row>
    <row r="26" spans="1:12" hidden="1"/>
    <row r="27" spans="1:12" ht="15.75">
      <c r="A27" s="2"/>
      <c r="B27" s="50" t="s">
        <v>28</v>
      </c>
      <c r="C27" s="2"/>
      <c r="D27" s="2"/>
      <c r="E27" s="2"/>
      <c r="F27" s="2"/>
      <c r="G27" s="2"/>
      <c r="H27" s="2"/>
      <c r="I27" s="5"/>
    </row>
    <row r="28" spans="1:12">
      <c r="A28" s="2"/>
      <c r="B28" s="29" t="s">
        <v>1445</v>
      </c>
      <c r="C28" s="30"/>
      <c r="D28" s="30"/>
      <c r="E28" s="31"/>
      <c r="F28" s="31"/>
      <c r="G28" s="31"/>
      <c r="H28" s="31"/>
      <c r="I28" s="32"/>
    </row>
    <row r="29" spans="1:12">
      <c r="A29" s="2"/>
      <c r="B29" s="1161" t="s">
        <v>1446</v>
      </c>
      <c r="C29" s="34"/>
      <c r="D29" s="34"/>
      <c r="E29" s="35"/>
      <c r="F29" s="35"/>
      <c r="G29" s="35"/>
      <c r="H29" s="35"/>
      <c r="I29" s="36"/>
    </row>
    <row r="30" spans="1:12">
      <c r="A30" s="2"/>
      <c r="B30" s="1161" t="s">
        <v>1447</v>
      </c>
      <c r="C30" s="143"/>
      <c r="D30" s="34"/>
      <c r="E30" s="35"/>
      <c r="F30" s="1163"/>
      <c r="G30" s="35"/>
      <c r="H30" s="35"/>
      <c r="I30" s="36"/>
    </row>
    <row r="31" spans="1:12">
      <c r="A31" s="2"/>
      <c r="B31" s="37" t="s">
        <v>1424</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164">
        <f>+'[10]Payment Factors'!C19</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179.74082917557618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+'[30]Core Rates'!C203</f>
        <v>8.75</v>
      </c>
      <c r="F43" s="1170">
        <v>2</v>
      </c>
      <c r="G43" s="1171">
        <f t="shared" si="2"/>
        <v>17.5</v>
      </c>
      <c r="H43" s="35"/>
      <c r="I43" s="36"/>
    </row>
    <row r="44" spans="1:9">
      <c r="A44" s="2"/>
      <c r="B44" s="1184" t="s">
        <v>453</v>
      </c>
      <c r="C44" s="6"/>
      <c r="D44" s="1185" t="s">
        <v>454</v>
      </c>
      <c r="E44" s="1169">
        <f>+'[30]Core Rates'!C228</f>
        <v>0.82427536231884069</v>
      </c>
      <c r="F44" s="1170">
        <v>50</v>
      </c>
      <c r="G44" s="1171">
        <f t="shared" si="2"/>
        <v>41.213768115942031</v>
      </c>
      <c r="H44" s="35"/>
      <c r="I44" s="36"/>
    </row>
    <row r="45" spans="1:9">
      <c r="A45" s="2"/>
      <c r="B45" s="1186" t="s">
        <v>455</v>
      </c>
      <c r="C45" s="1187"/>
      <c r="D45" s="1185" t="s">
        <v>454</v>
      </c>
      <c r="E45" s="1169">
        <f>+'[30]Core Rates'!C235</f>
        <v>1.1702898550724636</v>
      </c>
      <c r="F45" s="1170">
        <v>50</v>
      </c>
      <c r="G45" s="1171">
        <f t="shared" si="2"/>
        <v>58.51449275362318</v>
      </c>
      <c r="H45" s="35"/>
      <c r="I45" s="36"/>
    </row>
    <row r="46" spans="1:9">
      <c r="A46" s="2"/>
      <c r="B46" s="1186" t="s">
        <v>456</v>
      </c>
      <c r="C46" s="1187"/>
      <c r="D46" s="1168" t="s">
        <v>454</v>
      </c>
      <c r="E46" s="1169">
        <f>+'[30]Core Rates'!C246</f>
        <v>0.58825136612021856</v>
      </c>
      <c r="F46" s="1170">
        <v>50</v>
      </c>
      <c r="G46" s="1171">
        <f t="shared" si="2"/>
        <v>29.412568306010929</v>
      </c>
      <c r="H46" s="35"/>
      <c r="I46" s="36"/>
    </row>
    <row r="47" spans="1:9">
      <c r="A47" s="2"/>
      <c r="B47" s="1186" t="s">
        <v>479</v>
      </c>
      <c r="C47" s="1187"/>
      <c r="D47" s="1185" t="s">
        <v>454</v>
      </c>
      <c r="E47" s="1169">
        <f>+'[30]Core Rates 2011'!BE307</f>
        <v>1.68</v>
      </c>
      <c r="F47" s="1170">
        <v>10</v>
      </c>
      <c r="G47" s="1171">
        <f t="shared" si="2"/>
        <v>16.8</v>
      </c>
      <c r="H47" s="35"/>
      <c r="I47" s="36"/>
    </row>
    <row r="48" spans="1:9">
      <c r="A48" s="2"/>
      <c r="B48" s="1186" t="s">
        <v>480</v>
      </c>
      <c r="C48" s="1187"/>
      <c r="D48" s="1185" t="s">
        <v>454</v>
      </c>
      <c r="E48" s="1169">
        <f>+'[30]Core Rates 2011'!BE308</f>
        <v>1.61</v>
      </c>
      <c r="F48" s="1170">
        <v>5</v>
      </c>
      <c r="G48" s="1171">
        <f t="shared" si="2"/>
        <v>8.0500000000000007</v>
      </c>
      <c r="H48" s="35"/>
      <c r="I48" s="36"/>
    </row>
    <row r="49" spans="1:9">
      <c r="A49" s="2"/>
      <c r="B49" s="1186" t="s">
        <v>481</v>
      </c>
      <c r="C49" s="1187"/>
      <c r="D49" s="1185" t="s">
        <v>454</v>
      </c>
      <c r="E49" s="1169">
        <f>+'[30]Core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6"/>
      <c r="D51" s="1173"/>
      <c r="E51" s="35"/>
      <c r="F51" s="35"/>
      <c r="G51" s="35"/>
      <c r="H51" s="35"/>
      <c r="I51" s="36"/>
    </row>
    <row r="52" spans="1:9">
      <c r="A52" s="2"/>
      <c r="B52" s="40" t="s">
        <v>457</v>
      </c>
      <c r="C52" s="6"/>
      <c r="D52" s="1173"/>
      <c r="E52" s="35"/>
      <c r="F52" s="35"/>
      <c r="G52" s="35"/>
      <c r="H52" s="35"/>
      <c r="I52" s="36"/>
    </row>
    <row r="53" spans="1:9">
      <c r="A53" s="2"/>
      <c r="B53" s="40" t="s">
        <v>458</v>
      </c>
      <c r="C53" s="6"/>
      <c r="D53" s="1173"/>
      <c r="E53" s="1190"/>
      <c r="F53" s="35"/>
      <c r="G53" s="35"/>
      <c r="H53" s="35"/>
      <c r="I53" s="3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(SUM(G57:G65)*0.85)</f>
        <v>1720.2978866666667</v>
      </c>
    </row>
    <row r="56" spans="1:9">
      <c r="A56" s="2"/>
      <c r="B56" s="1174"/>
      <c r="C56" s="35"/>
      <c r="D56" s="1167" t="s">
        <v>447</v>
      </c>
      <c r="E56" s="1167" t="s">
        <v>448</v>
      </c>
      <c r="F56" s="1167" t="s">
        <v>449</v>
      </c>
      <c r="G56" s="1167" t="s">
        <v>450</v>
      </c>
      <c r="H56" s="35"/>
      <c r="I56" s="46"/>
    </row>
    <row r="57" spans="1:9">
      <c r="A57" s="2"/>
      <c r="B57" s="1206" t="str">
        <f>+'[30]Core Rates'!A114</f>
        <v>Earthmoving: Heavy shaping (1.0'-2.0' cut/fill)</v>
      </c>
      <c r="C57" s="6"/>
      <c r="D57" s="1168" t="s">
        <v>408</v>
      </c>
      <c r="E57" s="1169">
        <f>+'[30]Core Rates'!C114</f>
        <v>1708.5</v>
      </c>
      <c r="F57" s="1170">
        <v>0.8</v>
      </c>
      <c r="G57" s="1171">
        <f t="shared" ref="G57:G65" si="3">+F57*E57</f>
        <v>1366.8000000000002</v>
      </c>
      <c r="H57" s="35"/>
      <c r="I57" s="47"/>
    </row>
    <row r="58" spans="1:9">
      <c r="A58" s="2"/>
      <c r="B58" s="1188" t="str">
        <f>+'[30]Core Rates'!A264</f>
        <v>Rock Retarding Barrier (Installed)</v>
      </c>
      <c r="C58" s="1376"/>
      <c r="D58" s="1384" t="str">
        <f>+'[30]Core Rates'!B264</f>
        <v>Ton</v>
      </c>
      <c r="E58" s="1384">
        <f>+'[30]Core Rates'!C264</f>
        <v>28.9542</v>
      </c>
      <c r="F58" s="1170">
        <v>21</v>
      </c>
      <c r="G58" s="1171">
        <f t="shared" si="3"/>
        <v>608.03819999999996</v>
      </c>
      <c r="H58" s="35"/>
      <c r="I58" s="47"/>
    </row>
    <row r="59" spans="1:9">
      <c r="A59" s="2"/>
      <c r="B59" s="1186" t="str">
        <f>+'[30]Core Rates'!A78</f>
        <v>Corrugated Plastic Pipe: 5" (Installed)</v>
      </c>
      <c r="C59" s="6"/>
      <c r="D59" s="1382" t="str">
        <f>+'[30]Core Rates'!B78</f>
        <v>Lin Ft</v>
      </c>
      <c r="E59" s="1382">
        <f>+'[30]Core Rates'!C78</f>
        <v>1.5407999999999999</v>
      </c>
      <c r="F59" s="1170">
        <v>0</v>
      </c>
      <c r="G59" s="1171">
        <f t="shared" si="3"/>
        <v>0</v>
      </c>
      <c r="H59" s="35"/>
      <c r="I59" s="47"/>
    </row>
    <row r="60" spans="1:9">
      <c r="A60" s="2"/>
      <c r="B60" s="1186" t="str">
        <f>+'[30]Core Rates'!A279</f>
        <v>Schd 40 PVC Pipe: 6" (Installed)</v>
      </c>
      <c r="C60" s="6"/>
      <c r="D60" s="1382" t="str">
        <f>+'[30]Core Rates'!B279</f>
        <v>Lin Ft</v>
      </c>
      <c r="E60" s="1382">
        <f>+'[30]Core Rates'!C279</f>
        <v>5.1681000000000008</v>
      </c>
      <c r="F60" s="1170">
        <v>0</v>
      </c>
      <c r="G60" s="1171">
        <f t="shared" si="3"/>
        <v>0</v>
      </c>
      <c r="H60" s="35"/>
      <c r="I60" s="47"/>
    </row>
    <row r="61" spans="1:9">
      <c r="A61" s="2"/>
      <c r="B61" s="1188" t="str">
        <f>+'[30]Core Rates'!A268</f>
        <v>Rodent Guard - 6" (Installed)</v>
      </c>
      <c r="C61" s="6"/>
      <c r="D61" s="1384" t="str">
        <f>+'[30]Core Rates'!B268</f>
        <v>Ea</v>
      </c>
      <c r="E61" s="1385">
        <f>+'[30]Core Rates'!C268</f>
        <v>15.672825000000001</v>
      </c>
      <c r="F61" s="1170">
        <v>0</v>
      </c>
      <c r="G61" s="1171">
        <f t="shared" si="3"/>
        <v>0</v>
      </c>
      <c r="H61" s="35"/>
      <c r="I61" s="47"/>
    </row>
    <row r="62" spans="1:9">
      <c r="A62" s="2"/>
      <c r="B62" s="40" t="s">
        <v>461</v>
      </c>
      <c r="C62" s="6"/>
      <c r="D62" s="1168" t="s">
        <v>408</v>
      </c>
      <c r="E62" s="1169">
        <f>+'[30]Core Rates'!C104</f>
        <v>20</v>
      </c>
      <c r="F62" s="1170">
        <v>1</v>
      </c>
      <c r="G62" s="1171">
        <f t="shared" si="3"/>
        <v>20</v>
      </c>
      <c r="H62" s="35"/>
      <c r="I62" s="47"/>
    </row>
    <row r="63" spans="1:9">
      <c r="A63" s="2"/>
      <c r="B63" s="40" t="s">
        <v>462</v>
      </c>
      <c r="C63" s="6"/>
      <c r="D63" s="1168" t="s">
        <v>408</v>
      </c>
      <c r="E63" s="1169">
        <f>+'[30]Core Rates'!AN33</f>
        <v>5.416666666666667</v>
      </c>
      <c r="F63" s="1170">
        <v>1</v>
      </c>
      <c r="G63" s="1171">
        <f t="shared" si="3"/>
        <v>5.416666666666667</v>
      </c>
      <c r="H63" s="35"/>
      <c r="I63" s="47"/>
    </row>
    <row r="64" spans="1:9">
      <c r="A64" s="2"/>
      <c r="B64" s="40" t="s">
        <v>463</v>
      </c>
      <c r="C64" s="6"/>
      <c r="D64" s="1168" t="s">
        <v>452</v>
      </c>
      <c r="E64" s="1169">
        <f>+'[30]Core Rates'!AN34</f>
        <v>5.5</v>
      </c>
      <c r="F64" s="1170">
        <v>2</v>
      </c>
      <c r="G64" s="1171">
        <f t="shared" si="3"/>
        <v>11</v>
      </c>
      <c r="H64" s="35"/>
      <c r="I64" s="47"/>
    </row>
    <row r="65" spans="1:9">
      <c r="A65" s="2"/>
      <c r="B65" s="40" t="s">
        <v>464</v>
      </c>
      <c r="C65" s="6"/>
      <c r="D65" s="1168" t="s">
        <v>452</v>
      </c>
      <c r="E65" s="1169">
        <f>+'[30]Core Rates'!AN32</f>
        <v>6.3125</v>
      </c>
      <c r="F65" s="1170">
        <v>2</v>
      </c>
      <c r="G65" s="1171">
        <f t="shared" si="3"/>
        <v>12.625</v>
      </c>
      <c r="H65" s="35"/>
      <c r="I65" s="47"/>
    </row>
    <row r="66" spans="1:9">
      <c r="A66" s="2"/>
      <c r="B66" s="40"/>
      <c r="C66" s="6"/>
      <c r="D66" s="63"/>
      <c r="E66" s="150"/>
      <c r="F66" s="150"/>
      <c r="G66" s="1169"/>
      <c r="H66" s="35"/>
      <c r="I66" s="47"/>
    </row>
    <row r="67" spans="1:9">
      <c r="A67" s="2"/>
      <c r="B67" s="37" t="s">
        <v>43</v>
      </c>
      <c r="C67" s="35"/>
      <c r="D67" s="35"/>
      <c r="E67" s="60"/>
      <c r="F67" s="60"/>
      <c r="G67" s="60"/>
      <c r="H67" s="35"/>
      <c r="I67" s="46"/>
    </row>
    <row r="68" spans="1:9" ht="12.75" customHeight="1">
      <c r="A68" s="2"/>
      <c r="B68" s="2004" t="s">
        <v>457</v>
      </c>
      <c r="C68" s="2005"/>
      <c r="D68" s="2005"/>
      <c r="E68" s="2005"/>
      <c r="F68" s="2005"/>
      <c r="G68" s="2005"/>
      <c r="H68" s="2005"/>
      <c r="I68" s="2006"/>
    </row>
    <row r="69" spans="1:9">
      <c r="A69" s="2"/>
      <c r="B69" s="2004"/>
      <c r="C69" s="2005"/>
      <c r="D69" s="2005"/>
      <c r="E69" s="2005"/>
      <c r="F69" s="2005"/>
      <c r="G69" s="2005"/>
      <c r="H69" s="2005"/>
      <c r="I69" s="2006"/>
    </row>
    <row r="70" spans="1:9">
      <c r="A70" s="2"/>
      <c r="B70" s="1177"/>
      <c r="C70" s="1178"/>
      <c r="D70" s="1178"/>
      <c r="E70" s="1178"/>
      <c r="F70" s="1178"/>
      <c r="G70" s="1178"/>
      <c r="H70" s="1178"/>
      <c r="I70" s="1179"/>
    </row>
    <row r="71" spans="1:9">
      <c r="A71" s="2"/>
      <c r="B71" s="1177"/>
      <c r="C71" s="1178"/>
      <c r="D71" s="1178"/>
      <c r="E71" s="1178"/>
      <c r="F71" s="1178"/>
      <c r="G71" s="1178"/>
      <c r="H71" s="1178"/>
      <c r="I71" s="1179"/>
    </row>
    <row r="72" spans="1:9">
      <c r="A72" s="2"/>
      <c r="B72" s="42" t="s">
        <v>3</v>
      </c>
      <c r="C72" s="35"/>
      <c r="D72" s="35"/>
      <c r="E72" s="35"/>
      <c r="F72" s="39"/>
      <c r="G72" s="35"/>
      <c r="H72" s="35"/>
      <c r="I72" s="1182">
        <f>E74</f>
        <v>303.58198000000004</v>
      </c>
    </row>
    <row r="73" spans="1:9">
      <c r="A73" s="2"/>
      <c r="B73" s="2007" t="s">
        <v>465</v>
      </c>
      <c r="C73" s="2008"/>
      <c r="D73" s="35"/>
      <c r="E73" s="35"/>
      <c r="F73" s="35"/>
      <c r="G73" s="35"/>
      <c r="H73" s="35"/>
      <c r="I73" s="48"/>
    </row>
    <row r="74" spans="1:9">
      <c r="A74" s="2"/>
      <c r="B74" s="37" t="s">
        <v>466</v>
      </c>
      <c r="C74" s="39"/>
      <c r="D74" s="39"/>
      <c r="E74" s="153">
        <f>SUM(G57:G65)*0.15</f>
        <v>303.58198000000004</v>
      </c>
      <c r="F74" s="35"/>
      <c r="G74" s="35"/>
      <c r="H74" s="35"/>
      <c r="I74" s="46"/>
    </row>
    <row r="75" spans="1:9">
      <c r="A75" s="2"/>
      <c r="B75" s="37"/>
      <c r="C75" s="39"/>
      <c r="D75" s="1180"/>
      <c r="E75" s="153"/>
      <c r="F75" s="35"/>
      <c r="G75" s="35"/>
      <c r="H75" s="35"/>
      <c r="I75" s="46"/>
    </row>
    <row r="76" spans="1:9">
      <c r="A76" s="2"/>
      <c r="B76" s="37"/>
      <c r="C76" s="39"/>
      <c r="D76" s="1181"/>
      <c r="E76" s="153"/>
      <c r="F76" s="35"/>
      <c r="G76" s="35"/>
      <c r="H76" s="35"/>
      <c r="I76" s="46"/>
    </row>
    <row r="77" spans="1:9">
      <c r="A77" s="2"/>
      <c r="B77" s="33"/>
      <c r="C77" s="35"/>
      <c r="D77" s="35"/>
      <c r="E77" s="35"/>
      <c r="F77" s="35"/>
      <c r="G77" s="35"/>
      <c r="H77" s="35"/>
      <c r="I77" s="36"/>
    </row>
    <row r="78" spans="1:9">
      <c r="A78" s="2"/>
      <c r="B78" s="42" t="s">
        <v>4</v>
      </c>
      <c r="C78" s="35"/>
      <c r="D78" s="35"/>
      <c r="E78" s="35"/>
      <c r="F78" s="35"/>
      <c r="G78" s="35"/>
      <c r="H78" s="35"/>
      <c r="I78" s="1182">
        <f>0.03*(I40+I55+I72)</f>
        <v>66.108620875267292</v>
      </c>
    </row>
    <row r="79" spans="1:9">
      <c r="A79" s="2"/>
      <c r="B79" s="33" t="s">
        <v>467</v>
      </c>
      <c r="C79" s="35"/>
      <c r="D79" s="35"/>
      <c r="E79" s="35"/>
      <c r="F79" s="35"/>
      <c r="G79" s="35"/>
      <c r="H79" s="35"/>
      <c r="I79" s="36"/>
    </row>
    <row r="80" spans="1:9">
      <c r="A80" s="2"/>
      <c r="B80" s="37"/>
      <c r="C80" s="35"/>
      <c r="D80" s="35"/>
      <c r="E80" s="35"/>
      <c r="F80" s="35"/>
      <c r="G80" s="35"/>
      <c r="H80" s="35"/>
      <c r="I80" s="36"/>
    </row>
    <row r="81" spans="1:9">
      <c r="A81" s="2"/>
      <c r="B81" s="42" t="s">
        <v>468</v>
      </c>
      <c r="C81" s="35"/>
      <c r="D81" s="35"/>
      <c r="E81" s="35"/>
      <c r="F81" s="35"/>
      <c r="G81" s="35"/>
      <c r="H81" s="35"/>
      <c r="I81" s="1182">
        <f>0.01*(I40+I55+I72)</f>
        <v>22.036206958422433</v>
      </c>
    </row>
    <row r="82" spans="1:9">
      <c r="A82" s="2"/>
      <c r="B82" s="33" t="s">
        <v>749</v>
      </c>
      <c r="C82" s="35"/>
      <c r="D82" s="35"/>
      <c r="E82" s="35"/>
      <c r="F82" s="35"/>
      <c r="G82" s="35"/>
      <c r="H82" s="35"/>
      <c r="I82" s="36"/>
    </row>
    <row r="83" spans="1:9">
      <c r="A83" s="2"/>
      <c r="B83" s="37"/>
      <c r="C83" s="35"/>
      <c r="D83" s="35"/>
      <c r="E83" s="35"/>
      <c r="F83" s="35"/>
      <c r="G83" s="35"/>
      <c r="H83" s="35"/>
      <c r="I83" s="36"/>
    </row>
    <row r="84" spans="1:9">
      <c r="A84" s="2"/>
      <c r="B84" s="42" t="s">
        <v>7</v>
      </c>
      <c r="C84" s="35"/>
      <c r="D84" s="35"/>
      <c r="E84" s="35"/>
      <c r="F84" s="35"/>
      <c r="G84" s="35"/>
      <c r="H84" s="35"/>
      <c r="I84" s="1166">
        <v>0</v>
      </c>
    </row>
    <row r="85" spans="1:9">
      <c r="A85" s="2"/>
      <c r="B85" s="33" t="s">
        <v>1425</v>
      </c>
      <c r="C85" s="35"/>
      <c r="D85" s="35"/>
      <c r="E85" s="35"/>
      <c r="F85" s="35"/>
      <c r="G85" s="35"/>
      <c r="H85" s="35"/>
      <c r="I85" s="36"/>
    </row>
    <row r="86" spans="1:9">
      <c r="A86" s="2"/>
      <c r="B86" s="37"/>
      <c r="C86" s="35"/>
      <c r="D86" s="35"/>
      <c r="E86" s="35"/>
      <c r="F86" s="35"/>
      <c r="G86" s="35"/>
      <c r="H86" s="35"/>
      <c r="I86" s="36"/>
    </row>
    <row r="87" spans="1:9">
      <c r="A87" s="2"/>
      <c r="B87" s="42" t="s">
        <v>471</v>
      </c>
      <c r="C87" s="35"/>
      <c r="D87" s="35"/>
      <c r="E87" s="35"/>
      <c r="F87" s="39"/>
      <c r="G87" s="35"/>
      <c r="H87" s="35"/>
      <c r="I87" s="1166">
        <v>0</v>
      </c>
    </row>
    <row r="88" spans="1:9">
      <c r="A88" s="2"/>
      <c r="B88" s="756" t="s">
        <v>104</v>
      </c>
      <c r="C88" s="35"/>
      <c r="D88" s="35"/>
      <c r="E88" s="35"/>
      <c r="F88" s="35"/>
      <c r="G88" s="35"/>
      <c r="H88" s="35"/>
      <c r="I88" s="47"/>
    </row>
    <row r="89" spans="1:9">
      <c r="A89" s="2"/>
      <c r="B89" s="756"/>
      <c r="C89" s="35"/>
      <c r="D89" s="35"/>
      <c r="E89" s="35"/>
      <c r="F89" s="35"/>
      <c r="G89" s="35"/>
      <c r="H89" s="35"/>
      <c r="I89" s="47"/>
    </row>
    <row r="90" spans="1:9">
      <c r="A90" s="2"/>
      <c r="B90" s="37"/>
      <c r="C90" s="35"/>
      <c r="D90" s="35"/>
      <c r="E90" s="35"/>
      <c r="F90" s="35"/>
      <c r="G90" s="35"/>
      <c r="H90" s="35"/>
      <c r="I90" s="36"/>
    </row>
    <row r="91" spans="1:9">
      <c r="A91" s="2"/>
      <c r="B91" s="42" t="s">
        <v>5</v>
      </c>
      <c r="C91" s="35"/>
      <c r="D91" s="35"/>
      <c r="E91" s="35"/>
      <c r="F91" s="35"/>
      <c r="G91" s="35"/>
      <c r="H91" s="35"/>
      <c r="I91" s="1166">
        <v>0</v>
      </c>
    </row>
    <row r="92" spans="1:9">
      <c r="A92" s="2"/>
      <c r="B92" s="33" t="s">
        <v>104</v>
      </c>
      <c r="C92" s="35"/>
      <c r="D92" s="35"/>
      <c r="E92" s="35"/>
      <c r="F92" s="35"/>
      <c r="G92" s="35"/>
      <c r="H92" s="35"/>
      <c r="I92" s="47"/>
    </row>
    <row r="93" spans="1:9">
      <c r="A93" s="2"/>
      <c r="B93" s="37"/>
      <c r="C93" s="35"/>
      <c r="D93" s="35"/>
      <c r="E93" s="35"/>
      <c r="F93" s="35"/>
      <c r="G93" s="35"/>
      <c r="H93" s="35"/>
      <c r="I93" s="36"/>
    </row>
    <row r="94" spans="1:9">
      <c r="A94" s="2"/>
      <c r="B94" s="42" t="s">
        <v>20</v>
      </c>
      <c r="C94" s="35"/>
      <c r="D94" s="35"/>
      <c r="E94" s="35"/>
      <c r="F94" s="35"/>
      <c r="G94" s="35"/>
      <c r="H94" s="35"/>
      <c r="I94" s="1166">
        <v>0</v>
      </c>
    </row>
    <row r="95" spans="1:9">
      <c r="A95" s="2"/>
      <c r="B95" s="33" t="s">
        <v>104</v>
      </c>
      <c r="C95" s="35"/>
      <c r="D95" s="35"/>
      <c r="E95" s="35"/>
      <c r="F95" s="35"/>
      <c r="G95" s="35"/>
      <c r="H95" s="35"/>
      <c r="I95" s="36"/>
    </row>
    <row r="96" spans="1:9">
      <c r="A96" s="2"/>
      <c r="B96" s="40"/>
      <c r="C96" s="35"/>
      <c r="D96" s="35"/>
      <c r="E96" s="35"/>
      <c r="F96" s="35"/>
      <c r="G96" s="35"/>
      <c r="H96" s="35"/>
      <c r="I96" s="36"/>
    </row>
    <row r="97" spans="1:9">
      <c r="A97" s="2"/>
      <c r="B97" s="42" t="s">
        <v>473</v>
      </c>
      <c r="C97" s="35"/>
      <c r="D97" s="35"/>
      <c r="E97" s="35"/>
      <c r="F97" s="35"/>
      <c r="G97" s="35"/>
      <c r="H97" s="35"/>
      <c r="I97" s="1183">
        <f>+I40+I55+I72+I78+I84+I94</f>
        <v>2269.7293167175103</v>
      </c>
    </row>
    <row r="98" spans="1:9" ht="15.75">
      <c r="A98" s="2"/>
      <c r="B98" s="33" t="s">
        <v>474</v>
      </c>
      <c r="C98" s="35"/>
      <c r="D98" s="35"/>
      <c r="E98" s="35"/>
      <c r="F98" s="35"/>
      <c r="G98" s="35"/>
      <c r="H98" s="35"/>
      <c r="I98" s="36"/>
    </row>
    <row r="99" spans="1:9">
      <c r="A99" s="2"/>
      <c r="B99" s="40"/>
      <c r="C99" s="35"/>
      <c r="D99" s="35"/>
      <c r="E99" s="35"/>
      <c r="F99" s="35"/>
      <c r="G99" s="35"/>
      <c r="H99" s="35"/>
      <c r="I99" s="36"/>
    </row>
    <row r="100" spans="1:9">
      <c r="A100" s="2"/>
      <c r="B100" s="43" t="s">
        <v>11</v>
      </c>
      <c r="C100" s="44"/>
      <c r="D100" s="44"/>
      <c r="E100" s="44"/>
      <c r="F100" s="44"/>
      <c r="G100" s="44"/>
      <c r="H100" s="44"/>
      <c r="I100" s="621">
        <f>SUM(I40:I94)</f>
        <v>2291.7655236759329</v>
      </c>
    </row>
  </sheetData>
  <mergeCells count="4">
    <mergeCell ref="B1:D1"/>
    <mergeCell ref="E55:H55"/>
    <mergeCell ref="B68:I69"/>
    <mergeCell ref="B73:C73"/>
  </mergeCells>
  <pageMargins left="0.75" right="0.75" top="1" bottom="1" header="0.5" footer="0.5"/>
  <pageSetup scale="63" orientation="portrait" r:id="rId1"/>
  <headerFooter alignWithMargins="0"/>
</worksheet>
</file>

<file path=xl/worksheets/sheet149.xml><?xml version="1.0" encoding="utf-8"?>
<worksheet xmlns="http://schemas.openxmlformats.org/spreadsheetml/2006/main" xmlns:r="http://schemas.openxmlformats.org/officeDocument/2006/relationships">
  <sheetPr>
    <pageSetUpPr fitToPage="1"/>
  </sheetPr>
  <dimension ref="A1:L99"/>
  <sheetViews>
    <sheetView zoomScale="75" zoomScaleNormal="75" workbookViewId="0">
      <selection activeCell="E10" sqref="E10"/>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10.140625" bestFit="1"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422</v>
      </c>
      <c r="C6" s="7" t="str">
        <f>+E12</f>
        <v>EQIP</v>
      </c>
      <c r="D6" s="53" t="s">
        <v>2501</v>
      </c>
      <c r="E6" s="110" t="s">
        <v>2502</v>
      </c>
      <c r="F6" s="7" t="s">
        <v>394</v>
      </c>
      <c r="G6" s="85">
        <f>+I25</f>
        <v>386.82937500000003</v>
      </c>
    </row>
    <row r="7" spans="1:12">
      <c r="A7" s="2"/>
      <c r="B7" s="54">
        <f>+B6</f>
        <v>422</v>
      </c>
      <c r="C7" s="7" t="str">
        <f>+C6</f>
        <v>EQIP</v>
      </c>
      <c r="D7" s="53" t="s">
        <v>2501</v>
      </c>
      <c r="E7" s="110" t="str">
        <f>CONCATENATE(E6, "-HU")</f>
        <v>Hedgerow Planting - no fertilizer or veg cover-HU</v>
      </c>
      <c r="F7" s="7" t="str">
        <f>+F6</f>
        <v>Acre</v>
      </c>
      <c r="G7" s="85">
        <f>+J25</f>
        <v>464.19524999999999</v>
      </c>
    </row>
    <row r="8" spans="1:12">
      <c r="A8" s="2"/>
      <c r="B8" s="54">
        <v>422</v>
      </c>
      <c r="C8" s="7" t="str">
        <f>+G12</f>
        <v>WHIP</v>
      </c>
      <c r="D8" s="53" t="s">
        <v>2501</v>
      </c>
      <c r="E8" s="110" t="s">
        <v>2502</v>
      </c>
      <c r="F8" s="7" t="s">
        <v>394</v>
      </c>
      <c r="G8" s="85">
        <f>+K25</f>
        <v>386.82937500000003</v>
      </c>
    </row>
    <row r="9" spans="1:12">
      <c r="A9" s="2"/>
      <c r="B9" s="8">
        <f>+B8</f>
        <v>422</v>
      </c>
      <c r="C9" s="10" t="str">
        <f>+C8</f>
        <v>WHIP</v>
      </c>
      <c r="D9" s="53" t="s">
        <v>2501</v>
      </c>
      <c r="E9" s="111" t="str">
        <f>CONCATENATE(E6, "-HU")</f>
        <v>Hedgerow Planting - no fertilizer or veg cover-HU</v>
      </c>
      <c r="F9" s="10" t="str">
        <f>+F8</f>
        <v>Acre</v>
      </c>
      <c r="G9" s="86">
        <f>+L25</f>
        <v>464.19524999999999</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340.5</v>
      </c>
      <c r="E16" s="160">
        <f>+'[10]Payment Factors'!D42</f>
        <v>0.75</v>
      </c>
      <c r="F16" s="160">
        <f>+'[10]Payment Factors'!E42</f>
        <v>0.9</v>
      </c>
      <c r="G16" s="160">
        <f>+'[10]Payment Factors'!F42</f>
        <v>0.75</v>
      </c>
      <c r="H16" s="160">
        <f>+'[10]Payment Factors'!G42</f>
        <v>0.9</v>
      </c>
      <c r="I16" s="1154">
        <f t="shared" ref="I16:L24" si="0">+$D16*E16</f>
        <v>255.375</v>
      </c>
      <c r="J16" s="1154">
        <f t="shared" si="0"/>
        <v>306.45</v>
      </c>
      <c r="K16" s="1154">
        <f t="shared" si="0"/>
        <v>255.375</v>
      </c>
      <c r="L16" s="1155">
        <f t="shared" si="0"/>
        <v>306.45</v>
      </c>
    </row>
    <row r="17" spans="1:12">
      <c r="A17" s="2"/>
      <c r="B17" s="15" t="s">
        <v>2</v>
      </c>
      <c r="C17" s="16"/>
      <c r="D17" s="24">
        <f>+I56</f>
        <v>136.21250000000001</v>
      </c>
      <c r="E17" s="160">
        <f t="shared" ref="E17:H19" si="1">+E16</f>
        <v>0.75</v>
      </c>
      <c r="F17" s="160">
        <f t="shared" si="1"/>
        <v>0.9</v>
      </c>
      <c r="G17" s="160">
        <f t="shared" si="1"/>
        <v>0.75</v>
      </c>
      <c r="H17" s="160">
        <f t="shared" si="1"/>
        <v>0.9</v>
      </c>
      <c r="I17" s="1154">
        <f t="shared" si="0"/>
        <v>102.15937500000001</v>
      </c>
      <c r="J17" s="1154">
        <f t="shared" si="0"/>
        <v>122.59125</v>
      </c>
      <c r="K17" s="1154">
        <f t="shared" si="0"/>
        <v>102.15937500000001</v>
      </c>
      <c r="L17" s="1155">
        <f t="shared" si="0"/>
        <v>122.59125</v>
      </c>
    </row>
    <row r="18" spans="1:12">
      <c r="A18" s="2"/>
      <c r="B18" s="15" t="s">
        <v>3</v>
      </c>
      <c r="C18" s="16"/>
      <c r="D18" s="24">
        <f>+I71</f>
        <v>24.037499999999998</v>
      </c>
      <c r="E18" s="160">
        <f t="shared" si="1"/>
        <v>0.75</v>
      </c>
      <c r="F18" s="160">
        <f t="shared" si="1"/>
        <v>0.9</v>
      </c>
      <c r="G18" s="160">
        <f t="shared" si="1"/>
        <v>0.75</v>
      </c>
      <c r="H18" s="160">
        <f t="shared" si="1"/>
        <v>0.9</v>
      </c>
      <c r="I18" s="1154">
        <f t="shared" si="0"/>
        <v>18.028124999999999</v>
      </c>
      <c r="J18" s="1154">
        <f t="shared" si="0"/>
        <v>21.633749999999999</v>
      </c>
      <c r="K18" s="1154">
        <f t="shared" si="0"/>
        <v>18.028124999999999</v>
      </c>
      <c r="L18" s="1155">
        <f t="shared" si="0"/>
        <v>21.633749999999999</v>
      </c>
    </row>
    <row r="19" spans="1:12">
      <c r="A19" s="2"/>
      <c r="B19" s="15" t="s">
        <v>4</v>
      </c>
      <c r="C19" s="16"/>
      <c r="D19" s="24">
        <f>+I77</f>
        <v>15.022499999999999</v>
      </c>
      <c r="E19" s="160">
        <f t="shared" si="1"/>
        <v>0.75</v>
      </c>
      <c r="F19" s="160">
        <f t="shared" si="1"/>
        <v>0.9</v>
      </c>
      <c r="G19" s="160">
        <f t="shared" si="1"/>
        <v>0.75</v>
      </c>
      <c r="H19" s="160">
        <f t="shared" si="1"/>
        <v>0.9</v>
      </c>
      <c r="I19" s="1154">
        <f t="shared" si="0"/>
        <v>11.266874999999999</v>
      </c>
      <c r="J19" s="1154">
        <f t="shared" si="0"/>
        <v>13.520249999999999</v>
      </c>
      <c r="K19" s="1154">
        <f t="shared" si="0"/>
        <v>11.266874999999999</v>
      </c>
      <c r="L19" s="1155">
        <f t="shared" si="0"/>
        <v>13.520249999999999</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1131.2725</v>
      </c>
      <c r="E25" s="1158"/>
      <c r="F25" s="1158"/>
      <c r="G25" s="28"/>
      <c r="H25" s="28"/>
      <c r="I25" s="1159">
        <f>SUM(I16:I24)</f>
        <v>386.82937500000003</v>
      </c>
      <c r="J25" s="1159">
        <f>SUM(J16:J24)</f>
        <v>464.19524999999999</v>
      </c>
      <c r="K25" s="1159">
        <f>SUM(K16:K24)</f>
        <v>386.82937500000003</v>
      </c>
      <c r="L25" s="1160">
        <f>SUM(L16:L24)</f>
        <v>464.19524999999999</v>
      </c>
    </row>
    <row r="27" spans="1:12" ht="15.75">
      <c r="A27" s="2"/>
      <c r="B27" s="50" t="s">
        <v>28</v>
      </c>
      <c r="C27" s="2"/>
      <c r="D27" s="2"/>
      <c r="E27" s="2"/>
      <c r="F27" s="2"/>
      <c r="G27" s="2"/>
      <c r="H27" s="2"/>
      <c r="I27" s="5"/>
    </row>
    <row r="28" spans="1:12">
      <c r="A28" s="2"/>
      <c r="B28" s="29" t="s">
        <v>1377</v>
      </c>
      <c r="C28" s="30"/>
      <c r="D28" s="30"/>
      <c r="E28" s="31"/>
      <c r="F28" s="31"/>
      <c r="G28" s="31"/>
      <c r="H28" s="31"/>
      <c r="I28" s="32"/>
    </row>
    <row r="29" spans="1:12">
      <c r="A29" s="2"/>
      <c r="B29" s="2023" t="s">
        <v>1384</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340.5</v>
      </c>
    </row>
    <row r="41" spans="1:9">
      <c r="A41" s="2"/>
      <c r="B41" s="1174"/>
      <c r="C41" s="35"/>
      <c r="D41" s="1167" t="s">
        <v>447</v>
      </c>
      <c r="E41" s="1167" t="s">
        <v>448</v>
      </c>
      <c r="F41" s="1167" t="s">
        <v>449</v>
      </c>
      <c r="G41" s="1167" t="s">
        <v>450</v>
      </c>
      <c r="H41" s="35"/>
      <c r="I41" s="46"/>
    </row>
    <row r="42" spans="1:9">
      <c r="A42" s="2"/>
      <c r="B42" s="40" t="s">
        <v>451</v>
      </c>
      <c r="C42" s="6"/>
      <c r="D42" s="1168" t="s">
        <v>452</v>
      </c>
      <c r="E42" s="1169">
        <f>+'[31]Core Rates'!C203</f>
        <v>8.75</v>
      </c>
      <c r="F42" s="1170">
        <v>0</v>
      </c>
      <c r="G42" s="1171">
        <f t="shared" ref="G42:G50" si="2">+F42*E42</f>
        <v>0</v>
      </c>
      <c r="H42" s="35"/>
      <c r="I42" s="36"/>
    </row>
    <row r="43" spans="1:9">
      <c r="A43" s="2"/>
      <c r="B43" s="1184" t="s">
        <v>453</v>
      </c>
      <c r="C43" s="6"/>
      <c r="D43" s="1185" t="s">
        <v>454</v>
      </c>
      <c r="E43" s="1169">
        <f>+'[31]Core Rates'!C228</f>
        <v>0.82427536231884069</v>
      </c>
      <c r="F43" s="1170">
        <v>0</v>
      </c>
      <c r="G43" s="1171">
        <f t="shared" si="2"/>
        <v>0</v>
      </c>
      <c r="H43" s="35"/>
      <c r="I43" s="36"/>
    </row>
    <row r="44" spans="1:9">
      <c r="A44" s="2"/>
      <c r="B44" s="1186" t="s">
        <v>455</v>
      </c>
      <c r="C44" s="1187"/>
      <c r="D44" s="1185" t="s">
        <v>454</v>
      </c>
      <c r="E44" s="1169">
        <f>+'[31]Core Rates'!C235</f>
        <v>1.1702898550724636</v>
      </c>
      <c r="F44" s="1170">
        <v>0</v>
      </c>
      <c r="G44" s="1171">
        <f t="shared" si="2"/>
        <v>0</v>
      </c>
      <c r="H44" s="35"/>
      <c r="I44" s="36"/>
    </row>
    <row r="45" spans="1:9">
      <c r="A45" s="2"/>
      <c r="B45" s="1186" t="s">
        <v>456</v>
      </c>
      <c r="C45" s="1187"/>
      <c r="D45" s="1168" t="s">
        <v>454</v>
      </c>
      <c r="E45" s="1169">
        <f>+'[31]Core Rates'!C246</f>
        <v>0.58825136612021856</v>
      </c>
      <c r="F45" s="1170">
        <v>0</v>
      </c>
      <c r="G45" s="1171">
        <f t="shared" si="2"/>
        <v>0</v>
      </c>
      <c r="H45" s="35"/>
      <c r="I45" s="36"/>
    </row>
    <row r="46" spans="1:9">
      <c r="A46" s="2"/>
      <c r="B46" s="1188" t="str">
        <f>+'[31]Core Rates'!A342</f>
        <v>Tree seedlings</v>
      </c>
      <c r="C46" s="1187"/>
      <c r="D46" s="1189" t="str">
        <f>+'[31]Core Rates'!B342</f>
        <v>Ea</v>
      </c>
      <c r="E46" s="1169">
        <f>+'[31]Core Rates'!C342</f>
        <v>0.5</v>
      </c>
      <c r="F46" s="1170">
        <v>681</v>
      </c>
      <c r="G46" s="1171">
        <f>+F46*E46</f>
        <v>340.5</v>
      </c>
      <c r="H46" s="35"/>
      <c r="I46" s="36"/>
    </row>
    <row r="47" spans="1:9">
      <c r="A47" s="2"/>
      <c r="B47" s="1186" t="str">
        <f>+'[31]Core Rates'!A310</f>
        <v>Seed (Orchard grass)</v>
      </c>
      <c r="C47" s="1187"/>
      <c r="D47" s="1185" t="s">
        <v>454</v>
      </c>
      <c r="E47" s="1169">
        <f>+'[31]Core Rates 2011'!BE307</f>
        <v>1.68</v>
      </c>
      <c r="F47" s="1170">
        <v>0</v>
      </c>
      <c r="G47" s="1171">
        <f t="shared" si="2"/>
        <v>0</v>
      </c>
      <c r="H47" s="35"/>
      <c r="I47" s="36"/>
    </row>
    <row r="48" spans="1:9">
      <c r="A48" s="2"/>
      <c r="B48" s="1186" t="str">
        <f>+'[31]Core Rates'!A301</f>
        <v>Seed (Virgina Wildrye)</v>
      </c>
      <c r="C48" s="1187"/>
      <c r="D48" s="1185" t="s">
        <v>454</v>
      </c>
      <c r="E48" s="1169">
        <f>+'[31]Core Rates 2011'!BE298</f>
        <v>7</v>
      </c>
      <c r="F48" s="1170">
        <v>0</v>
      </c>
      <c r="G48" s="1171">
        <f t="shared" si="2"/>
        <v>0</v>
      </c>
      <c r="H48" s="35"/>
      <c r="I48" s="36"/>
    </row>
    <row r="49" spans="1:9">
      <c r="A49" s="2"/>
      <c r="B49" s="1186" t="str">
        <f>+'[31]Core Rates'!A315</f>
        <v>Seed (Wheat)</v>
      </c>
      <c r="C49" s="1187"/>
      <c r="D49" s="1185" t="s">
        <v>454</v>
      </c>
      <c r="E49" s="1169">
        <f>+'[31]Core Rates 2011'!BE312</f>
        <v>0.31</v>
      </c>
      <c r="F49" s="1170">
        <v>0</v>
      </c>
      <c r="G49" s="1171">
        <f t="shared" si="2"/>
        <v>0</v>
      </c>
      <c r="H49" s="35"/>
      <c r="I49" s="36"/>
    </row>
    <row r="50" spans="1:9">
      <c r="A50" s="2"/>
      <c r="B50" s="1186" t="str">
        <f>+'[31]Core Rates'!A314</f>
        <v>Seed (Redtop)</v>
      </c>
      <c r="C50" s="1187"/>
      <c r="D50" s="1185" t="s">
        <v>454</v>
      </c>
      <c r="E50" s="1169">
        <f>+'[31]Core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136.21250000000001</v>
      </c>
    </row>
    <row r="57" spans="1:9">
      <c r="A57" s="2"/>
      <c r="B57" s="1174"/>
      <c r="C57" s="35"/>
      <c r="D57" s="1167" t="s">
        <v>447</v>
      </c>
      <c r="E57" s="1167" t="s">
        <v>448</v>
      </c>
      <c r="F57" s="1167" t="s">
        <v>449</v>
      </c>
      <c r="G57" s="1167" t="s">
        <v>450</v>
      </c>
      <c r="H57" s="35"/>
      <c r="I57" s="46"/>
    </row>
    <row r="58" spans="1:9">
      <c r="A58" s="2"/>
      <c r="B58" s="1191" t="s">
        <v>460</v>
      </c>
      <c r="C58" s="6"/>
      <c r="D58" s="1168" t="s">
        <v>408</v>
      </c>
      <c r="E58" s="1169">
        <f>+'[31]Core Rates 2011'!BE145</f>
        <v>36.5</v>
      </c>
      <c r="F58" s="1170">
        <v>1.5</v>
      </c>
      <c r="G58" s="1171">
        <f t="shared" ref="G58:G64" si="3">+F58*E58</f>
        <v>54.75</v>
      </c>
      <c r="H58" s="35"/>
      <c r="I58" s="47"/>
    </row>
    <row r="59" spans="1:9">
      <c r="A59" s="2"/>
      <c r="B59" s="1191" t="str">
        <f>+'[31]Core Rates'!A340</f>
        <v>Tree Planting</v>
      </c>
      <c r="C59" s="6"/>
      <c r="D59" s="1168" t="s">
        <v>408</v>
      </c>
      <c r="E59" s="1169">
        <f>+'[31]Core Rates'!C340</f>
        <v>90</v>
      </c>
      <c r="F59" s="1170">
        <v>1</v>
      </c>
      <c r="G59" s="1171">
        <f t="shared" si="3"/>
        <v>90</v>
      </c>
      <c r="H59" s="35"/>
      <c r="I59" s="47"/>
    </row>
    <row r="60" spans="1:9">
      <c r="A60" s="2"/>
      <c r="B60" s="40" t="s">
        <v>461</v>
      </c>
      <c r="C60" s="6"/>
      <c r="D60" s="1168" t="s">
        <v>408</v>
      </c>
      <c r="E60" s="1169">
        <f>+'[31]Core Rates'!C104</f>
        <v>20</v>
      </c>
      <c r="F60" s="1170">
        <v>0</v>
      </c>
      <c r="G60" s="1171">
        <f t="shared" si="3"/>
        <v>0</v>
      </c>
      <c r="H60" s="35"/>
      <c r="I60" s="47"/>
    </row>
    <row r="61" spans="1:9">
      <c r="A61" s="2"/>
      <c r="B61" s="1191" t="str">
        <f>+'[31]Core Rates'!A216</f>
        <v>Mowing</v>
      </c>
      <c r="C61" s="6"/>
      <c r="D61" s="1189" t="s">
        <v>408</v>
      </c>
      <c r="E61" s="1189">
        <f>+'[31]Core Rates'!C216</f>
        <v>15.5</v>
      </c>
      <c r="F61" s="1170">
        <v>1</v>
      </c>
      <c r="G61" s="1171">
        <f t="shared" si="3"/>
        <v>15.5</v>
      </c>
      <c r="H61" s="35"/>
      <c r="I61" s="47"/>
    </row>
    <row r="62" spans="1:9">
      <c r="A62" s="2"/>
      <c r="B62" s="40" t="s">
        <v>462</v>
      </c>
      <c r="C62" s="6"/>
      <c r="D62" s="1168" t="s">
        <v>408</v>
      </c>
      <c r="E62" s="1169">
        <f>+'[31]Core Rates'!AN33</f>
        <v>5.416666666666667</v>
      </c>
      <c r="F62" s="1170">
        <v>0</v>
      </c>
      <c r="G62" s="1171">
        <f t="shared" si="3"/>
        <v>0</v>
      </c>
      <c r="H62" s="35"/>
      <c r="I62" s="47"/>
    </row>
    <row r="63" spans="1:9">
      <c r="A63" s="2"/>
      <c r="B63" s="40" t="s">
        <v>463</v>
      </c>
      <c r="C63" s="6"/>
      <c r="D63" s="1168" t="s">
        <v>452</v>
      </c>
      <c r="E63" s="1169">
        <f>+'[31]Core Rates'!AN34</f>
        <v>5.5</v>
      </c>
      <c r="F63" s="1170">
        <v>0</v>
      </c>
      <c r="G63" s="1171">
        <f t="shared" si="3"/>
        <v>0</v>
      </c>
      <c r="H63" s="35"/>
      <c r="I63" s="47"/>
    </row>
    <row r="64" spans="1:9">
      <c r="A64" s="2"/>
      <c r="B64" s="40" t="s">
        <v>464</v>
      </c>
      <c r="C64" s="6"/>
      <c r="D64" s="1168" t="s">
        <v>452</v>
      </c>
      <c r="E64" s="1169">
        <f>+'[31]Core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24.037499999999998</v>
      </c>
    </row>
    <row r="72" spans="1:9">
      <c r="A72" s="2"/>
      <c r="B72" s="2007" t="s">
        <v>465</v>
      </c>
      <c r="C72" s="2008"/>
      <c r="D72" s="35"/>
      <c r="E72" s="35"/>
      <c r="F72" s="35"/>
      <c r="G72" s="35"/>
      <c r="H72" s="35"/>
      <c r="I72" s="48"/>
    </row>
    <row r="73" spans="1:9">
      <c r="A73" s="2"/>
      <c r="B73" s="37" t="s">
        <v>466</v>
      </c>
      <c r="C73" s="39"/>
      <c r="D73" s="39"/>
      <c r="E73" s="153">
        <f>SUM(G58:G64)*0.15</f>
        <v>24.037499999999998</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15.022499999999999</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+'[31]Core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515.77250000000004</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1131.2725</v>
      </c>
    </row>
  </sheetData>
  <mergeCells count="5">
    <mergeCell ref="B1:D1"/>
    <mergeCell ref="B29:I31"/>
    <mergeCell ref="E56:H56"/>
    <mergeCell ref="B67:I68"/>
    <mergeCell ref="B72:C72"/>
  </mergeCells>
  <pageMargins left="0.75" right="0.75" top="1" bottom="1" header="0.5" footer="0.5"/>
  <pageSetup scale="48" orientation="portrait" r:id="rId1"/>
  <headerFooter alignWithMargins="0"/>
</worksheet>
</file>

<file path=xl/worksheets/sheet15.xml><?xml version="1.0" encoding="utf-8"?>
<worksheet xmlns="http://schemas.openxmlformats.org/spreadsheetml/2006/main" xmlns:r="http://schemas.openxmlformats.org/officeDocument/2006/relationships">
  <dimension ref="B1:P105"/>
  <sheetViews>
    <sheetView zoomScaleNormal="100" workbookViewId="0">
      <selection activeCell="L15" sqref="L15"/>
    </sheetView>
  </sheetViews>
  <sheetFormatPr defaultRowHeight="12.75"/>
  <cols>
    <col min="1" max="1" width="2.85546875" style="2" customWidth="1"/>
    <col min="2" max="2" width="11.5703125" style="2" customWidth="1"/>
    <col min="3" max="3" width="18.7109375" style="2" customWidth="1"/>
    <col min="4" max="4" width="27.5703125" style="2" customWidth="1"/>
    <col min="5" max="5" width="20.85546875" style="2" bestFit="1" customWidth="1"/>
    <col min="6" max="6" width="10.140625" style="2" customWidth="1"/>
    <col min="7" max="7" width="10.42578125" style="2" customWidth="1"/>
    <col min="8" max="8" width="10.5703125" style="2" customWidth="1"/>
    <col min="9" max="9" width="10.140625" style="2" customWidth="1"/>
    <col min="10" max="10" width="8.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c r="B2" s="163" t="s">
        <v>129</v>
      </c>
      <c r="C2" s="79">
        <v>106</v>
      </c>
      <c r="D2" s="79" t="s">
        <v>130</v>
      </c>
      <c r="E2" s="79" t="s">
        <v>150</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c r="B6" s="54">
        <v>106</v>
      </c>
      <c r="C6" s="7" t="str">
        <f>+E10</f>
        <v>EQIP</v>
      </c>
      <c r="D6" s="53" t="s">
        <v>130</v>
      </c>
      <c r="E6" s="53" t="s">
        <v>150</v>
      </c>
      <c r="F6" s="7" t="s">
        <v>47</v>
      </c>
      <c r="G6" s="85">
        <f>G23</f>
        <v>1175.25</v>
      </c>
      <c r="H6" s="89"/>
      <c r="I6" s="89"/>
      <c r="J6"/>
    </row>
    <row r="7" spans="2:10">
      <c r="B7" s="8">
        <v>106</v>
      </c>
      <c r="C7" s="10" t="s">
        <v>15</v>
      </c>
      <c r="D7" s="9" t="s">
        <v>130</v>
      </c>
      <c r="E7" s="9" t="s">
        <v>151</v>
      </c>
      <c r="F7" s="10" t="s">
        <v>47</v>
      </c>
      <c r="G7" s="86">
        <f>$H$23</f>
        <v>1410.3</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1567</v>
      </c>
      <c r="E16" s="160">
        <v>0.75</v>
      </c>
      <c r="F16" s="160">
        <v>0.9</v>
      </c>
      <c r="G16" s="73">
        <f t="shared" si="0"/>
        <v>1175.25</v>
      </c>
      <c r="H16" s="74">
        <f t="shared" si="0"/>
        <v>1410.3</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I58</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1567</v>
      </c>
      <c r="E23" s="28"/>
      <c r="F23" s="28"/>
      <c r="G23" s="51">
        <f t="shared" ref="G23:H23" si="1">SUM(G14:G22)</f>
        <v>1175.25</v>
      </c>
      <c r="H23" s="77">
        <f t="shared" si="1"/>
        <v>1410.3</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134</v>
      </c>
      <c r="E28" s="1955"/>
      <c r="F28" s="1955"/>
      <c r="G28" s="1955"/>
      <c r="H28" s="1955"/>
      <c r="I28" s="36"/>
    </row>
    <row r="29" spans="2:16">
      <c r="B29" s="42"/>
      <c r="C29" s="34"/>
      <c r="D29" s="115"/>
      <c r="E29" s="97"/>
      <c r="F29" s="97"/>
      <c r="G29" s="97"/>
      <c r="H29" s="97"/>
      <c r="I29" s="36"/>
    </row>
    <row r="30" spans="2:16" ht="14.25" customHeight="1">
      <c r="B30" s="37" t="s">
        <v>41</v>
      </c>
      <c r="C30" s="34"/>
      <c r="D30" s="1956" t="s">
        <v>135</v>
      </c>
      <c r="E30" s="1957"/>
      <c r="F30" s="1957"/>
      <c r="G30" s="1957"/>
      <c r="H30" s="1957"/>
      <c r="I30" s="36"/>
    </row>
    <row r="31" spans="2:16" ht="36.75" customHeight="1">
      <c r="B31" s="91" t="s">
        <v>40</v>
      </c>
      <c r="C31" s="34"/>
      <c r="D31" s="1956" t="s">
        <v>152</v>
      </c>
      <c r="E31" s="1957"/>
      <c r="F31" s="1957"/>
      <c r="G31" s="1957"/>
      <c r="H31" s="1957"/>
      <c r="I31" s="36"/>
    </row>
    <row r="32" spans="2:16" ht="57.75" customHeight="1">
      <c r="B32" s="91" t="s">
        <v>33</v>
      </c>
      <c r="C32" s="90"/>
      <c r="D32" s="1956" t="s">
        <v>137</v>
      </c>
      <c r="E32" s="1957"/>
      <c r="F32" s="1957"/>
      <c r="G32" s="1957"/>
      <c r="H32" s="1957"/>
      <c r="I32" s="36"/>
    </row>
    <row r="33" spans="2:15" ht="72" customHeight="1">
      <c r="B33" s="91" t="s">
        <v>35</v>
      </c>
      <c r="C33" s="90"/>
      <c r="D33" s="1956" t="s">
        <v>138</v>
      </c>
      <c r="E33" s="1957"/>
      <c r="F33" s="1957"/>
      <c r="G33" s="1957"/>
      <c r="H33" s="1957"/>
      <c r="I33" s="36"/>
    </row>
    <row r="34" spans="2:15" ht="18.75" customHeight="1">
      <c r="B34" s="91" t="s">
        <v>34</v>
      </c>
      <c r="C34" s="90"/>
      <c r="D34" s="1956" t="s">
        <v>139</v>
      </c>
      <c r="E34" s="1957"/>
      <c r="F34" s="1957"/>
      <c r="G34" s="1957"/>
      <c r="H34" s="1957"/>
      <c r="I34" s="36"/>
    </row>
    <row r="35" spans="2:15">
      <c r="B35" s="37"/>
      <c r="C35" s="34"/>
      <c r="D35" s="34"/>
      <c r="E35" s="35"/>
      <c r="F35" s="35"/>
      <c r="G35" s="35"/>
      <c r="H35" s="35"/>
      <c r="I35" s="36"/>
    </row>
    <row r="36" spans="2:15">
      <c r="B36" s="38" t="s">
        <v>25</v>
      </c>
      <c r="C36" s="34"/>
      <c r="D36" s="1958" t="s">
        <v>129</v>
      </c>
      <c r="E36" s="1952"/>
      <c r="F36" s="1952"/>
      <c r="G36" s="1952"/>
      <c r="H36" s="1952"/>
      <c r="I36" s="36"/>
      <c r="J36" s="49"/>
    </row>
    <row r="37" spans="2:15">
      <c r="B37" s="37"/>
      <c r="C37" s="34"/>
      <c r="D37" s="35"/>
      <c r="E37" s="35"/>
      <c r="F37" s="35"/>
      <c r="G37" s="35"/>
      <c r="H37" s="35"/>
      <c r="I37" s="36"/>
    </row>
    <row r="38" spans="2:15">
      <c r="B38" s="38" t="s">
        <v>8</v>
      </c>
      <c r="C38" s="34"/>
      <c r="D38" s="39" t="s">
        <v>38</v>
      </c>
      <c r="E38" s="35"/>
      <c r="F38" s="35"/>
      <c r="G38" s="35"/>
      <c r="H38" s="35"/>
      <c r="I38" s="36"/>
    </row>
    <row r="39" spans="2:15">
      <c r="B39" s="38" t="s">
        <v>9</v>
      </c>
      <c r="C39" s="34"/>
      <c r="D39" s="92">
        <v>1</v>
      </c>
      <c r="E39" s="35"/>
      <c r="F39" s="35"/>
      <c r="G39" s="35"/>
      <c r="H39" s="35"/>
      <c r="I39" s="36"/>
    </row>
    <row r="40" spans="2:15">
      <c r="B40" s="38" t="s">
        <v>10</v>
      </c>
      <c r="C40" s="35"/>
      <c r="D40" s="93">
        <v>0</v>
      </c>
      <c r="E40" s="35"/>
      <c r="F40" s="35"/>
      <c r="G40" s="35"/>
      <c r="H40" s="35"/>
      <c r="I40" s="96" t="s">
        <v>6</v>
      </c>
    </row>
    <row r="41" spans="2:15">
      <c r="B41" s="40"/>
      <c r="C41" s="35"/>
      <c r="D41" s="35"/>
      <c r="E41" s="41"/>
      <c r="F41" s="35"/>
      <c r="G41" s="35"/>
      <c r="H41" s="35"/>
      <c r="I41" s="149"/>
      <c r="L41" s="64"/>
      <c r="M41" s="64"/>
      <c r="N41" s="61"/>
      <c r="O41" s="61"/>
    </row>
    <row r="42" spans="2:15">
      <c r="B42" s="42" t="s">
        <v>0</v>
      </c>
      <c r="C42" s="35"/>
      <c r="D42" s="35"/>
      <c r="E42" s="35"/>
      <c r="F42" s="35"/>
      <c r="G42" s="35"/>
      <c r="H42" s="35"/>
      <c r="I42" s="46">
        <v>0</v>
      </c>
      <c r="L42" s="64"/>
      <c r="M42" s="64"/>
      <c r="N42" s="61"/>
      <c r="O42" s="61"/>
    </row>
    <row r="43" spans="2:15" ht="14.25" customHeight="1">
      <c r="B43" s="37" t="s">
        <v>39</v>
      </c>
      <c r="C43" s="35"/>
      <c r="D43" s="166"/>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0</v>
      </c>
      <c r="L45" s="64"/>
      <c r="M45" s="61"/>
    </row>
    <row r="46" spans="2:15" ht="12.75" customHeight="1">
      <c r="B46" s="1959" t="s">
        <v>39</v>
      </c>
      <c r="C46" s="1955"/>
      <c r="D46" s="1955"/>
      <c r="E46" s="1955"/>
      <c r="F46" s="1955"/>
      <c r="G46" s="1955"/>
      <c r="H46" s="1955"/>
      <c r="I46" s="46"/>
      <c r="L46" s="64"/>
      <c r="M46" s="61"/>
    </row>
    <row r="47" spans="2:15" ht="12.75" customHeight="1">
      <c r="B47" s="117"/>
      <c r="C47" s="97"/>
      <c r="D47" s="97"/>
      <c r="E47" s="97"/>
      <c r="F47" s="97"/>
      <c r="G47" s="97"/>
      <c r="H47" s="97"/>
      <c r="I47" s="46"/>
      <c r="L47" s="64"/>
      <c r="M47" s="61"/>
    </row>
    <row r="48" spans="2:15">
      <c r="B48" s="42" t="s">
        <v>3</v>
      </c>
      <c r="C48" s="167"/>
      <c r="D48" s="167"/>
      <c r="E48" s="167"/>
      <c r="F48" s="167"/>
      <c r="G48" s="167"/>
      <c r="H48" s="167"/>
      <c r="I48" s="46">
        <v>1567</v>
      </c>
      <c r="L48" s="64"/>
      <c r="M48" s="61"/>
    </row>
    <row r="49" spans="2:15" ht="15.75" customHeight="1">
      <c r="B49" s="1959" t="s">
        <v>153</v>
      </c>
      <c r="C49" s="1955"/>
      <c r="D49" s="1955"/>
      <c r="E49" s="1955"/>
      <c r="F49" s="1955"/>
      <c r="G49" s="1955"/>
      <c r="H49" s="1955"/>
      <c r="I49" s="46"/>
      <c r="L49" s="64"/>
      <c r="M49" s="61"/>
    </row>
    <row r="50" spans="2:15" ht="7.5" customHeight="1">
      <c r="B50" s="33"/>
      <c r="C50" s="35"/>
      <c r="D50" s="35"/>
      <c r="E50" s="35"/>
      <c r="F50" s="35"/>
      <c r="G50" s="35"/>
      <c r="H50" s="35"/>
      <c r="I50" s="48"/>
      <c r="L50" s="64"/>
      <c r="M50" s="61"/>
    </row>
    <row r="51" spans="2:15">
      <c r="B51" s="42" t="s">
        <v>4</v>
      </c>
      <c r="C51" s="35"/>
      <c r="D51" s="35"/>
      <c r="E51" s="35"/>
      <c r="F51" s="35"/>
      <c r="G51" s="35"/>
      <c r="H51" s="35"/>
      <c r="I51" s="48">
        <v>0</v>
      </c>
      <c r="L51" s="64"/>
      <c r="M51" s="61"/>
    </row>
    <row r="52" spans="2:15" ht="12" customHeight="1">
      <c r="B52" s="37" t="s">
        <v>39</v>
      </c>
      <c r="C52" s="35"/>
      <c r="D52" s="35"/>
      <c r="E52" s="35"/>
      <c r="F52" s="35"/>
      <c r="G52" s="35"/>
      <c r="H52" s="35"/>
      <c r="I52" s="36"/>
      <c r="L52" s="64"/>
      <c r="M52" s="61"/>
    </row>
    <row r="53" spans="2:15" ht="5.25" customHeight="1">
      <c r="B53" s="37"/>
      <c r="C53" s="35"/>
      <c r="D53" s="35"/>
      <c r="E53" s="35"/>
      <c r="F53" s="35"/>
      <c r="G53" s="35"/>
      <c r="H53" s="35"/>
      <c r="I53" s="36"/>
      <c r="L53" s="64"/>
      <c r="M53" s="61"/>
    </row>
    <row r="54" spans="2:15">
      <c r="B54" s="42" t="s">
        <v>26</v>
      </c>
      <c r="C54" s="35"/>
      <c r="D54" s="35"/>
      <c r="E54" s="35"/>
      <c r="F54" s="35"/>
      <c r="G54" s="35"/>
      <c r="H54" s="35"/>
      <c r="I54" s="46">
        <v>0</v>
      </c>
      <c r="L54" s="64"/>
      <c r="M54" s="61"/>
    </row>
    <row r="55" spans="2:15" ht="14.25" customHeight="1">
      <c r="B55" s="1959" t="s">
        <v>39</v>
      </c>
      <c r="C55" s="1955"/>
      <c r="D55" s="1955"/>
      <c r="E55" s="1955"/>
      <c r="F55" s="1955"/>
      <c r="G55" s="1955"/>
      <c r="H55" s="1955"/>
      <c r="I55" s="48"/>
      <c r="L55" s="64"/>
      <c r="M55" s="61"/>
    </row>
    <row r="56" spans="2:15" ht="8.25" customHeight="1">
      <c r="B56" s="1943"/>
      <c r="C56" s="1944"/>
      <c r="D56" s="1944"/>
      <c r="E56" s="1944"/>
      <c r="F56" s="1944"/>
      <c r="G56" s="1944"/>
      <c r="H56" s="35"/>
      <c r="I56" s="48"/>
      <c r="L56" s="64"/>
      <c r="M56" s="61"/>
    </row>
    <row r="57" spans="2:15" ht="5.25" customHeight="1">
      <c r="B57" s="37"/>
      <c r="C57" s="35"/>
      <c r="D57" s="35"/>
      <c r="E57" s="35"/>
      <c r="F57" s="35"/>
      <c r="G57" s="35"/>
      <c r="H57" s="35"/>
      <c r="I57" s="36"/>
      <c r="L57" s="64"/>
      <c r="M57" s="64"/>
    </row>
    <row r="58" spans="2:15">
      <c r="B58" s="42" t="s">
        <v>7</v>
      </c>
      <c r="C58" s="35"/>
      <c r="D58" s="35"/>
      <c r="E58" s="35"/>
      <c r="F58" s="35"/>
      <c r="G58" s="35"/>
      <c r="H58" s="35"/>
      <c r="I58" s="46">
        <v>0</v>
      </c>
      <c r="L58" s="64"/>
      <c r="M58" s="64"/>
      <c r="N58" s="64"/>
      <c r="O58" s="64"/>
    </row>
    <row r="59" spans="2:15" ht="12" customHeight="1">
      <c r="B59" s="37" t="s">
        <v>141</v>
      </c>
      <c r="C59" s="35"/>
      <c r="D59" s="35"/>
      <c r="E59" s="35"/>
      <c r="F59" s="35"/>
      <c r="G59" s="35"/>
      <c r="H59" s="35"/>
      <c r="I59" s="36"/>
      <c r="L59" s="64"/>
      <c r="M59" s="64"/>
      <c r="N59" s="61"/>
      <c r="O59" s="61"/>
    </row>
    <row r="60" spans="2:15" ht="6" customHeight="1">
      <c r="B60" s="37"/>
      <c r="C60" s="35"/>
      <c r="D60" s="35"/>
      <c r="E60" s="35"/>
      <c r="F60" s="35"/>
      <c r="G60" s="35"/>
      <c r="H60" s="35"/>
      <c r="I60" s="36"/>
      <c r="L60" s="64"/>
      <c r="M60" s="64"/>
      <c r="N60" s="65"/>
      <c r="O60" s="65"/>
    </row>
    <row r="61" spans="2:15">
      <c r="B61" s="42" t="s">
        <v>27</v>
      </c>
      <c r="C61" s="35"/>
      <c r="D61" s="35"/>
      <c r="E61" s="35"/>
      <c r="F61" s="35"/>
      <c r="G61" s="35"/>
      <c r="H61" s="35"/>
      <c r="I61" s="46">
        <v>0</v>
      </c>
      <c r="L61" s="64"/>
      <c r="M61" s="64"/>
      <c r="N61" s="61"/>
      <c r="O61" s="61"/>
    </row>
    <row r="62" spans="2:15" ht="13.5" customHeight="1">
      <c r="B62" s="37" t="s">
        <v>39</v>
      </c>
      <c r="C62" s="35"/>
      <c r="D62" s="35"/>
      <c r="E62" s="35"/>
      <c r="F62" s="35"/>
      <c r="G62" s="35"/>
      <c r="H62" s="35"/>
      <c r="I62" s="47"/>
      <c r="L62" s="64"/>
      <c r="M62" s="64"/>
      <c r="N62" s="65"/>
      <c r="O62" s="65"/>
    </row>
    <row r="63" spans="2:15" ht="3.75" customHeight="1">
      <c r="B63" s="37"/>
      <c r="C63" s="35"/>
      <c r="D63" s="35"/>
      <c r="E63" s="35"/>
      <c r="F63" s="35"/>
      <c r="G63" s="35"/>
      <c r="H63" s="35"/>
      <c r="I63" s="36"/>
      <c r="L63" s="64"/>
      <c r="M63" s="64"/>
      <c r="N63" s="61"/>
      <c r="O63" s="61"/>
    </row>
    <row r="64" spans="2:15">
      <c r="B64" s="42" t="s">
        <v>5</v>
      </c>
      <c r="C64" s="35"/>
      <c r="D64" s="35"/>
      <c r="E64" s="35"/>
      <c r="F64" s="35"/>
      <c r="G64" s="35"/>
      <c r="H64" s="35"/>
      <c r="I64" s="46">
        <v>0</v>
      </c>
      <c r="L64" s="64"/>
      <c r="M64" s="64"/>
      <c r="N64" s="61"/>
      <c r="O64" s="61"/>
    </row>
    <row r="65" spans="2:15" ht="11.25" customHeight="1">
      <c r="B65" s="37" t="s">
        <v>39</v>
      </c>
      <c r="C65" s="35"/>
      <c r="D65" s="35"/>
      <c r="E65" s="35"/>
      <c r="F65" s="35"/>
      <c r="G65" s="35"/>
      <c r="H65" s="35"/>
      <c r="I65" s="47"/>
      <c r="L65" s="64"/>
      <c r="M65" s="64"/>
      <c r="N65" s="64"/>
      <c r="O65" s="64"/>
    </row>
    <row r="66" spans="2:15" ht="4.5" customHeight="1">
      <c r="B66" s="37"/>
      <c r="C66" s="35"/>
      <c r="D66" s="35"/>
      <c r="E66" s="35"/>
      <c r="F66" s="35"/>
      <c r="G66" s="35"/>
      <c r="H66" s="35"/>
      <c r="I66" s="36"/>
      <c r="L66" s="64"/>
      <c r="M66" s="64"/>
      <c r="N66" s="64"/>
      <c r="O66" s="64"/>
    </row>
    <row r="67" spans="2:15">
      <c r="B67" s="42" t="s">
        <v>20</v>
      </c>
      <c r="C67" s="35"/>
      <c r="D67" s="35"/>
      <c r="E67" s="35"/>
      <c r="F67" s="35"/>
      <c r="G67" s="35"/>
      <c r="H67" s="35"/>
      <c r="I67" s="46">
        <v>0</v>
      </c>
      <c r="L67" s="64"/>
      <c r="M67" s="64"/>
      <c r="N67" s="61"/>
      <c r="O67" s="61"/>
    </row>
    <row r="68" spans="2:15" ht="12" customHeight="1">
      <c r="B68" s="37" t="s">
        <v>39</v>
      </c>
      <c r="C68" s="35"/>
      <c r="D68" s="35"/>
      <c r="E68" s="35"/>
      <c r="F68" s="35"/>
      <c r="G68" s="35"/>
      <c r="H68" s="35"/>
      <c r="I68" s="46"/>
      <c r="L68" s="64"/>
      <c r="M68" s="64"/>
      <c r="N68" s="61"/>
      <c r="O68" s="61"/>
    </row>
    <row r="69" spans="2:15" ht="6.75" customHeight="1">
      <c r="B69" s="42"/>
      <c r="C69" s="35"/>
      <c r="D69" s="35"/>
      <c r="E69" s="35"/>
      <c r="F69" s="35"/>
      <c r="G69" s="35"/>
      <c r="H69" s="35"/>
      <c r="I69" s="46"/>
      <c r="L69" s="64"/>
      <c r="M69" s="64"/>
      <c r="N69" s="61"/>
      <c r="O69" s="61"/>
    </row>
    <row r="70" spans="2:15" ht="5.25" customHeight="1">
      <c r="B70" s="40"/>
      <c r="C70" s="35"/>
      <c r="D70" s="35"/>
      <c r="E70" s="35"/>
      <c r="F70" s="35"/>
      <c r="G70" s="35"/>
      <c r="H70" s="35"/>
      <c r="I70" s="36"/>
      <c r="L70" s="64"/>
      <c r="M70" s="64"/>
      <c r="N70" s="64"/>
      <c r="O70" s="64"/>
    </row>
    <row r="71" spans="2:15">
      <c r="B71" s="43" t="s">
        <v>11</v>
      </c>
      <c r="C71" s="44"/>
      <c r="D71" s="44"/>
      <c r="E71" s="44"/>
      <c r="F71" s="44"/>
      <c r="G71" s="44"/>
      <c r="H71" s="44"/>
      <c r="I71" s="52">
        <f>+I67+I64+I61+I58+I54+I51+I48+I45+I42</f>
        <v>1567</v>
      </c>
      <c r="L71" s="64"/>
      <c r="M71" s="64"/>
      <c r="N71" s="64"/>
      <c r="O71" s="64"/>
    </row>
    <row r="73" spans="2:15">
      <c r="B73" s="168" t="s">
        <v>142</v>
      </c>
      <c r="C73" s="169"/>
      <c r="D73" s="169"/>
      <c r="E73" s="169"/>
      <c r="F73" s="169"/>
      <c r="G73" s="169"/>
      <c r="H73" s="169"/>
      <c r="I73" s="170"/>
    </row>
    <row r="74" spans="2:15">
      <c r="B74" s="1961" t="s">
        <v>143</v>
      </c>
      <c r="C74" s="1962"/>
      <c r="D74" s="1962"/>
      <c r="E74" s="1962"/>
      <c r="F74" s="1962"/>
      <c r="G74" s="1962"/>
      <c r="H74" s="1962"/>
      <c r="I74" s="1963"/>
    </row>
    <row r="75" spans="2:15">
      <c r="B75" s="141" t="s">
        <v>144</v>
      </c>
      <c r="C75" s="173"/>
      <c r="D75" s="173"/>
      <c r="E75" s="173"/>
      <c r="F75" s="173"/>
      <c r="G75" s="173"/>
      <c r="H75" s="173"/>
      <c r="I75" s="174"/>
    </row>
    <row r="76" spans="2:15">
      <c r="B76" s="175" t="s">
        <v>145</v>
      </c>
      <c r="C76" s="119"/>
      <c r="D76" s="119"/>
      <c r="E76" s="119"/>
      <c r="F76" s="119"/>
      <c r="G76" s="119"/>
      <c r="H76" s="119"/>
      <c r="I76" s="176"/>
    </row>
    <row r="94" spans="5:5">
      <c r="E94" s="57"/>
    </row>
    <row r="95" spans="5:5">
      <c r="E95" s="57"/>
    </row>
    <row r="96" spans="5:5">
      <c r="E96" s="57"/>
    </row>
    <row r="97" spans="5:5">
      <c r="E97" s="57"/>
    </row>
    <row r="98" spans="5:5">
      <c r="E98" s="57"/>
    </row>
    <row r="99" spans="5:5">
      <c r="E99" s="57"/>
    </row>
    <row r="101" spans="5:5">
      <c r="E101" s="57"/>
    </row>
    <row r="103" spans="5:5">
      <c r="E103" s="56"/>
    </row>
    <row r="105" spans="5:5">
      <c r="E105" s="57"/>
    </row>
  </sheetData>
  <mergeCells count="12">
    <mergeCell ref="B74:I74"/>
    <mergeCell ref="D28:H28"/>
    <mergeCell ref="D30:H30"/>
    <mergeCell ref="D31:H31"/>
    <mergeCell ref="D32:H32"/>
    <mergeCell ref="D33:H33"/>
    <mergeCell ref="D34:H34"/>
    <mergeCell ref="D36:H36"/>
    <mergeCell ref="B46:H46"/>
    <mergeCell ref="B49:H49"/>
    <mergeCell ref="B55:H55"/>
    <mergeCell ref="B56:G56"/>
  </mergeCells>
  <pageMargins left="0.36" right="0.3" top="0.43" bottom="0.64" header="0.28000000000000003" footer="0.36"/>
  <pageSetup scale="71" orientation="portrait" r:id="rId1"/>
  <headerFooter alignWithMargins="0"/>
</worksheet>
</file>

<file path=xl/worksheets/sheet150.xml><?xml version="1.0" encoding="utf-8"?>
<worksheet xmlns="http://schemas.openxmlformats.org/spreadsheetml/2006/main" xmlns:r="http://schemas.openxmlformats.org/officeDocument/2006/relationships">
  <sheetPr>
    <pageSetUpPr fitToPage="1"/>
  </sheetPr>
  <dimension ref="A1:L99"/>
  <sheetViews>
    <sheetView zoomScale="75" zoomScaleNormal="75" workbookViewId="0">
      <selection activeCell="E10" sqref="E10"/>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12.285156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422</v>
      </c>
      <c r="C6" s="7" t="str">
        <f>+E12</f>
        <v>EQIP</v>
      </c>
      <c r="D6" s="53" t="s">
        <v>2501</v>
      </c>
      <c r="E6" s="110" t="s">
        <v>2503</v>
      </c>
      <c r="F6" s="7" t="s">
        <v>394</v>
      </c>
      <c r="G6" s="85">
        <f>+I25</f>
        <v>417.38175000000001</v>
      </c>
    </row>
    <row r="7" spans="1:12">
      <c r="A7" s="2"/>
      <c r="B7" s="54">
        <f>+B6</f>
        <v>422</v>
      </c>
      <c r="C7" s="7" t="str">
        <f>+C6</f>
        <v>EQIP</v>
      </c>
      <c r="D7" s="53" t="s">
        <v>2501</v>
      </c>
      <c r="E7" s="110" t="str">
        <f>CONCATENATE(E6, "-HU")</f>
        <v>Hedgerow Planting - w/establishment of vegetative cover-HU</v>
      </c>
      <c r="F7" s="7" t="str">
        <f>+F6</f>
        <v>Acre</v>
      </c>
      <c r="G7" s="85">
        <f>+J25</f>
        <v>500.85810000000004</v>
      </c>
    </row>
    <row r="8" spans="1:12">
      <c r="A8" s="2"/>
      <c r="B8" s="54">
        <v>422</v>
      </c>
      <c r="C8" s="7" t="str">
        <f>+G12</f>
        <v>WHIP</v>
      </c>
      <c r="D8" s="53" t="s">
        <v>2501</v>
      </c>
      <c r="E8" s="110" t="s">
        <v>1450</v>
      </c>
      <c r="F8" s="7" t="s">
        <v>394</v>
      </c>
      <c r="G8" s="85">
        <f>+K25</f>
        <v>417.38175000000001</v>
      </c>
    </row>
    <row r="9" spans="1:12">
      <c r="A9" s="2"/>
      <c r="B9" s="8">
        <f>+B8</f>
        <v>422</v>
      </c>
      <c r="C9" s="10" t="str">
        <f>+C8</f>
        <v>WHIP</v>
      </c>
      <c r="D9" s="53" t="s">
        <v>2501</v>
      </c>
      <c r="E9" s="111" t="str">
        <f>CONCATENATE(E6, "-HU")</f>
        <v>Hedgerow Planting - w/establishment of vegetative cover-HU</v>
      </c>
      <c r="F9" s="10" t="str">
        <f>+F8</f>
        <v>Acre</v>
      </c>
      <c r="G9" s="86">
        <f>+L25</f>
        <v>500.85810000000004</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360.05</v>
      </c>
      <c r="E16" s="160">
        <f>+'[10]Payment Factors'!D42</f>
        <v>0.75</v>
      </c>
      <c r="F16" s="160">
        <f>+'[10]Payment Factors'!E42</f>
        <v>0.9</v>
      </c>
      <c r="G16" s="160">
        <f>+'[10]Payment Factors'!F42</f>
        <v>0.75</v>
      </c>
      <c r="H16" s="160">
        <f>+'[10]Payment Factors'!G42</f>
        <v>0.9</v>
      </c>
      <c r="I16" s="1154">
        <f t="shared" ref="I16:L24" si="0">+$D16*E16</f>
        <v>270.03750000000002</v>
      </c>
      <c r="J16" s="1154">
        <f t="shared" si="0"/>
        <v>324.04500000000002</v>
      </c>
      <c r="K16" s="1154">
        <f t="shared" si="0"/>
        <v>270.03750000000002</v>
      </c>
      <c r="L16" s="1155">
        <f t="shared" si="0"/>
        <v>324.04500000000002</v>
      </c>
    </row>
    <row r="17" spans="1:12">
      <c r="A17" s="2"/>
      <c r="B17" s="15" t="s">
        <v>2</v>
      </c>
      <c r="C17" s="16"/>
      <c r="D17" s="24">
        <f>+I56</f>
        <v>153.21250000000001</v>
      </c>
      <c r="E17" s="160">
        <f t="shared" ref="E17:H19" si="1">+E16</f>
        <v>0.75</v>
      </c>
      <c r="F17" s="160">
        <f t="shared" si="1"/>
        <v>0.9</v>
      </c>
      <c r="G17" s="160">
        <f t="shared" si="1"/>
        <v>0.75</v>
      </c>
      <c r="H17" s="160">
        <f t="shared" si="1"/>
        <v>0.9</v>
      </c>
      <c r="I17" s="1154">
        <f t="shared" si="0"/>
        <v>114.90937500000001</v>
      </c>
      <c r="J17" s="1154">
        <f t="shared" si="0"/>
        <v>137.89125000000001</v>
      </c>
      <c r="K17" s="1154">
        <f t="shared" si="0"/>
        <v>114.90937500000001</v>
      </c>
      <c r="L17" s="1155">
        <f t="shared" si="0"/>
        <v>137.89125000000001</v>
      </c>
    </row>
    <row r="18" spans="1:12">
      <c r="A18" s="2"/>
      <c r="B18" s="15" t="s">
        <v>3</v>
      </c>
      <c r="C18" s="16"/>
      <c r="D18" s="24">
        <f>+I71</f>
        <v>27.037499999999998</v>
      </c>
      <c r="E18" s="160">
        <f t="shared" si="1"/>
        <v>0.75</v>
      </c>
      <c r="F18" s="160">
        <f t="shared" si="1"/>
        <v>0.9</v>
      </c>
      <c r="G18" s="160">
        <f t="shared" si="1"/>
        <v>0.75</v>
      </c>
      <c r="H18" s="160">
        <f t="shared" si="1"/>
        <v>0.9</v>
      </c>
      <c r="I18" s="1154">
        <f t="shared" si="0"/>
        <v>20.278124999999999</v>
      </c>
      <c r="J18" s="1154">
        <f t="shared" si="0"/>
        <v>24.333749999999998</v>
      </c>
      <c r="K18" s="1154">
        <f t="shared" si="0"/>
        <v>20.278124999999999</v>
      </c>
      <c r="L18" s="1155">
        <f t="shared" si="0"/>
        <v>24.333749999999998</v>
      </c>
    </row>
    <row r="19" spans="1:12">
      <c r="A19" s="2"/>
      <c r="B19" s="15" t="s">
        <v>4</v>
      </c>
      <c r="C19" s="16"/>
      <c r="D19" s="24">
        <f>+I77</f>
        <v>16.209000000000003</v>
      </c>
      <c r="E19" s="160">
        <f t="shared" si="1"/>
        <v>0.75</v>
      </c>
      <c r="F19" s="160">
        <f t="shared" si="1"/>
        <v>0.9</v>
      </c>
      <c r="G19" s="160">
        <f t="shared" si="1"/>
        <v>0.75</v>
      </c>
      <c r="H19" s="160">
        <f t="shared" si="1"/>
        <v>0.9</v>
      </c>
      <c r="I19" s="1154">
        <f t="shared" si="0"/>
        <v>12.156750000000002</v>
      </c>
      <c r="J19" s="1154">
        <f t="shared" si="0"/>
        <v>14.588100000000003</v>
      </c>
      <c r="K19" s="1154">
        <f t="shared" si="0"/>
        <v>12.156750000000002</v>
      </c>
      <c r="L19" s="1155">
        <f t="shared" si="0"/>
        <v>14.588100000000003</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1172.009</v>
      </c>
      <c r="E25" s="28"/>
      <c r="F25" s="28"/>
      <c r="G25" s="28"/>
      <c r="H25" s="28"/>
      <c r="I25" s="1159">
        <f>SUM(I16:I24)</f>
        <v>417.38175000000001</v>
      </c>
      <c r="J25" s="1159">
        <f>SUM(J16:J24)</f>
        <v>500.85810000000004</v>
      </c>
      <c r="K25" s="1159">
        <f>SUM(K16:K24)</f>
        <v>417.38175000000001</v>
      </c>
      <c r="L25" s="1160">
        <f>SUM(L16:L24)</f>
        <v>500.85810000000004</v>
      </c>
    </row>
    <row r="27" spans="1:12" ht="15.75">
      <c r="A27" s="2"/>
      <c r="B27" s="50" t="s">
        <v>28</v>
      </c>
      <c r="C27" s="2"/>
      <c r="D27" s="2"/>
      <c r="E27" s="2"/>
      <c r="F27" s="2"/>
      <c r="G27" s="2"/>
      <c r="H27" s="2"/>
      <c r="I27" s="5"/>
    </row>
    <row r="28" spans="1:12">
      <c r="A28" s="2"/>
      <c r="B28" s="29" t="s">
        <v>1377</v>
      </c>
      <c r="C28" s="30"/>
      <c r="D28" s="30"/>
      <c r="E28" s="31"/>
      <c r="F28" s="31"/>
      <c r="G28" s="31"/>
      <c r="H28" s="31"/>
      <c r="I28" s="32"/>
    </row>
    <row r="29" spans="1:12" ht="12.75" customHeight="1">
      <c r="A29" s="2"/>
      <c r="B29" s="2023" t="s">
        <v>1386</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360.05</v>
      </c>
    </row>
    <row r="41" spans="1:9">
      <c r="A41" s="2"/>
      <c r="B41" s="1174"/>
      <c r="C41" s="35"/>
      <c r="D41" s="1167" t="s">
        <v>447</v>
      </c>
      <c r="E41" s="1167" t="s">
        <v>448</v>
      </c>
      <c r="F41" s="1167" t="s">
        <v>449</v>
      </c>
      <c r="G41" s="1167" t="s">
        <v>450</v>
      </c>
      <c r="H41" s="35"/>
      <c r="I41" s="46"/>
    </row>
    <row r="42" spans="1:9">
      <c r="A42" s="2"/>
      <c r="B42" s="40" t="s">
        <v>451</v>
      </c>
      <c r="C42" s="6"/>
      <c r="D42" s="1168" t="s">
        <v>452</v>
      </c>
      <c r="E42" s="1169">
        <f>+'[31]Core Rates'!C203</f>
        <v>8.75</v>
      </c>
      <c r="F42" s="1170">
        <v>0</v>
      </c>
      <c r="G42" s="1171">
        <f t="shared" ref="G42:G50" si="2">+F42*E42</f>
        <v>0</v>
      </c>
      <c r="H42" s="35"/>
      <c r="I42" s="36"/>
    </row>
    <row r="43" spans="1:9">
      <c r="A43" s="2"/>
      <c r="B43" s="1184" t="s">
        <v>453</v>
      </c>
      <c r="C43" s="6"/>
      <c r="D43" s="1185" t="s">
        <v>454</v>
      </c>
      <c r="E43" s="1169">
        <f>+'[31]Core Rates'!C228</f>
        <v>0.82427536231884069</v>
      </c>
      <c r="F43" s="1170">
        <v>0</v>
      </c>
      <c r="G43" s="1171">
        <f t="shared" si="2"/>
        <v>0</v>
      </c>
      <c r="H43" s="35"/>
      <c r="I43" s="36"/>
    </row>
    <row r="44" spans="1:9">
      <c r="A44" s="2"/>
      <c r="B44" s="1186" t="s">
        <v>455</v>
      </c>
      <c r="C44" s="1187"/>
      <c r="D44" s="1185" t="s">
        <v>454</v>
      </c>
      <c r="E44" s="1169">
        <f>+'[31]Core Rates'!C235</f>
        <v>1.1702898550724636</v>
      </c>
      <c r="F44" s="1170">
        <v>0</v>
      </c>
      <c r="G44" s="1171">
        <f t="shared" si="2"/>
        <v>0</v>
      </c>
      <c r="H44" s="35"/>
      <c r="I44" s="36"/>
    </row>
    <row r="45" spans="1:9">
      <c r="A45" s="2"/>
      <c r="B45" s="1186" t="s">
        <v>456</v>
      </c>
      <c r="C45" s="1187"/>
      <c r="D45" s="1168" t="s">
        <v>454</v>
      </c>
      <c r="E45" s="1169">
        <f>+'[31]Core Rates'!C246</f>
        <v>0.58825136612021856</v>
      </c>
      <c r="F45" s="1170">
        <v>0</v>
      </c>
      <c r="G45" s="1171">
        <f t="shared" si="2"/>
        <v>0</v>
      </c>
      <c r="H45" s="35"/>
      <c r="I45" s="36"/>
    </row>
    <row r="46" spans="1:9">
      <c r="A46" s="2"/>
      <c r="B46" s="1188" t="str">
        <f>+'[31]Core Rates'!A342</f>
        <v>Tree seedlings</v>
      </c>
      <c r="C46" s="1187"/>
      <c r="D46" s="1189" t="str">
        <f>+'[31]Core Rates'!B342</f>
        <v>Ea</v>
      </c>
      <c r="E46" s="1169">
        <f>+'[31]Core Rates'!C342</f>
        <v>0.5</v>
      </c>
      <c r="F46" s="1170">
        <v>681</v>
      </c>
      <c r="G46" s="1171">
        <f t="shared" si="2"/>
        <v>340.5</v>
      </c>
      <c r="H46" s="35"/>
      <c r="I46" s="36"/>
    </row>
    <row r="47" spans="1:9">
      <c r="A47" s="2"/>
      <c r="B47" s="1186" t="str">
        <f>+'[31]Core Rates'!A310</f>
        <v>Seed (Orchard grass)</v>
      </c>
      <c r="C47" s="1187"/>
      <c r="D47" s="1185" t="s">
        <v>454</v>
      </c>
      <c r="E47" s="1169">
        <f>+'[31]Core Rates 2011'!BE307</f>
        <v>1.68</v>
      </c>
      <c r="F47" s="1170">
        <v>10</v>
      </c>
      <c r="G47" s="1171">
        <f t="shared" si="2"/>
        <v>16.8</v>
      </c>
      <c r="H47" s="35"/>
      <c r="I47" s="36"/>
    </row>
    <row r="48" spans="1:9">
      <c r="A48" s="2"/>
      <c r="B48" s="1186" t="str">
        <f>+'[31]Core Rates'!A312</f>
        <v>Seed (Red Clover)</v>
      </c>
      <c r="C48" s="1187"/>
      <c r="D48" s="1185" t="s">
        <v>454</v>
      </c>
      <c r="E48" s="1169">
        <f>+'[31]Core Rates 2011'!BE309</f>
        <v>2.75</v>
      </c>
      <c r="F48" s="1170">
        <v>1</v>
      </c>
      <c r="G48" s="1171">
        <f t="shared" si="2"/>
        <v>2.75</v>
      </c>
      <c r="H48" s="35"/>
      <c r="I48" s="36"/>
    </row>
    <row r="49" spans="1:9">
      <c r="A49" s="2"/>
      <c r="B49" s="1186" t="str">
        <f>+'[31]Core Rates'!A315</f>
        <v>Seed (Wheat)</v>
      </c>
      <c r="C49" s="1187"/>
      <c r="D49" s="1185" t="s">
        <v>454</v>
      </c>
      <c r="E49" s="1169">
        <f>+'[31]Core Rates 2011'!BE312</f>
        <v>0.31</v>
      </c>
      <c r="F49" s="1170">
        <v>0</v>
      </c>
      <c r="G49" s="1171">
        <f t="shared" si="2"/>
        <v>0</v>
      </c>
      <c r="H49" s="35"/>
      <c r="I49" s="36"/>
    </row>
    <row r="50" spans="1:9">
      <c r="A50" s="2"/>
      <c r="B50" s="1186" t="str">
        <f>+'[31]Core Rates'!A314</f>
        <v>Seed (Redtop)</v>
      </c>
      <c r="C50" s="1187"/>
      <c r="D50" s="1185" t="s">
        <v>454</v>
      </c>
      <c r="E50" s="1169">
        <f>+'[31]Core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153.21250000000001</v>
      </c>
    </row>
    <row r="57" spans="1:9">
      <c r="A57" s="2"/>
      <c r="B57" s="1174"/>
      <c r="C57" s="35"/>
      <c r="D57" s="1167" t="s">
        <v>447</v>
      </c>
      <c r="E57" s="1167" t="s">
        <v>448</v>
      </c>
      <c r="F57" s="1167" t="s">
        <v>449</v>
      </c>
      <c r="G57" s="1167" t="s">
        <v>450</v>
      </c>
      <c r="H57" s="35"/>
      <c r="I57" s="46"/>
    </row>
    <row r="58" spans="1:9">
      <c r="A58" s="2"/>
      <c r="B58" s="1191" t="s">
        <v>460</v>
      </c>
      <c r="C58" s="6"/>
      <c r="D58" s="1168" t="s">
        <v>408</v>
      </c>
      <c r="E58" s="1169">
        <f>+'[31]Core Rates 2011'!BE145</f>
        <v>36.5</v>
      </c>
      <c r="F58" s="1170">
        <v>1.5</v>
      </c>
      <c r="G58" s="1171">
        <f t="shared" ref="G58:G64" si="3">+F58*E58</f>
        <v>54.75</v>
      </c>
      <c r="H58" s="35"/>
      <c r="I58" s="47"/>
    </row>
    <row r="59" spans="1:9">
      <c r="A59" s="2"/>
      <c r="B59" s="1191" t="str">
        <f>+'[31]Core Rates'!A340</f>
        <v>Tree Planting</v>
      </c>
      <c r="C59" s="6"/>
      <c r="D59" s="1168" t="s">
        <v>408</v>
      </c>
      <c r="E59" s="1169">
        <f>+'[31]Core Rates'!C340</f>
        <v>90</v>
      </c>
      <c r="F59" s="1170">
        <v>1</v>
      </c>
      <c r="G59" s="1171">
        <f t="shared" si="3"/>
        <v>90</v>
      </c>
      <c r="H59" s="35"/>
      <c r="I59" s="47"/>
    </row>
    <row r="60" spans="1:9">
      <c r="A60" s="2"/>
      <c r="B60" s="40" t="s">
        <v>461</v>
      </c>
      <c r="C60" s="6"/>
      <c r="D60" s="1168" t="s">
        <v>408</v>
      </c>
      <c r="E60" s="1169">
        <f>+'[31]Core Rates'!C104</f>
        <v>20</v>
      </c>
      <c r="F60" s="1170">
        <v>1</v>
      </c>
      <c r="G60" s="1171">
        <f t="shared" si="3"/>
        <v>20</v>
      </c>
      <c r="H60" s="35"/>
      <c r="I60" s="47"/>
    </row>
    <row r="61" spans="1:9">
      <c r="A61" s="2"/>
      <c r="B61" s="1191" t="str">
        <f>+'[31]Core Rates'!A216</f>
        <v>Mowing</v>
      </c>
      <c r="C61" s="6"/>
      <c r="D61" s="1189" t="s">
        <v>408</v>
      </c>
      <c r="E61" s="1189">
        <f>+'[31]Core Rates'!C216</f>
        <v>15.5</v>
      </c>
      <c r="F61" s="1170">
        <v>1</v>
      </c>
      <c r="G61" s="1171">
        <f t="shared" si="3"/>
        <v>15.5</v>
      </c>
      <c r="H61" s="35"/>
      <c r="I61" s="47"/>
    </row>
    <row r="62" spans="1:9">
      <c r="A62" s="2"/>
      <c r="B62" s="40" t="s">
        <v>462</v>
      </c>
      <c r="C62" s="6"/>
      <c r="D62" s="1168" t="s">
        <v>408</v>
      </c>
      <c r="E62" s="1169">
        <f>+'[31]Core Rates'!AN33</f>
        <v>5.416666666666667</v>
      </c>
      <c r="F62" s="1170">
        <v>0</v>
      </c>
      <c r="G62" s="1171">
        <f t="shared" si="3"/>
        <v>0</v>
      </c>
      <c r="H62" s="35"/>
      <c r="I62" s="47"/>
    </row>
    <row r="63" spans="1:9">
      <c r="A63" s="2"/>
      <c r="B63" s="40" t="s">
        <v>463</v>
      </c>
      <c r="C63" s="6"/>
      <c r="D63" s="1168" t="s">
        <v>452</v>
      </c>
      <c r="E63" s="1169">
        <f>+'[31]Core Rates'!AN34</f>
        <v>5.5</v>
      </c>
      <c r="F63" s="1170">
        <v>0</v>
      </c>
      <c r="G63" s="1171">
        <f t="shared" si="3"/>
        <v>0</v>
      </c>
      <c r="H63" s="35"/>
      <c r="I63" s="47"/>
    </row>
    <row r="64" spans="1:9">
      <c r="A64" s="2"/>
      <c r="B64" s="40" t="s">
        <v>464</v>
      </c>
      <c r="C64" s="6"/>
      <c r="D64" s="1168" t="s">
        <v>452</v>
      </c>
      <c r="E64" s="1169">
        <f>+'[31]Core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27.037499999999998</v>
      </c>
    </row>
    <row r="72" spans="1:9">
      <c r="A72" s="2"/>
      <c r="B72" s="2007" t="s">
        <v>465</v>
      </c>
      <c r="C72" s="2008"/>
      <c r="D72" s="35"/>
      <c r="E72" s="35"/>
      <c r="F72" s="35"/>
      <c r="G72" s="35"/>
      <c r="H72" s="35"/>
      <c r="I72" s="48"/>
    </row>
    <row r="73" spans="1:9">
      <c r="A73" s="2"/>
      <c r="B73" s="37" t="s">
        <v>466</v>
      </c>
      <c r="C73" s="39"/>
      <c r="D73" s="39"/>
      <c r="E73" s="153">
        <f>SUM(G58:G64)*0.15</f>
        <v>27.037499999999998</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16.209000000000003</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+'[31]Core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556.50900000000001</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1172.009</v>
      </c>
    </row>
  </sheetData>
  <mergeCells count="5">
    <mergeCell ref="B1:D1"/>
    <mergeCell ref="B29:I31"/>
    <mergeCell ref="E56:H56"/>
    <mergeCell ref="B67:I68"/>
    <mergeCell ref="B72:C72"/>
  </mergeCells>
  <pageMargins left="0.75" right="0.75" top="1" bottom="1" header="0.5" footer="0.5"/>
  <pageSetup scale="47" orientation="portrait" r:id="rId1"/>
  <headerFooter alignWithMargins="0"/>
</worksheet>
</file>

<file path=xl/worksheets/sheet151.xml><?xml version="1.0" encoding="utf-8"?>
<worksheet xmlns="http://schemas.openxmlformats.org/spreadsheetml/2006/main" xmlns:r="http://schemas.openxmlformats.org/officeDocument/2006/relationships">
  <dimension ref="B1:Q141"/>
  <sheetViews>
    <sheetView zoomScaleNormal="100" workbookViewId="0">
      <selection activeCell="K30" sqref="K30"/>
    </sheetView>
  </sheetViews>
  <sheetFormatPr defaultRowHeight="12.75"/>
  <cols>
    <col min="1" max="1" width="2.85546875" style="2" customWidth="1"/>
    <col min="2" max="2" width="9.140625" style="2"/>
    <col min="3" max="3" width="10.85546875" style="2" bestFit="1" customWidth="1"/>
    <col min="4" max="4" width="21.85546875" style="2" bestFit="1" customWidth="1"/>
    <col min="5" max="5" width="37.85546875" style="2" customWidth="1"/>
    <col min="6" max="6" width="10.5703125" style="2" customWidth="1"/>
    <col min="7" max="7" width="9.140625" style="2"/>
    <col min="8" max="8" width="10.7109375" style="2" customWidth="1"/>
    <col min="9" max="9" width="12" style="2" customWidth="1"/>
    <col min="10" max="10" width="9" style="2" bestFit="1" customWidth="1"/>
    <col min="11" max="11" width="11.28515625" style="2" customWidth="1"/>
    <col min="12" max="16384" width="9.140625" style="2"/>
  </cols>
  <sheetData>
    <row r="1" spans="2:11" s="1209" customFormat="1">
      <c r="B1" s="1209" t="s">
        <v>818</v>
      </c>
      <c r="C1" s="1209">
        <v>436</v>
      </c>
      <c r="D1" s="1210" t="s">
        <v>819</v>
      </c>
      <c r="E1" s="1210" t="s">
        <v>820</v>
      </c>
    </row>
    <row r="3" spans="2:11" ht="15.75">
      <c r="B3" s="1" t="s">
        <v>17</v>
      </c>
    </row>
    <row r="4" spans="2:11">
      <c r="B4" s="68" t="s">
        <v>1</v>
      </c>
      <c r="C4" s="69" t="s">
        <v>21</v>
      </c>
      <c r="D4" s="70"/>
      <c r="E4" s="70"/>
      <c r="F4" s="70"/>
      <c r="G4" s="69" t="s">
        <v>12</v>
      </c>
      <c r="H4" s="1211" t="s">
        <v>621</v>
      </c>
      <c r="I4"/>
      <c r="J4"/>
    </row>
    <row r="5" spans="2:11">
      <c r="B5" s="71" t="s">
        <v>13</v>
      </c>
      <c r="C5" s="72" t="s">
        <v>22</v>
      </c>
      <c r="D5" s="72" t="s">
        <v>29</v>
      </c>
      <c r="E5" s="72" t="s">
        <v>30</v>
      </c>
      <c r="F5" s="72" t="s">
        <v>23</v>
      </c>
      <c r="G5" s="72" t="s">
        <v>14</v>
      </c>
      <c r="H5" s="1212" t="s">
        <v>622</v>
      </c>
      <c r="I5"/>
      <c r="J5"/>
    </row>
    <row r="6" spans="2:11">
      <c r="B6" s="54">
        <v>436</v>
      </c>
      <c r="C6" s="7" t="str">
        <f>+E13</f>
        <v>EQIP</v>
      </c>
      <c r="D6" s="53" t="s">
        <v>819</v>
      </c>
      <c r="E6" s="53" t="s">
        <v>821</v>
      </c>
      <c r="F6" s="7" t="str">
        <f>+D39</f>
        <v>CuYd fill</v>
      </c>
      <c r="G6" s="1213">
        <f>H26</f>
        <v>2.3467499999999997</v>
      </c>
      <c r="H6" s="1214" t="str">
        <f>+D37</f>
        <v>Statewide</v>
      </c>
      <c r="I6"/>
      <c r="J6"/>
    </row>
    <row r="7" spans="2:11">
      <c r="B7" s="8">
        <v>436</v>
      </c>
      <c r="C7" s="10" t="str">
        <f>G13</f>
        <v>EQIP-HU</v>
      </c>
      <c r="D7" s="9" t="s">
        <v>819</v>
      </c>
      <c r="E7" s="9" t="s">
        <v>822</v>
      </c>
      <c r="F7" s="10" t="str">
        <f>+D39</f>
        <v>CuYd fill</v>
      </c>
      <c r="G7" s="1215">
        <f>I26</f>
        <v>2.8161</v>
      </c>
      <c r="H7" s="1216" t="str">
        <f>+D37</f>
        <v>Statewide</v>
      </c>
      <c r="I7"/>
      <c r="J7"/>
      <c r="K7" s="89"/>
    </row>
    <row r="8" spans="2:11">
      <c r="B8" s="4"/>
      <c r="C8" s="3"/>
      <c r="D8" s="3"/>
      <c r="G8"/>
      <c r="H8"/>
      <c r="I8"/>
      <c r="J8"/>
    </row>
    <row r="9" spans="2:11">
      <c r="B9" s="4"/>
      <c r="C9" s="3"/>
      <c r="D9" s="3"/>
      <c r="G9"/>
      <c r="H9"/>
      <c r="I9"/>
      <c r="J9"/>
    </row>
    <row r="10" spans="2:11">
      <c r="B10" s="4"/>
      <c r="C10" s="3"/>
      <c r="D10" s="3"/>
      <c r="G10"/>
      <c r="H10"/>
      <c r="I10"/>
      <c r="J10"/>
    </row>
    <row r="11" spans="2:11">
      <c r="B11" s="4"/>
      <c r="C11" s="3"/>
      <c r="D11" s="3"/>
      <c r="G11"/>
      <c r="H11"/>
      <c r="I11"/>
      <c r="J11"/>
    </row>
    <row r="12" spans="2:11" ht="15.75">
      <c r="B12" s="1" t="s">
        <v>18</v>
      </c>
      <c r="C12" s="3"/>
      <c r="D12" s="3"/>
      <c r="G12"/>
      <c r="H12"/>
      <c r="I12"/>
      <c r="J12"/>
    </row>
    <row r="13" spans="2:11">
      <c r="B13" s="55"/>
      <c r="C13" s="12"/>
      <c r="D13" s="11"/>
      <c r="E13" s="13" t="s">
        <v>15</v>
      </c>
      <c r="F13" s="13"/>
      <c r="G13" s="13" t="s">
        <v>31</v>
      </c>
      <c r="H13" s="13"/>
      <c r="I13" s="13"/>
      <c r="J13" s="14"/>
    </row>
    <row r="14" spans="2:11">
      <c r="B14" s="19"/>
      <c r="C14" s="16"/>
      <c r="D14" s="16"/>
      <c r="E14" s="17" t="s">
        <v>22</v>
      </c>
      <c r="F14" s="17"/>
      <c r="G14" s="17" t="s">
        <v>22</v>
      </c>
      <c r="H14" s="17" t="str">
        <f>+E13</f>
        <v>EQIP</v>
      </c>
      <c r="I14" s="18" t="str">
        <f>+G13</f>
        <v>EQIP-HU</v>
      </c>
    </row>
    <row r="15" spans="2:11">
      <c r="B15" s="19"/>
      <c r="C15" s="16"/>
      <c r="D15" s="16"/>
      <c r="E15" s="17" t="s">
        <v>12</v>
      </c>
      <c r="F15" s="17"/>
      <c r="G15" s="17" t="s">
        <v>12</v>
      </c>
      <c r="H15" s="17" t="s">
        <v>12</v>
      </c>
      <c r="I15" s="18" t="s">
        <v>12</v>
      </c>
    </row>
    <row r="16" spans="2:11">
      <c r="B16" s="164" t="s">
        <v>16</v>
      </c>
      <c r="C16" s="16"/>
      <c r="D16" s="165" t="s">
        <v>6</v>
      </c>
      <c r="E16" s="22" t="s">
        <v>24</v>
      </c>
      <c r="F16" s="22"/>
      <c r="G16" s="22" t="s">
        <v>24</v>
      </c>
      <c r="H16" s="22" t="s">
        <v>14</v>
      </c>
      <c r="I16" s="23" t="s">
        <v>14</v>
      </c>
    </row>
    <row r="17" spans="2:9">
      <c r="B17" s="15" t="s">
        <v>0</v>
      </c>
      <c r="C17" s="16"/>
      <c r="D17" s="24">
        <f>+I43</f>
        <v>2.98</v>
      </c>
      <c r="E17" s="130">
        <v>0.75</v>
      </c>
      <c r="F17" s="130"/>
      <c r="G17" s="130">
        <v>0.9</v>
      </c>
      <c r="H17" s="73">
        <f t="shared" ref="H17:H25" si="0">+$D17*E17</f>
        <v>2.2349999999999999</v>
      </c>
      <c r="I17" s="74">
        <f t="shared" ref="I17:I25" si="1">+$D17*G17</f>
        <v>2.6819999999999999</v>
      </c>
    </row>
    <row r="18" spans="2:9">
      <c r="B18" s="15" t="s">
        <v>2</v>
      </c>
      <c r="C18" s="16"/>
      <c r="D18" s="24">
        <f>+I51</f>
        <v>0</v>
      </c>
      <c r="E18" s="130">
        <v>0.75</v>
      </c>
      <c r="F18" s="130"/>
      <c r="G18" s="130">
        <v>0.9</v>
      </c>
      <c r="H18" s="73">
        <f t="shared" si="0"/>
        <v>0</v>
      </c>
      <c r="I18" s="74">
        <f t="shared" si="1"/>
        <v>0</v>
      </c>
    </row>
    <row r="19" spans="2:9">
      <c r="B19" s="15" t="s">
        <v>3</v>
      </c>
      <c r="C19" s="16"/>
      <c r="D19" s="24">
        <f>+I61</f>
        <v>0</v>
      </c>
      <c r="E19" s="130">
        <v>0.75</v>
      </c>
      <c r="F19" s="130"/>
      <c r="G19" s="130">
        <v>0.9</v>
      </c>
      <c r="H19" s="73">
        <f t="shared" si="0"/>
        <v>0</v>
      </c>
      <c r="I19" s="74">
        <f t="shared" si="1"/>
        <v>0</v>
      </c>
    </row>
    <row r="20" spans="2:9">
      <c r="B20" s="15" t="s">
        <v>4</v>
      </c>
      <c r="C20" s="16"/>
      <c r="D20" s="24">
        <f>+I65</f>
        <v>0.14899999999999999</v>
      </c>
      <c r="E20" s="130">
        <v>0.75</v>
      </c>
      <c r="F20" s="130"/>
      <c r="G20" s="130">
        <v>0.9</v>
      </c>
      <c r="H20" s="73">
        <f t="shared" si="0"/>
        <v>0.11174999999999999</v>
      </c>
      <c r="I20" s="74">
        <f t="shared" si="1"/>
        <v>0.1341</v>
      </c>
    </row>
    <row r="21" spans="2:9">
      <c r="B21" s="15" t="s">
        <v>26</v>
      </c>
      <c r="C21" s="16"/>
      <c r="D21" s="24">
        <f>+I68</f>
        <v>447.25</v>
      </c>
      <c r="E21" s="130">
        <v>0</v>
      </c>
      <c r="F21" s="130"/>
      <c r="G21" s="130">
        <v>0</v>
      </c>
      <c r="H21" s="73">
        <f t="shared" si="0"/>
        <v>0</v>
      </c>
      <c r="I21" s="74">
        <f t="shared" si="1"/>
        <v>0</v>
      </c>
    </row>
    <row r="22" spans="2:9">
      <c r="B22" s="15" t="s">
        <v>7</v>
      </c>
      <c r="C22" s="16"/>
      <c r="D22" s="24">
        <f>+I72</f>
        <v>0</v>
      </c>
      <c r="E22" s="130">
        <v>0</v>
      </c>
      <c r="F22" s="130"/>
      <c r="G22" s="130">
        <v>0</v>
      </c>
      <c r="H22" s="73">
        <f t="shared" si="0"/>
        <v>0</v>
      </c>
      <c r="I22" s="74">
        <f t="shared" si="1"/>
        <v>0</v>
      </c>
    </row>
    <row r="23" spans="2:9">
      <c r="B23" s="15" t="s">
        <v>27</v>
      </c>
      <c r="C23" s="16"/>
      <c r="D23" s="24">
        <f>+I75</f>
        <v>0</v>
      </c>
      <c r="E23" s="130">
        <v>0</v>
      </c>
      <c r="F23" s="130"/>
      <c r="G23" s="130">
        <v>0</v>
      </c>
      <c r="H23" s="73">
        <f t="shared" si="0"/>
        <v>0</v>
      </c>
      <c r="I23" s="74">
        <f t="shared" si="1"/>
        <v>0</v>
      </c>
    </row>
    <row r="24" spans="2:9">
      <c r="B24" s="15" t="s">
        <v>5</v>
      </c>
      <c r="C24" s="16"/>
      <c r="D24" s="24">
        <f>+I78</f>
        <v>0</v>
      </c>
      <c r="E24" s="130">
        <v>0</v>
      </c>
      <c r="F24" s="130"/>
      <c r="G24" s="130">
        <v>0</v>
      </c>
      <c r="H24" s="73">
        <f t="shared" si="0"/>
        <v>0</v>
      </c>
      <c r="I24" s="74">
        <f t="shared" si="1"/>
        <v>0</v>
      </c>
    </row>
    <row r="25" spans="2:9">
      <c r="B25" s="15" t="s">
        <v>20</v>
      </c>
      <c r="C25" s="16"/>
      <c r="D25" s="75">
        <f>+I81</f>
        <v>0</v>
      </c>
      <c r="E25" s="130">
        <v>0</v>
      </c>
      <c r="F25" s="130"/>
      <c r="G25" s="130">
        <v>0</v>
      </c>
      <c r="H25" s="133">
        <f t="shared" si="0"/>
        <v>0</v>
      </c>
      <c r="I25" s="134">
        <f t="shared" si="1"/>
        <v>0</v>
      </c>
    </row>
    <row r="26" spans="2:9">
      <c r="B26" s="26" t="s">
        <v>19</v>
      </c>
      <c r="C26" s="27"/>
      <c r="D26" s="51">
        <f>SUM(D17:D25)</f>
        <v>450.37900000000002</v>
      </c>
      <c r="E26" s="28"/>
      <c r="F26" s="28"/>
      <c r="G26" s="28"/>
      <c r="H26" s="51">
        <f>SUM(H17:H25)</f>
        <v>2.3467499999999997</v>
      </c>
      <c r="I26" s="77">
        <f>SUM(I17:I25)</f>
        <v>2.8161</v>
      </c>
    </row>
    <row r="31" spans="2:9" ht="15.75">
      <c r="B31" s="50" t="s">
        <v>28</v>
      </c>
      <c r="I31" s="140"/>
    </row>
    <row r="32" spans="2:9">
      <c r="B32" s="29" t="s">
        <v>89</v>
      </c>
      <c r="C32" s="30"/>
      <c r="D32" s="30"/>
      <c r="E32" s="31"/>
      <c r="F32" s="31"/>
      <c r="G32" s="31"/>
      <c r="H32" s="31"/>
      <c r="I32" s="32"/>
    </row>
    <row r="33" spans="2:11" ht="29.25" customHeight="1">
      <c r="B33" s="1943" t="s">
        <v>823</v>
      </c>
      <c r="C33" s="1994"/>
      <c r="D33" s="1994"/>
      <c r="E33" s="1994"/>
      <c r="F33" s="1994"/>
      <c r="G33" s="1994"/>
      <c r="H33" s="1994"/>
      <c r="I33" s="2177"/>
    </row>
    <row r="34" spans="2:11">
      <c r="B34" s="33"/>
      <c r="C34" s="34"/>
      <c r="D34" s="34"/>
      <c r="E34" s="35"/>
      <c r="F34" s="35"/>
      <c r="G34" s="35"/>
      <c r="H34" s="35"/>
      <c r="I34" s="36"/>
    </row>
    <row r="35" spans="2:11">
      <c r="B35" s="37" t="s">
        <v>824</v>
      </c>
      <c r="C35" s="34"/>
      <c r="D35" s="34"/>
      <c r="E35" s="35"/>
      <c r="F35" s="35"/>
      <c r="G35" s="35"/>
      <c r="H35" s="35"/>
      <c r="I35" s="36"/>
    </row>
    <row r="36" spans="2:11">
      <c r="B36" s="37"/>
      <c r="C36" s="34"/>
      <c r="D36" s="34"/>
      <c r="E36" s="35"/>
      <c r="F36" s="35"/>
      <c r="G36" s="35"/>
      <c r="H36" s="35"/>
      <c r="I36" s="36"/>
    </row>
    <row r="37" spans="2:11">
      <c r="B37" s="38" t="s">
        <v>25</v>
      </c>
      <c r="C37" s="34"/>
      <c r="D37" s="39" t="s">
        <v>91</v>
      </c>
      <c r="E37" s="6"/>
      <c r="F37" s="35"/>
      <c r="G37" s="35"/>
      <c r="H37" s="35"/>
      <c r="I37" s="36"/>
      <c r="J37" s="49"/>
    </row>
    <row r="38" spans="2:11">
      <c r="B38" s="37"/>
      <c r="C38" s="34"/>
      <c r="D38" s="35"/>
      <c r="E38" s="6"/>
      <c r="F38" s="35"/>
      <c r="G38" s="35"/>
      <c r="H38" s="35"/>
      <c r="I38" s="36"/>
    </row>
    <row r="39" spans="2:11">
      <c r="B39" s="38" t="s">
        <v>8</v>
      </c>
      <c r="C39" s="34"/>
      <c r="D39" s="39" t="s">
        <v>825</v>
      </c>
      <c r="E39" s="6" t="s">
        <v>826</v>
      </c>
      <c r="F39" s="35"/>
      <c r="G39" s="35"/>
      <c r="H39" s="35"/>
      <c r="I39" s="36"/>
    </row>
    <row r="40" spans="2:11">
      <c r="B40" s="38" t="s">
        <v>9</v>
      </c>
      <c r="C40" s="34"/>
      <c r="D40" s="92">
        <v>15</v>
      </c>
      <c r="E40" s="6"/>
      <c r="F40" s="35"/>
      <c r="G40" s="35"/>
      <c r="H40" s="35"/>
      <c r="I40" s="36"/>
    </row>
    <row r="41" spans="2:11">
      <c r="B41" s="38" t="s">
        <v>10</v>
      </c>
      <c r="C41" s="35"/>
      <c r="D41" s="93">
        <v>0.05</v>
      </c>
      <c r="E41" s="6"/>
      <c r="F41" s="35"/>
      <c r="G41" s="35"/>
      <c r="H41" s="35"/>
      <c r="I41" s="147" t="s">
        <v>6</v>
      </c>
    </row>
    <row r="42" spans="2:11">
      <c r="B42" s="40"/>
      <c r="C42" s="35"/>
      <c r="D42" s="35"/>
      <c r="E42" s="41"/>
      <c r="F42" s="35"/>
      <c r="G42" s="35"/>
      <c r="H42" s="35"/>
      <c r="I42" s="149"/>
    </row>
    <row r="43" spans="2:11">
      <c r="B43" s="42" t="s">
        <v>0</v>
      </c>
      <c r="C43" s="35"/>
      <c r="D43" s="35"/>
      <c r="E43" s="35"/>
      <c r="F43" s="35"/>
      <c r="G43" s="35"/>
      <c r="H43" s="35"/>
      <c r="I43" s="46">
        <v>2.98</v>
      </c>
      <c r="K43" s="1217"/>
    </row>
    <row r="44" spans="2:11">
      <c r="B44" s="37" t="s">
        <v>827</v>
      </c>
      <c r="C44" s="35"/>
      <c r="D44" s="1167" t="s">
        <v>447</v>
      </c>
      <c r="E44" s="1167" t="s">
        <v>46</v>
      </c>
      <c r="F44" s="1167" t="s">
        <v>828</v>
      </c>
      <c r="G44" s="35"/>
      <c r="H44" s="35"/>
      <c r="I44" s="46"/>
      <c r="K44" s="2" t="s">
        <v>829</v>
      </c>
    </row>
    <row r="45" spans="2:11">
      <c r="B45" s="40" t="s">
        <v>830</v>
      </c>
      <c r="C45" s="6"/>
      <c r="D45" s="63">
        <v>166</v>
      </c>
      <c r="E45" s="63" t="s">
        <v>831</v>
      </c>
      <c r="F45" s="1218">
        <v>5</v>
      </c>
      <c r="G45" s="35"/>
      <c r="H45" s="35"/>
      <c r="I45" s="36"/>
      <c r="K45" s="2" t="s">
        <v>829</v>
      </c>
    </row>
    <row r="46" spans="2:11">
      <c r="B46" s="40" t="s">
        <v>832</v>
      </c>
      <c r="C46" s="6"/>
      <c r="D46" s="63">
        <v>10</v>
      </c>
      <c r="E46" s="63" t="s">
        <v>833</v>
      </c>
      <c r="F46" s="1218">
        <v>35</v>
      </c>
      <c r="G46" s="35"/>
      <c r="H46" s="35"/>
      <c r="I46" s="36"/>
      <c r="K46" s="2" t="s">
        <v>829</v>
      </c>
    </row>
    <row r="47" spans="2:11">
      <c r="B47" s="40" t="s">
        <v>834</v>
      </c>
      <c r="C47" s="6"/>
      <c r="D47" s="63">
        <v>5</v>
      </c>
      <c r="E47" s="63" t="s">
        <v>833</v>
      </c>
      <c r="F47" s="1219">
        <v>55</v>
      </c>
      <c r="G47" s="35"/>
      <c r="H47" s="35"/>
      <c r="I47" s="36"/>
      <c r="K47" s="2" t="s">
        <v>829</v>
      </c>
    </row>
    <row r="48" spans="2:11">
      <c r="B48" s="756"/>
      <c r="C48" s="6"/>
      <c r="D48" s="1173"/>
      <c r="E48" s="35"/>
      <c r="F48" s="1171">
        <f>SUMPRODUCT(D45:D47,F45:F47)</f>
        <v>1455</v>
      </c>
      <c r="G48" s="35"/>
      <c r="H48" s="35"/>
      <c r="I48" s="36"/>
      <c r="K48" s="2" t="s">
        <v>829</v>
      </c>
    </row>
    <row r="49" spans="2:17">
      <c r="B49" s="1220" t="s">
        <v>835</v>
      </c>
      <c r="C49" s="35"/>
      <c r="D49" s="6"/>
      <c r="E49" s="35"/>
      <c r="F49" s="1171">
        <f>+F48</f>
        <v>1455</v>
      </c>
      <c r="G49" s="35"/>
      <c r="H49" s="35"/>
      <c r="I49" s="36"/>
      <c r="K49" s="2" t="s">
        <v>829</v>
      </c>
    </row>
    <row r="50" spans="2:17">
      <c r="B50" s="40" t="s">
        <v>836</v>
      </c>
      <c r="C50" s="6"/>
      <c r="D50" s="6"/>
      <c r="E50" s="1221"/>
      <c r="F50" s="35"/>
      <c r="G50" s="35"/>
      <c r="H50" s="35"/>
      <c r="I50" s="36"/>
      <c r="K50" s="2" t="s">
        <v>829</v>
      </c>
    </row>
    <row r="51" spans="2:17">
      <c r="B51" s="42" t="s">
        <v>2</v>
      </c>
      <c r="C51" s="35"/>
      <c r="D51" s="35"/>
      <c r="E51" s="35"/>
      <c r="F51" s="35"/>
      <c r="G51" s="35"/>
      <c r="H51" s="35"/>
      <c r="I51" s="48"/>
      <c r="K51" s="2" t="s">
        <v>829</v>
      </c>
      <c r="M51" s="1222"/>
    </row>
    <row r="52" spans="2:17">
      <c r="B52" s="1220" t="s">
        <v>837</v>
      </c>
      <c r="C52" s="35"/>
      <c r="D52" s="35"/>
      <c r="E52" s="35"/>
      <c r="F52" s="35"/>
      <c r="G52" s="35"/>
      <c r="H52" s="35"/>
      <c r="I52" s="48"/>
      <c r="K52" s="2" t="s">
        <v>829</v>
      </c>
      <c r="M52" s="1222"/>
    </row>
    <row r="53" spans="2:17">
      <c r="B53" s="40" t="s">
        <v>838</v>
      </c>
      <c r="C53" s="6"/>
      <c r="D53" s="1223">
        <v>50</v>
      </c>
      <c r="E53" s="6"/>
      <c r="F53" s="35"/>
      <c r="G53" s="35"/>
      <c r="H53" s="35"/>
      <c r="I53" s="48"/>
      <c r="K53" s="2" t="s">
        <v>829</v>
      </c>
      <c r="M53" s="1222"/>
    </row>
    <row r="54" spans="2:17">
      <c r="B54" s="40" t="s">
        <v>839</v>
      </c>
      <c r="C54" s="6"/>
      <c r="D54" s="1223" t="s">
        <v>833</v>
      </c>
      <c r="E54" s="6"/>
      <c r="F54" s="35"/>
      <c r="G54" s="35"/>
      <c r="H54" s="35"/>
      <c r="I54" s="48"/>
      <c r="K54" s="2" t="s">
        <v>829</v>
      </c>
      <c r="M54" s="1222"/>
    </row>
    <row r="55" spans="2:17">
      <c r="B55" s="1224" t="s">
        <v>840</v>
      </c>
      <c r="C55" s="6"/>
      <c r="D55" s="1225">
        <v>125</v>
      </c>
      <c r="E55" s="6"/>
      <c r="F55" s="35"/>
      <c r="G55" s="35"/>
      <c r="H55" s="35"/>
      <c r="I55" s="48"/>
      <c r="K55" s="2" t="s">
        <v>829</v>
      </c>
      <c r="M55" s="1222"/>
    </row>
    <row r="56" spans="2:17">
      <c r="B56" s="40" t="s">
        <v>841</v>
      </c>
      <c r="C56" s="6"/>
      <c r="D56" s="1226">
        <f>D55/D53</f>
        <v>2.5</v>
      </c>
      <c r="E56" s="6"/>
      <c r="F56" s="35"/>
      <c r="G56" s="35"/>
      <c r="H56" s="35"/>
      <c r="I56" s="48"/>
      <c r="K56" s="2" t="s">
        <v>829</v>
      </c>
      <c r="M56" s="1222"/>
    </row>
    <row r="57" spans="2:17">
      <c r="B57" s="40" t="s">
        <v>842</v>
      </c>
      <c r="C57" s="35"/>
      <c r="D57" s="1227">
        <v>3000</v>
      </c>
      <c r="E57" s="35"/>
      <c r="F57" s="35"/>
      <c r="G57" s="35"/>
      <c r="H57" s="35"/>
      <c r="I57" s="48"/>
      <c r="K57" s="2" t="s">
        <v>829</v>
      </c>
      <c r="M57" s="1222"/>
    </row>
    <row r="58" spans="2:17">
      <c r="B58" s="1220" t="s">
        <v>843</v>
      </c>
      <c r="C58" s="35"/>
      <c r="D58" s="1228">
        <f>+D57*D56</f>
        <v>7500</v>
      </c>
      <c r="E58" s="1229"/>
      <c r="F58" s="35"/>
      <c r="G58" s="35"/>
      <c r="H58" s="35"/>
      <c r="I58" s="48"/>
      <c r="K58" s="2" t="s">
        <v>829</v>
      </c>
      <c r="M58" s="1222"/>
    </row>
    <row r="59" spans="2:17">
      <c r="B59" s="1220" t="s">
        <v>843</v>
      </c>
      <c r="C59" s="35"/>
      <c r="D59" s="1230">
        <f>+D58</f>
        <v>7500</v>
      </c>
      <c r="E59" s="35"/>
      <c r="F59" s="35"/>
      <c r="G59" s="35"/>
      <c r="H59" s="35"/>
      <c r="I59" s="48"/>
      <c r="K59" s="2" t="s">
        <v>829</v>
      </c>
      <c r="M59" s="1222"/>
    </row>
    <row r="60" spans="2:17">
      <c r="B60" s="1220"/>
      <c r="C60" s="35"/>
      <c r="D60" s="1228"/>
      <c r="E60" s="35"/>
      <c r="F60" s="35"/>
      <c r="G60" s="35"/>
      <c r="H60" s="35"/>
      <c r="I60" s="48"/>
      <c r="K60" s="2" t="s">
        <v>829</v>
      </c>
      <c r="M60" s="1222"/>
    </row>
    <row r="61" spans="2:17">
      <c r="B61" s="42" t="s">
        <v>3</v>
      </c>
      <c r="C61" s="35"/>
      <c r="D61" s="35"/>
      <c r="E61" s="35"/>
      <c r="F61" s="35"/>
      <c r="G61" s="35"/>
      <c r="H61" s="35"/>
      <c r="I61" s="48">
        <v>0</v>
      </c>
      <c r="K61" s="2" t="s">
        <v>829</v>
      </c>
    </row>
    <row r="62" spans="2:17">
      <c r="B62" s="1220" t="s">
        <v>837</v>
      </c>
      <c r="C62" s="35"/>
      <c r="D62" s="35"/>
      <c r="E62" s="35"/>
      <c r="F62" s="35"/>
      <c r="G62" s="35"/>
      <c r="H62" s="35"/>
      <c r="I62" s="48"/>
      <c r="K62" s="2" t="s">
        <v>829</v>
      </c>
      <c r="Q62" s="79"/>
    </row>
    <row r="63" spans="2:17">
      <c r="B63" s="40" t="s">
        <v>844</v>
      </c>
      <c r="C63" s="6"/>
      <c r="D63" s="6"/>
      <c r="E63" s="6"/>
      <c r="F63" s="1231"/>
      <c r="G63" s="35"/>
      <c r="H63" s="35"/>
      <c r="I63" s="48"/>
      <c r="K63" s="2" t="s">
        <v>829</v>
      </c>
      <c r="Q63" s="79"/>
    </row>
    <row r="64" spans="2:17">
      <c r="B64" s="33"/>
      <c r="C64" s="35"/>
      <c r="D64" s="35"/>
      <c r="E64" s="35"/>
      <c r="F64" s="35"/>
      <c r="G64" s="35"/>
      <c r="H64" s="35"/>
      <c r="I64" s="36"/>
      <c r="K64" s="2" t="s">
        <v>829</v>
      </c>
    </row>
    <row r="65" spans="2:11">
      <c r="B65" s="42" t="s">
        <v>4</v>
      </c>
      <c r="C65" s="35"/>
      <c r="D65" s="35"/>
      <c r="E65" s="35"/>
      <c r="F65" s="35"/>
      <c r="G65" s="35"/>
      <c r="H65" s="35"/>
      <c r="I65" s="48">
        <f>0.05*(I43+I51+I61)</f>
        <v>0.14899999999999999</v>
      </c>
      <c r="K65" s="2" t="s">
        <v>829</v>
      </c>
    </row>
    <row r="66" spans="2:11">
      <c r="B66" s="33" t="s">
        <v>845</v>
      </c>
      <c r="C66" s="35"/>
      <c r="D66" s="35"/>
      <c r="E66" s="35"/>
      <c r="F66" s="35"/>
      <c r="G66" s="35"/>
      <c r="H66" s="35"/>
      <c r="I66" s="36"/>
    </row>
    <row r="67" spans="2:11">
      <c r="B67" s="37"/>
      <c r="C67" s="35"/>
      <c r="D67" s="35"/>
      <c r="E67" s="35"/>
      <c r="F67" s="35"/>
      <c r="G67" s="35"/>
      <c r="H67" s="35"/>
      <c r="I67" s="36"/>
    </row>
    <row r="68" spans="2:11">
      <c r="B68" s="42" t="s">
        <v>26</v>
      </c>
      <c r="C68" s="35"/>
      <c r="D68" s="35"/>
      <c r="E68" s="35"/>
      <c r="F68" s="35"/>
      <c r="G68" s="35"/>
      <c r="H68" s="35"/>
      <c r="I68" s="48">
        <v>447.25</v>
      </c>
    </row>
    <row r="69" spans="2:11" ht="29.25" customHeight="1">
      <c r="B69" s="2178" t="s">
        <v>846</v>
      </c>
      <c r="C69" s="2179"/>
      <c r="D69" s="2179"/>
      <c r="E69" s="2179"/>
      <c r="F69" s="2179"/>
      <c r="G69" s="2179"/>
      <c r="H69" s="35"/>
      <c r="I69" s="48"/>
    </row>
    <row r="70" spans="2:11">
      <c r="B70" s="33" t="s">
        <v>847</v>
      </c>
      <c r="C70" s="35"/>
      <c r="D70" s="35"/>
      <c r="E70" s="35"/>
      <c r="F70" s="35"/>
      <c r="G70" s="35"/>
      <c r="H70" s="35"/>
      <c r="I70" s="36"/>
    </row>
    <row r="71" spans="2:11">
      <c r="B71" s="37"/>
      <c r="C71" s="35"/>
      <c r="D71" s="35"/>
      <c r="E71" s="35"/>
      <c r="F71" s="35"/>
      <c r="G71" s="35"/>
      <c r="H71" s="35"/>
      <c r="I71" s="36"/>
    </row>
    <row r="72" spans="2:11">
      <c r="B72" s="42" t="s">
        <v>7</v>
      </c>
      <c r="C72" s="35"/>
      <c r="D72" s="35"/>
      <c r="E72" s="35"/>
      <c r="F72" s="35"/>
      <c r="G72" s="35"/>
      <c r="H72" s="35"/>
      <c r="I72" s="46">
        <v>0</v>
      </c>
    </row>
    <row r="73" spans="2:11">
      <c r="B73" s="33" t="s">
        <v>104</v>
      </c>
      <c r="C73" s="35"/>
      <c r="D73" s="35"/>
      <c r="E73" s="35"/>
      <c r="F73" s="35"/>
      <c r="G73" s="35"/>
      <c r="H73" s="35"/>
      <c r="I73" s="36"/>
    </row>
    <row r="74" spans="2:11">
      <c r="B74" s="37"/>
      <c r="C74" s="35"/>
      <c r="D74" s="35"/>
      <c r="E74" s="35"/>
      <c r="F74" s="35"/>
      <c r="G74" s="35"/>
      <c r="H74" s="35"/>
      <c r="I74" s="36"/>
    </row>
    <row r="75" spans="2:11">
      <c r="B75" s="42" t="s">
        <v>27</v>
      </c>
      <c r="C75" s="35"/>
      <c r="D75" s="35"/>
      <c r="E75" s="35"/>
      <c r="F75" s="35"/>
      <c r="G75" s="35"/>
      <c r="H75" s="35"/>
      <c r="I75" s="46">
        <v>0</v>
      </c>
      <c r="K75" s="1217"/>
    </row>
    <row r="76" spans="2:11">
      <c r="B76" s="33" t="s">
        <v>848</v>
      </c>
      <c r="C76" s="35"/>
      <c r="D76" s="35"/>
      <c r="E76" s="35"/>
      <c r="F76" s="35"/>
      <c r="G76" s="35"/>
      <c r="H76" s="35"/>
      <c r="I76" s="47"/>
    </row>
    <row r="77" spans="2:11">
      <c r="B77" s="33"/>
      <c r="C77" s="35"/>
      <c r="D77" s="35"/>
      <c r="E77" s="35"/>
      <c r="F77" s="35"/>
      <c r="G77" s="35"/>
      <c r="H77" s="35"/>
      <c r="I77" s="47"/>
    </row>
    <row r="78" spans="2:11">
      <c r="B78" s="42" t="s">
        <v>5</v>
      </c>
      <c r="C78" s="35"/>
      <c r="D78" s="35"/>
      <c r="E78" s="35"/>
      <c r="F78" s="35"/>
      <c r="G78" s="35"/>
      <c r="H78" s="35"/>
      <c r="I78" s="46">
        <v>0</v>
      </c>
    </row>
    <row r="79" spans="2:11">
      <c r="B79" s="33" t="s">
        <v>849</v>
      </c>
      <c r="C79" s="35"/>
      <c r="D79" s="35"/>
      <c r="E79" s="35"/>
      <c r="F79" s="35"/>
      <c r="G79" s="35"/>
      <c r="H79" s="35"/>
      <c r="I79" s="47"/>
    </row>
    <row r="80" spans="2:11">
      <c r="B80" s="37"/>
      <c r="C80" s="35"/>
      <c r="D80" s="35"/>
      <c r="E80" s="35"/>
      <c r="F80" s="35"/>
      <c r="G80" s="35"/>
      <c r="H80" s="35"/>
      <c r="I80" s="36"/>
    </row>
    <row r="81" spans="2:9">
      <c r="B81" s="42" t="s">
        <v>20</v>
      </c>
      <c r="C81" s="35"/>
      <c r="D81" s="35"/>
      <c r="E81" s="35"/>
      <c r="F81" s="35"/>
      <c r="G81" s="35"/>
      <c r="H81" s="35"/>
      <c r="I81" s="46">
        <v>0</v>
      </c>
    </row>
    <row r="82" spans="2:9">
      <c r="B82" s="33"/>
      <c r="C82" s="35"/>
      <c r="D82" s="35"/>
      <c r="E82" s="35"/>
      <c r="F82" s="35"/>
      <c r="G82" s="35"/>
      <c r="H82" s="35"/>
      <c r="I82" s="36"/>
    </row>
    <row r="83" spans="2:9">
      <c r="B83" s="40"/>
      <c r="C83" s="35"/>
      <c r="D83" s="35"/>
      <c r="E83" s="35"/>
      <c r="F83" s="35"/>
      <c r="G83" s="35"/>
      <c r="H83" s="35"/>
      <c r="I83" s="36"/>
    </row>
    <row r="84" spans="2:9">
      <c r="B84" s="43" t="s">
        <v>11</v>
      </c>
      <c r="C84" s="44"/>
      <c r="D84" s="44"/>
      <c r="E84" s="44"/>
      <c r="F84" s="44"/>
      <c r="G84" s="44"/>
      <c r="H84" s="44"/>
      <c r="I84" s="52">
        <f>+I81+I78+I75+I72+I68+I65+I61+I51+I43</f>
        <v>450.37900000000002</v>
      </c>
    </row>
    <row r="86" spans="2:9">
      <c r="B86" s="2" t="s">
        <v>638</v>
      </c>
    </row>
    <row r="87" spans="2:9">
      <c r="B87" s="2" t="s">
        <v>850</v>
      </c>
    </row>
    <row r="129" spans="5:5">
      <c r="E129" s="57"/>
    </row>
    <row r="130" spans="5:5">
      <c r="E130" s="57"/>
    </row>
    <row r="131" spans="5:5">
      <c r="E131" s="57"/>
    </row>
    <row r="132" spans="5:5">
      <c r="E132" s="57"/>
    </row>
    <row r="133" spans="5:5">
      <c r="E133" s="57"/>
    </row>
    <row r="134" spans="5:5">
      <c r="E134" s="57"/>
    </row>
    <row r="135" spans="5:5">
      <c r="E135" s="57"/>
    </row>
    <row r="137" spans="5:5">
      <c r="E137" s="57"/>
    </row>
    <row r="139" spans="5:5">
      <c r="E139" s="56"/>
    </row>
    <row r="141" spans="5:5">
      <c r="E141" s="57"/>
    </row>
  </sheetData>
  <mergeCells count="2">
    <mergeCell ref="B33:I33"/>
    <mergeCell ref="B69:G69"/>
  </mergeCells>
  <pageMargins left="0.75" right="0.75" top="1" bottom="1" header="0.5" footer="0.5"/>
  <pageSetup scale="71" orientation="portrait" r:id="rId1"/>
  <headerFooter alignWithMargins="0"/>
</worksheet>
</file>

<file path=xl/worksheets/sheet152.xml><?xml version="1.0" encoding="utf-8"?>
<worksheet xmlns="http://schemas.openxmlformats.org/spreadsheetml/2006/main" xmlns:r="http://schemas.openxmlformats.org/officeDocument/2006/relationships">
  <dimension ref="A1:M109"/>
  <sheetViews>
    <sheetView zoomScaleNormal="100" workbookViewId="0">
      <selection activeCell="I9" sqref="I9"/>
    </sheetView>
  </sheetViews>
  <sheetFormatPr defaultRowHeight="12.75"/>
  <cols>
    <col min="1" max="1" width="11.42578125" style="637" customWidth="1"/>
    <col min="2" max="2" width="17.5703125" style="637" customWidth="1"/>
    <col min="3" max="3" width="12.28515625" style="637" customWidth="1"/>
    <col min="4" max="4" width="11.140625" style="637" customWidth="1"/>
    <col min="5" max="12" width="15.7109375" style="637" customWidth="1"/>
    <col min="13" max="16384" width="9.140625" style="637"/>
  </cols>
  <sheetData>
    <row r="1" spans="1:13" ht="15.75" customHeight="1">
      <c r="A1" s="2027" t="s">
        <v>493</v>
      </c>
      <c r="B1" s="2028"/>
      <c r="C1" s="2028"/>
      <c r="D1" s="2029"/>
      <c r="E1" s="2029"/>
      <c r="F1" s="2029"/>
      <c r="G1" s="2029"/>
      <c r="H1" s="2030"/>
      <c r="I1" s="636"/>
      <c r="J1" s="636"/>
      <c r="K1" s="636"/>
      <c r="L1" s="636"/>
      <c r="M1" s="636"/>
    </row>
    <row r="2" spans="1:13" ht="15.75">
      <c r="A2" s="2031" t="s">
        <v>494</v>
      </c>
      <c r="B2" s="2032"/>
      <c r="C2" s="2032"/>
      <c r="D2" s="2033"/>
      <c r="E2" s="2033"/>
      <c r="F2" s="2033"/>
      <c r="G2" s="2033"/>
      <c r="H2" s="2034"/>
      <c r="I2" s="636"/>
      <c r="J2" s="636"/>
      <c r="K2" s="636"/>
      <c r="L2" s="636"/>
      <c r="M2" s="636"/>
    </row>
    <row r="3" spans="1:13" ht="15.75">
      <c r="A3" s="2031" t="s">
        <v>1451</v>
      </c>
      <c r="B3" s="2032"/>
      <c r="C3" s="2032"/>
      <c r="D3" s="2033"/>
      <c r="E3" s="2033"/>
      <c r="F3" s="2033"/>
      <c r="G3" s="2033"/>
      <c r="H3" s="2034"/>
      <c r="I3" s="636"/>
      <c r="J3" s="636"/>
      <c r="K3" s="636"/>
      <c r="L3" s="636"/>
      <c r="M3" s="636"/>
    </row>
    <row r="4" spans="1:13" ht="16.5" thickBot="1">
      <c r="A4" s="2031" t="s">
        <v>1452</v>
      </c>
      <c r="B4" s="2032"/>
      <c r="C4" s="2032"/>
      <c r="D4" s="2033"/>
      <c r="E4" s="2033"/>
      <c r="F4" s="2033"/>
      <c r="G4" s="2033"/>
      <c r="H4" s="2034"/>
      <c r="I4" s="636"/>
      <c r="J4" s="636"/>
      <c r="K4" s="636"/>
      <c r="L4" s="636"/>
      <c r="M4" s="636"/>
    </row>
    <row r="5" spans="1:13" ht="17.25" thickBot="1">
      <c r="A5" s="2035" t="s">
        <v>17</v>
      </c>
      <c r="B5" s="2036"/>
      <c r="C5" s="2036"/>
      <c r="D5" s="2037"/>
      <c r="E5" s="2037"/>
      <c r="F5" s="2037"/>
      <c r="G5" s="2037"/>
      <c r="H5" s="2037"/>
      <c r="I5" s="636"/>
      <c r="J5" s="636"/>
      <c r="K5" s="636"/>
      <c r="L5" s="636"/>
      <c r="M5" s="636"/>
    </row>
    <row r="6" spans="1:13" ht="33">
      <c r="A6" s="638" t="s">
        <v>37</v>
      </c>
      <c r="B6" s="639" t="s">
        <v>22</v>
      </c>
      <c r="C6" s="2038" t="s">
        <v>497</v>
      </c>
      <c r="D6" s="2038"/>
      <c r="E6" s="2038" t="s">
        <v>30</v>
      </c>
      <c r="F6" s="2038"/>
      <c r="G6" s="639" t="s">
        <v>498</v>
      </c>
      <c r="H6" s="640" t="s">
        <v>76</v>
      </c>
      <c r="I6" s="641"/>
    </row>
    <row r="7" spans="1:13" ht="34.5" customHeight="1">
      <c r="A7" s="642">
        <f>D25</f>
        <v>441</v>
      </c>
      <c r="B7" s="643" t="s">
        <v>499</v>
      </c>
      <c r="C7" s="2042" t="str">
        <f>E25</f>
        <v>Irrigation System, Microirrigation</v>
      </c>
      <c r="D7" s="2042"/>
      <c r="E7" s="2042" t="str">
        <f>D26</f>
        <v>Microirrigation for Seasonal High Tunnels</v>
      </c>
      <c r="F7" s="2042"/>
      <c r="G7" s="643" t="s">
        <v>1453</v>
      </c>
      <c r="H7" s="645">
        <f>F22</f>
        <v>253.92000000000002</v>
      </c>
      <c r="I7" s="641"/>
    </row>
    <row r="8" spans="1:13" ht="34.5" customHeight="1" thickBot="1">
      <c r="A8" s="646">
        <f>D25</f>
        <v>441</v>
      </c>
      <c r="B8" s="1417" t="s">
        <v>1454</v>
      </c>
      <c r="C8" s="2043" t="str">
        <f>E25</f>
        <v>Irrigation System, Microirrigation</v>
      </c>
      <c r="D8" s="2043"/>
      <c r="E8" s="2043" t="s">
        <v>1455</v>
      </c>
      <c r="F8" s="2043"/>
      <c r="G8" s="643" t="s">
        <v>1453</v>
      </c>
      <c r="H8" s="648">
        <f>H22</f>
        <v>304.70400000000001</v>
      </c>
      <c r="I8" s="641"/>
    </row>
    <row r="9" spans="1:13" ht="34.5" customHeight="1">
      <c r="I9" s="641"/>
    </row>
    <row r="10" spans="1:13" ht="34.5" customHeight="1">
      <c r="I10" s="641"/>
    </row>
    <row r="11" spans="1:13" ht="15.75" customHeight="1" thickBot="1">
      <c r="A11" s="2044" t="s">
        <v>18</v>
      </c>
      <c r="B11" s="2045"/>
      <c r="C11" s="2045"/>
      <c r="D11" s="2046"/>
      <c r="E11" s="2046"/>
      <c r="F11" s="2046"/>
      <c r="G11" s="2046"/>
      <c r="H11" s="2046"/>
    </row>
    <row r="12" spans="1:13" ht="49.5">
      <c r="A12" s="2047" t="s">
        <v>16</v>
      </c>
      <c r="B12" s="2048"/>
      <c r="C12" s="2048"/>
      <c r="D12" s="649" t="s">
        <v>6</v>
      </c>
      <c r="E12" s="649" t="s">
        <v>501</v>
      </c>
      <c r="F12" s="649" t="s">
        <v>502</v>
      </c>
      <c r="G12" s="649" t="s">
        <v>503</v>
      </c>
      <c r="H12" s="650" t="s">
        <v>504</v>
      </c>
    </row>
    <row r="13" spans="1:13" ht="16.5">
      <c r="A13" s="2039" t="s">
        <v>0</v>
      </c>
      <c r="B13" s="2040"/>
      <c r="C13" s="2040"/>
      <c r="D13" s="651">
        <f>G51</f>
        <v>182</v>
      </c>
      <c r="E13" s="652">
        <v>0.75</v>
      </c>
      <c r="F13" s="651">
        <f t="shared" ref="F13:F21" si="0">D13*E13</f>
        <v>136.5</v>
      </c>
      <c r="G13" s="652">
        <v>0.9</v>
      </c>
      <c r="H13" s="653">
        <f t="shared" ref="H13:H21" si="1">D13*G13</f>
        <v>163.80000000000001</v>
      </c>
    </row>
    <row r="14" spans="1:13" ht="16.5">
      <c r="A14" s="2039" t="s">
        <v>505</v>
      </c>
      <c r="B14" s="2040"/>
      <c r="C14" s="2040"/>
      <c r="D14" s="651">
        <f>G57</f>
        <v>0</v>
      </c>
      <c r="E14" s="652">
        <v>0.75</v>
      </c>
      <c r="F14" s="651">
        <f t="shared" si="0"/>
        <v>0</v>
      </c>
      <c r="G14" s="652">
        <v>0.9</v>
      </c>
      <c r="H14" s="653">
        <f t="shared" si="1"/>
        <v>0</v>
      </c>
    </row>
    <row r="15" spans="1:13" ht="16.5">
      <c r="A15" s="2039" t="s">
        <v>3</v>
      </c>
      <c r="B15" s="2040"/>
      <c r="C15" s="2040"/>
      <c r="D15" s="651">
        <f>G63</f>
        <v>156.56</v>
      </c>
      <c r="E15" s="652">
        <v>0.75</v>
      </c>
      <c r="F15" s="651">
        <f t="shared" si="0"/>
        <v>117.42</v>
      </c>
      <c r="G15" s="652">
        <v>0.9</v>
      </c>
      <c r="H15" s="653">
        <f t="shared" si="1"/>
        <v>140.904</v>
      </c>
    </row>
    <row r="16" spans="1:13" ht="16.5">
      <c r="A16" s="2039" t="s">
        <v>4</v>
      </c>
      <c r="B16" s="2040"/>
      <c r="C16" s="2040"/>
      <c r="D16" s="651">
        <f>G70</f>
        <v>0</v>
      </c>
      <c r="E16" s="652">
        <v>0.75</v>
      </c>
      <c r="F16" s="651">
        <f t="shared" si="0"/>
        <v>0</v>
      </c>
      <c r="G16" s="652">
        <v>0.9</v>
      </c>
      <c r="H16" s="653">
        <f t="shared" si="1"/>
        <v>0</v>
      </c>
    </row>
    <row r="17" spans="1:12" ht="16.5">
      <c r="A17" s="2039" t="s">
        <v>506</v>
      </c>
      <c r="B17" s="2040"/>
      <c r="C17" s="2040"/>
      <c r="D17" s="651">
        <f>G76</f>
        <v>10.1568</v>
      </c>
      <c r="E17" s="652">
        <v>0</v>
      </c>
      <c r="F17" s="651">
        <f t="shared" si="0"/>
        <v>0</v>
      </c>
      <c r="G17" s="652">
        <v>0</v>
      </c>
      <c r="H17" s="653">
        <f t="shared" si="1"/>
        <v>0</v>
      </c>
    </row>
    <row r="18" spans="1:12" ht="16.5">
      <c r="A18" s="2039" t="s">
        <v>507</v>
      </c>
      <c r="B18" s="2040"/>
      <c r="C18" s="2040"/>
      <c r="D18" s="651">
        <f>G82</f>
        <v>0</v>
      </c>
      <c r="E18" s="652">
        <v>0</v>
      </c>
      <c r="F18" s="651">
        <f t="shared" si="0"/>
        <v>0</v>
      </c>
      <c r="G18" s="652">
        <v>0</v>
      </c>
      <c r="H18" s="653">
        <f t="shared" si="1"/>
        <v>0</v>
      </c>
    </row>
    <row r="19" spans="1:12" ht="16.5">
      <c r="A19" s="2039" t="s">
        <v>27</v>
      </c>
      <c r="B19" s="2040"/>
      <c r="C19" s="2040"/>
      <c r="D19" s="651">
        <f>G88</f>
        <v>0</v>
      </c>
      <c r="E19" s="652">
        <v>0</v>
      </c>
      <c r="F19" s="651">
        <f t="shared" si="0"/>
        <v>0</v>
      </c>
      <c r="G19" s="652">
        <v>0</v>
      </c>
      <c r="H19" s="653">
        <f t="shared" si="1"/>
        <v>0</v>
      </c>
      <c r="I19" s="641"/>
    </row>
    <row r="20" spans="1:12" ht="16.5">
      <c r="A20" s="2039" t="s">
        <v>5</v>
      </c>
      <c r="B20" s="2040"/>
      <c r="C20" s="2040"/>
      <c r="D20" s="651">
        <f>G94</f>
        <v>0</v>
      </c>
      <c r="E20" s="652">
        <v>0</v>
      </c>
      <c r="F20" s="651">
        <f t="shared" si="0"/>
        <v>0</v>
      </c>
      <c r="G20" s="652">
        <v>0</v>
      </c>
      <c r="H20" s="653">
        <f t="shared" si="1"/>
        <v>0</v>
      </c>
    </row>
    <row r="21" spans="1:12" ht="16.5">
      <c r="A21" s="2039" t="s">
        <v>508</v>
      </c>
      <c r="B21" s="2040"/>
      <c r="C21" s="2040"/>
      <c r="D21" s="651">
        <f>G100</f>
        <v>0</v>
      </c>
      <c r="E21" s="652">
        <v>0</v>
      </c>
      <c r="F21" s="651">
        <f t="shared" si="0"/>
        <v>0</v>
      </c>
      <c r="G21" s="652">
        <v>0</v>
      </c>
      <c r="H21" s="653">
        <f t="shared" si="1"/>
        <v>0</v>
      </c>
    </row>
    <row r="22" spans="1:12" ht="17.25" thickBot="1">
      <c r="A22" s="2063" t="s">
        <v>509</v>
      </c>
      <c r="B22" s="2064"/>
      <c r="C22" s="2064"/>
      <c r="D22" s="654">
        <f>SUM(D13:D21)</f>
        <v>348.71679999999998</v>
      </c>
      <c r="E22" s="655"/>
      <c r="F22" s="654">
        <f>SUM(F13:F21)</f>
        <v>253.92000000000002</v>
      </c>
      <c r="G22" s="656"/>
      <c r="H22" s="657">
        <f>SUM(H13:H21)</f>
        <v>304.70400000000001</v>
      </c>
    </row>
    <row r="23" spans="1:12" ht="15">
      <c r="A23" s="658"/>
      <c r="B23" s="658"/>
      <c r="C23" s="658"/>
      <c r="D23" s="659"/>
      <c r="E23" s="660"/>
      <c r="F23" s="659"/>
      <c r="G23" s="661"/>
      <c r="H23" s="659"/>
      <c r="I23" s="661"/>
      <c r="J23" s="659"/>
      <c r="K23" s="661"/>
      <c r="L23" s="659"/>
    </row>
    <row r="24" spans="1:12" ht="17.25" thickBot="1">
      <c r="A24" s="2044" t="s">
        <v>510</v>
      </c>
      <c r="B24" s="2045"/>
      <c r="C24" s="2045"/>
      <c r="D24" s="2046"/>
      <c r="E24" s="2046"/>
      <c r="F24" s="2046"/>
      <c r="G24" s="2046"/>
      <c r="H24" s="2046"/>
    </row>
    <row r="25" spans="1:12" ht="16.5">
      <c r="A25" s="2180" t="s">
        <v>511</v>
      </c>
      <c r="B25" s="2181"/>
      <c r="C25" s="2182"/>
      <c r="D25" s="662">
        <v>441</v>
      </c>
      <c r="E25" s="2068" t="s">
        <v>1456</v>
      </c>
      <c r="F25" s="2069"/>
      <c r="G25" s="2069"/>
      <c r="H25" s="2070"/>
    </row>
    <row r="26" spans="1:12" ht="16.5">
      <c r="A26" s="2094" t="s">
        <v>513</v>
      </c>
      <c r="B26" s="2095"/>
      <c r="C26" s="2183"/>
      <c r="D26" s="2052" t="s">
        <v>1452</v>
      </c>
      <c r="E26" s="2053"/>
      <c r="F26" s="2053"/>
      <c r="G26" s="2053"/>
      <c r="H26" s="2054"/>
    </row>
    <row r="27" spans="1:12" ht="16.5">
      <c r="A27" s="2055" t="s">
        <v>385</v>
      </c>
      <c r="B27" s="2056"/>
      <c r="C27" s="2056"/>
      <c r="D27" s="2056"/>
      <c r="E27" s="2056"/>
      <c r="F27" s="2056"/>
      <c r="G27" s="2056"/>
      <c r="H27" s="2057"/>
    </row>
    <row r="28" spans="1:12" ht="84" customHeight="1">
      <c r="A28" s="2058" t="s">
        <v>1457</v>
      </c>
      <c r="B28" s="2059"/>
      <c r="C28" s="2059"/>
      <c r="D28" s="2059"/>
      <c r="E28" s="2059"/>
      <c r="F28" s="2059"/>
      <c r="G28" s="2059"/>
      <c r="H28" s="2060"/>
    </row>
    <row r="29" spans="1:12" ht="12.75" customHeight="1">
      <c r="A29" s="2055" t="s">
        <v>391</v>
      </c>
      <c r="B29" s="2056"/>
      <c r="C29" s="2056"/>
      <c r="D29" s="2056"/>
      <c r="E29" s="2056"/>
      <c r="F29" s="2056"/>
      <c r="G29" s="2056"/>
      <c r="H29" s="2057"/>
    </row>
    <row r="30" spans="1:12" ht="17.25" customHeight="1">
      <c r="A30" s="2058" t="s">
        <v>1458</v>
      </c>
      <c r="B30" s="2059"/>
      <c r="C30" s="2059"/>
      <c r="D30" s="2061"/>
      <c r="E30" s="2061"/>
      <c r="F30" s="2061"/>
      <c r="G30" s="2061"/>
      <c r="H30" s="2062"/>
    </row>
    <row r="31" spans="1:12">
      <c r="A31" s="663"/>
      <c r="B31" s="664"/>
      <c r="C31" s="664"/>
      <c r="D31" s="664"/>
      <c r="E31" s="664"/>
      <c r="F31" s="664"/>
      <c r="G31" s="664"/>
      <c r="H31" s="665"/>
    </row>
    <row r="32" spans="1:12" ht="16.5">
      <c r="A32" s="2090" t="s">
        <v>516</v>
      </c>
      <c r="B32" s="2091"/>
      <c r="C32" s="2091"/>
      <c r="D32" s="2092"/>
      <c r="E32" s="2092"/>
      <c r="F32" s="2092"/>
      <c r="G32" s="2093"/>
      <c r="H32" s="666" t="s">
        <v>91</v>
      </c>
    </row>
    <row r="33" spans="1:8" ht="16.5">
      <c r="A33" s="2094" t="s">
        <v>517</v>
      </c>
      <c r="B33" s="2095"/>
      <c r="C33" s="2095"/>
      <c r="D33" s="2096"/>
      <c r="E33" s="2096"/>
      <c r="F33" s="2096"/>
      <c r="G33" s="2097"/>
      <c r="H33" s="666" t="s">
        <v>47</v>
      </c>
    </row>
    <row r="34" spans="1:8" ht="16.5">
      <c r="A34" s="2084" t="s">
        <v>518</v>
      </c>
      <c r="B34" s="2085"/>
      <c r="C34" s="2085"/>
      <c r="D34" s="2098"/>
      <c r="E34" s="2098"/>
      <c r="F34" s="2098"/>
      <c r="G34" s="2099"/>
      <c r="H34" s="2100">
        <v>1</v>
      </c>
    </row>
    <row r="35" spans="1:8">
      <c r="A35" s="2102" t="s">
        <v>519</v>
      </c>
      <c r="B35" s="2103"/>
      <c r="C35" s="2103"/>
      <c r="D35" s="2103"/>
      <c r="E35" s="2103"/>
      <c r="F35" s="2103"/>
      <c r="G35" s="2104"/>
      <c r="H35" s="2101"/>
    </row>
    <row r="36" spans="1:8" ht="13.5">
      <c r="A36" s="2105" t="s">
        <v>520</v>
      </c>
      <c r="B36" s="2106"/>
      <c r="C36" s="2107"/>
      <c r="D36" s="667">
        <v>15</v>
      </c>
      <c r="E36" s="2108" t="s">
        <v>521</v>
      </c>
      <c r="F36" s="2109"/>
      <c r="G36" s="2110"/>
      <c r="H36" s="668">
        <v>0.06</v>
      </c>
    </row>
    <row r="37" spans="1:8" ht="5.25" customHeight="1">
      <c r="A37" s="669"/>
      <c r="B37" s="670"/>
      <c r="C37" s="670"/>
      <c r="D37" s="670"/>
      <c r="E37" s="670"/>
      <c r="F37" s="670"/>
      <c r="G37" s="670"/>
      <c r="H37" s="671"/>
    </row>
    <row r="38" spans="1:8" ht="16.5">
      <c r="A38" s="2071" t="s">
        <v>0</v>
      </c>
      <c r="B38" s="2072"/>
      <c r="C38" s="2072"/>
      <c r="D38" s="2072"/>
      <c r="E38" s="2072"/>
      <c r="F38" s="2072"/>
      <c r="G38" s="2072"/>
      <c r="H38" s="2073"/>
    </row>
    <row r="39" spans="1:8" ht="33">
      <c r="A39" s="2074" t="s">
        <v>522</v>
      </c>
      <c r="B39" s="2075"/>
      <c r="C39" s="2076"/>
      <c r="D39" s="672" t="s">
        <v>447</v>
      </c>
      <c r="E39" s="672" t="s">
        <v>6</v>
      </c>
      <c r="F39" s="672" t="s">
        <v>523</v>
      </c>
      <c r="G39" s="672" t="s">
        <v>524</v>
      </c>
      <c r="H39" s="673" t="s">
        <v>525</v>
      </c>
    </row>
    <row r="40" spans="1:8" ht="12.75" customHeight="1">
      <c r="A40" s="2184" t="s">
        <v>1459</v>
      </c>
      <c r="B40" s="2185"/>
      <c r="C40" s="2186"/>
      <c r="D40" s="674" t="s">
        <v>81</v>
      </c>
      <c r="E40" s="675">
        <v>3.04</v>
      </c>
      <c r="F40" s="674">
        <v>1</v>
      </c>
      <c r="G40" s="675">
        <f t="shared" ref="G40:G50" si="2">E40*F40</f>
        <v>3.04</v>
      </c>
      <c r="H40" s="676"/>
    </row>
    <row r="41" spans="1:8">
      <c r="A41" s="2184" t="s">
        <v>1460</v>
      </c>
      <c r="B41" s="2185"/>
      <c r="C41" s="2186"/>
      <c r="D41" s="674" t="s">
        <v>81</v>
      </c>
      <c r="E41" s="675">
        <v>0.82</v>
      </c>
      <c r="F41" s="674">
        <v>1</v>
      </c>
      <c r="G41" s="675">
        <f t="shared" si="2"/>
        <v>0.82</v>
      </c>
      <c r="H41" s="676"/>
    </row>
    <row r="42" spans="1:8" ht="12.75" customHeight="1">
      <c r="A42" s="2184" t="s">
        <v>1461</v>
      </c>
      <c r="B42" s="2185"/>
      <c r="C42" s="2186"/>
      <c r="D42" s="674" t="s">
        <v>81</v>
      </c>
      <c r="E42" s="675">
        <v>7.95</v>
      </c>
      <c r="F42" s="674">
        <v>1</v>
      </c>
      <c r="G42" s="675">
        <f t="shared" si="2"/>
        <v>7.95</v>
      </c>
      <c r="H42" s="676"/>
    </row>
    <row r="43" spans="1:8" ht="12.75" customHeight="1">
      <c r="A43" s="2184" t="s">
        <v>1462</v>
      </c>
      <c r="B43" s="2185"/>
      <c r="C43" s="2186"/>
      <c r="D43" s="674" t="s">
        <v>81</v>
      </c>
      <c r="E43" s="675">
        <v>5.43</v>
      </c>
      <c r="F43" s="674">
        <v>1</v>
      </c>
      <c r="G43" s="675">
        <f t="shared" si="2"/>
        <v>5.43</v>
      </c>
      <c r="H43" s="676"/>
    </row>
    <row r="44" spans="1:8" ht="12.75" customHeight="1">
      <c r="A44" s="2184" t="s">
        <v>1463</v>
      </c>
      <c r="B44" s="2185"/>
      <c r="C44" s="2186"/>
      <c r="D44" s="674" t="s">
        <v>81</v>
      </c>
      <c r="E44" s="675">
        <v>9.85</v>
      </c>
      <c r="F44" s="674">
        <v>4</v>
      </c>
      <c r="G44" s="675">
        <f t="shared" si="2"/>
        <v>39.4</v>
      </c>
      <c r="H44" s="676"/>
    </row>
    <row r="45" spans="1:8" ht="12.75" customHeight="1">
      <c r="A45" s="2184" t="s">
        <v>1464</v>
      </c>
      <c r="B45" s="2185"/>
      <c r="C45" s="2186"/>
      <c r="D45" s="674" t="s">
        <v>785</v>
      </c>
      <c r="E45" s="675">
        <v>0.2</v>
      </c>
      <c r="F45" s="674">
        <v>130</v>
      </c>
      <c r="G45" s="675">
        <f t="shared" si="2"/>
        <v>26</v>
      </c>
      <c r="H45" s="676"/>
    </row>
    <row r="46" spans="1:8">
      <c r="A46" s="2184" t="s">
        <v>1465</v>
      </c>
      <c r="B46" s="2185"/>
      <c r="C46" s="2186"/>
      <c r="D46" s="674" t="s">
        <v>785</v>
      </c>
      <c r="E46" s="675">
        <v>7.0000000000000007E-2</v>
      </c>
      <c r="F46" s="674">
        <v>400</v>
      </c>
      <c r="G46" s="675">
        <f t="shared" si="2"/>
        <v>28.000000000000004</v>
      </c>
      <c r="H46" s="676"/>
    </row>
    <row r="47" spans="1:8" ht="12.75" customHeight="1">
      <c r="A47" s="2184" t="s">
        <v>1466</v>
      </c>
      <c r="B47" s="2185"/>
      <c r="C47" s="2186"/>
      <c r="D47" s="674" t="s">
        <v>81</v>
      </c>
      <c r="E47" s="675">
        <v>0.56000000000000005</v>
      </c>
      <c r="F47" s="674">
        <v>6</v>
      </c>
      <c r="G47" s="675">
        <f t="shared" si="2"/>
        <v>3.3600000000000003</v>
      </c>
      <c r="H47" s="676"/>
    </row>
    <row r="48" spans="1:8" ht="12.75" customHeight="1">
      <c r="A48" s="2184" t="s">
        <v>1467</v>
      </c>
      <c r="B48" s="2185"/>
      <c r="C48" s="2186"/>
      <c r="D48" s="674" t="s">
        <v>81</v>
      </c>
      <c r="E48" s="675">
        <v>33.5</v>
      </c>
      <c r="F48" s="674">
        <v>1</v>
      </c>
      <c r="G48" s="675">
        <f t="shared" si="2"/>
        <v>33.5</v>
      </c>
      <c r="H48" s="676"/>
    </row>
    <row r="49" spans="1:8" ht="12.75" customHeight="1">
      <c r="A49" s="2184" t="s">
        <v>1468</v>
      </c>
      <c r="B49" s="2185"/>
      <c r="C49" s="2186"/>
      <c r="D49" s="674" t="s">
        <v>81</v>
      </c>
      <c r="E49" s="675">
        <v>0.8</v>
      </c>
      <c r="F49" s="674">
        <v>40</v>
      </c>
      <c r="G49" s="675">
        <f t="shared" si="2"/>
        <v>32</v>
      </c>
      <c r="H49" s="676"/>
    </row>
    <row r="50" spans="1:8" ht="13.5" customHeight="1" thickBot="1">
      <c r="A50" s="2077" t="s">
        <v>1469</v>
      </c>
      <c r="B50" s="2078"/>
      <c r="C50" s="2079"/>
      <c r="D50" s="674" t="s">
        <v>81</v>
      </c>
      <c r="E50" s="675">
        <v>0.5</v>
      </c>
      <c r="F50" s="674">
        <v>5</v>
      </c>
      <c r="G50" s="675">
        <f t="shared" si="2"/>
        <v>2.5</v>
      </c>
      <c r="H50" s="676"/>
    </row>
    <row r="51" spans="1:8" ht="17.25" thickTop="1">
      <c r="A51" s="2080" t="s">
        <v>527</v>
      </c>
      <c r="B51" s="2081"/>
      <c r="C51" s="2081"/>
      <c r="D51" s="2082"/>
      <c r="E51" s="2082"/>
      <c r="F51" s="2083"/>
      <c r="G51" s="677">
        <f>SUM(G40:G50)</f>
        <v>182</v>
      </c>
      <c r="H51" s="678">
        <f>SUM(H40:H50)</f>
        <v>0</v>
      </c>
    </row>
    <row r="52" spans="1:8" ht="16.5">
      <c r="A52" s="2084" t="s">
        <v>528</v>
      </c>
      <c r="B52" s="2085"/>
      <c r="C52" s="2086"/>
      <c r="D52" s="2114" t="s">
        <v>1470</v>
      </c>
      <c r="E52" s="2115"/>
      <c r="F52" s="2115"/>
      <c r="G52" s="2115"/>
      <c r="H52" s="2116"/>
    </row>
    <row r="53" spans="1:8" ht="5.25" customHeight="1">
      <c r="A53" s="669"/>
      <c r="B53" s="670"/>
      <c r="C53" s="670"/>
      <c r="D53" s="670"/>
      <c r="E53" s="670"/>
      <c r="F53" s="670"/>
      <c r="G53" s="670"/>
      <c r="H53" s="671"/>
    </row>
    <row r="54" spans="1:8" ht="16.5">
      <c r="A54" s="2071" t="s">
        <v>2</v>
      </c>
      <c r="B54" s="2072"/>
      <c r="C54" s="2072"/>
      <c r="D54" s="2072"/>
      <c r="E54" s="2072"/>
      <c r="F54" s="2072"/>
      <c r="G54" s="2072"/>
      <c r="H54" s="2073"/>
    </row>
    <row r="55" spans="1:8" ht="33">
      <c r="A55" s="2074" t="s">
        <v>529</v>
      </c>
      <c r="B55" s="2075"/>
      <c r="C55" s="2076"/>
      <c r="D55" s="672" t="s">
        <v>447</v>
      </c>
      <c r="E55" s="672" t="s">
        <v>6</v>
      </c>
      <c r="F55" s="672" t="s">
        <v>523</v>
      </c>
      <c r="G55" s="672" t="s">
        <v>524</v>
      </c>
      <c r="H55" s="673" t="s">
        <v>525</v>
      </c>
    </row>
    <row r="56" spans="1:8" ht="13.5" thickBot="1">
      <c r="A56" s="2120" t="s">
        <v>1471</v>
      </c>
      <c r="B56" s="2121"/>
      <c r="C56" s="2122"/>
      <c r="D56" s="674"/>
      <c r="E56" s="675"/>
      <c r="F56" s="674"/>
      <c r="G56" s="675"/>
      <c r="H56" s="676"/>
    </row>
    <row r="57" spans="1:8" ht="17.25" thickTop="1">
      <c r="A57" s="2080" t="s">
        <v>530</v>
      </c>
      <c r="B57" s="2081"/>
      <c r="C57" s="2081"/>
      <c r="D57" s="2082"/>
      <c r="E57" s="2082"/>
      <c r="F57" s="2083"/>
      <c r="G57" s="677">
        <f>SUM(G56:G56)</f>
        <v>0</v>
      </c>
      <c r="H57" s="678">
        <f>SUM(H56:H56)</f>
        <v>0</v>
      </c>
    </row>
    <row r="58" spans="1:8" ht="16.5">
      <c r="A58" s="2084" t="s">
        <v>528</v>
      </c>
      <c r="B58" s="2085"/>
      <c r="C58" s="2086"/>
      <c r="D58" s="2087"/>
      <c r="E58" s="2088"/>
      <c r="F58" s="2088"/>
      <c r="G58" s="2088"/>
      <c r="H58" s="2089"/>
    </row>
    <row r="59" spans="1:8" ht="5.25" customHeight="1">
      <c r="A59" s="669"/>
      <c r="B59" s="670"/>
      <c r="C59" s="670"/>
      <c r="D59" s="670"/>
      <c r="E59" s="670"/>
      <c r="F59" s="670"/>
      <c r="G59" s="670"/>
      <c r="H59" s="671"/>
    </row>
    <row r="60" spans="1:8" ht="16.5">
      <c r="A60" s="2071" t="s">
        <v>3</v>
      </c>
      <c r="B60" s="2072"/>
      <c r="C60" s="2072"/>
      <c r="D60" s="2072"/>
      <c r="E60" s="2072"/>
      <c r="F60" s="2072"/>
      <c r="G60" s="2072"/>
      <c r="H60" s="2073"/>
    </row>
    <row r="61" spans="1:8" ht="33">
      <c r="A61" s="2074" t="s">
        <v>531</v>
      </c>
      <c r="B61" s="2075"/>
      <c r="C61" s="2076"/>
      <c r="D61" s="672" t="s">
        <v>447</v>
      </c>
      <c r="E61" s="672" t="s">
        <v>6</v>
      </c>
      <c r="F61" s="672" t="s">
        <v>523</v>
      </c>
      <c r="G61" s="672" t="s">
        <v>524</v>
      </c>
      <c r="H61" s="673" t="s">
        <v>525</v>
      </c>
    </row>
    <row r="62" spans="1:8" ht="13.5" thickBot="1">
      <c r="A62" s="2120" t="s">
        <v>1472</v>
      </c>
      <c r="B62" s="2121"/>
      <c r="C62" s="2122"/>
      <c r="D62" s="674" t="s">
        <v>533</v>
      </c>
      <c r="E62" s="679">
        <v>19.57</v>
      </c>
      <c r="F62" s="674">
        <v>8</v>
      </c>
      <c r="G62" s="675">
        <f>E62*F62</f>
        <v>156.56</v>
      </c>
      <c r="H62" s="676"/>
    </row>
    <row r="63" spans="1:8" ht="17.25" thickTop="1">
      <c r="A63" s="2080" t="s">
        <v>534</v>
      </c>
      <c r="B63" s="2081"/>
      <c r="C63" s="2081"/>
      <c r="D63" s="2082"/>
      <c r="E63" s="2082"/>
      <c r="F63" s="2083"/>
      <c r="G63" s="677">
        <f>SUM(G62:G62)</f>
        <v>156.56</v>
      </c>
      <c r="H63" s="678">
        <f>SUM(H62:H62)</f>
        <v>0</v>
      </c>
    </row>
    <row r="64" spans="1:8" ht="16.5" customHeight="1">
      <c r="A64" s="2084" t="s">
        <v>528</v>
      </c>
      <c r="B64" s="2085"/>
      <c r="C64" s="2086"/>
      <c r="D64" s="2114" t="s">
        <v>1473</v>
      </c>
      <c r="E64" s="2115"/>
      <c r="F64" s="2115"/>
      <c r="G64" s="2115"/>
      <c r="H64" s="2116"/>
    </row>
    <row r="65" spans="1:8">
      <c r="A65" s="2049"/>
      <c r="B65" s="2050"/>
      <c r="C65" s="2051"/>
      <c r="D65" s="2117"/>
      <c r="E65" s="2118"/>
      <c r="F65" s="2118"/>
      <c r="G65" s="2118"/>
      <c r="H65" s="2119"/>
    </row>
    <row r="66" spans="1:8" ht="5.25" customHeight="1">
      <c r="A66" s="669"/>
      <c r="B66" s="670"/>
      <c r="C66" s="670"/>
      <c r="D66" s="670"/>
      <c r="E66" s="670"/>
      <c r="F66" s="670"/>
      <c r="G66" s="670"/>
      <c r="H66" s="671"/>
    </row>
    <row r="67" spans="1:8" ht="16.5">
      <c r="A67" s="2071" t="s">
        <v>4</v>
      </c>
      <c r="B67" s="2072"/>
      <c r="C67" s="2072"/>
      <c r="D67" s="2072"/>
      <c r="E67" s="2072"/>
      <c r="F67" s="2072"/>
      <c r="G67" s="2072"/>
      <c r="H67" s="2073"/>
    </row>
    <row r="68" spans="1:8" ht="66" customHeight="1">
      <c r="A68" s="2074" t="s">
        <v>536</v>
      </c>
      <c r="B68" s="2075"/>
      <c r="C68" s="2076"/>
      <c r="D68" s="672" t="s">
        <v>447</v>
      </c>
      <c r="E68" s="672" t="s">
        <v>537</v>
      </c>
      <c r="F68" s="672" t="s">
        <v>538</v>
      </c>
      <c r="G68" s="672" t="s">
        <v>524</v>
      </c>
      <c r="H68" s="673" t="s">
        <v>525</v>
      </c>
    </row>
    <row r="69" spans="1:8" ht="13.5" thickBot="1">
      <c r="A69" s="2120" t="s">
        <v>526</v>
      </c>
      <c r="B69" s="2121"/>
      <c r="C69" s="2122"/>
      <c r="D69" s="674"/>
      <c r="E69" s="680"/>
      <c r="F69" s="675"/>
      <c r="G69" s="675">
        <f>E69*F69</f>
        <v>0</v>
      </c>
      <c r="H69" s="676"/>
    </row>
    <row r="70" spans="1:8" ht="17.25" thickTop="1">
      <c r="A70" s="2080" t="s">
        <v>539</v>
      </c>
      <c r="B70" s="2081"/>
      <c r="C70" s="2081"/>
      <c r="D70" s="2082"/>
      <c r="E70" s="2082"/>
      <c r="F70" s="2083"/>
      <c r="G70" s="677">
        <f>SUM(G69:G69)</f>
        <v>0</v>
      </c>
      <c r="H70" s="678">
        <f>SUM(H69:H69)</f>
        <v>0</v>
      </c>
    </row>
    <row r="71" spans="1:8" ht="16.5">
      <c r="A71" s="2084" t="s">
        <v>528</v>
      </c>
      <c r="B71" s="2085"/>
      <c r="C71" s="2086"/>
      <c r="D71" s="2087"/>
      <c r="E71" s="2088"/>
      <c r="F71" s="2088"/>
      <c r="G71" s="2088"/>
      <c r="H71" s="2089"/>
    </row>
    <row r="72" spans="1:8" ht="5.25" customHeight="1">
      <c r="A72" s="669"/>
      <c r="B72" s="670"/>
      <c r="C72" s="670"/>
      <c r="D72" s="670"/>
      <c r="E72" s="670"/>
      <c r="F72" s="670"/>
      <c r="G72" s="670"/>
      <c r="H72" s="671"/>
    </row>
    <row r="73" spans="1:8" ht="16.5">
      <c r="A73" s="2071" t="s">
        <v>468</v>
      </c>
      <c r="B73" s="2072"/>
      <c r="C73" s="2072"/>
      <c r="D73" s="2072"/>
      <c r="E73" s="2072"/>
      <c r="F73" s="2072"/>
      <c r="G73" s="2072"/>
      <c r="H73" s="2073"/>
    </row>
    <row r="74" spans="1:8" ht="56.25" customHeight="1">
      <c r="A74" s="2074" t="s">
        <v>540</v>
      </c>
      <c r="B74" s="2075"/>
      <c r="C74" s="2076"/>
      <c r="D74" s="672" t="s">
        <v>447</v>
      </c>
      <c r="E74" s="672" t="s">
        <v>541</v>
      </c>
      <c r="F74" s="672" t="s">
        <v>538</v>
      </c>
      <c r="G74" s="672" t="s">
        <v>524</v>
      </c>
      <c r="H74" s="673" t="s">
        <v>525</v>
      </c>
    </row>
    <row r="75" spans="1:8" ht="45" customHeight="1" thickBot="1">
      <c r="A75" s="2077" t="s">
        <v>1474</v>
      </c>
      <c r="B75" s="2078"/>
      <c r="C75" s="2079"/>
      <c r="D75" s="674" t="s">
        <v>81</v>
      </c>
      <c r="E75" s="680">
        <v>0.03</v>
      </c>
      <c r="F75" s="675">
        <f>G51+G57+G63</f>
        <v>338.56</v>
      </c>
      <c r="G75" s="675">
        <f>E75*F75</f>
        <v>10.1568</v>
      </c>
      <c r="H75" s="676"/>
    </row>
    <row r="76" spans="1:8" ht="17.25" thickTop="1">
      <c r="A76" s="2080" t="s">
        <v>543</v>
      </c>
      <c r="B76" s="2081"/>
      <c r="C76" s="2081"/>
      <c r="D76" s="2082"/>
      <c r="E76" s="2082"/>
      <c r="F76" s="2083"/>
      <c r="G76" s="677">
        <f>SUM(G75:G75)</f>
        <v>10.1568</v>
      </c>
      <c r="H76" s="678">
        <f>SUM(H75:H75)</f>
        <v>0</v>
      </c>
    </row>
    <row r="77" spans="1:8" ht="16.5">
      <c r="A77" s="2084" t="s">
        <v>528</v>
      </c>
      <c r="B77" s="2085"/>
      <c r="C77" s="2086"/>
      <c r="D77" s="2087"/>
      <c r="E77" s="2088"/>
      <c r="F77" s="2088"/>
      <c r="G77" s="2088"/>
      <c r="H77" s="2089"/>
    </row>
    <row r="78" spans="1:8" ht="5.25" customHeight="1">
      <c r="A78" s="669"/>
      <c r="B78" s="670"/>
      <c r="C78" s="670"/>
      <c r="D78" s="670"/>
      <c r="E78" s="670"/>
      <c r="F78" s="670"/>
      <c r="G78" s="670"/>
      <c r="H78" s="671"/>
    </row>
    <row r="79" spans="1:8" ht="16.5">
      <c r="A79" s="2071" t="s">
        <v>507</v>
      </c>
      <c r="B79" s="2072"/>
      <c r="C79" s="2072"/>
      <c r="D79" s="2072"/>
      <c r="E79" s="2072"/>
      <c r="F79" s="2072"/>
      <c r="G79" s="2072"/>
      <c r="H79" s="2073"/>
    </row>
    <row r="80" spans="1:8" ht="59.25" customHeight="1">
      <c r="A80" s="2074" t="s">
        <v>544</v>
      </c>
      <c r="B80" s="2075"/>
      <c r="C80" s="2076"/>
      <c r="D80" s="672" t="s">
        <v>447</v>
      </c>
      <c r="E80" s="672" t="s">
        <v>6</v>
      </c>
      <c r="F80" s="672" t="s">
        <v>523</v>
      </c>
      <c r="G80" s="672" t="s">
        <v>524</v>
      </c>
      <c r="H80" s="673" t="s">
        <v>525</v>
      </c>
    </row>
    <row r="81" spans="1:8" ht="13.5" thickBot="1">
      <c r="A81" s="2120"/>
      <c r="B81" s="2121"/>
      <c r="C81" s="2122"/>
      <c r="D81" s="674"/>
      <c r="E81" s="675"/>
      <c r="F81" s="674"/>
      <c r="G81" s="675">
        <f>E81*F81/H34</f>
        <v>0</v>
      </c>
      <c r="H81" s="676"/>
    </row>
    <row r="82" spans="1:8" ht="17.25" thickTop="1">
      <c r="A82" s="2080" t="s">
        <v>546</v>
      </c>
      <c r="B82" s="2081"/>
      <c r="C82" s="2081"/>
      <c r="D82" s="2082"/>
      <c r="E82" s="2082"/>
      <c r="F82" s="2083"/>
      <c r="G82" s="677">
        <f>SUM(G81:G81)</f>
        <v>0</v>
      </c>
      <c r="H82" s="678">
        <f>SUM(H81:H81)</f>
        <v>0</v>
      </c>
    </row>
    <row r="83" spans="1:8" ht="16.5">
      <c r="A83" s="2084" t="s">
        <v>528</v>
      </c>
      <c r="B83" s="2085"/>
      <c r="C83" s="2086"/>
      <c r="D83" s="2114"/>
      <c r="E83" s="2115"/>
      <c r="F83" s="2115"/>
      <c r="G83" s="2115"/>
      <c r="H83" s="2116"/>
    </row>
    <row r="84" spans="1:8" ht="5.25" customHeight="1">
      <c r="A84" s="669"/>
      <c r="B84" s="670"/>
      <c r="C84" s="670"/>
      <c r="D84" s="670"/>
      <c r="E84" s="670"/>
      <c r="F84" s="670"/>
      <c r="G84" s="670"/>
      <c r="H84" s="671"/>
    </row>
    <row r="85" spans="1:8" ht="16.5">
      <c r="A85" s="2071" t="s">
        <v>421</v>
      </c>
      <c r="B85" s="2072"/>
      <c r="C85" s="2072"/>
      <c r="D85" s="2072"/>
      <c r="E85" s="2072"/>
      <c r="F85" s="2072"/>
      <c r="G85" s="2072"/>
      <c r="H85" s="2073"/>
    </row>
    <row r="86" spans="1:8" ht="57.75" customHeight="1">
      <c r="A86" s="2074" t="s">
        <v>548</v>
      </c>
      <c r="B86" s="2075"/>
      <c r="C86" s="2076"/>
      <c r="D86" s="672" t="s">
        <v>447</v>
      </c>
      <c r="E86" s="672" t="s">
        <v>6</v>
      </c>
      <c r="F86" s="672" t="s">
        <v>523</v>
      </c>
      <c r="G86" s="672" t="s">
        <v>524</v>
      </c>
      <c r="H86" s="673" t="s">
        <v>525</v>
      </c>
    </row>
    <row r="87" spans="1:8" ht="13.5" thickBot="1">
      <c r="A87" s="2120" t="s">
        <v>526</v>
      </c>
      <c r="B87" s="2121"/>
      <c r="C87" s="2122"/>
      <c r="D87" s="674"/>
      <c r="E87" s="675"/>
      <c r="F87" s="1418"/>
      <c r="G87" s="675">
        <f>E87*F87/H34</f>
        <v>0</v>
      </c>
      <c r="H87" s="676"/>
    </row>
    <row r="88" spans="1:8" ht="17.25" thickTop="1">
      <c r="A88" s="2080" t="s">
        <v>550</v>
      </c>
      <c r="B88" s="2081"/>
      <c r="C88" s="2081"/>
      <c r="D88" s="2082"/>
      <c r="E88" s="2082"/>
      <c r="F88" s="2083"/>
      <c r="G88" s="677">
        <f>SUM(G87:G87)</f>
        <v>0</v>
      </c>
      <c r="H88" s="678">
        <f>SUM(H87:H87)</f>
        <v>0</v>
      </c>
    </row>
    <row r="89" spans="1:8" ht="16.5">
      <c r="A89" s="2084" t="s">
        <v>528</v>
      </c>
      <c r="B89" s="2085"/>
      <c r="C89" s="2086"/>
      <c r="D89" s="2114"/>
      <c r="E89" s="2115"/>
      <c r="F89" s="2115"/>
      <c r="G89" s="2115"/>
      <c r="H89" s="2116"/>
    </row>
    <row r="90" spans="1:8" ht="5.25" customHeight="1">
      <c r="A90" s="669"/>
      <c r="B90" s="670"/>
      <c r="C90" s="670"/>
      <c r="D90" s="670"/>
      <c r="E90" s="670"/>
      <c r="F90" s="670"/>
      <c r="G90" s="670"/>
      <c r="H90" s="671"/>
    </row>
    <row r="91" spans="1:8" ht="16.5">
      <c r="A91" s="2071" t="s">
        <v>5</v>
      </c>
      <c r="B91" s="2072"/>
      <c r="C91" s="2072"/>
      <c r="D91" s="2072"/>
      <c r="E91" s="2072"/>
      <c r="F91" s="2072"/>
      <c r="G91" s="2072"/>
      <c r="H91" s="2073"/>
    </row>
    <row r="92" spans="1:8" ht="67.5" customHeight="1">
      <c r="A92" s="2074" t="s">
        <v>552</v>
      </c>
      <c r="B92" s="2075"/>
      <c r="C92" s="2076"/>
      <c r="D92" s="672" t="s">
        <v>447</v>
      </c>
      <c r="E92" s="672" t="s">
        <v>6</v>
      </c>
      <c r="F92" s="672" t="s">
        <v>523</v>
      </c>
      <c r="G92" s="672" t="s">
        <v>524</v>
      </c>
      <c r="H92" s="673" t="s">
        <v>525</v>
      </c>
    </row>
    <row r="93" spans="1:8" ht="13.5" thickBot="1">
      <c r="A93" s="2120" t="s">
        <v>526</v>
      </c>
      <c r="B93" s="2121"/>
      <c r="C93" s="2122"/>
      <c r="D93" s="674"/>
      <c r="E93" s="675"/>
      <c r="F93" s="674"/>
      <c r="G93" s="675"/>
      <c r="H93" s="676"/>
    </row>
    <row r="94" spans="1:8" ht="17.25" thickTop="1">
      <c r="A94" s="2080" t="s">
        <v>553</v>
      </c>
      <c r="B94" s="2081"/>
      <c r="C94" s="2081"/>
      <c r="D94" s="2082"/>
      <c r="E94" s="2082"/>
      <c r="F94" s="2083"/>
      <c r="G94" s="677">
        <f>SUM(G93:G93)</f>
        <v>0</v>
      </c>
      <c r="H94" s="678">
        <f>SUM(H93:H93)</f>
        <v>0</v>
      </c>
    </row>
    <row r="95" spans="1:8" ht="16.5">
      <c r="A95" s="2084" t="s">
        <v>528</v>
      </c>
      <c r="B95" s="2085"/>
      <c r="C95" s="2086"/>
      <c r="D95" s="2087"/>
      <c r="E95" s="2088"/>
      <c r="F95" s="2088"/>
      <c r="G95" s="2088"/>
      <c r="H95" s="2089"/>
    </row>
    <row r="96" spans="1:8" ht="5.25" customHeight="1">
      <c r="A96" s="669"/>
      <c r="B96" s="670"/>
      <c r="C96" s="670"/>
      <c r="D96" s="670"/>
      <c r="E96" s="670"/>
      <c r="F96" s="670"/>
      <c r="G96" s="670"/>
      <c r="H96" s="671"/>
    </row>
    <row r="97" spans="1:8" ht="16.5">
      <c r="A97" s="2071" t="s">
        <v>554</v>
      </c>
      <c r="B97" s="2072"/>
      <c r="C97" s="2072"/>
      <c r="D97" s="2072"/>
      <c r="E97" s="2072"/>
      <c r="F97" s="2072"/>
      <c r="G97" s="2072"/>
      <c r="H97" s="2073"/>
    </row>
    <row r="98" spans="1:8" ht="60" customHeight="1">
      <c r="A98" s="2074" t="s">
        <v>555</v>
      </c>
      <c r="B98" s="2075"/>
      <c r="C98" s="2076"/>
      <c r="D98" s="672" t="s">
        <v>447</v>
      </c>
      <c r="E98" s="672" t="s">
        <v>6</v>
      </c>
      <c r="F98" s="672" t="s">
        <v>523</v>
      </c>
      <c r="G98" s="672" t="s">
        <v>524</v>
      </c>
      <c r="H98" s="673" t="s">
        <v>525</v>
      </c>
    </row>
    <row r="99" spans="1:8" ht="13.5" thickBot="1">
      <c r="A99" s="2120" t="s">
        <v>526</v>
      </c>
      <c r="B99" s="2121"/>
      <c r="C99" s="2122"/>
      <c r="D99" s="674"/>
      <c r="E99" s="675"/>
      <c r="F99" s="674"/>
      <c r="G99" s="675"/>
      <c r="H99" s="676"/>
    </row>
    <row r="100" spans="1:8" ht="17.25" thickTop="1">
      <c r="A100" s="2080" t="s">
        <v>556</v>
      </c>
      <c r="B100" s="2081"/>
      <c r="C100" s="2081"/>
      <c r="D100" s="2082"/>
      <c r="E100" s="2082"/>
      <c r="F100" s="2083"/>
      <c r="G100" s="677">
        <f>SUM(G99:G99)</f>
        <v>0</v>
      </c>
      <c r="H100" s="678">
        <f>SUM(H99:H99)</f>
        <v>0</v>
      </c>
    </row>
    <row r="101" spans="1:8" ht="16.5">
      <c r="A101" s="2084" t="s">
        <v>528</v>
      </c>
      <c r="B101" s="2085"/>
      <c r="C101" s="2086"/>
      <c r="D101" s="2087"/>
      <c r="E101" s="2088"/>
      <c r="F101" s="2088"/>
      <c r="G101" s="2088"/>
      <c r="H101" s="2089"/>
    </row>
    <row r="102" spans="1:8" ht="5.25" customHeight="1">
      <c r="A102" s="669"/>
      <c r="B102" s="670"/>
      <c r="C102" s="670"/>
      <c r="D102" s="670"/>
      <c r="E102" s="670"/>
      <c r="F102" s="670"/>
      <c r="G102" s="670"/>
      <c r="H102" s="671"/>
    </row>
    <row r="103" spans="1:8" ht="16.5">
      <c r="A103" s="2071" t="s">
        <v>557</v>
      </c>
      <c r="B103" s="2072"/>
      <c r="C103" s="2072"/>
      <c r="D103" s="2072"/>
      <c r="E103" s="2072"/>
      <c r="F103" s="2072"/>
      <c r="G103" s="2072"/>
      <c r="H103" s="2073"/>
    </row>
    <row r="104" spans="1:8" ht="16.5">
      <c r="A104" s="2090" t="s">
        <v>558</v>
      </c>
      <c r="B104" s="2091"/>
      <c r="C104" s="2136"/>
      <c r="D104" s="681">
        <f>G51+G57+G63+G70+G76+G82+G88+G94+G100</f>
        <v>348.71679999999998</v>
      </c>
      <c r="E104" s="2137" t="s">
        <v>559</v>
      </c>
      <c r="F104" s="2137"/>
      <c r="G104" s="2137"/>
      <c r="H104" s="682">
        <f>H51+H57+H63+H70+H76+H82+H88+H94+H100</f>
        <v>0</v>
      </c>
    </row>
    <row r="105" spans="1:8" ht="16.5">
      <c r="A105" s="2090" t="s">
        <v>560</v>
      </c>
      <c r="B105" s="2091"/>
      <c r="C105" s="2136"/>
      <c r="D105" s="683"/>
      <c r="E105" s="2138" t="s">
        <v>561</v>
      </c>
      <c r="F105" s="2139"/>
      <c r="G105" s="2139"/>
      <c r="H105" s="2140">
        <f>H104*D105</f>
        <v>0</v>
      </c>
    </row>
    <row r="106" spans="1:8" ht="16.5">
      <c r="A106" s="2090" t="s">
        <v>562</v>
      </c>
      <c r="B106" s="2091"/>
      <c r="C106" s="2136"/>
      <c r="D106" s="681">
        <f>D104*D105</f>
        <v>0</v>
      </c>
      <c r="E106" s="2139"/>
      <c r="F106" s="2139"/>
      <c r="G106" s="2139"/>
      <c r="H106" s="2141"/>
    </row>
    <row r="107" spans="1:8" ht="5.25" customHeight="1">
      <c r="A107" s="669"/>
      <c r="B107" s="670"/>
      <c r="C107" s="670"/>
      <c r="D107" s="670"/>
      <c r="E107" s="670"/>
      <c r="F107" s="670"/>
      <c r="G107" s="670"/>
      <c r="H107" s="671"/>
    </row>
    <row r="108" spans="1:8" ht="16.5">
      <c r="A108" s="2071" t="s">
        <v>563</v>
      </c>
      <c r="B108" s="2072"/>
      <c r="C108" s="2072"/>
      <c r="D108" s="2072"/>
      <c r="E108" s="2072"/>
      <c r="F108" s="2072"/>
      <c r="G108" s="2072"/>
      <c r="H108" s="2073"/>
    </row>
    <row r="109" spans="1:8" ht="30" customHeight="1" thickBot="1">
      <c r="A109" s="2132"/>
      <c r="B109" s="2133"/>
      <c r="C109" s="2133"/>
      <c r="D109" s="2134"/>
      <c r="E109" s="2134"/>
      <c r="F109" s="2134"/>
      <c r="G109" s="2134"/>
      <c r="H109" s="2135"/>
    </row>
  </sheetData>
  <mergeCells count="112">
    <mergeCell ref="A105:C105"/>
    <mergeCell ref="E105:G106"/>
    <mergeCell ref="H105:H106"/>
    <mergeCell ref="A106:C106"/>
    <mergeCell ref="A108:H108"/>
    <mergeCell ref="A109:H109"/>
    <mergeCell ref="A99:C99"/>
    <mergeCell ref="A100:F100"/>
    <mergeCell ref="A101:C101"/>
    <mergeCell ref="D101:H101"/>
    <mergeCell ref="A103:H103"/>
    <mergeCell ref="A104:C104"/>
    <mergeCell ref="E104:G104"/>
    <mergeCell ref="A93:C93"/>
    <mergeCell ref="A94:F94"/>
    <mergeCell ref="A95:C95"/>
    <mergeCell ref="D95:H95"/>
    <mergeCell ref="A97:H97"/>
    <mergeCell ref="A98:C98"/>
    <mergeCell ref="A87:C87"/>
    <mergeCell ref="A88:F88"/>
    <mergeCell ref="A89:C89"/>
    <mergeCell ref="D89:H89"/>
    <mergeCell ref="A91:H91"/>
    <mergeCell ref="A92:C92"/>
    <mergeCell ref="A81:C81"/>
    <mergeCell ref="A82:F82"/>
    <mergeCell ref="A83:C83"/>
    <mergeCell ref="D83:H83"/>
    <mergeCell ref="A85:H85"/>
    <mergeCell ref="A86:C86"/>
    <mergeCell ref="A75:C75"/>
    <mergeCell ref="A76:F76"/>
    <mergeCell ref="A77:C77"/>
    <mergeCell ref="D77:H77"/>
    <mergeCell ref="A79:H79"/>
    <mergeCell ref="A80:C80"/>
    <mergeCell ref="A69:C69"/>
    <mergeCell ref="A70:F70"/>
    <mergeCell ref="A71:C71"/>
    <mergeCell ref="D71:H71"/>
    <mergeCell ref="A73:H73"/>
    <mergeCell ref="A74:C74"/>
    <mergeCell ref="A62:C62"/>
    <mergeCell ref="A63:F63"/>
    <mergeCell ref="A64:C65"/>
    <mergeCell ref="D64:H65"/>
    <mergeCell ref="A67:H67"/>
    <mergeCell ref="A68:C68"/>
    <mergeCell ref="A56:C56"/>
    <mergeCell ref="A57:F57"/>
    <mergeCell ref="A58:C58"/>
    <mergeCell ref="D58:H58"/>
    <mergeCell ref="A60:H60"/>
    <mergeCell ref="A61:C61"/>
    <mergeCell ref="A50:C50"/>
    <mergeCell ref="A51:F51"/>
    <mergeCell ref="A52:C52"/>
    <mergeCell ref="D52:H52"/>
    <mergeCell ref="A54:H54"/>
    <mergeCell ref="A55:C55"/>
    <mergeCell ref="A44:C44"/>
    <mergeCell ref="A45:C45"/>
    <mergeCell ref="A46:C46"/>
    <mergeCell ref="A47:C47"/>
    <mergeCell ref="A48:C48"/>
    <mergeCell ref="A49:C49"/>
    <mergeCell ref="A38:H38"/>
    <mergeCell ref="A39:C39"/>
    <mergeCell ref="A40:C40"/>
    <mergeCell ref="A41:C41"/>
    <mergeCell ref="A42:C42"/>
    <mergeCell ref="A43:C43"/>
    <mergeCell ref="A32:G32"/>
    <mergeCell ref="A33:G33"/>
    <mergeCell ref="A34:G34"/>
    <mergeCell ref="H34:H35"/>
    <mergeCell ref="A35:G35"/>
    <mergeCell ref="A36:C36"/>
    <mergeCell ref="E36:G36"/>
    <mergeCell ref="A26:C26"/>
    <mergeCell ref="D26:H26"/>
    <mergeCell ref="A27:H27"/>
    <mergeCell ref="A28:H28"/>
    <mergeCell ref="A29:H29"/>
    <mergeCell ref="A30:H30"/>
    <mergeCell ref="A19:C19"/>
    <mergeCell ref="A20:C20"/>
    <mergeCell ref="A21:C21"/>
    <mergeCell ref="A22:C22"/>
    <mergeCell ref="A24:H24"/>
    <mergeCell ref="A25:C25"/>
    <mergeCell ref="E25:H25"/>
    <mergeCell ref="A13:C13"/>
    <mergeCell ref="A14:C14"/>
    <mergeCell ref="A15:C15"/>
    <mergeCell ref="A16:C16"/>
    <mergeCell ref="A17:C17"/>
    <mergeCell ref="A18:C18"/>
    <mergeCell ref="C7:D7"/>
    <mergeCell ref="E7:F7"/>
    <mergeCell ref="C8:D8"/>
    <mergeCell ref="E8:F8"/>
    <mergeCell ref="A11:H11"/>
    <mergeCell ref="A12:C12"/>
    <mergeCell ref="A1:H1"/>
    <mergeCell ref="A2:H2"/>
    <mergeCell ref="A3:H3"/>
    <mergeCell ref="A4:H4"/>
    <mergeCell ref="A5:H5"/>
    <mergeCell ref="C6:D6"/>
    <mergeCell ref="E6:F6"/>
  </mergeCells>
  <pageMargins left="0.75" right="0.75" top="1" bottom="1" header="0.5" footer="0.5"/>
  <pageSetup scale="78" orientation="portrait" r:id="rId1"/>
  <headerFooter alignWithMargins="0"/>
  <rowBreaks count="2" manualBreakCount="2">
    <brk id="23" max="5" man="1"/>
    <brk id="71" max="7" man="1"/>
  </rowBreaks>
  <colBreaks count="1" manualBreakCount="1">
    <brk id="8" max="1048575" man="1"/>
  </colBreaks>
  <legacyDrawing r:id="rId2"/>
</worksheet>
</file>

<file path=xl/worksheets/sheet153.xml><?xml version="1.0" encoding="utf-8"?>
<worksheet xmlns="http://schemas.openxmlformats.org/spreadsheetml/2006/main" xmlns:r="http://schemas.openxmlformats.org/officeDocument/2006/relationships">
  <dimension ref="A1:M115"/>
  <sheetViews>
    <sheetView zoomScaleNormal="100" workbookViewId="0">
      <selection activeCell="A2" sqref="A2:H2"/>
    </sheetView>
  </sheetViews>
  <sheetFormatPr defaultRowHeight="12.75"/>
  <cols>
    <col min="1" max="1" width="11.42578125" style="637" customWidth="1"/>
    <col min="2" max="2" width="17.5703125" style="637" customWidth="1"/>
    <col min="3" max="3" width="12.28515625" style="637" customWidth="1"/>
    <col min="4" max="4" width="11.140625" style="637" customWidth="1"/>
    <col min="5" max="12" width="15.7109375" style="637" customWidth="1"/>
    <col min="13" max="16384" width="9.140625" style="637"/>
  </cols>
  <sheetData>
    <row r="1" spans="1:13" ht="15.75" customHeight="1">
      <c r="A1" s="2027" t="s">
        <v>493</v>
      </c>
      <c r="B1" s="2028"/>
      <c r="C1" s="2028"/>
      <c r="D1" s="2029"/>
      <c r="E1" s="2029"/>
      <c r="F1" s="2029"/>
      <c r="G1" s="2029"/>
      <c r="H1" s="2030"/>
      <c r="I1" s="636"/>
      <c r="J1" s="636"/>
      <c r="K1" s="636"/>
      <c r="L1" s="636"/>
      <c r="M1" s="636"/>
    </row>
    <row r="2" spans="1:13" ht="15.75">
      <c r="A2" s="2031" t="s">
        <v>494</v>
      </c>
      <c r="B2" s="2032"/>
      <c r="C2" s="2032"/>
      <c r="D2" s="2033"/>
      <c r="E2" s="2033"/>
      <c r="F2" s="2033"/>
      <c r="G2" s="2033"/>
      <c r="H2" s="2034"/>
      <c r="I2" s="636"/>
      <c r="J2" s="636"/>
      <c r="K2" s="636"/>
      <c r="L2" s="636"/>
      <c r="M2" s="636"/>
    </row>
    <row r="3" spans="1:13" ht="15.75">
      <c r="A3" s="2031" t="s">
        <v>1475</v>
      </c>
      <c r="B3" s="2032"/>
      <c r="C3" s="2032"/>
      <c r="D3" s="2033"/>
      <c r="E3" s="2033"/>
      <c r="F3" s="2033"/>
      <c r="G3" s="2033"/>
      <c r="H3" s="2034"/>
      <c r="I3" s="636"/>
      <c r="J3" s="636"/>
      <c r="K3" s="636"/>
      <c r="L3" s="636"/>
      <c r="M3" s="636"/>
    </row>
    <row r="4" spans="1:13" ht="16.5" thickBot="1">
      <c r="A4" s="2031" t="s">
        <v>1476</v>
      </c>
      <c r="B4" s="2032"/>
      <c r="C4" s="2032"/>
      <c r="D4" s="2033"/>
      <c r="E4" s="2033"/>
      <c r="F4" s="2033"/>
      <c r="G4" s="2033"/>
      <c r="H4" s="2034"/>
      <c r="I4" s="636"/>
      <c r="J4" s="636"/>
      <c r="K4" s="636"/>
      <c r="L4" s="636"/>
      <c r="M4" s="636"/>
    </row>
    <row r="5" spans="1:13" ht="17.25" thickBot="1">
      <c r="A5" s="2035" t="s">
        <v>17</v>
      </c>
      <c r="B5" s="2036"/>
      <c r="C5" s="2036"/>
      <c r="D5" s="2037"/>
      <c r="E5" s="2037"/>
      <c r="F5" s="2037"/>
      <c r="G5" s="2037"/>
      <c r="H5" s="2037"/>
      <c r="I5" s="636"/>
      <c r="J5" s="636"/>
      <c r="K5" s="636"/>
      <c r="L5" s="636"/>
      <c r="M5" s="636"/>
    </row>
    <row r="6" spans="1:13" ht="33">
      <c r="A6" s="638" t="s">
        <v>37</v>
      </c>
      <c r="B6" s="639" t="s">
        <v>22</v>
      </c>
      <c r="C6" s="2038" t="s">
        <v>497</v>
      </c>
      <c r="D6" s="2038"/>
      <c r="E6" s="2038" t="s">
        <v>30</v>
      </c>
      <c r="F6" s="2038"/>
      <c r="G6" s="639" t="s">
        <v>498</v>
      </c>
      <c r="H6" s="640" t="s">
        <v>76</v>
      </c>
      <c r="I6" s="641"/>
    </row>
    <row r="7" spans="1:13" ht="33" customHeight="1">
      <c r="A7" s="642">
        <f>D39</f>
        <v>449</v>
      </c>
      <c r="B7" s="643" t="s">
        <v>15</v>
      </c>
      <c r="C7" s="2041" t="str">
        <f>E39</f>
        <v>Irrigation Water Management</v>
      </c>
      <c r="D7" s="2041"/>
      <c r="E7" s="2042" t="str">
        <f>D40</f>
        <v>Irrigation Water Management</v>
      </c>
      <c r="F7" s="2042"/>
      <c r="G7" s="644" t="str">
        <f>H47</f>
        <v>Acre</v>
      </c>
      <c r="H7" s="645">
        <f>ROUND(F24,1)</f>
        <v>7.9</v>
      </c>
    </row>
    <row r="8" spans="1:13" ht="33" customHeight="1">
      <c r="A8" s="642">
        <f>D39</f>
        <v>449</v>
      </c>
      <c r="B8" s="643" t="s">
        <v>15</v>
      </c>
      <c r="C8" s="2042" t="str">
        <f>E39</f>
        <v>Irrigation Water Management</v>
      </c>
      <c r="D8" s="2042"/>
      <c r="E8" s="2042" t="s">
        <v>1477</v>
      </c>
      <c r="F8" s="2042"/>
      <c r="G8" s="644" t="str">
        <f>H47</f>
        <v>Acre</v>
      </c>
      <c r="H8" s="645">
        <f>ROUND(H24,1)</f>
        <v>11</v>
      </c>
    </row>
    <row r="9" spans="1:13" ht="33" customHeight="1">
      <c r="A9" s="1351">
        <f>D39</f>
        <v>449</v>
      </c>
      <c r="B9" s="644" t="s">
        <v>1141</v>
      </c>
      <c r="C9" s="2042" t="str">
        <f>E39</f>
        <v>Irrigation Water Management</v>
      </c>
      <c r="D9" s="2041"/>
      <c r="E9" s="2042" t="str">
        <f>E7</f>
        <v>Irrigation Water Management</v>
      </c>
      <c r="F9" s="2041"/>
      <c r="G9" s="644" t="str">
        <f>H47</f>
        <v>Acre</v>
      </c>
      <c r="H9" s="645">
        <f>ROUND(F24,1)</f>
        <v>7.9</v>
      </c>
    </row>
    <row r="10" spans="1:13" ht="33" customHeight="1">
      <c r="A10" s="1351">
        <f>D39</f>
        <v>449</v>
      </c>
      <c r="B10" s="644" t="s">
        <v>1141</v>
      </c>
      <c r="C10" s="2042" t="str">
        <f>E39</f>
        <v>Irrigation Water Management</v>
      </c>
      <c r="D10" s="2041"/>
      <c r="E10" s="2041" t="s">
        <v>1477</v>
      </c>
      <c r="F10" s="2041"/>
      <c r="G10" s="644" t="str">
        <f>H47</f>
        <v>Acre</v>
      </c>
      <c r="H10" s="645">
        <f>ROUND(H24,1)</f>
        <v>11</v>
      </c>
    </row>
    <row r="11" spans="1:13" ht="33" customHeight="1">
      <c r="A11" s="642">
        <f>D39</f>
        <v>449</v>
      </c>
      <c r="B11" s="643" t="s">
        <v>1142</v>
      </c>
      <c r="C11" s="2042" t="str">
        <f>E39</f>
        <v>Irrigation Water Management</v>
      </c>
      <c r="D11" s="2042"/>
      <c r="E11" s="2042" t="str">
        <f>D40</f>
        <v>Irrigation Water Management</v>
      </c>
      <c r="F11" s="2042"/>
      <c r="G11" s="644" t="str">
        <f>H47</f>
        <v>Acre</v>
      </c>
      <c r="H11" s="645">
        <f>ROUND(F36,1)</f>
        <v>9.1999999999999993</v>
      </c>
    </row>
    <row r="12" spans="1:13" ht="33" customHeight="1" thickBot="1">
      <c r="A12" s="646">
        <f>D39</f>
        <v>449</v>
      </c>
      <c r="B12" s="1417" t="s">
        <v>1142</v>
      </c>
      <c r="C12" s="2043" t="str">
        <f>E39</f>
        <v>Irrigation Water Management</v>
      </c>
      <c r="D12" s="2043"/>
      <c r="E12" s="2043" t="s">
        <v>1477</v>
      </c>
      <c r="F12" s="2043"/>
      <c r="G12" s="647" t="str">
        <f>H47</f>
        <v>Acre</v>
      </c>
      <c r="H12" s="648">
        <f>ROUND(H36,1)</f>
        <v>11</v>
      </c>
    </row>
    <row r="13" spans="1:13" ht="15.75" customHeight="1" thickBot="1">
      <c r="A13" s="2044" t="s">
        <v>18</v>
      </c>
      <c r="B13" s="2045"/>
      <c r="C13" s="2045"/>
      <c r="D13" s="2046"/>
      <c r="E13" s="2046"/>
      <c r="F13" s="2046"/>
      <c r="G13" s="2046"/>
      <c r="H13" s="2046"/>
    </row>
    <row r="14" spans="1:13" ht="49.5">
      <c r="A14" s="2047" t="s">
        <v>16</v>
      </c>
      <c r="B14" s="2048"/>
      <c r="C14" s="2048"/>
      <c r="D14" s="649" t="s">
        <v>6</v>
      </c>
      <c r="E14" s="649" t="s">
        <v>501</v>
      </c>
      <c r="F14" s="649" t="s">
        <v>502</v>
      </c>
      <c r="G14" s="649" t="s">
        <v>503</v>
      </c>
      <c r="H14" s="650" t="s">
        <v>504</v>
      </c>
    </row>
    <row r="15" spans="1:13" ht="16.5">
      <c r="A15" s="2039" t="s">
        <v>0</v>
      </c>
      <c r="B15" s="2040"/>
      <c r="C15" s="2040"/>
      <c r="D15" s="651">
        <f>G55</f>
        <v>0</v>
      </c>
      <c r="E15" s="652">
        <v>0.65</v>
      </c>
      <c r="F15" s="651">
        <f>D15*E15</f>
        <v>0</v>
      </c>
      <c r="G15" s="652">
        <v>0.9</v>
      </c>
      <c r="H15" s="653">
        <f>D15*G15</f>
        <v>0</v>
      </c>
    </row>
    <row r="16" spans="1:13" ht="16.5">
      <c r="A16" s="2039" t="s">
        <v>505</v>
      </c>
      <c r="B16" s="2040"/>
      <c r="C16" s="2040"/>
      <c r="D16" s="651">
        <f>G61</f>
        <v>0</v>
      </c>
      <c r="E16" s="652">
        <v>0.65</v>
      </c>
      <c r="F16" s="651">
        <f t="shared" ref="F16:F23" si="0">D16*E16</f>
        <v>0</v>
      </c>
      <c r="G16" s="652">
        <v>0.9</v>
      </c>
      <c r="H16" s="653">
        <f t="shared" ref="H16:H23" si="1">D16*G16</f>
        <v>0</v>
      </c>
    </row>
    <row r="17" spans="1:12" ht="16.5">
      <c r="A17" s="2039" t="s">
        <v>3</v>
      </c>
      <c r="B17" s="2040"/>
      <c r="C17" s="2040"/>
      <c r="D17" s="651">
        <f>G68</f>
        <v>12.213333333333333</v>
      </c>
      <c r="E17" s="652">
        <v>0.65</v>
      </c>
      <c r="F17" s="651">
        <f t="shared" si="0"/>
        <v>7.9386666666666663</v>
      </c>
      <c r="G17" s="652">
        <v>0.9</v>
      </c>
      <c r="H17" s="653">
        <f t="shared" si="1"/>
        <v>10.991999999999999</v>
      </c>
    </row>
    <row r="18" spans="1:12" ht="16.5">
      <c r="A18" s="2039" t="s">
        <v>4</v>
      </c>
      <c r="B18" s="2040"/>
      <c r="C18" s="2040"/>
      <c r="D18" s="651">
        <f>G76</f>
        <v>0</v>
      </c>
      <c r="E18" s="652">
        <v>0.65</v>
      </c>
      <c r="F18" s="651">
        <f t="shared" si="0"/>
        <v>0</v>
      </c>
      <c r="G18" s="652">
        <v>0.9</v>
      </c>
      <c r="H18" s="653">
        <f t="shared" si="1"/>
        <v>0</v>
      </c>
    </row>
    <row r="19" spans="1:12" ht="16.5">
      <c r="A19" s="2039" t="s">
        <v>506</v>
      </c>
      <c r="B19" s="2040"/>
      <c r="C19" s="2040"/>
      <c r="D19" s="651">
        <f>G82</f>
        <v>0</v>
      </c>
      <c r="E19" s="652">
        <v>0</v>
      </c>
      <c r="F19" s="651">
        <f t="shared" si="0"/>
        <v>0</v>
      </c>
      <c r="G19" s="652">
        <v>0</v>
      </c>
      <c r="H19" s="653">
        <f t="shared" si="1"/>
        <v>0</v>
      </c>
    </row>
    <row r="20" spans="1:12" ht="16.5">
      <c r="A20" s="2039" t="s">
        <v>507</v>
      </c>
      <c r="B20" s="2040"/>
      <c r="C20" s="2040"/>
      <c r="D20" s="651">
        <f>G88</f>
        <v>0</v>
      </c>
      <c r="E20" s="652">
        <v>0.65</v>
      </c>
      <c r="F20" s="651">
        <f t="shared" si="0"/>
        <v>0</v>
      </c>
      <c r="G20" s="652">
        <v>0.9</v>
      </c>
      <c r="H20" s="653">
        <f t="shared" si="1"/>
        <v>0</v>
      </c>
    </row>
    <row r="21" spans="1:12" ht="16.5">
      <c r="A21" s="2039" t="s">
        <v>27</v>
      </c>
      <c r="B21" s="2040"/>
      <c r="C21" s="2040"/>
      <c r="D21" s="651">
        <f>G94</f>
        <v>0</v>
      </c>
      <c r="E21" s="652">
        <v>0.65</v>
      </c>
      <c r="F21" s="651">
        <f t="shared" si="0"/>
        <v>0</v>
      </c>
      <c r="G21" s="652">
        <v>0.9</v>
      </c>
      <c r="H21" s="653">
        <f t="shared" si="1"/>
        <v>0</v>
      </c>
      <c r="I21" s="641"/>
    </row>
    <row r="22" spans="1:12" ht="16.5">
      <c r="A22" s="2039" t="s">
        <v>5</v>
      </c>
      <c r="B22" s="2040"/>
      <c r="C22" s="2040"/>
      <c r="D22" s="651">
        <f>G100</f>
        <v>0</v>
      </c>
      <c r="E22" s="652">
        <v>0</v>
      </c>
      <c r="F22" s="651">
        <f t="shared" si="0"/>
        <v>0</v>
      </c>
      <c r="G22" s="652">
        <v>0</v>
      </c>
      <c r="H22" s="653">
        <f t="shared" si="1"/>
        <v>0</v>
      </c>
    </row>
    <row r="23" spans="1:12" ht="16.5">
      <c r="A23" s="2039" t="s">
        <v>508</v>
      </c>
      <c r="B23" s="2040"/>
      <c r="C23" s="2040"/>
      <c r="D23" s="651">
        <f>G106</f>
        <v>0</v>
      </c>
      <c r="E23" s="652">
        <v>0</v>
      </c>
      <c r="F23" s="651">
        <f t="shared" si="0"/>
        <v>0</v>
      </c>
      <c r="G23" s="652">
        <v>0</v>
      </c>
      <c r="H23" s="653">
        <f t="shared" si="1"/>
        <v>0</v>
      </c>
    </row>
    <row r="24" spans="1:12" ht="17.25" thickBot="1">
      <c r="A24" s="2063" t="s">
        <v>509</v>
      </c>
      <c r="B24" s="2064"/>
      <c r="C24" s="2064"/>
      <c r="D24" s="654">
        <f>SUM(D15:D23)</f>
        <v>12.213333333333333</v>
      </c>
      <c r="E24" s="655"/>
      <c r="F24" s="654">
        <f>SUM(F15:F23)</f>
        <v>7.9386666666666663</v>
      </c>
      <c r="G24" s="656"/>
      <c r="H24" s="657">
        <f>SUM(H15:H23)</f>
        <v>10.991999999999999</v>
      </c>
    </row>
    <row r="25" spans="1:12" ht="15.75" thickBot="1">
      <c r="A25" s="658"/>
      <c r="B25" s="658"/>
      <c r="C25" s="658"/>
      <c r="D25" s="659"/>
      <c r="E25" s="660"/>
      <c r="F25" s="659"/>
      <c r="G25" s="661"/>
      <c r="H25" s="659"/>
      <c r="I25" s="661"/>
      <c r="J25" s="659"/>
      <c r="K25" s="661"/>
      <c r="L25" s="659"/>
    </row>
    <row r="26" spans="1:12" ht="49.5">
      <c r="A26" s="2047" t="s">
        <v>16</v>
      </c>
      <c r="B26" s="2048"/>
      <c r="C26" s="2048"/>
      <c r="D26" s="649" t="s">
        <v>6</v>
      </c>
      <c r="E26" s="649" t="s">
        <v>1478</v>
      </c>
      <c r="F26" s="649" t="s">
        <v>502</v>
      </c>
      <c r="G26" s="649" t="s">
        <v>1479</v>
      </c>
      <c r="H26" s="650" t="s">
        <v>504</v>
      </c>
      <c r="I26" s="661"/>
      <c r="J26" s="659"/>
      <c r="K26" s="661"/>
      <c r="L26" s="659"/>
    </row>
    <row r="27" spans="1:12" ht="16.5">
      <c r="A27" s="2039" t="s">
        <v>0</v>
      </c>
      <c r="B27" s="2040"/>
      <c r="C27" s="2040"/>
      <c r="D27" s="651">
        <f>G55</f>
        <v>0</v>
      </c>
      <c r="E27" s="652">
        <v>0.75</v>
      </c>
      <c r="F27" s="651">
        <f>D27*E27</f>
        <v>0</v>
      </c>
      <c r="G27" s="652">
        <v>0.9</v>
      </c>
      <c r="H27" s="653">
        <f>D27*G27</f>
        <v>0</v>
      </c>
      <c r="I27" s="661"/>
      <c r="J27" s="659"/>
      <c r="K27" s="661"/>
      <c r="L27" s="659"/>
    </row>
    <row r="28" spans="1:12" ht="16.5">
      <c r="A28" s="2039" t="s">
        <v>505</v>
      </c>
      <c r="B28" s="2040"/>
      <c r="C28" s="2040"/>
      <c r="D28" s="651">
        <f>G61</f>
        <v>0</v>
      </c>
      <c r="E28" s="652">
        <v>0.75</v>
      </c>
      <c r="F28" s="651">
        <f t="shared" ref="F28:F35" si="2">D28*E28</f>
        <v>0</v>
      </c>
      <c r="G28" s="652">
        <v>0.9</v>
      </c>
      <c r="H28" s="653">
        <f t="shared" ref="H28:H35" si="3">D28*G28</f>
        <v>0</v>
      </c>
      <c r="I28" s="661"/>
      <c r="J28" s="659"/>
      <c r="K28" s="661"/>
      <c r="L28" s="659"/>
    </row>
    <row r="29" spans="1:12" ht="16.5">
      <c r="A29" s="2039" t="s">
        <v>3</v>
      </c>
      <c r="B29" s="2040"/>
      <c r="C29" s="2040"/>
      <c r="D29" s="651">
        <f>G68</f>
        <v>12.213333333333333</v>
      </c>
      <c r="E29" s="652">
        <v>0.75</v>
      </c>
      <c r="F29" s="651">
        <f t="shared" si="2"/>
        <v>9.16</v>
      </c>
      <c r="G29" s="652">
        <v>0.9</v>
      </c>
      <c r="H29" s="653">
        <f t="shared" si="3"/>
        <v>10.991999999999999</v>
      </c>
      <c r="I29" s="661"/>
      <c r="J29" s="659"/>
      <c r="K29" s="661"/>
      <c r="L29" s="659"/>
    </row>
    <row r="30" spans="1:12" ht="16.5">
      <c r="A30" s="2039" t="s">
        <v>4</v>
      </c>
      <c r="B30" s="2040"/>
      <c r="C30" s="2040"/>
      <c r="D30" s="651">
        <f>G76</f>
        <v>0</v>
      </c>
      <c r="E30" s="652">
        <v>0.75</v>
      </c>
      <c r="F30" s="651">
        <f t="shared" si="2"/>
        <v>0</v>
      </c>
      <c r="G30" s="652">
        <v>0.9</v>
      </c>
      <c r="H30" s="653">
        <f t="shared" si="3"/>
        <v>0</v>
      </c>
      <c r="I30" s="661"/>
      <c r="J30" s="659"/>
      <c r="K30" s="661"/>
      <c r="L30" s="659"/>
    </row>
    <row r="31" spans="1:12" ht="16.5">
      <c r="A31" s="2039" t="s">
        <v>506</v>
      </c>
      <c r="B31" s="2040"/>
      <c r="C31" s="2040"/>
      <c r="D31" s="651">
        <f>G82</f>
        <v>0</v>
      </c>
      <c r="E31" s="652">
        <v>0</v>
      </c>
      <c r="F31" s="651">
        <f t="shared" si="2"/>
        <v>0</v>
      </c>
      <c r="G31" s="652">
        <v>0</v>
      </c>
      <c r="H31" s="653">
        <f t="shared" si="3"/>
        <v>0</v>
      </c>
      <c r="I31" s="661"/>
      <c r="J31" s="659"/>
      <c r="K31" s="661"/>
      <c r="L31" s="659"/>
    </row>
    <row r="32" spans="1:12" ht="16.5">
      <c r="A32" s="2039" t="s">
        <v>507</v>
      </c>
      <c r="B32" s="2040"/>
      <c r="C32" s="2040"/>
      <c r="D32" s="651">
        <f>G88</f>
        <v>0</v>
      </c>
      <c r="E32" s="652">
        <v>0.75</v>
      </c>
      <c r="F32" s="651">
        <f t="shared" si="2"/>
        <v>0</v>
      </c>
      <c r="G32" s="652">
        <v>0.9</v>
      </c>
      <c r="H32" s="653">
        <f t="shared" si="3"/>
        <v>0</v>
      </c>
      <c r="I32" s="661"/>
      <c r="J32" s="659"/>
      <c r="K32" s="661"/>
      <c r="L32" s="659"/>
    </row>
    <row r="33" spans="1:12" ht="16.5">
      <c r="A33" s="2039" t="s">
        <v>27</v>
      </c>
      <c r="B33" s="2040"/>
      <c r="C33" s="2040"/>
      <c r="D33" s="651">
        <f>G94</f>
        <v>0</v>
      </c>
      <c r="E33" s="652">
        <v>0.75</v>
      </c>
      <c r="F33" s="651">
        <f t="shared" si="2"/>
        <v>0</v>
      </c>
      <c r="G33" s="652">
        <v>0.9</v>
      </c>
      <c r="H33" s="653">
        <f t="shared" si="3"/>
        <v>0</v>
      </c>
      <c r="I33" s="661"/>
      <c r="J33" s="659"/>
      <c r="K33" s="661"/>
      <c r="L33" s="659"/>
    </row>
    <row r="34" spans="1:12" ht="16.5">
      <c r="A34" s="2039" t="s">
        <v>5</v>
      </c>
      <c r="B34" s="2040"/>
      <c r="C34" s="2040"/>
      <c r="D34" s="651">
        <f>G100</f>
        <v>0</v>
      </c>
      <c r="E34" s="652">
        <v>0</v>
      </c>
      <c r="F34" s="651">
        <f t="shared" si="2"/>
        <v>0</v>
      </c>
      <c r="G34" s="652">
        <v>0</v>
      </c>
      <c r="H34" s="653">
        <f t="shared" si="3"/>
        <v>0</v>
      </c>
      <c r="I34" s="661"/>
      <c r="J34" s="659"/>
      <c r="K34" s="661"/>
      <c r="L34" s="659"/>
    </row>
    <row r="35" spans="1:12" ht="16.5">
      <c r="A35" s="2039" t="s">
        <v>508</v>
      </c>
      <c r="B35" s="2040"/>
      <c r="C35" s="2040"/>
      <c r="D35" s="651">
        <f>G106</f>
        <v>0</v>
      </c>
      <c r="E35" s="652">
        <v>0</v>
      </c>
      <c r="F35" s="651">
        <f t="shared" si="2"/>
        <v>0</v>
      </c>
      <c r="G35" s="652">
        <v>0</v>
      </c>
      <c r="H35" s="653">
        <f t="shared" si="3"/>
        <v>0</v>
      </c>
      <c r="I35" s="661"/>
      <c r="J35" s="659"/>
      <c r="K35" s="661"/>
      <c r="L35" s="659"/>
    </row>
    <row r="36" spans="1:12" ht="17.25" thickBot="1">
      <c r="A36" s="2063" t="s">
        <v>509</v>
      </c>
      <c r="B36" s="2064"/>
      <c r="C36" s="2064"/>
      <c r="D36" s="654">
        <f>SUM(D27:D35)</f>
        <v>12.213333333333333</v>
      </c>
      <c r="E36" s="655"/>
      <c r="F36" s="654">
        <f>SUM(F27:F35)</f>
        <v>9.16</v>
      </c>
      <c r="G36" s="656"/>
      <c r="H36" s="657">
        <f>SUM(H27:H35)</f>
        <v>10.991999999999999</v>
      </c>
      <c r="I36" s="661"/>
      <c r="J36" s="659"/>
      <c r="K36" s="661"/>
      <c r="L36" s="659"/>
    </row>
    <row r="37" spans="1:12" ht="15">
      <c r="A37" s="658"/>
      <c r="B37" s="658"/>
      <c r="C37" s="658"/>
      <c r="D37" s="659"/>
      <c r="E37" s="660"/>
      <c r="F37" s="659"/>
      <c r="G37" s="661"/>
      <c r="H37" s="659"/>
      <c r="I37" s="661"/>
      <c r="J37" s="659"/>
      <c r="K37" s="661"/>
      <c r="L37" s="659"/>
    </row>
    <row r="38" spans="1:12" ht="17.25" thickBot="1">
      <c r="A38" s="2044" t="s">
        <v>510</v>
      </c>
      <c r="B38" s="2045"/>
      <c r="C38" s="2045"/>
      <c r="D38" s="2046"/>
      <c r="E38" s="2046"/>
      <c r="F38" s="2046"/>
      <c r="G38" s="2046"/>
      <c r="H38" s="2046"/>
    </row>
    <row r="39" spans="1:12" ht="16.5">
      <c r="A39" s="2180" t="s">
        <v>511</v>
      </c>
      <c r="B39" s="2181"/>
      <c r="C39" s="2182"/>
      <c r="D39" s="662">
        <v>449</v>
      </c>
      <c r="E39" s="2068" t="s">
        <v>1476</v>
      </c>
      <c r="F39" s="2069"/>
      <c r="G39" s="2069"/>
      <c r="H39" s="2070"/>
    </row>
    <row r="40" spans="1:12" ht="16.5">
      <c r="A40" s="2094" t="s">
        <v>513</v>
      </c>
      <c r="B40" s="2095"/>
      <c r="C40" s="2183"/>
      <c r="D40" s="2052" t="s">
        <v>1476</v>
      </c>
      <c r="E40" s="2053"/>
      <c r="F40" s="2053"/>
      <c r="G40" s="2053"/>
      <c r="H40" s="2054"/>
    </row>
    <row r="41" spans="1:12" ht="16.5">
      <c r="A41" s="2055" t="s">
        <v>385</v>
      </c>
      <c r="B41" s="2056"/>
      <c r="C41" s="2056"/>
      <c r="D41" s="2056"/>
      <c r="E41" s="2056"/>
      <c r="F41" s="2056"/>
      <c r="G41" s="2056"/>
      <c r="H41" s="2057"/>
    </row>
    <row r="42" spans="1:12" ht="39.75" customHeight="1">
      <c r="A42" s="2058" t="s">
        <v>1480</v>
      </c>
      <c r="B42" s="2059"/>
      <c r="C42" s="2059"/>
      <c r="D42" s="2059"/>
      <c r="E42" s="2059"/>
      <c r="F42" s="2059"/>
      <c r="G42" s="2059"/>
      <c r="H42" s="2060"/>
    </row>
    <row r="43" spans="1:12" ht="12.75" customHeight="1">
      <c r="A43" s="2055" t="s">
        <v>391</v>
      </c>
      <c r="B43" s="2056"/>
      <c r="C43" s="2056"/>
      <c r="D43" s="2056"/>
      <c r="E43" s="2056"/>
      <c r="F43" s="2056"/>
      <c r="G43" s="2056"/>
      <c r="H43" s="2057"/>
    </row>
    <row r="44" spans="1:12" ht="18" customHeight="1">
      <c r="A44" s="2058" t="s">
        <v>1481</v>
      </c>
      <c r="B44" s="2059"/>
      <c r="C44" s="2059"/>
      <c r="D44" s="2061"/>
      <c r="E44" s="2061"/>
      <c r="F44" s="2061"/>
      <c r="G44" s="2061"/>
      <c r="H44" s="2062"/>
    </row>
    <row r="45" spans="1:12">
      <c r="A45" s="663"/>
      <c r="B45" s="664"/>
      <c r="C45" s="664"/>
      <c r="D45" s="664"/>
      <c r="E45" s="664"/>
      <c r="F45" s="664"/>
      <c r="G45" s="664"/>
      <c r="H45" s="665"/>
    </row>
    <row r="46" spans="1:12" ht="16.5">
      <c r="A46" s="2090" t="s">
        <v>516</v>
      </c>
      <c r="B46" s="2091"/>
      <c r="C46" s="2091"/>
      <c r="D46" s="2092"/>
      <c r="E46" s="2092"/>
      <c r="F46" s="2092"/>
      <c r="G46" s="2093"/>
      <c r="H46" s="666" t="s">
        <v>91</v>
      </c>
    </row>
    <row r="47" spans="1:12" ht="16.5">
      <c r="A47" s="2094" t="s">
        <v>517</v>
      </c>
      <c r="B47" s="2095"/>
      <c r="C47" s="2095"/>
      <c r="D47" s="2096"/>
      <c r="E47" s="2096"/>
      <c r="F47" s="2096"/>
      <c r="G47" s="2097"/>
      <c r="H47" s="666" t="s">
        <v>394</v>
      </c>
    </row>
    <row r="48" spans="1:12" ht="16.5">
      <c r="A48" s="2084" t="s">
        <v>518</v>
      </c>
      <c r="B48" s="2085"/>
      <c r="C48" s="2085"/>
      <c r="D48" s="2098"/>
      <c r="E48" s="2098"/>
      <c r="F48" s="2098"/>
      <c r="G48" s="2099"/>
      <c r="H48" s="2100">
        <v>60</v>
      </c>
    </row>
    <row r="49" spans="1:8">
      <c r="A49" s="2102" t="s">
        <v>519</v>
      </c>
      <c r="B49" s="2103"/>
      <c r="C49" s="2103"/>
      <c r="D49" s="2103"/>
      <c r="E49" s="2103"/>
      <c r="F49" s="2103"/>
      <c r="G49" s="2104"/>
      <c r="H49" s="2101"/>
    </row>
    <row r="50" spans="1:8" ht="13.5">
      <c r="A50" s="2105" t="s">
        <v>520</v>
      </c>
      <c r="B50" s="2106"/>
      <c r="C50" s="2107"/>
      <c r="D50" s="667">
        <v>1</v>
      </c>
      <c r="E50" s="2108" t="s">
        <v>521</v>
      </c>
      <c r="F50" s="2109"/>
      <c r="G50" s="2110"/>
      <c r="H50" s="668">
        <v>0.06</v>
      </c>
    </row>
    <row r="51" spans="1:8" ht="5.25" customHeight="1">
      <c r="A51" s="669"/>
      <c r="B51" s="670"/>
      <c r="C51" s="670"/>
      <c r="D51" s="670"/>
      <c r="E51" s="670"/>
      <c r="F51" s="670"/>
      <c r="G51" s="670"/>
      <c r="H51" s="671"/>
    </row>
    <row r="52" spans="1:8" ht="16.5">
      <c r="A52" s="2071" t="s">
        <v>0</v>
      </c>
      <c r="B52" s="2072"/>
      <c r="C52" s="2072"/>
      <c r="D52" s="2072"/>
      <c r="E52" s="2072"/>
      <c r="F52" s="2072"/>
      <c r="G52" s="2072"/>
      <c r="H52" s="2073"/>
    </row>
    <row r="53" spans="1:8" ht="33">
      <c r="A53" s="2074" t="s">
        <v>522</v>
      </c>
      <c r="B53" s="2075"/>
      <c r="C53" s="2076"/>
      <c r="D53" s="672" t="s">
        <v>447</v>
      </c>
      <c r="E53" s="672" t="s">
        <v>6</v>
      </c>
      <c r="F53" s="672" t="s">
        <v>523</v>
      </c>
      <c r="G53" s="672" t="s">
        <v>524</v>
      </c>
      <c r="H53" s="673" t="s">
        <v>525</v>
      </c>
    </row>
    <row r="54" spans="1:8" ht="13.5" thickBot="1">
      <c r="A54" s="2077" t="s">
        <v>526</v>
      </c>
      <c r="B54" s="2078"/>
      <c r="C54" s="2079"/>
      <c r="D54" s="674"/>
      <c r="E54" s="675"/>
      <c r="F54" s="674"/>
      <c r="G54" s="675">
        <f>E54*F54</f>
        <v>0</v>
      </c>
      <c r="H54" s="676"/>
    </row>
    <row r="55" spans="1:8" ht="17.25" thickTop="1">
      <c r="A55" s="2080" t="s">
        <v>527</v>
      </c>
      <c r="B55" s="2081"/>
      <c r="C55" s="2081"/>
      <c r="D55" s="2082"/>
      <c r="E55" s="2082"/>
      <c r="F55" s="2083"/>
      <c r="G55" s="677">
        <f>SUM(G54:G54)</f>
        <v>0</v>
      </c>
      <c r="H55" s="678">
        <f>SUM(H54:H54)</f>
        <v>0</v>
      </c>
    </row>
    <row r="56" spans="1:8" ht="16.5">
      <c r="A56" s="2084" t="s">
        <v>528</v>
      </c>
      <c r="B56" s="2085"/>
      <c r="C56" s="2086"/>
      <c r="D56" s="2087"/>
      <c r="E56" s="2088"/>
      <c r="F56" s="2088"/>
      <c r="G56" s="2088"/>
      <c r="H56" s="2089"/>
    </row>
    <row r="57" spans="1:8" ht="5.25" customHeight="1">
      <c r="A57" s="669"/>
      <c r="B57" s="670"/>
      <c r="C57" s="670"/>
      <c r="D57" s="670"/>
      <c r="E57" s="670"/>
      <c r="F57" s="670"/>
      <c r="G57" s="670"/>
      <c r="H57" s="671"/>
    </row>
    <row r="58" spans="1:8" ht="16.5">
      <c r="A58" s="2071" t="s">
        <v>2</v>
      </c>
      <c r="B58" s="2072"/>
      <c r="C58" s="2072"/>
      <c r="D58" s="2072"/>
      <c r="E58" s="2072"/>
      <c r="F58" s="2072"/>
      <c r="G58" s="2072"/>
      <c r="H58" s="2073"/>
    </row>
    <row r="59" spans="1:8" ht="33">
      <c r="A59" s="2074" t="s">
        <v>529</v>
      </c>
      <c r="B59" s="2075"/>
      <c r="C59" s="2076"/>
      <c r="D59" s="672" t="s">
        <v>447</v>
      </c>
      <c r="E59" s="672" t="s">
        <v>6</v>
      </c>
      <c r="F59" s="672" t="s">
        <v>523</v>
      </c>
      <c r="G59" s="672" t="s">
        <v>524</v>
      </c>
      <c r="H59" s="673" t="s">
        <v>525</v>
      </c>
    </row>
    <row r="60" spans="1:8" ht="13.5" thickBot="1">
      <c r="A60" s="2120" t="s">
        <v>526</v>
      </c>
      <c r="B60" s="2121"/>
      <c r="C60" s="2122"/>
      <c r="D60" s="674"/>
      <c r="E60" s="675"/>
      <c r="F60" s="674"/>
      <c r="G60" s="675"/>
      <c r="H60" s="676"/>
    </row>
    <row r="61" spans="1:8" ht="17.25" thickTop="1">
      <c r="A61" s="2080" t="s">
        <v>530</v>
      </c>
      <c r="B61" s="2081"/>
      <c r="C61" s="2081"/>
      <c r="D61" s="2082"/>
      <c r="E61" s="2082"/>
      <c r="F61" s="2083"/>
      <c r="G61" s="677">
        <f>SUM(G60:G60)</f>
        <v>0</v>
      </c>
      <c r="H61" s="678">
        <f>SUM(H60:H60)</f>
        <v>0</v>
      </c>
    </row>
    <row r="62" spans="1:8" ht="16.5">
      <c r="A62" s="2084" t="s">
        <v>528</v>
      </c>
      <c r="B62" s="2085"/>
      <c r="C62" s="2086"/>
      <c r="D62" s="2087"/>
      <c r="E62" s="2088"/>
      <c r="F62" s="2088"/>
      <c r="G62" s="2088"/>
      <c r="H62" s="2089"/>
    </row>
    <row r="63" spans="1:8" ht="5.25" customHeight="1">
      <c r="A63" s="669"/>
      <c r="B63" s="670"/>
      <c r="C63" s="670"/>
      <c r="D63" s="670"/>
      <c r="E63" s="670"/>
      <c r="F63" s="670"/>
      <c r="G63" s="670"/>
      <c r="H63" s="671"/>
    </row>
    <row r="64" spans="1:8" ht="16.5">
      <c r="A64" s="2071" t="s">
        <v>3</v>
      </c>
      <c r="B64" s="2072"/>
      <c r="C64" s="2072"/>
      <c r="D64" s="2072"/>
      <c r="E64" s="2072"/>
      <c r="F64" s="2072"/>
      <c r="G64" s="2072"/>
      <c r="H64" s="2073"/>
    </row>
    <row r="65" spans="1:8" ht="33">
      <c r="A65" s="2074" t="s">
        <v>531</v>
      </c>
      <c r="B65" s="2075"/>
      <c r="C65" s="2076"/>
      <c r="D65" s="672" t="s">
        <v>447</v>
      </c>
      <c r="E65" s="672" t="s">
        <v>6</v>
      </c>
      <c r="F65" s="672" t="s">
        <v>523</v>
      </c>
      <c r="G65" s="672" t="s">
        <v>524</v>
      </c>
      <c r="H65" s="673" t="s">
        <v>525</v>
      </c>
    </row>
    <row r="66" spans="1:8">
      <c r="A66" s="2187" t="s">
        <v>1482</v>
      </c>
      <c r="B66" s="2188"/>
      <c r="C66" s="2189"/>
      <c r="D66" s="674" t="s">
        <v>533</v>
      </c>
      <c r="E66" s="679">
        <v>18.32</v>
      </c>
      <c r="F66" s="674">
        <v>30</v>
      </c>
      <c r="G66" s="675">
        <f>E66*F66/H48</f>
        <v>9.16</v>
      </c>
      <c r="H66" s="676"/>
    </row>
    <row r="67" spans="1:8" ht="13.5" thickBot="1">
      <c r="A67" s="2120" t="s">
        <v>1483</v>
      </c>
      <c r="B67" s="2121"/>
      <c r="C67" s="2121"/>
      <c r="D67" s="1419" t="s">
        <v>533</v>
      </c>
      <c r="E67" s="1420">
        <v>18.32</v>
      </c>
      <c r="F67" s="1421">
        <v>10</v>
      </c>
      <c r="G67" s="1422">
        <f>E67*F67/H48</f>
        <v>3.0533333333333332</v>
      </c>
      <c r="H67" s="1423"/>
    </row>
    <row r="68" spans="1:8" ht="17.25" thickTop="1">
      <c r="A68" s="2080" t="s">
        <v>534</v>
      </c>
      <c r="B68" s="2081"/>
      <c r="C68" s="2081"/>
      <c r="D68" s="2082"/>
      <c r="E68" s="2082"/>
      <c r="F68" s="2083"/>
      <c r="G68" s="677">
        <f>SUM(G66:G67)</f>
        <v>12.213333333333333</v>
      </c>
      <c r="H68" s="678">
        <f>SUM(H66:H66)</f>
        <v>0</v>
      </c>
    </row>
    <row r="69" spans="1:8" ht="16.5" customHeight="1">
      <c r="A69" s="2084" t="s">
        <v>528</v>
      </c>
      <c r="B69" s="2085"/>
      <c r="C69" s="2086"/>
      <c r="D69" s="2114" t="s">
        <v>1484</v>
      </c>
      <c r="E69" s="2115"/>
      <c r="F69" s="2115"/>
      <c r="G69" s="2115"/>
      <c r="H69" s="2116"/>
    </row>
    <row r="70" spans="1:8" ht="16.5" customHeight="1">
      <c r="A70" s="2190"/>
      <c r="B70" s="2191"/>
      <c r="C70" s="2192"/>
      <c r="D70" s="2193"/>
      <c r="E70" s="2194"/>
      <c r="F70" s="2194"/>
      <c r="G70" s="2194"/>
      <c r="H70" s="2195"/>
    </row>
    <row r="71" spans="1:8" ht="16.5" customHeight="1">
      <c r="A71" s="2190"/>
      <c r="B71" s="2191"/>
      <c r="C71" s="2192"/>
      <c r="D71" s="2193"/>
      <c r="E71" s="2194"/>
      <c r="F71" s="2194"/>
      <c r="G71" s="2194"/>
      <c r="H71" s="2195"/>
    </row>
    <row r="72" spans="1:8" ht="5.25" customHeight="1">
      <c r="A72" s="669"/>
      <c r="B72" s="670"/>
      <c r="C72" s="670"/>
      <c r="D72" s="670"/>
      <c r="E72" s="670"/>
      <c r="F72" s="670"/>
      <c r="G72" s="670"/>
      <c r="H72" s="671"/>
    </row>
    <row r="73" spans="1:8" ht="16.5">
      <c r="A73" s="2071" t="s">
        <v>4</v>
      </c>
      <c r="B73" s="2072"/>
      <c r="C73" s="2072"/>
      <c r="D73" s="2072"/>
      <c r="E73" s="2072"/>
      <c r="F73" s="2072"/>
      <c r="G73" s="2072"/>
      <c r="H73" s="2073"/>
    </row>
    <row r="74" spans="1:8" ht="58.5" customHeight="1">
      <c r="A74" s="2074" t="s">
        <v>536</v>
      </c>
      <c r="B74" s="2075"/>
      <c r="C74" s="2076"/>
      <c r="D74" s="672" t="s">
        <v>447</v>
      </c>
      <c r="E74" s="672" t="s">
        <v>537</v>
      </c>
      <c r="F74" s="672" t="s">
        <v>538</v>
      </c>
      <c r="G74" s="672" t="s">
        <v>524</v>
      </c>
      <c r="H74" s="673" t="s">
        <v>525</v>
      </c>
    </row>
    <row r="75" spans="1:8" ht="13.5" thickBot="1">
      <c r="A75" s="2120" t="s">
        <v>526</v>
      </c>
      <c r="B75" s="2121"/>
      <c r="C75" s="2122"/>
      <c r="D75" s="674"/>
      <c r="E75" s="680"/>
      <c r="F75" s="675"/>
      <c r="G75" s="675">
        <f>E75*F75</f>
        <v>0</v>
      </c>
      <c r="H75" s="676"/>
    </row>
    <row r="76" spans="1:8" ht="17.25" thickTop="1">
      <c r="A76" s="2080" t="s">
        <v>539</v>
      </c>
      <c r="B76" s="2081"/>
      <c r="C76" s="2081"/>
      <c r="D76" s="2082"/>
      <c r="E76" s="2082"/>
      <c r="F76" s="2083"/>
      <c r="G76" s="677">
        <f>SUM(G75:G75)</f>
        <v>0</v>
      </c>
      <c r="H76" s="678">
        <f>SUM(H75:H75)</f>
        <v>0</v>
      </c>
    </row>
    <row r="77" spans="1:8" ht="16.5">
      <c r="A77" s="2084" t="s">
        <v>528</v>
      </c>
      <c r="B77" s="2085"/>
      <c r="C77" s="2086"/>
      <c r="D77" s="2087"/>
      <c r="E77" s="2088"/>
      <c r="F77" s="2088"/>
      <c r="G77" s="2088"/>
      <c r="H77" s="2089"/>
    </row>
    <row r="78" spans="1:8" ht="5.25" customHeight="1">
      <c r="A78" s="669"/>
      <c r="B78" s="670"/>
      <c r="C78" s="670"/>
      <c r="D78" s="670"/>
      <c r="E78" s="670"/>
      <c r="F78" s="670"/>
      <c r="G78" s="670"/>
      <c r="H78" s="671"/>
    </row>
    <row r="79" spans="1:8" ht="16.5">
      <c r="A79" s="2071" t="s">
        <v>468</v>
      </c>
      <c r="B79" s="2072"/>
      <c r="C79" s="2072"/>
      <c r="D79" s="2072"/>
      <c r="E79" s="2072"/>
      <c r="F79" s="2072"/>
      <c r="G79" s="2072"/>
      <c r="H79" s="2073"/>
    </row>
    <row r="80" spans="1:8" ht="55.5" customHeight="1">
      <c r="A80" s="2074" t="s">
        <v>540</v>
      </c>
      <c r="B80" s="2075"/>
      <c r="C80" s="2076"/>
      <c r="D80" s="672" t="s">
        <v>447</v>
      </c>
      <c r="E80" s="672" t="s">
        <v>541</v>
      </c>
      <c r="F80" s="672" t="s">
        <v>538</v>
      </c>
      <c r="G80" s="672" t="s">
        <v>524</v>
      </c>
      <c r="H80" s="673" t="s">
        <v>525</v>
      </c>
    </row>
    <row r="81" spans="1:8" ht="13.5" thickBot="1">
      <c r="A81" s="2120" t="s">
        <v>526</v>
      </c>
      <c r="B81" s="2121"/>
      <c r="C81" s="2122"/>
      <c r="D81" s="674"/>
      <c r="E81" s="680"/>
      <c r="F81" s="675"/>
      <c r="G81" s="675">
        <f>E81*F81</f>
        <v>0</v>
      </c>
      <c r="H81" s="676"/>
    </row>
    <row r="82" spans="1:8" ht="17.25" thickTop="1">
      <c r="A82" s="2080" t="s">
        <v>543</v>
      </c>
      <c r="B82" s="2081"/>
      <c r="C82" s="2081"/>
      <c r="D82" s="2082"/>
      <c r="E82" s="2082"/>
      <c r="F82" s="2083"/>
      <c r="G82" s="677">
        <f>SUM(G81:G81)</f>
        <v>0</v>
      </c>
      <c r="H82" s="678">
        <f>SUM(H81:H81)</f>
        <v>0</v>
      </c>
    </row>
    <row r="83" spans="1:8" ht="16.5">
      <c r="A83" s="2084" t="s">
        <v>528</v>
      </c>
      <c r="B83" s="2085"/>
      <c r="C83" s="2086"/>
      <c r="D83" s="2087"/>
      <c r="E83" s="2088"/>
      <c r="F83" s="2088"/>
      <c r="G83" s="2088"/>
      <c r="H83" s="2089"/>
    </row>
    <row r="84" spans="1:8" ht="5.25" customHeight="1">
      <c r="A84" s="669"/>
      <c r="B84" s="670"/>
      <c r="C84" s="670"/>
      <c r="D84" s="670"/>
      <c r="E84" s="670"/>
      <c r="F84" s="670"/>
      <c r="G84" s="670"/>
      <c r="H84" s="671"/>
    </row>
    <row r="85" spans="1:8" ht="16.5">
      <c r="A85" s="2071" t="s">
        <v>507</v>
      </c>
      <c r="B85" s="2072"/>
      <c r="C85" s="2072"/>
      <c r="D85" s="2072"/>
      <c r="E85" s="2072"/>
      <c r="F85" s="2072"/>
      <c r="G85" s="2072"/>
      <c r="H85" s="2073"/>
    </row>
    <row r="86" spans="1:8" ht="57" customHeight="1">
      <c r="A86" s="2074" t="s">
        <v>544</v>
      </c>
      <c r="B86" s="2075"/>
      <c r="C86" s="2076"/>
      <c r="D86" s="672" t="s">
        <v>447</v>
      </c>
      <c r="E86" s="672" t="s">
        <v>6</v>
      </c>
      <c r="F86" s="672" t="s">
        <v>523</v>
      </c>
      <c r="G86" s="672" t="s">
        <v>524</v>
      </c>
      <c r="H86" s="673" t="s">
        <v>525</v>
      </c>
    </row>
    <row r="87" spans="1:8" ht="13.5" thickBot="1">
      <c r="A87" s="2120" t="s">
        <v>526</v>
      </c>
      <c r="B87" s="2121"/>
      <c r="C87" s="2122"/>
      <c r="D87" s="674"/>
      <c r="E87" s="675"/>
      <c r="F87" s="674"/>
      <c r="G87" s="675"/>
      <c r="H87" s="676"/>
    </row>
    <row r="88" spans="1:8" ht="17.25" thickTop="1">
      <c r="A88" s="2080" t="s">
        <v>546</v>
      </c>
      <c r="B88" s="2081"/>
      <c r="C88" s="2081"/>
      <c r="D88" s="2082"/>
      <c r="E88" s="2082"/>
      <c r="F88" s="2083"/>
      <c r="G88" s="677">
        <f>SUM(G87:G87)</f>
        <v>0</v>
      </c>
      <c r="H88" s="678">
        <f>SUM(H87:H87)</f>
        <v>0</v>
      </c>
    </row>
    <row r="89" spans="1:8" ht="16.5">
      <c r="A89" s="2084" t="s">
        <v>528</v>
      </c>
      <c r="B89" s="2085"/>
      <c r="C89" s="2086"/>
      <c r="D89" s="2087"/>
      <c r="E89" s="2088"/>
      <c r="F89" s="2088"/>
      <c r="G89" s="2088"/>
      <c r="H89" s="2089"/>
    </row>
    <row r="90" spans="1:8" ht="5.25" customHeight="1">
      <c r="A90" s="669"/>
      <c r="B90" s="670"/>
      <c r="C90" s="670"/>
      <c r="D90" s="670"/>
      <c r="E90" s="670"/>
      <c r="F90" s="670"/>
      <c r="G90" s="670"/>
      <c r="H90" s="671"/>
    </row>
    <row r="91" spans="1:8" ht="16.5">
      <c r="A91" s="2071" t="s">
        <v>421</v>
      </c>
      <c r="B91" s="2072"/>
      <c r="C91" s="2072"/>
      <c r="D91" s="2072"/>
      <c r="E91" s="2072"/>
      <c r="F91" s="2072"/>
      <c r="G91" s="2072"/>
      <c r="H91" s="2073"/>
    </row>
    <row r="92" spans="1:8" ht="60" customHeight="1">
      <c r="A92" s="2074" t="s">
        <v>548</v>
      </c>
      <c r="B92" s="2075"/>
      <c r="C92" s="2076"/>
      <c r="D92" s="672" t="s">
        <v>447</v>
      </c>
      <c r="E92" s="672" t="s">
        <v>6</v>
      </c>
      <c r="F92" s="672" t="s">
        <v>523</v>
      </c>
      <c r="G92" s="672" t="s">
        <v>524</v>
      </c>
      <c r="H92" s="673" t="s">
        <v>525</v>
      </c>
    </row>
    <row r="93" spans="1:8" ht="13.5" thickBot="1">
      <c r="A93" s="2120" t="s">
        <v>526</v>
      </c>
      <c r="B93" s="2121"/>
      <c r="C93" s="2122"/>
      <c r="D93" s="674"/>
      <c r="E93" s="675"/>
      <c r="F93" s="680"/>
      <c r="G93" s="675">
        <f>E93*F93</f>
        <v>0</v>
      </c>
      <c r="H93" s="676"/>
    </row>
    <row r="94" spans="1:8" ht="17.25" thickTop="1">
      <c r="A94" s="2080" t="s">
        <v>550</v>
      </c>
      <c r="B94" s="2081"/>
      <c r="C94" s="2081"/>
      <c r="D94" s="2082"/>
      <c r="E94" s="2082"/>
      <c r="F94" s="2083"/>
      <c r="G94" s="677">
        <f>SUM(G93:G93)</f>
        <v>0</v>
      </c>
      <c r="H94" s="678">
        <f>SUM(H93:H93)</f>
        <v>0</v>
      </c>
    </row>
    <row r="95" spans="1:8" ht="16.5">
      <c r="A95" s="2084" t="s">
        <v>528</v>
      </c>
      <c r="B95" s="2085"/>
      <c r="C95" s="2086"/>
      <c r="D95" s="2114"/>
      <c r="E95" s="2115"/>
      <c r="F95" s="2115"/>
      <c r="G95" s="2115"/>
      <c r="H95" s="2116"/>
    </row>
    <row r="96" spans="1:8" ht="5.25" customHeight="1">
      <c r="A96" s="669"/>
      <c r="B96" s="670"/>
      <c r="C96" s="670"/>
      <c r="D96" s="670"/>
      <c r="E96" s="670"/>
      <c r="F96" s="670"/>
      <c r="G96" s="670"/>
      <c r="H96" s="671"/>
    </row>
    <row r="97" spans="1:8" ht="16.5">
      <c r="A97" s="2071" t="s">
        <v>5</v>
      </c>
      <c r="B97" s="2072"/>
      <c r="C97" s="2072"/>
      <c r="D97" s="2072"/>
      <c r="E97" s="2072"/>
      <c r="F97" s="2072"/>
      <c r="G97" s="2072"/>
      <c r="H97" s="2073"/>
    </row>
    <row r="98" spans="1:8" ht="68.25" customHeight="1">
      <c r="A98" s="2074" t="s">
        <v>552</v>
      </c>
      <c r="B98" s="2075"/>
      <c r="C98" s="2076"/>
      <c r="D98" s="672" t="s">
        <v>447</v>
      </c>
      <c r="E98" s="672" t="s">
        <v>6</v>
      </c>
      <c r="F98" s="672" t="s">
        <v>523</v>
      </c>
      <c r="G98" s="672" t="s">
        <v>524</v>
      </c>
      <c r="H98" s="673" t="s">
        <v>525</v>
      </c>
    </row>
    <row r="99" spans="1:8" ht="13.5" thickBot="1">
      <c r="A99" s="2120" t="s">
        <v>526</v>
      </c>
      <c r="B99" s="2121"/>
      <c r="C99" s="2122"/>
      <c r="D99" s="674"/>
      <c r="E99" s="675"/>
      <c r="F99" s="674"/>
      <c r="G99" s="675"/>
      <c r="H99" s="676"/>
    </row>
    <row r="100" spans="1:8" ht="17.25" thickTop="1">
      <c r="A100" s="2080" t="s">
        <v>553</v>
      </c>
      <c r="B100" s="2081"/>
      <c r="C100" s="2081"/>
      <c r="D100" s="2082"/>
      <c r="E100" s="2082"/>
      <c r="F100" s="2083"/>
      <c r="G100" s="677">
        <f>SUM(G99:G99)</f>
        <v>0</v>
      </c>
      <c r="H100" s="678">
        <f>SUM(H99:H99)</f>
        <v>0</v>
      </c>
    </row>
    <row r="101" spans="1:8" ht="16.5">
      <c r="A101" s="2084" t="s">
        <v>528</v>
      </c>
      <c r="B101" s="2085"/>
      <c r="C101" s="2086"/>
      <c r="D101" s="2087"/>
      <c r="E101" s="2088"/>
      <c r="F101" s="2088"/>
      <c r="G101" s="2088"/>
      <c r="H101" s="2089"/>
    </row>
    <row r="102" spans="1:8" ht="5.25" customHeight="1">
      <c r="A102" s="669"/>
      <c r="B102" s="670"/>
      <c r="C102" s="670"/>
      <c r="D102" s="670"/>
      <c r="E102" s="670"/>
      <c r="F102" s="670"/>
      <c r="G102" s="670"/>
      <c r="H102" s="671"/>
    </row>
    <row r="103" spans="1:8" ht="16.5">
      <c r="A103" s="2071" t="s">
        <v>554</v>
      </c>
      <c r="B103" s="2072"/>
      <c r="C103" s="2072"/>
      <c r="D103" s="2072"/>
      <c r="E103" s="2072"/>
      <c r="F103" s="2072"/>
      <c r="G103" s="2072"/>
      <c r="H103" s="2073"/>
    </row>
    <row r="104" spans="1:8" ht="60.75" customHeight="1">
      <c r="A104" s="2074" t="s">
        <v>555</v>
      </c>
      <c r="B104" s="2075"/>
      <c r="C104" s="2076"/>
      <c r="D104" s="672" t="s">
        <v>447</v>
      </c>
      <c r="E104" s="672" t="s">
        <v>6</v>
      </c>
      <c r="F104" s="672" t="s">
        <v>523</v>
      </c>
      <c r="G104" s="672" t="s">
        <v>524</v>
      </c>
      <c r="H104" s="673" t="s">
        <v>525</v>
      </c>
    </row>
    <row r="105" spans="1:8" ht="13.5" thickBot="1">
      <c r="A105" s="2120" t="s">
        <v>526</v>
      </c>
      <c r="B105" s="2121"/>
      <c r="C105" s="2122"/>
      <c r="D105" s="674"/>
      <c r="E105" s="675"/>
      <c r="F105" s="674"/>
      <c r="G105" s="675"/>
      <c r="H105" s="676"/>
    </row>
    <row r="106" spans="1:8" ht="17.25" thickTop="1">
      <c r="A106" s="2080" t="s">
        <v>553</v>
      </c>
      <c r="B106" s="2081"/>
      <c r="C106" s="2081"/>
      <c r="D106" s="2082"/>
      <c r="E106" s="2082"/>
      <c r="F106" s="2083"/>
      <c r="G106" s="677">
        <f>SUM(G105:G105)</f>
        <v>0</v>
      </c>
      <c r="H106" s="678">
        <f>SUM(H105:H105)</f>
        <v>0</v>
      </c>
    </row>
    <row r="107" spans="1:8" ht="16.5">
      <c r="A107" s="2084" t="s">
        <v>528</v>
      </c>
      <c r="B107" s="2085"/>
      <c r="C107" s="2086"/>
      <c r="D107" s="2087"/>
      <c r="E107" s="2088"/>
      <c r="F107" s="2088"/>
      <c r="G107" s="2088"/>
      <c r="H107" s="2089"/>
    </row>
    <row r="108" spans="1:8" ht="5.25" customHeight="1">
      <c r="A108" s="669"/>
      <c r="B108" s="670"/>
      <c r="C108" s="670"/>
      <c r="D108" s="670"/>
      <c r="E108" s="670"/>
      <c r="F108" s="670"/>
      <c r="G108" s="670"/>
      <c r="H108" s="671"/>
    </row>
    <row r="109" spans="1:8" ht="16.5">
      <c r="A109" s="2071" t="s">
        <v>557</v>
      </c>
      <c r="B109" s="2072"/>
      <c r="C109" s="2072"/>
      <c r="D109" s="2072"/>
      <c r="E109" s="2072"/>
      <c r="F109" s="2072"/>
      <c r="G109" s="2072"/>
      <c r="H109" s="2073"/>
    </row>
    <row r="110" spans="1:8" ht="16.5">
      <c r="A110" s="2090" t="s">
        <v>558</v>
      </c>
      <c r="B110" s="2091"/>
      <c r="C110" s="2136"/>
      <c r="D110" s="681">
        <f>G55+G61+G68+G76+G82+G88+G94+G100+G106</f>
        <v>12.213333333333333</v>
      </c>
      <c r="E110" s="2137" t="s">
        <v>559</v>
      </c>
      <c r="F110" s="2137"/>
      <c r="G110" s="2137"/>
      <c r="H110" s="682">
        <f>H55+H61+H68+H76+H82+H88+H94+H100+H106</f>
        <v>0</v>
      </c>
    </row>
    <row r="111" spans="1:8" ht="16.5">
      <c r="A111" s="2090" t="s">
        <v>560</v>
      </c>
      <c r="B111" s="2091"/>
      <c r="C111" s="2136"/>
      <c r="D111" s="683"/>
      <c r="E111" s="2138" t="s">
        <v>561</v>
      </c>
      <c r="F111" s="2139"/>
      <c r="G111" s="2139"/>
      <c r="H111" s="2140">
        <f>H110*D111</f>
        <v>0</v>
      </c>
    </row>
    <row r="112" spans="1:8" ht="16.5">
      <c r="A112" s="2090" t="s">
        <v>562</v>
      </c>
      <c r="B112" s="2091"/>
      <c r="C112" s="2136"/>
      <c r="D112" s="681">
        <f>D110*D111</f>
        <v>0</v>
      </c>
      <c r="E112" s="2139"/>
      <c r="F112" s="2139"/>
      <c r="G112" s="2139"/>
      <c r="H112" s="2141"/>
    </row>
    <row r="113" spans="1:8" ht="5.25" customHeight="1">
      <c r="A113" s="669"/>
      <c r="B113" s="670"/>
      <c r="C113" s="670"/>
      <c r="D113" s="670"/>
      <c r="E113" s="670"/>
      <c r="F113" s="670"/>
      <c r="G113" s="670"/>
      <c r="H113" s="671"/>
    </row>
    <row r="114" spans="1:8" ht="16.5">
      <c r="A114" s="2071" t="s">
        <v>563</v>
      </c>
      <c r="B114" s="2072"/>
      <c r="C114" s="2072"/>
      <c r="D114" s="2072"/>
      <c r="E114" s="2072"/>
      <c r="F114" s="2072"/>
      <c r="G114" s="2072"/>
      <c r="H114" s="2073"/>
    </row>
    <row r="115" spans="1:8" ht="30" customHeight="1" thickBot="1">
      <c r="A115" s="2132"/>
      <c r="B115" s="2133"/>
      <c r="C115" s="2133"/>
      <c r="D115" s="2134"/>
      <c r="E115" s="2134"/>
      <c r="F115" s="2134"/>
      <c r="G115" s="2134"/>
      <c r="H115" s="2135"/>
    </row>
  </sheetData>
  <mergeCells count="122">
    <mergeCell ref="A111:C111"/>
    <mergeCell ref="E111:G112"/>
    <mergeCell ref="H111:H112"/>
    <mergeCell ref="A112:C112"/>
    <mergeCell ref="A114:H114"/>
    <mergeCell ref="A115:H115"/>
    <mergeCell ref="A106:F106"/>
    <mergeCell ref="A107:C107"/>
    <mergeCell ref="D107:H107"/>
    <mergeCell ref="A109:H109"/>
    <mergeCell ref="A110:C110"/>
    <mergeCell ref="E110:G110"/>
    <mergeCell ref="A100:F100"/>
    <mergeCell ref="A101:C101"/>
    <mergeCell ref="D101:H101"/>
    <mergeCell ref="A103:H103"/>
    <mergeCell ref="A104:C104"/>
    <mergeCell ref="A105:C105"/>
    <mergeCell ref="A94:F94"/>
    <mergeCell ref="A95:C95"/>
    <mergeCell ref="D95:H95"/>
    <mergeCell ref="A97:H97"/>
    <mergeCell ref="A98:C98"/>
    <mergeCell ref="A99:C99"/>
    <mergeCell ref="A88:F88"/>
    <mergeCell ref="A89:C89"/>
    <mergeCell ref="D89:H89"/>
    <mergeCell ref="A91:H91"/>
    <mergeCell ref="A92:C92"/>
    <mergeCell ref="A93:C93"/>
    <mergeCell ref="A82:F82"/>
    <mergeCell ref="A83:C83"/>
    <mergeCell ref="D83:H83"/>
    <mergeCell ref="A85:H85"/>
    <mergeCell ref="A86:C86"/>
    <mergeCell ref="A87:C87"/>
    <mergeCell ref="A76:F76"/>
    <mergeCell ref="A77:C77"/>
    <mergeCell ref="D77:H77"/>
    <mergeCell ref="A79:H79"/>
    <mergeCell ref="A80:C80"/>
    <mergeCell ref="A81:C81"/>
    <mergeCell ref="A68:F68"/>
    <mergeCell ref="A69:C71"/>
    <mergeCell ref="D69:H71"/>
    <mergeCell ref="A73:H73"/>
    <mergeCell ref="A74:C74"/>
    <mergeCell ref="A75:C75"/>
    <mergeCell ref="A62:C62"/>
    <mergeCell ref="D62:H62"/>
    <mergeCell ref="A64:H64"/>
    <mergeCell ref="A65:C65"/>
    <mergeCell ref="A66:C66"/>
    <mergeCell ref="A67:C67"/>
    <mergeCell ref="A56:C56"/>
    <mergeCell ref="D56:H56"/>
    <mergeCell ref="A58:H58"/>
    <mergeCell ref="A59:C59"/>
    <mergeCell ref="A60:C60"/>
    <mergeCell ref="A61:F61"/>
    <mergeCell ref="A50:C50"/>
    <mergeCell ref="E50:G50"/>
    <mergeCell ref="A52:H52"/>
    <mergeCell ref="A53:C53"/>
    <mergeCell ref="A54:C54"/>
    <mergeCell ref="A55:F55"/>
    <mergeCell ref="A43:H43"/>
    <mergeCell ref="A44:H44"/>
    <mergeCell ref="A46:G46"/>
    <mergeCell ref="A47:G47"/>
    <mergeCell ref="A48:G48"/>
    <mergeCell ref="H48:H49"/>
    <mergeCell ref="A49:G49"/>
    <mergeCell ref="A39:C39"/>
    <mergeCell ref="E39:H39"/>
    <mergeCell ref="A40:C40"/>
    <mergeCell ref="D40:H40"/>
    <mergeCell ref="A41:H41"/>
    <mergeCell ref="A42:H42"/>
    <mergeCell ref="A32:C32"/>
    <mergeCell ref="A33:C33"/>
    <mergeCell ref="A34:C34"/>
    <mergeCell ref="A35:C35"/>
    <mergeCell ref="A36:C36"/>
    <mergeCell ref="A38:H38"/>
    <mergeCell ref="A26:C26"/>
    <mergeCell ref="A27:C27"/>
    <mergeCell ref="A28:C28"/>
    <mergeCell ref="A29:C29"/>
    <mergeCell ref="A30:C30"/>
    <mergeCell ref="A31:C31"/>
    <mergeCell ref="A19:C19"/>
    <mergeCell ref="A20:C20"/>
    <mergeCell ref="A21:C21"/>
    <mergeCell ref="A22:C22"/>
    <mergeCell ref="A23:C23"/>
    <mergeCell ref="A24:C24"/>
    <mergeCell ref="A13:H13"/>
    <mergeCell ref="A14:C14"/>
    <mergeCell ref="A15:C15"/>
    <mergeCell ref="A16:C16"/>
    <mergeCell ref="A17:C17"/>
    <mergeCell ref="A18:C18"/>
    <mergeCell ref="C10:D10"/>
    <mergeCell ref="E10:F10"/>
    <mergeCell ref="C11:D11"/>
    <mergeCell ref="E11:F11"/>
    <mergeCell ref="C12:D12"/>
    <mergeCell ref="E12:F12"/>
    <mergeCell ref="C7:D7"/>
    <mergeCell ref="E7:F7"/>
    <mergeCell ref="C8:D8"/>
    <mergeCell ref="E8:F8"/>
    <mergeCell ref="C9:D9"/>
    <mergeCell ref="E9:F9"/>
    <mergeCell ref="A1:H1"/>
    <mergeCell ref="A2:H2"/>
    <mergeCell ref="A3:H3"/>
    <mergeCell ref="A4:H4"/>
    <mergeCell ref="A5:H5"/>
    <mergeCell ref="C6:D6"/>
    <mergeCell ref="E6:F6"/>
  </mergeCells>
  <pageMargins left="0.75" right="0.75" top="1" bottom="1" header="0.5" footer="0.5"/>
  <pageSetup scale="78" orientation="portrait" r:id="rId1"/>
  <headerFooter alignWithMargins="0"/>
  <rowBreaks count="2" manualBreakCount="2">
    <brk id="37" max="16383" man="1"/>
    <brk id="77" max="5" man="1"/>
  </rowBreaks>
  <legacyDrawing r:id="rId2"/>
</worksheet>
</file>

<file path=xl/worksheets/sheet154.xml><?xml version="1.0" encoding="utf-8"?>
<worksheet xmlns="http://schemas.openxmlformats.org/spreadsheetml/2006/main" xmlns:r="http://schemas.openxmlformats.org/officeDocument/2006/relationships">
  <sheetPr>
    <pageSetUpPr fitToPage="1"/>
  </sheetPr>
  <dimension ref="A1:L87"/>
  <sheetViews>
    <sheetView zoomScale="75" zoomScaleNormal="75" workbookViewId="0">
      <selection activeCell="D59" sqref="D59"/>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468</v>
      </c>
      <c r="C6" s="7" t="str">
        <f>+E12</f>
        <v>EQIP</v>
      </c>
      <c r="D6" s="53" t="s">
        <v>1485</v>
      </c>
      <c r="E6" s="53" t="s">
        <v>1486</v>
      </c>
      <c r="F6" s="7" t="str">
        <f>+D36</f>
        <v>Linear Feet</v>
      </c>
      <c r="G6" s="85">
        <f>+I25</f>
        <v>17.621574750000001</v>
      </c>
    </row>
    <row r="7" spans="1:12" hidden="1">
      <c r="A7" s="2"/>
      <c r="B7" s="54">
        <f>+B6</f>
        <v>468</v>
      </c>
      <c r="C7" s="7" t="str">
        <f>+C6</f>
        <v>EQIP</v>
      </c>
      <c r="D7" s="53" t="s">
        <v>1485</v>
      </c>
      <c r="E7" s="53" t="str">
        <f>CONCATENATE(E6, "-HU")</f>
        <v>Lined Outlet with Type III erosion control blanket-HU</v>
      </c>
      <c r="F7" s="7" t="str">
        <f>+F6</f>
        <v>Linear Feet</v>
      </c>
      <c r="G7" s="85">
        <f>+J25</f>
        <v>21.145889699999998</v>
      </c>
    </row>
    <row r="8" spans="1:12" hidden="1">
      <c r="A8" s="2"/>
      <c r="B8" s="54">
        <v>468</v>
      </c>
      <c r="C8" s="7" t="str">
        <f>+G12</f>
        <v>WHIP</v>
      </c>
      <c r="D8" s="53" t="s">
        <v>1485</v>
      </c>
      <c r="E8" s="53" t="s">
        <v>1486</v>
      </c>
      <c r="F8" s="7" t="str">
        <f>+D36</f>
        <v>Linear Feet</v>
      </c>
      <c r="G8" s="85">
        <f>+K25</f>
        <v>0</v>
      </c>
    </row>
    <row r="9" spans="1:12" hidden="1">
      <c r="A9" s="2"/>
      <c r="B9" s="8">
        <f>+B8</f>
        <v>468</v>
      </c>
      <c r="C9" s="10" t="str">
        <f>+C8</f>
        <v>WHIP</v>
      </c>
      <c r="D9" s="9" t="s">
        <v>1485</v>
      </c>
      <c r="E9" s="9" t="str">
        <f>CONCATENATE(E6, "-HU")</f>
        <v>Lined Outlet with Type III erosion control blanket-HU</v>
      </c>
      <c r="F9" s="10" t="str">
        <f>+F8</f>
        <v>Linear Feet</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Factors'!D18</f>
        <v>0.75</v>
      </c>
      <c r="F16" s="160">
        <f>+'[10]Payment Factors'!E18</f>
        <v>0.9</v>
      </c>
      <c r="G16" s="160">
        <f>+'[10]Payment Factors'!F19</f>
        <v>0</v>
      </c>
      <c r="H16" s="160">
        <f>+'[10]Payment Factors'!G19</f>
        <v>0</v>
      </c>
      <c r="I16" s="1154">
        <f t="shared" ref="I16:L24" si="0">+$D16*E16</f>
        <v>0</v>
      </c>
      <c r="J16" s="1154">
        <f t="shared" si="0"/>
        <v>0</v>
      </c>
      <c r="K16" s="1154">
        <f t="shared" si="0"/>
        <v>0</v>
      </c>
      <c r="L16" s="1155">
        <f t="shared" si="0"/>
        <v>0</v>
      </c>
    </row>
    <row r="17" spans="1:12" hidden="1">
      <c r="A17" s="2"/>
      <c r="B17" s="15" t="s">
        <v>2</v>
      </c>
      <c r="C17" s="16"/>
      <c r="D17" s="24">
        <f>+I43</f>
        <v>19.389434999999999</v>
      </c>
      <c r="E17" s="160">
        <f t="shared" ref="E17:H19" si="1">+E16</f>
        <v>0.75</v>
      </c>
      <c r="F17" s="160">
        <f t="shared" si="1"/>
        <v>0.9</v>
      </c>
      <c r="G17" s="160">
        <f t="shared" si="1"/>
        <v>0</v>
      </c>
      <c r="H17" s="160">
        <f t="shared" si="1"/>
        <v>0</v>
      </c>
      <c r="I17" s="1154">
        <f t="shared" si="0"/>
        <v>14.542076249999999</v>
      </c>
      <c r="J17" s="1154">
        <f t="shared" si="0"/>
        <v>17.450491499999998</v>
      </c>
      <c r="K17" s="1154">
        <f t="shared" si="0"/>
        <v>0</v>
      </c>
      <c r="L17" s="1155">
        <f t="shared" si="0"/>
        <v>0</v>
      </c>
    </row>
    <row r="18" spans="1:12" hidden="1">
      <c r="A18" s="2"/>
      <c r="B18" s="15" t="s">
        <v>3</v>
      </c>
      <c r="C18" s="16"/>
      <c r="D18" s="24">
        <f>+I59</f>
        <v>3.4216649999999995</v>
      </c>
      <c r="E18" s="160">
        <f t="shared" si="1"/>
        <v>0.75</v>
      </c>
      <c r="F18" s="160">
        <f t="shared" si="1"/>
        <v>0.9</v>
      </c>
      <c r="G18" s="160">
        <f t="shared" si="1"/>
        <v>0</v>
      </c>
      <c r="H18" s="160">
        <f t="shared" si="1"/>
        <v>0</v>
      </c>
      <c r="I18" s="1154">
        <f t="shared" si="0"/>
        <v>2.5662487499999997</v>
      </c>
      <c r="J18" s="1154">
        <f t="shared" si="0"/>
        <v>3.0794984999999997</v>
      </c>
      <c r="K18" s="1154">
        <f t="shared" si="0"/>
        <v>0</v>
      </c>
      <c r="L18" s="1155">
        <f t="shared" si="0"/>
        <v>0</v>
      </c>
    </row>
    <row r="19" spans="1:12" hidden="1">
      <c r="A19" s="2"/>
      <c r="B19" s="15" t="s">
        <v>4</v>
      </c>
      <c r="C19" s="16"/>
      <c r="D19" s="24">
        <f>+I65</f>
        <v>0.68433299999999997</v>
      </c>
      <c r="E19" s="160">
        <f t="shared" si="1"/>
        <v>0.75</v>
      </c>
      <c r="F19" s="160">
        <f t="shared" si="1"/>
        <v>0.9</v>
      </c>
      <c r="G19" s="160">
        <f t="shared" si="1"/>
        <v>0</v>
      </c>
      <c r="H19" s="160">
        <f t="shared" si="1"/>
        <v>0</v>
      </c>
      <c r="I19" s="1154">
        <f t="shared" si="0"/>
        <v>0.51324974999999995</v>
      </c>
      <c r="J19" s="1154">
        <f t="shared" si="0"/>
        <v>0.61589969999999994</v>
      </c>
      <c r="K19" s="1154">
        <f t="shared" si="0"/>
        <v>0</v>
      </c>
      <c r="L19" s="1155">
        <f t="shared" si="0"/>
        <v>0</v>
      </c>
    </row>
    <row r="20" spans="1:12" hidden="1">
      <c r="A20" s="2"/>
      <c r="B20" s="15" t="s">
        <v>26</v>
      </c>
      <c r="C20" s="16"/>
      <c r="D20" s="24">
        <f>+I68</f>
        <v>0.22811100000000001</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+I71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+I74</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+I81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23.723543999999997</v>
      </c>
      <c r="E25" s="1158"/>
      <c r="F25" s="1158"/>
      <c r="G25" s="28"/>
      <c r="H25" s="28"/>
      <c r="I25" s="1159">
        <f>SUM(I16:I24)</f>
        <v>17.621574750000001</v>
      </c>
      <c r="J25" s="1159">
        <f>SUM(J16:J24)</f>
        <v>21.145889699999998</v>
      </c>
      <c r="K25" s="1159">
        <f>SUM(K16:K24)</f>
        <v>0</v>
      </c>
      <c r="L25" s="1160">
        <f>SUM(L16:L24)</f>
        <v>0</v>
      </c>
    </row>
    <row r="26" spans="1:12" hidden="1">
      <c r="J26" s="1373"/>
    </row>
    <row r="27" spans="1:12" ht="15.75">
      <c r="A27" s="2"/>
      <c r="B27" s="50" t="s">
        <v>28</v>
      </c>
      <c r="C27" s="2"/>
      <c r="D27" s="2"/>
      <c r="E27" s="2"/>
      <c r="F27" s="2"/>
      <c r="G27" s="2"/>
      <c r="H27" s="2"/>
      <c r="I27" s="5"/>
    </row>
    <row r="28" spans="1:12">
      <c r="A28" s="2"/>
      <c r="B28" s="29" t="s">
        <v>1487</v>
      </c>
      <c r="C28" s="30"/>
      <c r="D28" s="30"/>
      <c r="E28" s="31"/>
      <c r="F28" s="31"/>
      <c r="G28" s="31"/>
      <c r="H28" s="31"/>
      <c r="I28" s="32"/>
    </row>
    <row r="29" spans="1:12">
      <c r="A29" s="2"/>
      <c r="B29" s="1161" t="s">
        <v>1488</v>
      </c>
      <c r="C29" s="34"/>
      <c r="D29" s="34"/>
      <c r="E29" s="35"/>
      <c r="F29" s="35"/>
      <c r="G29" s="35"/>
      <c r="H29" s="35"/>
      <c r="I29" s="36"/>
    </row>
    <row r="30" spans="1:12">
      <c r="A30" s="2"/>
      <c r="B30" s="1161" t="s">
        <v>1489</v>
      </c>
      <c r="C30" s="143"/>
      <c r="D30" s="34"/>
      <c r="E30" s="35"/>
      <c r="F30" s="1163"/>
      <c r="G30" s="35"/>
      <c r="H30" s="35"/>
      <c r="I30" s="36"/>
    </row>
    <row r="31" spans="1:12">
      <c r="A31" s="2"/>
      <c r="B31" s="37" t="s">
        <v>1490</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1491</v>
      </c>
      <c r="E36" s="6"/>
      <c r="F36" s="35"/>
      <c r="G36" s="35"/>
      <c r="H36" s="35"/>
      <c r="I36" s="36"/>
    </row>
    <row r="37" spans="1:9">
      <c r="A37" s="2"/>
      <c r="B37" s="38" t="s">
        <v>9</v>
      </c>
      <c r="C37" s="34"/>
      <c r="D37" s="1164">
        <f>+'[10]Payment Factors'!C22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v>0</v>
      </c>
    </row>
    <row r="41" spans="1:9">
      <c r="A41" s="2"/>
      <c r="B41" s="40" t="s">
        <v>1492</v>
      </c>
      <c r="C41" s="35"/>
      <c r="D41" s="1167"/>
      <c r="E41" s="1167"/>
      <c r="F41" s="1167"/>
      <c r="G41" s="1167"/>
      <c r="H41" s="35"/>
      <c r="I41" s="46"/>
    </row>
    <row r="42" spans="1:9">
      <c r="A42" s="2"/>
      <c r="B42" s="1172"/>
      <c r="C42" s="6"/>
      <c r="D42" s="1173"/>
      <c r="E42" s="35"/>
      <c r="F42" s="35"/>
      <c r="G42" s="35"/>
      <c r="H42" s="35"/>
      <c r="I42" s="36"/>
    </row>
    <row r="43" spans="1:9">
      <c r="A43" s="2"/>
      <c r="B43" s="42" t="s">
        <v>2</v>
      </c>
      <c r="C43" s="35"/>
      <c r="D43" s="35"/>
      <c r="E43" s="2003" t="s">
        <v>459</v>
      </c>
      <c r="F43" s="2003"/>
      <c r="G43" s="2003"/>
      <c r="H43" s="2003"/>
      <c r="I43" s="1166">
        <f>(SUM(G45:G52)/40*0.85)</f>
        <v>19.389434999999999</v>
      </c>
    </row>
    <row r="44" spans="1:9">
      <c r="A44" s="2"/>
      <c r="B44" s="1174"/>
      <c r="C44" s="35"/>
      <c r="D44" s="1167" t="s">
        <v>447</v>
      </c>
      <c r="E44" s="1167" t="s">
        <v>448</v>
      </c>
      <c r="F44" s="1167" t="s">
        <v>449</v>
      </c>
      <c r="G44" s="1167" t="s">
        <v>450</v>
      </c>
      <c r="H44" s="35"/>
      <c r="I44" s="46"/>
    </row>
    <row r="45" spans="1:9">
      <c r="A45" s="2"/>
      <c r="B45" s="1206" t="str">
        <f>+'[32]Core Rates'!A116</f>
        <v>Earthmoving: Very heavy shaping (&gt;2.0' cut/fill)</v>
      </c>
      <c r="C45" s="6"/>
      <c r="D45" s="1377" t="str">
        <f>+'[32]Core Rates'!B116</f>
        <v>Ac</v>
      </c>
      <c r="E45" s="1169">
        <f>+'[32]Core Rates'!C116</f>
        <v>2040</v>
      </c>
      <c r="F45" s="1424">
        <v>0.04</v>
      </c>
      <c r="G45" s="1171">
        <f t="shared" ref="G45:G52" si="2">+F45*E45</f>
        <v>81.600000000000009</v>
      </c>
      <c r="H45" s="35"/>
      <c r="I45" s="47"/>
    </row>
    <row r="46" spans="1:9">
      <c r="A46" s="2"/>
      <c r="B46" s="1387" t="str">
        <f>+'[32]Core Rates'!A124</f>
        <v>Erosion Control Blanket, Type III (Installed)</v>
      </c>
      <c r="C46" s="6"/>
      <c r="D46" s="1379" t="str">
        <f>+'[32]Core Rates'!B124</f>
        <v>Sq Yd</v>
      </c>
      <c r="E46" s="1378">
        <f>+'[32]Core Rates'!C124</f>
        <v>5.7959999999999994</v>
      </c>
      <c r="F46" s="1170">
        <v>124</v>
      </c>
      <c r="G46" s="1171">
        <f t="shared" si="2"/>
        <v>718.70399999999995</v>
      </c>
      <c r="H46" s="35"/>
      <c r="I46" s="47"/>
    </row>
    <row r="47" spans="1:9">
      <c r="A47" s="2"/>
      <c r="B47" s="1387" t="str">
        <f>+'[32]Core Rates'!A123</f>
        <v>Erosion Control Blanket, Type II (Installed)</v>
      </c>
      <c r="C47" s="6"/>
      <c r="D47" s="1379" t="str">
        <f>+'[32]Core Rates'!B123</f>
        <v>Sq Yd</v>
      </c>
      <c r="E47" s="1169">
        <f>+'[32]Core Rates'!C123</f>
        <v>1.5750000000000002</v>
      </c>
      <c r="F47" s="1169">
        <v>71.2</v>
      </c>
      <c r="G47" s="1171">
        <f>+F47*E47</f>
        <v>112.14000000000001</v>
      </c>
      <c r="H47" s="35"/>
      <c r="I47" s="47"/>
    </row>
    <row r="48" spans="1:9">
      <c r="A48" s="2"/>
      <c r="B48" s="40" t="s">
        <v>461</v>
      </c>
      <c r="C48" s="6"/>
      <c r="D48" s="1168" t="s">
        <v>408</v>
      </c>
      <c r="E48" s="1169">
        <f>+'[32]Core Rates'!C104</f>
        <v>20</v>
      </c>
      <c r="F48" s="1170">
        <v>0</v>
      </c>
      <c r="G48" s="1171">
        <f t="shared" si="2"/>
        <v>0</v>
      </c>
      <c r="H48" s="35"/>
      <c r="I48" s="47"/>
    </row>
    <row r="49" spans="1:10">
      <c r="A49" s="2"/>
      <c r="B49" s="40" t="s">
        <v>462</v>
      </c>
      <c r="C49" s="6"/>
      <c r="D49" s="1168" t="s">
        <v>408</v>
      </c>
      <c r="E49" s="1169">
        <f>+'[32]Core Rates'!AN33</f>
        <v>5.416666666666667</v>
      </c>
      <c r="F49" s="1170">
        <v>0</v>
      </c>
      <c r="G49" s="1171">
        <f t="shared" si="2"/>
        <v>0</v>
      </c>
      <c r="H49" s="35"/>
      <c r="I49" s="47"/>
    </row>
    <row r="50" spans="1:10">
      <c r="A50" s="2"/>
      <c r="B50" s="40" t="s">
        <v>463</v>
      </c>
      <c r="C50" s="6"/>
      <c r="D50" s="1168" t="s">
        <v>452</v>
      </c>
      <c r="E50" s="1169">
        <f>+'[32]Core Rates'!AN34</f>
        <v>5.5</v>
      </c>
      <c r="F50" s="1170">
        <v>0</v>
      </c>
      <c r="G50" s="1171">
        <f t="shared" si="2"/>
        <v>0</v>
      </c>
      <c r="H50" s="35"/>
      <c r="I50" s="47"/>
    </row>
    <row r="51" spans="1:10">
      <c r="A51" s="2"/>
      <c r="B51" s="40" t="s">
        <v>464</v>
      </c>
      <c r="C51" s="6"/>
      <c r="D51" s="1168" t="s">
        <v>452</v>
      </c>
      <c r="E51" s="1169">
        <f>+'[32]Core Rates'!AN32</f>
        <v>6.3125</v>
      </c>
      <c r="F51" s="1170">
        <v>0</v>
      </c>
      <c r="G51" s="1171">
        <f t="shared" si="2"/>
        <v>0</v>
      </c>
      <c r="H51" s="35"/>
      <c r="I51" s="47"/>
    </row>
    <row r="52" spans="1:10">
      <c r="A52" s="2"/>
      <c r="B52" s="40" t="s">
        <v>1280</v>
      </c>
      <c r="C52" s="6"/>
      <c r="D52" s="1168" t="s">
        <v>619</v>
      </c>
      <c r="E52" s="1169">
        <f>+'[32]Core Rates'!C217</f>
        <v>472.5</v>
      </c>
      <c r="F52" s="1170">
        <v>0</v>
      </c>
      <c r="G52" s="1171">
        <f t="shared" si="2"/>
        <v>0</v>
      </c>
      <c r="H52" s="35"/>
      <c r="I52" s="47"/>
    </row>
    <row r="53" spans="1:10">
      <c r="A53" s="2"/>
      <c r="B53" s="40"/>
      <c r="C53" s="6"/>
      <c r="D53" s="63"/>
      <c r="E53" s="150"/>
      <c r="F53" s="150"/>
      <c r="G53" s="1169"/>
      <c r="H53" s="35"/>
      <c r="I53" s="47"/>
    </row>
    <row r="54" spans="1:10">
      <c r="A54" s="2"/>
      <c r="B54" s="37" t="s">
        <v>43</v>
      </c>
      <c r="C54" s="35"/>
      <c r="D54" s="35"/>
      <c r="E54" s="60"/>
      <c r="F54" s="60"/>
      <c r="G54" s="60"/>
      <c r="H54" s="35"/>
      <c r="I54" s="46"/>
      <c r="J54" s="1373"/>
    </row>
    <row r="55" spans="1:10" ht="12.75" customHeight="1">
      <c r="A55" s="2"/>
      <c r="B55" s="2004" t="s">
        <v>457</v>
      </c>
      <c r="C55" s="2005"/>
      <c r="D55" s="2005"/>
      <c r="E55" s="2005"/>
      <c r="F55" s="2005"/>
      <c r="G55" s="2005"/>
      <c r="H55" s="2005"/>
      <c r="I55" s="2006"/>
    </row>
    <row r="56" spans="1:10">
      <c r="A56" s="2"/>
      <c r="B56" s="2004"/>
      <c r="C56" s="2005"/>
      <c r="D56" s="2005"/>
      <c r="E56" s="2005"/>
      <c r="F56" s="2005"/>
      <c r="G56" s="2005"/>
      <c r="H56" s="2005"/>
      <c r="I56" s="2006"/>
    </row>
    <row r="57" spans="1:10">
      <c r="A57" s="2"/>
      <c r="B57" s="1177"/>
      <c r="C57" s="1178"/>
      <c r="D57" s="1178"/>
      <c r="E57" s="1178"/>
      <c r="F57" s="1178"/>
      <c r="G57" s="1178"/>
      <c r="H57" s="1178"/>
      <c r="I57" s="1179"/>
    </row>
    <row r="58" spans="1:10">
      <c r="A58" s="2"/>
      <c r="B58" s="1177"/>
      <c r="C58" s="1178"/>
      <c r="D58" s="1178"/>
      <c r="E58" s="1178"/>
      <c r="F58" s="1178"/>
      <c r="G58" s="1178"/>
      <c r="H58" s="1178"/>
      <c r="I58" s="1179"/>
    </row>
    <row r="59" spans="1:10">
      <c r="A59" s="2"/>
      <c r="B59" s="42" t="s">
        <v>3</v>
      </c>
      <c r="C59" s="35"/>
      <c r="D59" s="35"/>
      <c r="E59" s="35"/>
      <c r="F59" s="39"/>
      <c r="G59" s="35"/>
      <c r="H59" s="35"/>
      <c r="I59" s="1182">
        <f>E61/40</f>
        <v>3.4216649999999995</v>
      </c>
    </row>
    <row r="60" spans="1:10">
      <c r="A60" s="2"/>
      <c r="B60" s="2007" t="s">
        <v>465</v>
      </c>
      <c r="C60" s="2008"/>
      <c r="D60" s="35"/>
      <c r="E60" s="35"/>
      <c r="F60" s="35"/>
      <c r="G60" s="35"/>
      <c r="H60" s="35"/>
      <c r="I60" s="48"/>
    </row>
    <row r="61" spans="1:10">
      <c r="A61" s="2"/>
      <c r="B61" s="37" t="s">
        <v>466</v>
      </c>
      <c r="C61" s="39"/>
      <c r="D61" s="39"/>
      <c r="E61" s="153">
        <f>SUM(G45:G52)*0.15</f>
        <v>136.86659999999998</v>
      </c>
      <c r="F61" s="35"/>
      <c r="G61" s="35"/>
      <c r="H61" s="35"/>
      <c r="I61" s="46"/>
    </row>
    <row r="62" spans="1:10">
      <c r="A62" s="2"/>
      <c r="B62" s="37"/>
      <c r="C62" s="39"/>
      <c r="D62" s="1180"/>
      <c r="E62" s="153"/>
      <c r="F62" s="35"/>
      <c r="G62" s="35"/>
      <c r="H62" s="35"/>
      <c r="I62" s="46"/>
    </row>
    <row r="63" spans="1:10">
      <c r="A63" s="2"/>
      <c r="B63" s="37"/>
      <c r="C63" s="39"/>
      <c r="D63" s="1181"/>
      <c r="E63" s="153"/>
      <c r="F63" s="35"/>
      <c r="G63" s="35"/>
      <c r="H63" s="35"/>
      <c r="I63" s="46"/>
    </row>
    <row r="64" spans="1:10">
      <c r="A64" s="2"/>
      <c r="B64" s="33"/>
      <c r="C64" s="35"/>
      <c r="D64" s="35"/>
      <c r="E64" s="35"/>
      <c r="F64" s="35"/>
      <c r="G64" s="35"/>
      <c r="H64" s="35"/>
      <c r="I64" s="36"/>
    </row>
    <row r="65" spans="1:9">
      <c r="A65" s="2"/>
      <c r="B65" s="42" t="s">
        <v>4</v>
      </c>
      <c r="C65" s="35"/>
      <c r="D65" s="35"/>
      <c r="E65" s="35"/>
      <c r="F65" s="35"/>
      <c r="G65" s="35"/>
      <c r="H65" s="35"/>
      <c r="I65" s="1182">
        <f>0.03*(I40+I43+I59)</f>
        <v>0.68433299999999997</v>
      </c>
    </row>
    <row r="66" spans="1:9">
      <c r="A66" s="2"/>
      <c r="B66" s="33" t="s">
        <v>467</v>
      </c>
      <c r="C66" s="35"/>
      <c r="D66" s="35"/>
      <c r="E66" s="35"/>
      <c r="F66" s="35"/>
      <c r="G66" s="35"/>
      <c r="H66" s="35"/>
      <c r="I66" s="36"/>
    </row>
    <row r="67" spans="1:9">
      <c r="A67" s="2"/>
      <c r="B67" s="37"/>
      <c r="C67" s="35"/>
      <c r="D67" s="35"/>
      <c r="E67" s="35"/>
      <c r="F67" s="35"/>
      <c r="G67" s="35"/>
      <c r="H67" s="35"/>
      <c r="I67" s="36"/>
    </row>
    <row r="68" spans="1:9">
      <c r="A68" s="2"/>
      <c r="B68" s="42" t="s">
        <v>468</v>
      </c>
      <c r="C68" s="35"/>
      <c r="D68" s="35"/>
      <c r="E68" s="35"/>
      <c r="F68" s="35"/>
      <c r="G68" s="35"/>
      <c r="H68" s="35"/>
      <c r="I68" s="1182">
        <f>0.01*(I40+I43+I59)</f>
        <v>0.22811100000000001</v>
      </c>
    </row>
    <row r="69" spans="1:9">
      <c r="A69" s="2"/>
      <c r="B69" s="33" t="s">
        <v>749</v>
      </c>
      <c r="C69" s="35"/>
      <c r="D69" s="35"/>
      <c r="E69" s="35"/>
      <c r="F69" s="35"/>
      <c r="G69" s="35"/>
      <c r="H69" s="35"/>
      <c r="I69" s="36"/>
    </row>
    <row r="70" spans="1:9">
      <c r="A70" s="2"/>
      <c r="B70" s="37"/>
      <c r="C70" s="35"/>
      <c r="D70" s="35"/>
      <c r="E70" s="35"/>
      <c r="F70" s="35"/>
      <c r="G70" s="35"/>
      <c r="H70" s="35"/>
      <c r="I70" s="36"/>
    </row>
    <row r="71" spans="1:9">
      <c r="A71" s="2"/>
      <c r="B71" s="42" t="s">
        <v>7</v>
      </c>
      <c r="C71" s="35"/>
      <c r="D71" s="35"/>
      <c r="E71" s="35"/>
      <c r="F71" s="35"/>
      <c r="G71" s="35"/>
      <c r="H71" s="35"/>
      <c r="I71" s="1166">
        <v>0</v>
      </c>
    </row>
    <row r="72" spans="1:9">
      <c r="A72" s="2"/>
      <c r="B72" s="33" t="s">
        <v>104</v>
      </c>
      <c r="C72" s="35"/>
      <c r="D72" s="35"/>
      <c r="E72" s="35"/>
      <c r="F72" s="35"/>
      <c r="G72" s="35"/>
      <c r="H72" s="35"/>
      <c r="I72" s="36"/>
    </row>
    <row r="73" spans="1:9">
      <c r="A73" s="2"/>
      <c r="B73" s="37"/>
      <c r="C73" s="35"/>
      <c r="D73" s="35"/>
      <c r="E73" s="35"/>
      <c r="F73" s="35"/>
      <c r="G73" s="35"/>
      <c r="H73" s="35"/>
      <c r="I73" s="36"/>
    </row>
    <row r="74" spans="1:9">
      <c r="A74" s="2"/>
      <c r="B74" s="42" t="s">
        <v>471</v>
      </c>
      <c r="C74" s="35"/>
      <c r="D74" s="35"/>
      <c r="E74" s="35"/>
      <c r="F74" s="39"/>
      <c r="G74" s="35"/>
      <c r="H74" s="35"/>
      <c r="I74" s="1166">
        <v>0</v>
      </c>
    </row>
    <row r="75" spans="1:9">
      <c r="A75" s="2"/>
      <c r="B75" s="756" t="s">
        <v>104</v>
      </c>
      <c r="C75" s="35"/>
      <c r="D75" s="35"/>
      <c r="E75" s="35"/>
      <c r="F75" s="35"/>
      <c r="G75" s="35"/>
      <c r="H75" s="35"/>
      <c r="I75" s="47"/>
    </row>
    <row r="76" spans="1:9">
      <c r="A76" s="2"/>
      <c r="B76" s="756"/>
      <c r="C76" s="35"/>
      <c r="D76" s="35"/>
      <c r="E76" s="35"/>
      <c r="F76" s="35"/>
      <c r="G76" s="35"/>
      <c r="H76" s="35"/>
      <c r="I76" s="47"/>
    </row>
    <row r="77" spans="1:9">
      <c r="A77" s="2"/>
      <c r="B77" s="37"/>
      <c r="C77" s="35"/>
      <c r="D77" s="35"/>
      <c r="E77" s="35"/>
      <c r="F77" s="35"/>
      <c r="G77" s="35"/>
      <c r="H77" s="35"/>
      <c r="I77" s="36"/>
    </row>
    <row r="78" spans="1:9">
      <c r="A78" s="2"/>
      <c r="B78" s="42" t="s">
        <v>5</v>
      </c>
      <c r="C78" s="35"/>
      <c r="D78" s="35"/>
      <c r="E78" s="35"/>
      <c r="F78" s="35"/>
      <c r="G78" s="35"/>
      <c r="H78" s="35"/>
      <c r="I78" s="1166">
        <v>0</v>
      </c>
    </row>
    <row r="79" spans="1:9">
      <c r="A79" s="2"/>
      <c r="B79" s="33" t="s">
        <v>104</v>
      </c>
      <c r="C79" s="35"/>
      <c r="D79" s="35"/>
      <c r="E79" s="35"/>
      <c r="F79" s="35"/>
      <c r="G79" s="35"/>
      <c r="H79" s="35"/>
      <c r="I79" s="47"/>
    </row>
    <row r="80" spans="1:9">
      <c r="A80" s="2"/>
      <c r="B80" s="37"/>
      <c r="C80" s="35"/>
      <c r="D80" s="35"/>
      <c r="E80" s="35"/>
      <c r="F80" s="35"/>
      <c r="G80" s="35"/>
      <c r="H80" s="35"/>
      <c r="I80" s="36"/>
    </row>
    <row r="81" spans="1:9">
      <c r="A81" s="2"/>
      <c r="B81" s="42" t="s">
        <v>20</v>
      </c>
      <c r="C81" s="35"/>
      <c r="D81" s="35"/>
      <c r="E81" s="35"/>
      <c r="F81" s="35"/>
      <c r="G81" s="35"/>
      <c r="H81" s="35"/>
      <c r="I81" s="1166">
        <v>0</v>
      </c>
    </row>
    <row r="82" spans="1:9">
      <c r="A82" s="2"/>
      <c r="B82" s="33" t="s">
        <v>104</v>
      </c>
      <c r="C82" s="35"/>
      <c r="D82" s="35"/>
      <c r="E82" s="35"/>
      <c r="F82" s="35"/>
      <c r="G82" s="35"/>
      <c r="H82" s="35"/>
      <c r="I82" s="36"/>
    </row>
    <row r="83" spans="1:9">
      <c r="A83" s="2"/>
      <c r="B83" s="40"/>
      <c r="C83" s="35"/>
      <c r="D83" s="35"/>
      <c r="E83" s="35"/>
      <c r="F83" s="35"/>
      <c r="G83" s="35"/>
      <c r="H83" s="35"/>
      <c r="I83" s="36"/>
    </row>
    <row r="84" spans="1:9">
      <c r="A84" s="2"/>
      <c r="B84" s="42" t="s">
        <v>473</v>
      </c>
      <c r="C84" s="35"/>
      <c r="D84" s="35"/>
      <c r="E84" s="35"/>
      <c r="F84" s="35"/>
      <c r="G84" s="35"/>
      <c r="H84" s="35"/>
      <c r="I84" s="1183">
        <f>+I40+I43+I59+I65+I71+I81</f>
        <v>23.495432999999998</v>
      </c>
    </row>
    <row r="85" spans="1:9" ht="15.75">
      <c r="A85" s="2"/>
      <c r="B85" s="33" t="s">
        <v>474</v>
      </c>
      <c r="C85" s="35"/>
      <c r="D85" s="35"/>
      <c r="E85" s="35"/>
      <c r="F85" s="35"/>
      <c r="G85" s="35"/>
      <c r="H85" s="35"/>
      <c r="I85" s="36"/>
    </row>
    <row r="86" spans="1:9">
      <c r="A86" s="2"/>
      <c r="B86" s="40"/>
      <c r="C86" s="35"/>
      <c r="D86" s="35"/>
      <c r="E86" s="35"/>
      <c r="F86" s="35"/>
      <c r="G86" s="35"/>
      <c r="H86" s="35"/>
      <c r="I86" s="36"/>
    </row>
    <row r="87" spans="1:9">
      <c r="A87" s="2"/>
      <c r="B87" s="43" t="s">
        <v>11</v>
      </c>
      <c r="C87" s="44"/>
      <c r="D87" s="44"/>
      <c r="E87" s="44"/>
      <c r="F87" s="44"/>
      <c r="G87" s="44"/>
      <c r="H87" s="44"/>
      <c r="I87" s="621">
        <f>SUM(I40:I81)</f>
        <v>23.723543999999997</v>
      </c>
    </row>
  </sheetData>
  <mergeCells count="4">
    <mergeCell ref="B1:D1"/>
    <mergeCell ref="E43:H43"/>
    <mergeCell ref="B55:I56"/>
    <mergeCell ref="B60:C60"/>
  </mergeCells>
  <pageMargins left="0.75" right="0.75" top="1" bottom="1" header="0.5" footer="0.5"/>
  <pageSetup scale="59" orientation="portrait" r:id="rId1"/>
  <headerFooter alignWithMargins="0"/>
</worksheet>
</file>

<file path=xl/worksheets/sheet155.xml><?xml version="1.0" encoding="utf-8"?>
<worksheet xmlns="http://schemas.openxmlformats.org/spreadsheetml/2006/main" xmlns:r="http://schemas.openxmlformats.org/officeDocument/2006/relationships">
  <sheetPr>
    <pageSetUpPr fitToPage="1"/>
  </sheetPr>
  <dimension ref="A1:L87"/>
  <sheetViews>
    <sheetView workbookViewId="0">
      <selection activeCell="D59" sqref="D59"/>
    </sheetView>
  </sheetViews>
  <sheetFormatPr defaultRowHeight="12.75"/>
  <cols>
    <col min="1" max="1" width="1.85546875" customWidth="1"/>
    <col min="3" max="3" width="24.140625" customWidth="1"/>
    <col min="4" max="4" width="30.140625" customWidth="1"/>
    <col min="5" max="5" width="49"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468</v>
      </c>
      <c r="C6" s="7" t="str">
        <f>+E12</f>
        <v>EQIP</v>
      </c>
      <c r="D6" s="53" t="s">
        <v>1485</v>
      </c>
      <c r="E6" s="53" t="s">
        <v>1493</v>
      </c>
      <c r="F6" s="7" t="str">
        <f>+D36</f>
        <v>Linear Feet</v>
      </c>
      <c r="G6" s="85">
        <f>+I25</f>
        <v>53.353794000000015</v>
      </c>
    </row>
    <row r="7" spans="1:12" hidden="1">
      <c r="A7" s="2"/>
      <c r="B7" s="54">
        <f>+B6</f>
        <v>468</v>
      </c>
      <c r="C7" s="7" t="str">
        <f>+C6</f>
        <v>EQIP</v>
      </c>
      <c r="D7" s="53" t="s">
        <v>1485</v>
      </c>
      <c r="E7" s="53" t="str">
        <f>CONCATENATE(E6, "-HU")</f>
        <v>Lined Outlet with Class III riprap on geotextile-HU</v>
      </c>
      <c r="F7" s="7" t="str">
        <f>+F6</f>
        <v>Linear Feet</v>
      </c>
      <c r="G7" s="85">
        <f>+J25</f>
        <v>64.024552800000023</v>
      </c>
    </row>
    <row r="8" spans="1:12" hidden="1">
      <c r="A8" s="2"/>
      <c r="B8" s="54">
        <v>468</v>
      </c>
      <c r="C8" s="7" t="str">
        <f>+G12</f>
        <v>WHIP</v>
      </c>
      <c r="D8" s="53" t="s">
        <v>1485</v>
      </c>
      <c r="E8" s="53" t="s">
        <v>1493</v>
      </c>
      <c r="F8" s="7" t="str">
        <f>+D36</f>
        <v>Linear Feet</v>
      </c>
      <c r="G8" s="85">
        <f>+K25</f>
        <v>0</v>
      </c>
    </row>
    <row r="9" spans="1:12" hidden="1">
      <c r="A9" s="2"/>
      <c r="B9" s="8">
        <f>+B8</f>
        <v>468</v>
      </c>
      <c r="C9" s="10" t="str">
        <f>+C8</f>
        <v>WHIP</v>
      </c>
      <c r="D9" s="9" t="s">
        <v>1485</v>
      </c>
      <c r="E9" s="9" t="str">
        <f>CONCATENATE(E6, "-HU")</f>
        <v>Lined Outlet with Class III riprap on geotextile-HU</v>
      </c>
      <c r="F9" s="10" t="str">
        <f>+F8</f>
        <v>Linear Feet</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Factors'!D18</f>
        <v>0.75</v>
      </c>
      <c r="F16" s="160">
        <f>+'[10]Payment Factors'!E18</f>
        <v>0.9</v>
      </c>
      <c r="G16" s="160">
        <f>+'[10]Payment Factors'!F19</f>
        <v>0</v>
      </c>
      <c r="H16" s="160">
        <f>+'[10]Payment Factors'!G19</f>
        <v>0</v>
      </c>
      <c r="I16" s="1154">
        <f t="shared" ref="I16:L24" si="0">+$D16*E16</f>
        <v>0</v>
      </c>
      <c r="J16" s="1154">
        <f t="shared" si="0"/>
        <v>0</v>
      </c>
      <c r="K16" s="1154">
        <f t="shared" si="0"/>
        <v>0</v>
      </c>
      <c r="L16" s="1155">
        <f t="shared" si="0"/>
        <v>0</v>
      </c>
    </row>
    <row r="17" spans="1:12" hidden="1">
      <c r="A17" s="2"/>
      <c r="B17" s="15" t="s">
        <v>2</v>
      </c>
      <c r="C17" s="16"/>
      <c r="D17" s="24">
        <f>+I43</f>
        <v>58.706440000000015</v>
      </c>
      <c r="E17" s="160">
        <f t="shared" ref="E17:H19" si="1">+E16</f>
        <v>0.75</v>
      </c>
      <c r="F17" s="160">
        <f t="shared" si="1"/>
        <v>0.9</v>
      </c>
      <c r="G17" s="160">
        <f t="shared" si="1"/>
        <v>0</v>
      </c>
      <c r="H17" s="160">
        <f t="shared" si="1"/>
        <v>0</v>
      </c>
      <c r="I17" s="1154">
        <f t="shared" si="0"/>
        <v>44.029830000000011</v>
      </c>
      <c r="J17" s="1154">
        <f t="shared" si="0"/>
        <v>52.835796000000016</v>
      </c>
      <c r="K17" s="1154">
        <f t="shared" si="0"/>
        <v>0</v>
      </c>
      <c r="L17" s="1155">
        <f t="shared" si="0"/>
        <v>0</v>
      </c>
    </row>
    <row r="18" spans="1:12" hidden="1">
      <c r="A18" s="2"/>
      <c r="B18" s="15" t="s">
        <v>3</v>
      </c>
      <c r="C18" s="16"/>
      <c r="D18" s="24">
        <f>+I59</f>
        <v>10.359960000000001</v>
      </c>
      <c r="E18" s="160">
        <f t="shared" si="1"/>
        <v>0.75</v>
      </c>
      <c r="F18" s="160">
        <f t="shared" si="1"/>
        <v>0.9</v>
      </c>
      <c r="G18" s="160">
        <f t="shared" si="1"/>
        <v>0</v>
      </c>
      <c r="H18" s="160">
        <f t="shared" si="1"/>
        <v>0</v>
      </c>
      <c r="I18" s="1154">
        <f t="shared" si="0"/>
        <v>7.7699700000000007</v>
      </c>
      <c r="J18" s="1154">
        <f t="shared" si="0"/>
        <v>9.3239640000000019</v>
      </c>
      <c r="K18" s="1154">
        <f t="shared" si="0"/>
        <v>0</v>
      </c>
      <c r="L18" s="1155">
        <f t="shared" si="0"/>
        <v>0</v>
      </c>
    </row>
    <row r="19" spans="1:12" hidden="1">
      <c r="A19" s="2"/>
      <c r="B19" s="15" t="s">
        <v>4</v>
      </c>
      <c r="C19" s="16"/>
      <c r="D19" s="24">
        <f>+I65</f>
        <v>2.0719920000000003</v>
      </c>
      <c r="E19" s="160">
        <f t="shared" si="1"/>
        <v>0.75</v>
      </c>
      <c r="F19" s="160">
        <f t="shared" si="1"/>
        <v>0.9</v>
      </c>
      <c r="G19" s="160">
        <f t="shared" si="1"/>
        <v>0</v>
      </c>
      <c r="H19" s="160">
        <f t="shared" si="1"/>
        <v>0</v>
      </c>
      <c r="I19" s="1154">
        <f t="shared" si="0"/>
        <v>1.5539940000000003</v>
      </c>
      <c r="J19" s="1154">
        <f t="shared" si="0"/>
        <v>1.8647928000000003</v>
      </c>
      <c r="K19" s="1154">
        <f t="shared" si="0"/>
        <v>0</v>
      </c>
      <c r="L19" s="1155">
        <f t="shared" si="0"/>
        <v>0</v>
      </c>
    </row>
    <row r="20" spans="1:12" hidden="1">
      <c r="A20" s="2"/>
      <c r="B20" s="15" t="s">
        <v>26</v>
      </c>
      <c r="C20" s="16"/>
      <c r="D20" s="24">
        <f>+I68</f>
        <v>0.69066400000000017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+I71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+I74</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+I81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71.829056000000008</v>
      </c>
      <c r="E25" s="1158"/>
      <c r="F25" s="1158"/>
      <c r="G25" s="28"/>
      <c r="H25" s="28"/>
      <c r="I25" s="1159">
        <f>SUM(I16:I24)</f>
        <v>53.353794000000015</v>
      </c>
      <c r="J25" s="1159">
        <f>SUM(J16:J24)</f>
        <v>64.024552800000023</v>
      </c>
      <c r="K25" s="1159">
        <f>SUM(K16:K24)</f>
        <v>0</v>
      </c>
      <c r="L25" s="1160">
        <f>SUM(L16:L24)</f>
        <v>0</v>
      </c>
    </row>
    <row r="26" spans="1:12" hidden="1"/>
    <row r="27" spans="1:12" ht="15.75">
      <c r="A27" s="2"/>
      <c r="B27" s="50" t="s">
        <v>28</v>
      </c>
      <c r="C27" s="2"/>
      <c r="D27" s="2"/>
      <c r="E27" s="2"/>
      <c r="F27" s="2"/>
      <c r="G27" s="2"/>
      <c r="H27" s="2"/>
      <c r="I27" s="5"/>
    </row>
    <row r="28" spans="1:12">
      <c r="A28" s="2"/>
      <c r="B28" s="29" t="s">
        <v>1494</v>
      </c>
      <c r="C28" s="30"/>
      <c r="D28" s="30"/>
      <c r="E28" s="31"/>
      <c r="F28" s="31"/>
      <c r="G28" s="31"/>
      <c r="H28" s="31"/>
      <c r="I28" s="32"/>
    </row>
    <row r="29" spans="1:12">
      <c r="A29" s="2"/>
      <c r="B29" s="1161" t="s">
        <v>1495</v>
      </c>
      <c r="C29" s="34"/>
      <c r="D29" s="34"/>
      <c r="E29" s="35"/>
      <c r="F29" s="35"/>
      <c r="G29" s="35"/>
      <c r="H29" s="35"/>
      <c r="I29" s="36"/>
    </row>
    <row r="30" spans="1:12">
      <c r="A30" s="2"/>
      <c r="B30" s="1161" t="s">
        <v>1489</v>
      </c>
      <c r="C30" s="143"/>
      <c r="D30" s="34"/>
      <c r="E30" s="35"/>
      <c r="F30" s="1163"/>
      <c r="G30" s="35"/>
      <c r="H30" s="35"/>
      <c r="I30" s="36"/>
    </row>
    <row r="31" spans="1:12">
      <c r="A31" s="2"/>
      <c r="B31" s="37" t="s">
        <v>1490</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1491</v>
      </c>
      <c r="E36" s="6"/>
      <c r="F36" s="35"/>
      <c r="G36" s="35"/>
      <c r="H36" s="35"/>
      <c r="I36" s="36"/>
    </row>
    <row r="37" spans="1:9">
      <c r="A37" s="2"/>
      <c r="B37" s="38" t="s">
        <v>9</v>
      </c>
      <c r="C37" s="34"/>
      <c r="D37" s="1164">
        <f>+'[10]Payment Factors'!C22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v>0</v>
      </c>
    </row>
    <row r="41" spans="1:9" ht="12.75" customHeight="1">
      <c r="A41" s="2"/>
      <c r="B41" s="40" t="s">
        <v>1492</v>
      </c>
      <c r="C41" s="6"/>
      <c r="D41" s="1173"/>
      <c r="E41" s="1190"/>
      <c r="F41" s="35"/>
      <c r="G41" s="35"/>
      <c r="H41" s="35"/>
      <c r="I41" s="36"/>
    </row>
    <row r="42" spans="1:9">
      <c r="A42" s="2"/>
      <c r="B42" s="1172"/>
      <c r="C42" s="6"/>
      <c r="D42" s="1173"/>
      <c r="E42" s="35"/>
      <c r="F42" s="35"/>
      <c r="G42" s="35"/>
      <c r="H42" s="35"/>
      <c r="I42" s="36"/>
    </row>
    <row r="43" spans="1:9">
      <c r="A43" s="2"/>
      <c r="B43" s="42" t="s">
        <v>2</v>
      </c>
      <c r="C43" s="35"/>
      <c r="D43" s="35"/>
      <c r="E43" s="2003" t="s">
        <v>459</v>
      </c>
      <c r="F43" s="2003"/>
      <c r="G43" s="2003"/>
      <c r="H43" s="2003"/>
      <c r="I43" s="1166">
        <f>(SUM(G45:G52)/40*0.85)</f>
        <v>58.706440000000015</v>
      </c>
    </row>
    <row r="44" spans="1:9">
      <c r="A44" s="2"/>
      <c r="B44" s="1174"/>
      <c r="C44" s="35"/>
      <c r="D44" s="1167" t="s">
        <v>447</v>
      </c>
      <c r="E44" s="1167" t="s">
        <v>448</v>
      </c>
      <c r="F44" s="1167" t="s">
        <v>449</v>
      </c>
      <c r="G44" s="1167" t="s">
        <v>450</v>
      </c>
      <c r="H44" s="35"/>
      <c r="I44" s="46"/>
    </row>
    <row r="45" spans="1:9">
      <c r="A45" s="2"/>
      <c r="B45" s="1206" t="str">
        <f>+'[32]Core Rates'!A116</f>
        <v>Earthmoving: Very heavy shaping (&gt;2.0' cut/fill)</v>
      </c>
      <c r="C45" s="6"/>
      <c r="D45" s="1382" t="str">
        <f>+'[32]Core Rates'!B116</f>
        <v>Ac</v>
      </c>
      <c r="E45" s="1169">
        <f>+'[32]Core Rates'!C116</f>
        <v>2040</v>
      </c>
      <c r="F45" s="1424">
        <v>0.04</v>
      </c>
      <c r="G45" s="1171">
        <f t="shared" ref="G45:G52" si="2">+F45*E45</f>
        <v>81.600000000000009</v>
      </c>
      <c r="H45" s="35"/>
      <c r="I45" s="47"/>
    </row>
    <row r="46" spans="1:9">
      <c r="A46" s="2"/>
      <c r="B46" s="1387" t="str">
        <f>+'[32]Core Rates'!A262</f>
        <v>Riprap (In Place)</v>
      </c>
      <c r="C46" s="6"/>
      <c r="D46" s="1384" t="str">
        <f>+'[32]Core Rates'!B262</f>
        <v>Ton</v>
      </c>
      <c r="E46" s="1169">
        <f>+'[32]Core Rates'!C262</f>
        <v>23.540000000000003</v>
      </c>
      <c r="F46" s="1169">
        <v>106.4</v>
      </c>
      <c r="G46" s="1171">
        <f>+F46*E46</f>
        <v>2504.6560000000004</v>
      </c>
      <c r="H46" s="35"/>
      <c r="I46" s="47"/>
    </row>
    <row r="47" spans="1:9">
      <c r="A47" s="2"/>
      <c r="B47" s="1387" t="str">
        <f>+'[32]Core Rates'!A139</f>
        <v>Geo-Textile (Installed)</v>
      </c>
      <c r="C47" s="6"/>
      <c r="D47" s="1384" t="str">
        <f>+'[32]Core Rates'!B139</f>
        <v>Sq Yd</v>
      </c>
      <c r="E47" s="1169">
        <f>+'[32]Core Rates'!C139</f>
        <v>2.2050000000000001</v>
      </c>
      <c r="F47" s="1169">
        <v>80</v>
      </c>
      <c r="G47" s="1171">
        <f>+F47*E47</f>
        <v>176.4</v>
      </c>
      <c r="H47" s="35"/>
      <c r="I47" s="47"/>
    </row>
    <row r="48" spans="1:9">
      <c r="A48" s="2"/>
      <c r="B48" s="40" t="s">
        <v>461</v>
      </c>
      <c r="C48" s="6"/>
      <c r="D48" s="1168" t="s">
        <v>408</v>
      </c>
      <c r="E48" s="1169">
        <f>+'[32]Core Rates'!C104</f>
        <v>20</v>
      </c>
      <c r="F48" s="1170">
        <v>0</v>
      </c>
      <c r="G48" s="1171">
        <f t="shared" si="2"/>
        <v>0</v>
      </c>
      <c r="H48" s="35"/>
      <c r="I48" s="47"/>
    </row>
    <row r="49" spans="1:11">
      <c r="A49" s="2"/>
      <c r="B49" s="40" t="s">
        <v>462</v>
      </c>
      <c r="C49" s="6"/>
      <c r="D49" s="1168" t="s">
        <v>408</v>
      </c>
      <c r="E49" s="1169">
        <f>+'[32]Core Rates'!AN33</f>
        <v>5.416666666666667</v>
      </c>
      <c r="F49" s="1170">
        <v>0</v>
      </c>
      <c r="G49" s="1171">
        <f t="shared" si="2"/>
        <v>0</v>
      </c>
      <c r="H49" s="35"/>
      <c r="I49" s="47"/>
    </row>
    <row r="50" spans="1:11">
      <c r="A50" s="2"/>
      <c r="B50" s="40" t="s">
        <v>463</v>
      </c>
      <c r="C50" s="6"/>
      <c r="D50" s="1168" t="s">
        <v>452</v>
      </c>
      <c r="E50" s="1169">
        <f>+'[32]Core Rates'!AN34</f>
        <v>5.5</v>
      </c>
      <c r="F50" s="1170">
        <v>0</v>
      </c>
      <c r="G50" s="1171">
        <f t="shared" si="2"/>
        <v>0</v>
      </c>
      <c r="H50" s="35"/>
      <c r="I50" s="47"/>
    </row>
    <row r="51" spans="1:11">
      <c r="A51" s="2"/>
      <c r="B51" s="40" t="s">
        <v>464</v>
      </c>
      <c r="C51" s="6"/>
      <c r="D51" s="1168" t="s">
        <v>452</v>
      </c>
      <c r="E51" s="1169">
        <f>+'[32]Core Rates'!AN32</f>
        <v>6.3125</v>
      </c>
      <c r="F51" s="1170">
        <v>0</v>
      </c>
      <c r="G51" s="1171">
        <f t="shared" si="2"/>
        <v>0</v>
      </c>
      <c r="H51" s="35"/>
      <c r="I51" s="47"/>
    </row>
    <row r="52" spans="1:11">
      <c r="A52" s="2"/>
      <c r="B52" s="40" t="s">
        <v>1280</v>
      </c>
      <c r="C52" s="6"/>
      <c r="D52" s="1168" t="s">
        <v>619</v>
      </c>
      <c r="E52" s="1169">
        <f>+'[32]Core Rates'!C217</f>
        <v>472.5</v>
      </c>
      <c r="F52" s="1170">
        <v>0</v>
      </c>
      <c r="G52" s="1171">
        <f t="shared" si="2"/>
        <v>0</v>
      </c>
      <c r="H52" s="35"/>
      <c r="I52" s="47"/>
    </row>
    <row r="53" spans="1:11">
      <c r="A53" s="2"/>
      <c r="B53" s="40"/>
      <c r="C53" s="6"/>
      <c r="D53" s="63"/>
      <c r="E53" s="150"/>
      <c r="F53" s="60"/>
      <c r="G53" s="1169"/>
      <c r="H53" s="35"/>
      <c r="I53" s="47"/>
      <c r="J53" s="1373"/>
      <c r="K53" s="1373"/>
    </row>
    <row r="54" spans="1:11">
      <c r="A54" s="2"/>
      <c r="B54" s="37" t="s">
        <v>43</v>
      </c>
      <c r="C54" s="35"/>
      <c r="D54" s="35"/>
      <c r="E54" s="60"/>
      <c r="F54" s="60"/>
      <c r="G54" s="60"/>
      <c r="H54" s="35"/>
      <c r="I54" s="46"/>
    </row>
    <row r="55" spans="1:11" ht="12.75" customHeight="1">
      <c r="A55" s="2"/>
      <c r="B55" s="2004" t="s">
        <v>457</v>
      </c>
      <c r="C55" s="2005"/>
      <c r="D55" s="2005"/>
      <c r="E55" s="2005"/>
      <c r="F55" s="2005"/>
      <c r="G55" s="2005"/>
      <c r="H55" s="2005"/>
      <c r="I55" s="2006"/>
    </row>
    <row r="56" spans="1:11">
      <c r="A56" s="2"/>
      <c r="B56" s="2004"/>
      <c r="C56" s="2005"/>
      <c r="D56" s="2005"/>
      <c r="E56" s="2005"/>
      <c r="F56" s="2005"/>
      <c r="G56" s="2005"/>
      <c r="H56" s="2005"/>
      <c r="I56" s="2006"/>
    </row>
    <row r="57" spans="1:11">
      <c r="A57" s="2"/>
      <c r="B57" s="1177"/>
      <c r="C57" s="1178"/>
      <c r="D57" s="1178"/>
      <c r="E57" s="1178"/>
      <c r="F57" s="1178"/>
      <c r="G57" s="1178"/>
      <c r="H57" s="1178"/>
      <c r="I57" s="1179"/>
    </row>
    <row r="58" spans="1:11">
      <c r="A58" s="2"/>
      <c r="B58" s="1177"/>
      <c r="C58" s="1178"/>
      <c r="D58" s="1178"/>
      <c r="E58" s="1178"/>
      <c r="F58" s="1178"/>
      <c r="G58" s="1178"/>
      <c r="H58" s="1178"/>
      <c r="I58" s="1179"/>
    </row>
    <row r="59" spans="1:11">
      <c r="A59" s="2"/>
      <c r="B59" s="42" t="s">
        <v>3</v>
      </c>
      <c r="C59" s="35"/>
      <c r="D59" s="35"/>
      <c r="E59" s="35"/>
      <c r="F59" s="39"/>
      <c r="G59" s="35"/>
      <c r="H59" s="35"/>
      <c r="I59" s="1182">
        <f>E61/40</f>
        <v>10.359960000000001</v>
      </c>
    </row>
    <row r="60" spans="1:11">
      <c r="A60" s="2"/>
      <c r="B60" s="2007" t="s">
        <v>465</v>
      </c>
      <c r="C60" s="2008"/>
      <c r="D60" s="35"/>
      <c r="E60" s="35"/>
      <c r="F60" s="35"/>
      <c r="G60" s="35"/>
      <c r="H60" s="35"/>
      <c r="I60" s="48"/>
    </row>
    <row r="61" spans="1:11">
      <c r="A61" s="2"/>
      <c r="B61" s="37" t="s">
        <v>466</v>
      </c>
      <c r="C61" s="39"/>
      <c r="D61" s="39"/>
      <c r="E61" s="153">
        <f>SUM(G45:G52)*0.15</f>
        <v>414.39840000000004</v>
      </c>
      <c r="F61" s="35"/>
      <c r="G61" s="35"/>
      <c r="H61" s="35"/>
      <c r="I61" s="46"/>
    </row>
    <row r="62" spans="1:11">
      <c r="A62" s="2"/>
      <c r="B62" s="37"/>
      <c r="C62" s="39"/>
      <c r="D62" s="1180"/>
      <c r="E62" s="153"/>
      <c r="F62" s="35"/>
      <c r="G62" s="35"/>
      <c r="H62" s="35"/>
      <c r="I62" s="46"/>
    </row>
    <row r="63" spans="1:11">
      <c r="A63" s="2"/>
      <c r="B63" s="37"/>
      <c r="C63" s="39"/>
      <c r="D63" s="1181"/>
      <c r="E63" s="153"/>
      <c r="F63" s="35"/>
      <c r="G63" s="35"/>
      <c r="H63" s="35"/>
      <c r="I63" s="46"/>
    </row>
    <row r="64" spans="1:11">
      <c r="A64" s="2"/>
      <c r="B64" s="33"/>
      <c r="C64" s="35"/>
      <c r="D64" s="35"/>
      <c r="E64" s="35"/>
      <c r="F64" s="35"/>
      <c r="G64" s="35"/>
      <c r="H64" s="35"/>
      <c r="I64" s="36"/>
    </row>
    <row r="65" spans="1:9">
      <c r="A65" s="2"/>
      <c r="B65" s="42" t="s">
        <v>4</v>
      </c>
      <c r="C65" s="35"/>
      <c r="D65" s="35"/>
      <c r="E65" s="35"/>
      <c r="F65" s="35"/>
      <c r="G65" s="35"/>
      <c r="H65" s="35"/>
      <c r="I65" s="1182">
        <f>0.03*(I40+I43+I59)</f>
        <v>2.0719920000000003</v>
      </c>
    </row>
    <row r="66" spans="1:9">
      <c r="A66" s="2"/>
      <c r="B66" s="33" t="s">
        <v>467</v>
      </c>
      <c r="C66" s="35"/>
      <c r="D66" s="35"/>
      <c r="E66" s="35"/>
      <c r="F66" s="35"/>
      <c r="G66" s="35"/>
      <c r="H66" s="35"/>
      <c r="I66" s="36"/>
    </row>
    <row r="67" spans="1:9">
      <c r="A67" s="2"/>
      <c r="B67" s="37"/>
      <c r="C67" s="35"/>
      <c r="D67" s="35"/>
      <c r="E67" s="35"/>
      <c r="F67" s="35"/>
      <c r="G67" s="35"/>
      <c r="H67" s="35"/>
      <c r="I67" s="36"/>
    </row>
    <row r="68" spans="1:9">
      <c r="A68" s="2"/>
      <c r="B68" s="42" t="s">
        <v>468</v>
      </c>
      <c r="C68" s="35"/>
      <c r="D68" s="35"/>
      <c r="E68" s="35"/>
      <c r="F68" s="35"/>
      <c r="G68" s="35"/>
      <c r="H68" s="35"/>
      <c r="I68" s="1182">
        <f>0.01*(I40+I43+I59)</f>
        <v>0.69066400000000017</v>
      </c>
    </row>
    <row r="69" spans="1:9">
      <c r="A69" s="2"/>
      <c r="B69" s="33" t="s">
        <v>749</v>
      </c>
      <c r="C69" s="35"/>
      <c r="D69" s="35"/>
      <c r="E69" s="35"/>
      <c r="F69" s="35"/>
      <c r="G69" s="35"/>
      <c r="H69" s="35"/>
      <c r="I69" s="36"/>
    </row>
    <row r="70" spans="1:9">
      <c r="A70" s="2"/>
      <c r="B70" s="37"/>
      <c r="C70" s="35"/>
      <c r="D70" s="35"/>
      <c r="E70" s="35"/>
      <c r="F70" s="35"/>
      <c r="G70" s="35"/>
      <c r="H70" s="35"/>
      <c r="I70" s="36"/>
    </row>
    <row r="71" spans="1:9">
      <c r="A71" s="2"/>
      <c r="B71" s="42" t="s">
        <v>7</v>
      </c>
      <c r="C71" s="35"/>
      <c r="D71" s="35"/>
      <c r="E71" s="35"/>
      <c r="F71" s="35"/>
      <c r="G71" s="35"/>
      <c r="H71" s="35"/>
      <c r="I71" s="1166">
        <v>0</v>
      </c>
    </row>
    <row r="72" spans="1:9">
      <c r="A72" s="2"/>
      <c r="B72" s="33" t="s">
        <v>104</v>
      </c>
      <c r="C72" s="35"/>
      <c r="D72" s="35"/>
      <c r="E72" s="35"/>
      <c r="F72" s="35"/>
      <c r="G72" s="35"/>
      <c r="H72" s="35"/>
      <c r="I72" s="36"/>
    </row>
    <row r="73" spans="1:9">
      <c r="A73" s="2"/>
      <c r="B73" s="37"/>
      <c r="C73" s="35"/>
      <c r="D73" s="35"/>
      <c r="E73" s="35"/>
      <c r="F73" s="35"/>
      <c r="G73" s="35"/>
      <c r="H73" s="35"/>
      <c r="I73" s="36"/>
    </row>
    <row r="74" spans="1:9">
      <c r="A74" s="2"/>
      <c r="B74" s="42" t="s">
        <v>471</v>
      </c>
      <c r="C74" s="35"/>
      <c r="D74" s="35"/>
      <c r="E74" s="35"/>
      <c r="F74" s="39"/>
      <c r="G74" s="35"/>
      <c r="H74" s="35"/>
      <c r="I74" s="1166">
        <v>0</v>
      </c>
    </row>
    <row r="75" spans="1:9">
      <c r="A75" s="2"/>
      <c r="B75" s="756" t="s">
        <v>104</v>
      </c>
      <c r="C75" s="35"/>
      <c r="D75" s="35"/>
      <c r="E75" s="35"/>
      <c r="F75" s="35"/>
      <c r="G75" s="35"/>
      <c r="H75" s="35"/>
      <c r="I75" s="47"/>
    </row>
    <row r="76" spans="1:9">
      <c r="A76" s="2"/>
      <c r="B76" s="756"/>
      <c r="C76" s="35"/>
      <c r="D76" s="35"/>
      <c r="E76" s="35"/>
      <c r="F76" s="35"/>
      <c r="G76" s="35"/>
      <c r="H76" s="35"/>
      <c r="I76" s="47"/>
    </row>
    <row r="77" spans="1:9">
      <c r="A77" s="2"/>
      <c r="B77" s="37"/>
      <c r="C77" s="35"/>
      <c r="D77" s="35"/>
      <c r="E77" s="35"/>
      <c r="F77" s="35"/>
      <c r="G77" s="35"/>
      <c r="H77" s="35"/>
      <c r="I77" s="36"/>
    </row>
    <row r="78" spans="1:9">
      <c r="A78" s="2"/>
      <c r="B78" s="42" t="s">
        <v>5</v>
      </c>
      <c r="C78" s="35"/>
      <c r="D78" s="35"/>
      <c r="E78" s="35"/>
      <c r="F78" s="35"/>
      <c r="G78" s="35"/>
      <c r="H78" s="35"/>
      <c r="I78" s="1166">
        <v>0</v>
      </c>
    </row>
    <row r="79" spans="1:9">
      <c r="A79" s="2"/>
      <c r="B79" s="33" t="s">
        <v>104</v>
      </c>
      <c r="C79" s="35"/>
      <c r="D79" s="35"/>
      <c r="E79" s="35"/>
      <c r="F79" s="35"/>
      <c r="G79" s="35"/>
      <c r="H79" s="35"/>
      <c r="I79" s="47"/>
    </row>
    <row r="80" spans="1:9">
      <c r="A80" s="2"/>
      <c r="B80" s="37"/>
      <c r="C80" s="35"/>
      <c r="D80" s="35"/>
      <c r="E80" s="35"/>
      <c r="F80" s="35"/>
      <c r="G80" s="35"/>
      <c r="H80" s="35"/>
      <c r="I80" s="36"/>
    </row>
    <row r="81" spans="1:9">
      <c r="A81" s="2"/>
      <c r="B81" s="42" t="s">
        <v>20</v>
      </c>
      <c r="C81" s="35"/>
      <c r="D81" s="35"/>
      <c r="E81" s="35"/>
      <c r="F81" s="35"/>
      <c r="G81" s="35"/>
      <c r="H81" s="35"/>
      <c r="I81" s="1166">
        <v>0</v>
      </c>
    </row>
    <row r="82" spans="1:9">
      <c r="A82" s="2"/>
      <c r="B82" s="33" t="s">
        <v>104</v>
      </c>
      <c r="C82" s="35"/>
      <c r="D82" s="35"/>
      <c r="E82" s="35"/>
      <c r="F82" s="35"/>
      <c r="G82" s="35"/>
      <c r="H82" s="35"/>
      <c r="I82" s="36"/>
    </row>
    <row r="83" spans="1:9">
      <c r="A83" s="2"/>
      <c r="B83" s="40"/>
      <c r="C83" s="35"/>
      <c r="D83" s="35"/>
      <c r="E83" s="35"/>
      <c r="F83" s="35"/>
      <c r="G83" s="35"/>
      <c r="H83" s="35"/>
      <c r="I83" s="36"/>
    </row>
    <row r="84" spans="1:9">
      <c r="A84" s="2"/>
      <c r="B84" s="42" t="s">
        <v>473</v>
      </c>
      <c r="C84" s="35"/>
      <c r="D84" s="35"/>
      <c r="E84" s="35"/>
      <c r="F84" s="35"/>
      <c r="G84" s="35"/>
      <c r="H84" s="35"/>
      <c r="I84" s="1183">
        <f>+I40+I43+I59+I65+I71+I81</f>
        <v>71.13839200000001</v>
      </c>
    </row>
    <row r="85" spans="1:9" ht="15.75">
      <c r="A85" s="2"/>
      <c r="B85" s="33" t="s">
        <v>474</v>
      </c>
      <c r="C85" s="35"/>
      <c r="D85" s="35"/>
      <c r="E85" s="35"/>
      <c r="F85" s="35"/>
      <c r="G85" s="35"/>
      <c r="H85" s="35"/>
      <c r="I85" s="36"/>
    </row>
    <row r="86" spans="1:9">
      <c r="A86" s="2"/>
      <c r="B86" s="40"/>
      <c r="C86" s="35"/>
      <c r="D86" s="35"/>
      <c r="E86" s="35"/>
      <c r="F86" s="35"/>
      <c r="G86" s="35"/>
      <c r="H86" s="35"/>
      <c r="I86" s="36"/>
    </row>
    <row r="87" spans="1:9">
      <c r="A87" s="2"/>
      <c r="B87" s="43" t="s">
        <v>11</v>
      </c>
      <c r="C87" s="44"/>
      <c r="D87" s="44"/>
      <c r="E87" s="44"/>
      <c r="F87" s="44"/>
      <c r="G87" s="44"/>
      <c r="H87" s="44"/>
      <c r="I87" s="621">
        <f>SUM(I40:I81)</f>
        <v>71.829056000000008</v>
      </c>
    </row>
  </sheetData>
  <mergeCells count="4">
    <mergeCell ref="B1:D1"/>
    <mergeCell ref="E43:H43"/>
    <mergeCell ref="B55:I56"/>
    <mergeCell ref="B60:C60"/>
  </mergeCells>
  <pageMargins left="0.75" right="0.75" top="1" bottom="1" header="0.5" footer="0.5"/>
  <pageSetup scale="59" orientation="portrait" r:id="rId1"/>
  <headerFooter alignWithMargins="0"/>
</worksheet>
</file>

<file path=xl/worksheets/sheet156.xml><?xml version="1.0" encoding="utf-8"?>
<worksheet xmlns="http://schemas.openxmlformats.org/spreadsheetml/2006/main" xmlns:r="http://schemas.openxmlformats.org/officeDocument/2006/relationships">
  <sheetPr>
    <pageSetUpPr fitToPage="1"/>
  </sheetPr>
  <dimension ref="A1:L69"/>
  <sheetViews>
    <sheetView zoomScale="75" zoomScaleNormal="75" workbookViewId="0">
      <selection activeCell="B54" sqref="B54:I55"/>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12.75" customHeight="1">
      <c r="A6" s="2"/>
      <c r="B6" s="54">
        <v>472</v>
      </c>
      <c r="C6" s="7" t="str">
        <f>+E12</f>
        <v>EQIP</v>
      </c>
      <c r="D6" s="110" t="s">
        <v>1496</v>
      </c>
      <c r="E6" s="110" t="s">
        <v>1497</v>
      </c>
      <c r="F6" s="7" t="s">
        <v>394</v>
      </c>
      <c r="G6" s="85">
        <f>+I25</f>
        <v>90</v>
      </c>
    </row>
    <row r="7" spans="1:12" ht="25.5">
      <c r="A7" s="2"/>
      <c r="B7" s="54">
        <f>+B6</f>
        <v>472</v>
      </c>
      <c r="C7" s="7" t="str">
        <f>+C6</f>
        <v>EQIP</v>
      </c>
      <c r="D7" s="110" t="s">
        <v>1496</v>
      </c>
      <c r="E7" s="110" t="str">
        <f>CONCATENATE(E6, "-HU")</f>
        <v>Access Control - Exclusion with Setback from Waterbody or Waterway-HU</v>
      </c>
      <c r="F7" s="7" t="str">
        <f>+F6</f>
        <v>Acre</v>
      </c>
      <c r="G7" s="85">
        <f>+J25</f>
        <v>90</v>
      </c>
    </row>
    <row r="8" spans="1:12" ht="12.75" customHeight="1">
      <c r="A8" s="2"/>
      <c r="B8" s="54">
        <v>472</v>
      </c>
      <c r="C8" s="7" t="str">
        <f>+G12</f>
        <v>WHIP</v>
      </c>
      <c r="D8" s="110" t="s">
        <v>1496</v>
      </c>
      <c r="E8" s="110" t="s">
        <v>1497</v>
      </c>
      <c r="F8" s="7" t="s">
        <v>394</v>
      </c>
      <c r="G8" s="85">
        <f>+K25</f>
        <v>0</v>
      </c>
    </row>
    <row r="9" spans="1:12" ht="25.5">
      <c r="A9" s="2"/>
      <c r="B9" s="8">
        <f>+B8</f>
        <v>472</v>
      </c>
      <c r="C9" s="10" t="str">
        <f>+C8</f>
        <v>WHIP</v>
      </c>
      <c r="D9" s="111" t="s">
        <v>1496</v>
      </c>
      <c r="E9" s="111" t="str">
        <f>CONCATENATE(E6, "-HU")</f>
        <v>Access Control - Exclusion with Setback from Waterbody or Waterway-HU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+I39</f>
        <v>0</v>
      </c>
      <c r="E16" s="160">
        <f>+'[10]Payment Factors'!D5</f>
        <v>0.75</v>
      </c>
      <c r="F16" s="160">
        <f>+'[10]Payment Factors'!E5</f>
        <v>0.9</v>
      </c>
      <c r="G16" s="160">
        <f>+'[10]Payment Factors'!F5</f>
        <v>0</v>
      </c>
      <c r="H16" s="160">
        <f>+'[10]Payment Factors'!G44</f>
        <v>0</v>
      </c>
      <c r="I16" s="1154">
        <f t="shared" ref="I16:L24" si="0">+$D16*E16</f>
        <v>0</v>
      </c>
      <c r="J16" s="1154">
        <f t="shared" si="0"/>
        <v>0</v>
      </c>
      <c r="K16" s="1154">
        <f t="shared" si="0"/>
        <v>0</v>
      </c>
      <c r="L16" s="1155">
        <f t="shared" si="0"/>
        <v>0</v>
      </c>
    </row>
    <row r="17" spans="1:12">
      <c r="A17" s="2"/>
      <c r="B17" s="15" t="s">
        <v>2</v>
      </c>
      <c r="C17" s="16"/>
      <c r="D17" s="24">
        <f>+I42</f>
        <v>0</v>
      </c>
      <c r="E17" s="160">
        <f t="shared" ref="E17:H18" si="1">+E16</f>
        <v>0.75</v>
      </c>
      <c r="F17" s="160">
        <f t="shared" si="1"/>
        <v>0.9</v>
      </c>
      <c r="G17" s="160">
        <f t="shared" si="1"/>
        <v>0</v>
      </c>
      <c r="H17" s="160">
        <f t="shared" si="1"/>
        <v>0</v>
      </c>
      <c r="I17" s="1154">
        <f t="shared" si="0"/>
        <v>0</v>
      </c>
      <c r="J17" s="1154">
        <f t="shared" si="0"/>
        <v>0</v>
      </c>
      <c r="K17" s="1154">
        <f t="shared" si="0"/>
        <v>0</v>
      </c>
      <c r="L17" s="1155">
        <f t="shared" si="0"/>
        <v>0</v>
      </c>
    </row>
    <row r="18" spans="1:12">
      <c r="A18" s="2"/>
      <c r="B18" s="15" t="s">
        <v>3</v>
      </c>
      <c r="C18" s="16"/>
      <c r="D18" s="24">
        <f>+I45</f>
        <v>0</v>
      </c>
      <c r="E18" s="160">
        <f t="shared" si="1"/>
        <v>0.75</v>
      </c>
      <c r="F18" s="160">
        <f t="shared" si="1"/>
        <v>0.9</v>
      </c>
      <c r="G18" s="160">
        <f t="shared" si="1"/>
        <v>0</v>
      </c>
      <c r="H18" s="160">
        <f t="shared" si="1"/>
        <v>0</v>
      </c>
      <c r="I18" s="1154">
        <f t="shared" si="0"/>
        <v>0</v>
      </c>
      <c r="J18" s="1154">
        <f t="shared" si="0"/>
        <v>0</v>
      </c>
      <c r="K18" s="1154">
        <f t="shared" si="0"/>
        <v>0</v>
      </c>
      <c r="L18" s="1155">
        <f t="shared" si="0"/>
        <v>0</v>
      </c>
    </row>
    <row r="19" spans="1:12">
      <c r="A19" s="2"/>
      <c r="B19" s="15" t="s">
        <v>4</v>
      </c>
      <c r="C19" s="16"/>
      <c r="D19" s="24">
        <f>+I48</f>
        <v>0</v>
      </c>
      <c r="E19" s="160">
        <v>0</v>
      </c>
      <c r="F19" s="160">
        <v>0</v>
      </c>
      <c r="G19" s="160">
        <v>0</v>
      </c>
      <c r="H19" s="160">
        <v>0</v>
      </c>
      <c r="I19" s="1154">
        <f t="shared" si="0"/>
        <v>0</v>
      </c>
      <c r="J19" s="1154">
        <f t="shared" si="0"/>
        <v>0</v>
      </c>
      <c r="K19" s="1154">
        <f t="shared" si="0"/>
        <v>0</v>
      </c>
      <c r="L19" s="1155">
        <f t="shared" si="0"/>
        <v>0</v>
      </c>
    </row>
    <row r="20" spans="1:12">
      <c r="A20" s="2"/>
      <c r="B20" s="15" t="s">
        <v>26</v>
      </c>
      <c r="C20" s="16"/>
      <c r="D20" s="24">
        <f>+I51</f>
        <v>0</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+I54</f>
        <v>0</v>
      </c>
      <c r="E21" s="160">
        <f>+E16</f>
        <v>0.75</v>
      </c>
      <c r="F21" s="160">
        <f>+F16</f>
        <v>0.9</v>
      </c>
      <c r="G21" s="160">
        <f t="shared" ref="G21:H23" si="2">+G16</f>
        <v>0</v>
      </c>
      <c r="H21" s="160">
        <f t="shared" si="2"/>
        <v>0</v>
      </c>
      <c r="I21" s="1154">
        <f t="shared" si="0"/>
        <v>0</v>
      </c>
      <c r="J21" s="1154">
        <f t="shared" si="0"/>
        <v>0</v>
      </c>
      <c r="K21" s="1154">
        <f t="shared" si="0"/>
        <v>0</v>
      </c>
      <c r="L21" s="1155">
        <f t="shared" si="0"/>
        <v>0</v>
      </c>
    </row>
    <row r="22" spans="1:12">
      <c r="A22" s="2"/>
      <c r="B22" s="15" t="s">
        <v>27</v>
      </c>
      <c r="C22" s="16"/>
      <c r="D22" s="24">
        <f>+I57</f>
        <v>90</v>
      </c>
      <c r="E22" s="160">
        <v>1</v>
      </c>
      <c r="F22" s="160">
        <v>1</v>
      </c>
      <c r="G22" s="160">
        <f t="shared" si="2"/>
        <v>0</v>
      </c>
      <c r="H22" s="160">
        <f t="shared" si="2"/>
        <v>0</v>
      </c>
      <c r="I22" s="1154">
        <f t="shared" si="0"/>
        <v>90</v>
      </c>
      <c r="J22" s="1154">
        <f t="shared" si="0"/>
        <v>90</v>
      </c>
      <c r="K22" s="1154">
        <f t="shared" si="0"/>
        <v>0</v>
      </c>
      <c r="L22" s="1155">
        <f t="shared" si="0"/>
        <v>0</v>
      </c>
    </row>
    <row r="23" spans="1:12">
      <c r="A23" s="2"/>
      <c r="B23" s="15" t="s">
        <v>5</v>
      </c>
      <c r="C23" s="16"/>
      <c r="D23" s="24">
        <f>+I60</f>
        <v>0</v>
      </c>
      <c r="E23" s="160">
        <v>0</v>
      </c>
      <c r="F23" s="160">
        <v>0</v>
      </c>
      <c r="G23" s="160">
        <f t="shared" si="2"/>
        <v>0</v>
      </c>
      <c r="H23" s="160">
        <f t="shared" si="2"/>
        <v>0</v>
      </c>
      <c r="I23" s="1154">
        <f t="shared" si="0"/>
        <v>0</v>
      </c>
      <c r="J23" s="1154">
        <f t="shared" si="0"/>
        <v>0</v>
      </c>
      <c r="K23" s="1154">
        <f t="shared" si="0"/>
        <v>0</v>
      </c>
      <c r="L23" s="1155">
        <f t="shared" si="0"/>
        <v>0</v>
      </c>
    </row>
    <row r="24" spans="1:12">
      <c r="A24" s="2"/>
      <c r="B24" s="15" t="s">
        <v>20</v>
      </c>
      <c r="C24" s="16"/>
      <c r="D24" s="75">
        <f>+I63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90</v>
      </c>
      <c r="E25" s="1158"/>
      <c r="F25" s="1158"/>
      <c r="G25" s="28"/>
      <c r="H25" s="28"/>
      <c r="I25" s="1159">
        <f>SUM(I16:I24)</f>
        <v>90</v>
      </c>
      <c r="J25" s="1159">
        <f>SUM(J16:J24)</f>
        <v>90</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1498</v>
      </c>
      <c r="C29" s="34"/>
      <c r="D29" s="34"/>
      <c r="E29" s="35"/>
      <c r="F29" s="35"/>
      <c r="G29" s="35"/>
      <c r="H29" s="35"/>
      <c r="I29" s="36"/>
    </row>
    <row r="30" spans="1:12">
      <c r="A30" s="2"/>
      <c r="B30" s="37" t="s">
        <v>1499</v>
      </c>
      <c r="C30" s="34"/>
      <c r="D30" s="34"/>
      <c r="E30" s="1162"/>
      <c r="F30" s="1163"/>
      <c r="G30" s="35"/>
      <c r="H30" s="35"/>
      <c r="I30" s="36"/>
    </row>
    <row r="31" spans="1:12">
      <c r="A31" s="2"/>
      <c r="B31" s="37"/>
      <c r="C31" s="34"/>
      <c r="D31" s="34"/>
      <c r="E31" s="35"/>
      <c r="F31" s="35"/>
      <c r="G31" s="35"/>
      <c r="H31" s="35"/>
      <c r="I31" s="36"/>
    </row>
    <row r="32" spans="1:12">
      <c r="A32" s="2"/>
      <c r="B32" s="33"/>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f>+'[10]Payment Factors'!C5</f>
        <v>10</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v>0</v>
      </c>
    </row>
    <row r="40" spans="1:9">
      <c r="A40" s="2"/>
      <c r="B40" s="33" t="s">
        <v>104</v>
      </c>
      <c r="C40" s="35"/>
      <c r="D40" s="1167"/>
      <c r="E40" s="1167"/>
      <c r="F40" s="1167"/>
      <c r="G40" s="1167"/>
      <c r="H40" s="35"/>
      <c r="I40" s="46"/>
    </row>
    <row r="41" spans="1:9">
      <c r="A41" s="2"/>
      <c r="B41" s="1172"/>
      <c r="C41" s="6"/>
      <c r="D41" s="1173"/>
      <c r="E41" s="35"/>
      <c r="F41" s="35"/>
      <c r="G41" s="35"/>
      <c r="H41" s="35"/>
      <c r="I41" s="36"/>
    </row>
    <row r="42" spans="1:9">
      <c r="A42" s="2"/>
      <c r="B42" s="42" t="s">
        <v>2</v>
      </c>
      <c r="C42" s="35"/>
      <c r="D42" s="35"/>
      <c r="E42" s="2003"/>
      <c r="F42" s="2003"/>
      <c r="G42" s="2003"/>
      <c r="H42" s="2003"/>
      <c r="I42" s="1166">
        <v>0</v>
      </c>
    </row>
    <row r="43" spans="1:9">
      <c r="A43" s="2"/>
      <c r="B43" s="33" t="s">
        <v>104</v>
      </c>
      <c r="C43" s="35"/>
      <c r="D43" s="1167"/>
      <c r="E43" s="1167"/>
      <c r="F43" s="1167"/>
      <c r="G43" s="1167"/>
      <c r="H43" s="35"/>
      <c r="I43" s="46"/>
    </row>
    <row r="44" spans="1:9">
      <c r="A44" s="2"/>
      <c r="B44" s="1177"/>
      <c r="C44" s="1178"/>
      <c r="D44" s="1178"/>
      <c r="E44" s="1178"/>
      <c r="F44" s="1178"/>
      <c r="G44" s="1178"/>
      <c r="H44" s="1178"/>
      <c r="I44" s="1179"/>
    </row>
    <row r="45" spans="1:9">
      <c r="A45" s="2"/>
      <c r="B45" s="42" t="s">
        <v>3</v>
      </c>
      <c r="C45" s="35"/>
      <c r="D45" s="35"/>
      <c r="E45" s="35"/>
      <c r="F45" s="39"/>
      <c r="G45" s="35"/>
      <c r="H45" s="35"/>
      <c r="I45" s="1182">
        <v>0</v>
      </c>
    </row>
    <row r="46" spans="1:9">
      <c r="A46" s="2"/>
      <c r="B46" s="33" t="s">
        <v>104</v>
      </c>
      <c r="C46" s="35"/>
      <c r="D46" s="35"/>
      <c r="E46" s="35"/>
      <c r="F46" s="39"/>
      <c r="G46" s="35"/>
      <c r="H46" s="35"/>
      <c r="I46" s="1182"/>
    </row>
    <row r="47" spans="1:9">
      <c r="A47" s="2"/>
      <c r="B47" s="33"/>
      <c r="C47" s="35"/>
      <c r="D47" s="35"/>
      <c r="E47" s="35"/>
      <c r="F47" s="35"/>
      <c r="G47" s="35"/>
      <c r="H47" s="35"/>
      <c r="I47" s="36"/>
    </row>
    <row r="48" spans="1:9">
      <c r="A48" s="2"/>
      <c r="B48" s="42" t="s">
        <v>4</v>
      </c>
      <c r="C48" s="35"/>
      <c r="D48" s="35"/>
      <c r="E48" s="35"/>
      <c r="F48" s="35"/>
      <c r="G48" s="35"/>
      <c r="H48" s="35"/>
      <c r="I48" s="1182">
        <f>0.03*(I39+I42+I45)</f>
        <v>0</v>
      </c>
    </row>
    <row r="49" spans="1:9">
      <c r="A49" s="2"/>
      <c r="B49" s="33" t="s">
        <v>467</v>
      </c>
      <c r="C49" s="35"/>
      <c r="D49" s="35"/>
      <c r="E49" s="35"/>
      <c r="F49" s="35"/>
      <c r="G49" s="35"/>
      <c r="H49" s="35"/>
      <c r="I49" s="36"/>
    </row>
    <row r="50" spans="1:9">
      <c r="A50" s="2"/>
      <c r="B50" s="37"/>
      <c r="C50" s="35"/>
      <c r="D50" s="35"/>
      <c r="E50" s="35"/>
      <c r="F50" s="35"/>
      <c r="G50" s="35"/>
      <c r="H50" s="35"/>
      <c r="I50" s="36"/>
    </row>
    <row r="51" spans="1:9">
      <c r="A51" s="2"/>
      <c r="B51" s="42" t="s">
        <v>468</v>
      </c>
      <c r="C51" s="35"/>
      <c r="D51" s="35"/>
      <c r="E51" s="35"/>
      <c r="F51" s="35"/>
      <c r="G51" s="35"/>
      <c r="H51" s="35"/>
      <c r="I51" s="1182">
        <f>0.01*(I39+I42+I45)</f>
        <v>0</v>
      </c>
    </row>
    <row r="52" spans="1:9">
      <c r="A52" s="2"/>
      <c r="B52" s="33" t="s">
        <v>749</v>
      </c>
      <c r="C52" s="35"/>
      <c r="D52" s="35"/>
      <c r="E52" s="35"/>
      <c r="F52" s="35"/>
      <c r="G52" s="35"/>
      <c r="H52" s="35"/>
      <c r="I52" s="36"/>
    </row>
    <row r="53" spans="1:9">
      <c r="A53" s="2"/>
      <c r="B53" s="37"/>
      <c r="C53" s="35"/>
      <c r="D53" s="35"/>
      <c r="E53" s="35"/>
      <c r="F53" s="35"/>
      <c r="G53" s="35"/>
      <c r="H53" s="35"/>
      <c r="I53" s="36"/>
    </row>
    <row r="54" spans="1:9">
      <c r="A54" s="2"/>
      <c r="B54" s="42" t="s">
        <v>7</v>
      </c>
      <c r="C54" s="35"/>
      <c r="D54" s="35"/>
      <c r="E54" s="35"/>
      <c r="F54" s="35"/>
      <c r="G54" s="35"/>
      <c r="H54" s="35"/>
      <c r="I54" s="1166">
        <v>0</v>
      </c>
    </row>
    <row r="55" spans="1:9">
      <c r="A55" s="2"/>
      <c r="B55" s="33" t="s">
        <v>104</v>
      </c>
      <c r="C55" s="35"/>
      <c r="D55" s="35"/>
      <c r="E55" s="35"/>
      <c r="F55" s="35"/>
      <c r="G55" s="35"/>
      <c r="H55" s="35"/>
      <c r="I55" s="36"/>
    </row>
    <row r="56" spans="1:9">
      <c r="A56" s="2"/>
      <c r="B56" s="37"/>
      <c r="C56" s="35"/>
      <c r="D56" s="35"/>
      <c r="E56" s="35"/>
      <c r="F56" s="35"/>
      <c r="G56" s="35"/>
      <c r="H56" s="35"/>
      <c r="I56" s="36"/>
    </row>
    <row r="57" spans="1:9">
      <c r="A57" s="2"/>
      <c r="B57" s="42" t="s">
        <v>471</v>
      </c>
      <c r="C57" s="35"/>
      <c r="D57" s="35"/>
      <c r="E57" s="35"/>
      <c r="F57" s="39"/>
      <c r="G57" s="35"/>
      <c r="H57" s="35"/>
      <c r="I57" s="1166">
        <v>90</v>
      </c>
    </row>
    <row r="58" spans="1:9">
      <c r="A58" s="2"/>
      <c r="B58" s="756" t="s">
        <v>1500</v>
      </c>
      <c r="C58" s="35"/>
      <c r="D58" s="35"/>
      <c r="E58" s="35"/>
      <c r="F58" s="35"/>
      <c r="G58" s="35"/>
      <c r="H58" s="35"/>
      <c r="I58" s="47"/>
    </row>
    <row r="59" spans="1:9">
      <c r="A59" s="2"/>
      <c r="B59" s="37"/>
      <c r="C59" s="35"/>
      <c r="D59" s="35"/>
      <c r="E59" s="35"/>
      <c r="F59" s="35"/>
      <c r="G59" s="35"/>
      <c r="H59" s="35"/>
      <c r="I59" s="36"/>
    </row>
    <row r="60" spans="1:9">
      <c r="A60" s="2"/>
      <c r="B60" s="42" t="s">
        <v>5</v>
      </c>
      <c r="C60" s="35"/>
      <c r="D60" s="35"/>
      <c r="E60" s="35"/>
      <c r="F60" s="35"/>
      <c r="G60" s="35"/>
      <c r="H60" s="35"/>
      <c r="I60" s="1166">
        <v>0</v>
      </c>
    </row>
    <row r="61" spans="1:9">
      <c r="A61" s="2"/>
      <c r="B61" s="33" t="s">
        <v>104</v>
      </c>
      <c r="C61" s="35"/>
      <c r="D61" s="35"/>
      <c r="E61" s="35"/>
      <c r="F61" s="35"/>
      <c r="G61" s="35"/>
      <c r="H61" s="35"/>
      <c r="I61" s="47"/>
    </row>
    <row r="62" spans="1:9">
      <c r="A62" s="2"/>
      <c r="B62" s="37"/>
      <c r="C62" s="35"/>
      <c r="D62" s="35"/>
      <c r="E62" s="35"/>
      <c r="F62" s="35"/>
      <c r="G62" s="35"/>
      <c r="H62" s="35"/>
      <c r="I62" s="36"/>
    </row>
    <row r="63" spans="1:9">
      <c r="A63" s="2"/>
      <c r="B63" s="42" t="s">
        <v>20</v>
      </c>
      <c r="C63" s="35"/>
      <c r="D63" s="35"/>
      <c r="E63" s="35"/>
      <c r="F63" s="35"/>
      <c r="G63" s="35"/>
      <c r="H63" s="35"/>
      <c r="I63" s="1166">
        <v>0</v>
      </c>
    </row>
    <row r="64" spans="1:9">
      <c r="A64" s="2"/>
      <c r="B64" s="33" t="s">
        <v>104</v>
      </c>
      <c r="C64" s="35"/>
      <c r="D64" s="35"/>
      <c r="E64" s="35"/>
      <c r="F64" s="35"/>
      <c r="G64" s="35"/>
      <c r="H64" s="35"/>
      <c r="I64" s="36"/>
    </row>
    <row r="65" spans="1:9">
      <c r="A65" s="2"/>
      <c r="B65" s="40"/>
      <c r="C65" s="35"/>
      <c r="D65" s="35"/>
      <c r="E65" s="35"/>
      <c r="F65" s="35"/>
      <c r="G65" s="35"/>
      <c r="H65" s="35"/>
      <c r="I65" s="36"/>
    </row>
    <row r="66" spans="1:9">
      <c r="A66" s="2"/>
      <c r="B66" s="42" t="s">
        <v>473</v>
      </c>
      <c r="C66" s="35"/>
      <c r="D66" s="35"/>
      <c r="E66" s="35"/>
      <c r="F66" s="35"/>
      <c r="G66" s="35"/>
      <c r="H66" s="35"/>
      <c r="I66" s="1183">
        <f>+I39+I42+I45+I48+I54+I63</f>
        <v>0</v>
      </c>
    </row>
    <row r="67" spans="1:9" ht="15.75">
      <c r="A67" s="2"/>
      <c r="B67" s="33" t="s">
        <v>474</v>
      </c>
      <c r="C67" s="35"/>
      <c r="D67" s="35"/>
      <c r="E67" s="35"/>
      <c r="F67" s="35"/>
      <c r="G67" s="35"/>
      <c r="H67" s="35"/>
      <c r="I67" s="36"/>
    </row>
    <row r="68" spans="1:9">
      <c r="A68" s="2"/>
      <c r="B68" s="40"/>
      <c r="C68" s="35"/>
      <c r="D68" s="35"/>
      <c r="E68" s="35"/>
      <c r="F68" s="35"/>
      <c r="G68" s="35"/>
      <c r="H68" s="35"/>
      <c r="I68" s="36"/>
    </row>
    <row r="69" spans="1:9">
      <c r="A69" s="2"/>
      <c r="B69" s="43" t="s">
        <v>11</v>
      </c>
      <c r="C69" s="44"/>
      <c r="D69" s="44"/>
      <c r="E69" s="44"/>
      <c r="F69" s="44"/>
      <c r="G69" s="44"/>
      <c r="H69" s="44"/>
      <c r="I69" s="621">
        <f>SUM(I39:I63)</f>
        <v>90</v>
      </c>
    </row>
  </sheetData>
  <mergeCells count="2">
    <mergeCell ref="B1:D1"/>
    <mergeCell ref="E42:H42"/>
  </mergeCells>
  <pageMargins left="0.75" right="0.75" top="1" bottom="1" header="0.5" footer="0.5"/>
  <pageSetup scale="46" orientation="portrait" r:id="rId1"/>
  <headerFooter alignWithMargins="0"/>
</worksheet>
</file>

<file path=xl/worksheets/sheet157.xml><?xml version="1.0" encoding="utf-8"?>
<worksheet xmlns="http://schemas.openxmlformats.org/spreadsheetml/2006/main" xmlns:r="http://schemas.openxmlformats.org/officeDocument/2006/relationships">
  <sheetPr>
    <pageSetUpPr fitToPage="1"/>
  </sheetPr>
  <dimension ref="A1:L69"/>
  <sheetViews>
    <sheetView workbookViewId="0">
      <selection activeCell="B54" sqref="B54:I55"/>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472</v>
      </c>
      <c r="C6" s="7" t="str">
        <f>+E12</f>
        <v>EQIP</v>
      </c>
      <c r="D6" s="110" t="s">
        <v>1496</v>
      </c>
      <c r="E6" s="110" t="s">
        <v>1501</v>
      </c>
      <c r="F6" s="7" t="s">
        <v>394</v>
      </c>
      <c r="G6" s="85">
        <f>+I25</f>
        <v>20</v>
      </c>
    </row>
    <row r="7" spans="1:12" hidden="1">
      <c r="A7" s="2"/>
      <c r="B7" s="54">
        <f>+B6</f>
        <v>472</v>
      </c>
      <c r="C7" s="7" t="str">
        <f>+C6</f>
        <v>EQIP</v>
      </c>
      <c r="D7" s="110" t="s">
        <v>1496</v>
      </c>
      <c r="E7" s="110" t="str">
        <f>CONCATENATE(E6, "-HU")</f>
        <v>Access Control - Exclusion from Woodlot or Other Upland Site-HU</v>
      </c>
      <c r="F7" s="7" t="str">
        <f>+F6</f>
        <v>Acre</v>
      </c>
      <c r="G7" s="85">
        <f>+J25</f>
        <v>20</v>
      </c>
    </row>
    <row r="8" spans="1:12" hidden="1">
      <c r="A8" s="2"/>
      <c r="B8" s="54">
        <v>472</v>
      </c>
      <c r="C8" s="7" t="str">
        <f>+G12</f>
        <v>WHIP</v>
      </c>
      <c r="D8" s="110" t="s">
        <v>1496</v>
      </c>
      <c r="E8" s="110" t="s">
        <v>1501</v>
      </c>
      <c r="F8" s="7" t="s">
        <v>394</v>
      </c>
      <c r="G8" s="85">
        <f>+K25</f>
        <v>0</v>
      </c>
    </row>
    <row r="9" spans="1:12" hidden="1">
      <c r="A9" s="2"/>
      <c r="B9" s="8">
        <f>+B8</f>
        <v>472</v>
      </c>
      <c r="C9" s="10" t="str">
        <f>+C8</f>
        <v>WHIP</v>
      </c>
      <c r="D9" s="111" t="s">
        <v>1496</v>
      </c>
      <c r="E9" s="111" t="str">
        <f>CONCATENATE(E6, "-HU")</f>
        <v>Access Control - Exclusion from Woodlot or Other Upland Site-HU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+I39</f>
        <v>0</v>
      </c>
      <c r="E16" s="160">
        <f>+'[10]Payment Factors'!D5</f>
        <v>0.75</v>
      </c>
      <c r="F16" s="160">
        <f>+'[10]Payment Factors'!E5</f>
        <v>0.9</v>
      </c>
      <c r="G16" s="160">
        <f>+'[10]Payment Factors'!F5</f>
        <v>0</v>
      </c>
      <c r="H16" s="160">
        <f>+'[10]Payment Factors'!G44</f>
        <v>0</v>
      </c>
      <c r="I16" s="1154">
        <f t="shared" ref="I16:L24" si="0">+$D16*E16</f>
        <v>0</v>
      </c>
      <c r="J16" s="1154">
        <f t="shared" si="0"/>
        <v>0</v>
      </c>
      <c r="K16" s="1154">
        <f t="shared" si="0"/>
        <v>0</v>
      </c>
      <c r="L16" s="1155">
        <f t="shared" si="0"/>
        <v>0</v>
      </c>
    </row>
    <row r="17" spans="1:12" hidden="1">
      <c r="A17" s="2"/>
      <c r="B17" s="15" t="s">
        <v>2</v>
      </c>
      <c r="C17" s="16"/>
      <c r="D17" s="24">
        <f>+I42</f>
        <v>0</v>
      </c>
      <c r="E17" s="160">
        <f t="shared" ref="E17:H18" si="1">+E16</f>
        <v>0.75</v>
      </c>
      <c r="F17" s="160">
        <f t="shared" si="1"/>
        <v>0.9</v>
      </c>
      <c r="G17" s="160">
        <f t="shared" si="1"/>
        <v>0</v>
      </c>
      <c r="H17" s="160">
        <f t="shared" si="1"/>
        <v>0</v>
      </c>
      <c r="I17" s="1154">
        <f t="shared" si="0"/>
        <v>0</v>
      </c>
      <c r="J17" s="1154">
        <f t="shared" si="0"/>
        <v>0</v>
      </c>
      <c r="K17" s="1154">
        <f t="shared" si="0"/>
        <v>0</v>
      </c>
      <c r="L17" s="1155">
        <f t="shared" si="0"/>
        <v>0</v>
      </c>
    </row>
    <row r="18" spans="1:12" hidden="1">
      <c r="A18" s="2"/>
      <c r="B18" s="15" t="s">
        <v>3</v>
      </c>
      <c r="C18" s="16"/>
      <c r="D18" s="24">
        <f>+I45</f>
        <v>0</v>
      </c>
      <c r="E18" s="160">
        <f t="shared" si="1"/>
        <v>0.75</v>
      </c>
      <c r="F18" s="160">
        <f t="shared" si="1"/>
        <v>0.9</v>
      </c>
      <c r="G18" s="160">
        <f t="shared" si="1"/>
        <v>0</v>
      </c>
      <c r="H18" s="160">
        <f t="shared" si="1"/>
        <v>0</v>
      </c>
      <c r="I18" s="1154">
        <f t="shared" si="0"/>
        <v>0</v>
      </c>
      <c r="J18" s="1154">
        <f t="shared" si="0"/>
        <v>0</v>
      </c>
      <c r="K18" s="1154">
        <f t="shared" si="0"/>
        <v>0</v>
      </c>
      <c r="L18" s="1155">
        <f t="shared" si="0"/>
        <v>0</v>
      </c>
    </row>
    <row r="19" spans="1:12" hidden="1">
      <c r="A19" s="2"/>
      <c r="B19" s="15" t="s">
        <v>4</v>
      </c>
      <c r="C19" s="16"/>
      <c r="D19" s="24">
        <f>+I48</f>
        <v>0</v>
      </c>
      <c r="E19" s="160">
        <v>0</v>
      </c>
      <c r="F19" s="160">
        <v>0</v>
      </c>
      <c r="G19" s="160">
        <v>0</v>
      </c>
      <c r="H19" s="160">
        <v>0</v>
      </c>
      <c r="I19" s="1154">
        <f t="shared" si="0"/>
        <v>0</v>
      </c>
      <c r="J19" s="1154">
        <f t="shared" si="0"/>
        <v>0</v>
      </c>
      <c r="K19" s="1154">
        <f t="shared" si="0"/>
        <v>0</v>
      </c>
      <c r="L19" s="1155">
        <f t="shared" si="0"/>
        <v>0</v>
      </c>
    </row>
    <row r="20" spans="1:12" hidden="1">
      <c r="A20" s="2"/>
      <c r="B20" s="15" t="s">
        <v>26</v>
      </c>
      <c r="C20" s="16"/>
      <c r="D20" s="24">
        <f>+I51</f>
        <v>0</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+I54</f>
        <v>0</v>
      </c>
      <c r="E21" s="160">
        <f>+E16</f>
        <v>0.75</v>
      </c>
      <c r="F21" s="160">
        <f>+F16</f>
        <v>0.9</v>
      </c>
      <c r="G21" s="160">
        <f t="shared" ref="G21:H23" si="2">+G16</f>
        <v>0</v>
      </c>
      <c r="H21" s="160">
        <f t="shared" si="2"/>
        <v>0</v>
      </c>
      <c r="I21" s="1154">
        <f t="shared" si="0"/>
        <v>0</v>
      </c>
      <c r="J21" s="1154">
        <f t="shared" si="0"/>
        <v>0</v>
      </c>
      <c r="K21" s="1154">
        <f t="shared" si="0"/>
        <v>0</v>
      </c>
      <c r="L21" s="1155">
        <f t="shared" si="0"/>
        <v>0</v>
      </c>
    </row>
    <row r="22" spans="1:12" hidden="1">
      <c r="A22" s="2"/>
      <c r="B22" s="15" t="s">
        <v>27</v>
      </c>
      <c r="C22" s="16"/>
      <c r="D22" s="24">
        <f>+I57</f>
        <v>20</v>
      </c>
      <c r="E22" s="160">
        <v>1</v>
      </c>
      <c r="F22" s="160">
        <v>1</v>
      </c>
      <c r="G22" s="160">
        <f t="shared" si="2"/>
        <v>0</v>
      </c>
      <c r="H22" s="160">
        <f t="shared" si="2"/>
        <v>0</v>
      </c>
      <c r="I22" s="1154">
        <f t="shared" si="0"/>
        <v>20</v>
      </c>
      <c r="J22" s="1154">
        <f t="shared" si="0"/>
        <v>20</v>
      </c>
      <c r="K22" s="1154">
        <f t="shared" si="0"/>
        <v>0</v>
      </c>
      <c r="L22" s="1155">
        <f t="shared" si="0"/>
        <v>0</v>
      </c>
    </row>
    <row r="23" spans="1:12" hidden="1">
      <c r="A23" s="2"/>
      <c r="B23" s="15" t="s">
        <v>5</v>
      </c>
      <c r="C23" s="16"/>
      <c r="D23" s="24">
        <f>+I60</f>
        <v>0</v>
      </c>
      <c r="E23" s="160">
        <v>0</v>
      </c>
      <c r="F23" s="160">
        <v>0</v>
      </c>
      <c r="G23" s="160">
        <f t="shared" si="2"/>
        <v>0</v>
      </c>
      <c r="H23" s="160">
        <f t="shared" si="2"/>
        <v>0</v>
      </c>
      <c r="I23" s="1154">
        <f t="shared" si="0"/>
        <v>0</v>
      </c>
      <c r="J23" s="1154">
        <f t="shared" si="0"/>
        <v>0</v>
      </c>
      <c r="K23" s="1154">
        <f t="shared" si="0"/>
        <v>0</v>
      </c>
      <c r="L23" s="1155">
        <f t="shared" si="0"/>
        <v>0</v>
      </c>
    </row>
    <row r="24" spans="1:12" hidden="1">
      <c r="A24" s="2"/>
      <c r="B24" s="15" t="s">
        <v>20</v>
      </c>
      <c r="C24" s="16"/>
      <c r="D24" s="75">
        <f>+I63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20</v>
      </c>
      <c r="E25" s="1158"/>
      <c r="F25" s="1158"/>
      <c r="G25" s="28"/>
      <c r="H25" s="28"/>
      <c r="I25" s="1159">
        <f>SUM(I16:I24)</f>
        <v>20</v>
      </c>
      <c r="J25" s="1159">
        <f>SUM(J16:J24)</f>
        <v>20</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1502</v>
      </c>
      <c r="C29" s="34"/>
      <c r="D29" s="34"/>
      <c r="E29" s="35"/>
      <c r="F29" s="35"/>
      <c r="G29" s="35"/>
      <c r="H29" s="35"/>
      <c r="I29" s="36"/>
    </row>
    <row r="30" spans="1:12">
      <c r="A30" s="2"/>
      <c r="B30" s="37" t="s">
        <v>1503</v>
      </c>
      <c r="C30" s="34"/>
      <c r="D30" s="34"/>
      <c r="E30" s="1162"/>
      <c r="F30" s="1163"/>
      <c r="G30" s="35"/>
      <c r="H30" s="35"/>
      <c r="I30" s="36"/>
    </row>
    <row r="31" spans="1:12">
      <c r="A31" s="2"/>
      <c r="B31" s="37"/>
      <c r="C31" s="34"/>
      <c r="D31" s="34"/>
      <c r="E31" s="35"/>
      <c r="F31" s="35"/>
      <c r="G31" s="35"/>
      <c r="H31" s="35"/>
      <c r="I31" s="36"/>
    </row>
    <row r="32" spans="1:12">
      <c r="A32" s="2"/>
      <c r="B32" s="33"/>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f>+'[10]Payment Factors'!C5</f>
        <v>10</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v>0</v>
      </c>
    </row>
    <row r="40" spans="1:9">
      <c r="A40" s="2"/>
      <c r="B40" s="33" t="s">
        <v>104</v>
      </c>
      <c r="C40" s="35"/>
      <c r="D40" s="1167"/>
      <c r="E40" s="1167"/>
      <c r="F40" s="1167"/>
      <c r="G40" s="1167"/>
      <c r="H40" s="35"/>
      <c r="I40" s="46"/>
    </row>
    <row r="41" spans="1:9">
      <c r="A41" s="2"/>
      <c r="B41" s="1172"/>
      <c r="C41" s="6"/>
      <c r="D41" s="1173"/>
      <c r="E41" s="35"/>
      <c r="F41" s="35"/>
      <c r="G41" s="35"/>
      <c r="H41" s="35"/>
      <c r="I41" s="36"/>
    </row>
    <row r="42" spans="1:9">
      <c r="A42" s="2"/>
      <c r="B42" s="42" t="s">
        <v>2</v>
      </c>
      <c r="C42" s="35"/>
      <c r="D42" s="35"/>
      <c r="E42" s="2003"/>
      <c r="F42" s="2003"/>
      <c r="G42" s="2003"/>
      <c r="H42" s="2003"/>
      <c r="I42" s="1166">
        <v>0</v>
      </c>
    </row>
    <row r="43" spans="1:9">
      <c r="A43" s="2"/>
      <c r="B43" s="33" t="s">
        <v>104</v>
      </c>
      <c r="C43" s="35"/>
      <c r="D43" s="1167"/>
      <c r="E43" s="1167"/>
      <c r="F43" s="1167"/>
      <c r="G43" s="1167"/>
      <c r="H43" s="35"/>
      <c r="I43" s="46"/>
    </row>
    <row r="44" spans="1:9">
      <c r="A44" s="2"/>
      <c r="B44" s="1177"/>
      <c r="C44" s="1178"/>
      <c r="D44" s="1178"/>
      <c r="E44" s="1178"/>
      <c r="F44" s="1178"/>
      <c r="G44" s="1178"/>
      <c r="H44" s="1178"/>
      <c r="I44" s="1179"/>
    </row>
    <row r="45" spans="1:9">
      <c r="A45" s="2"/>
      <c r="B45" s="42" t="s">
        <v>3</v>
      </c>
      <c r="C45" s="35"/>
      <c r="D45" s="35"/>
      <c r="E45" s="35"/>
      <c r="F45" s="39"/>
      <c r="G45" s="35"/>
      <c r="H45" s="35"/>
      <c r="I45" s="1182">
        <v>0</v>
      </c>
    </row>
    <row r="46" spans="1:9">
      <c r="A46" s="2"/>
      <c r="B46" s="42" t="s">
        <v>104</v>
      </c>
      <c r="C46" s="35"/>
      <c r="D46" s="35"/>
      <c r="E46" s="35"/>
      <c r="F46" s="39"/>
      <c r="G46" s="35"/>
      <c r="H46" s="35"/>
      <c r="I46" s="1182"/>
    </row>
    <row r="47" spans="1:9">
      <c r="A47" s="2"/>
      <c r="B47" s="33"/>
      <c r="C47" s="35"/>
      <c r="D47" s="35"/>
      <c r="E47" s="35"/>
      <c r="F47" s="35"/>
      <c r="G47" s="35"/>
      <c r="H47" s="35"/>
      <c r="I47" s="36"/>
    </row>
    <row r="48" spans="1:9">
      <c r="A48" s="2"/>
      <c r="B48" s="42" t="s">
        <v>4</v>
      </c>
      <c r="C48" s="35"/>
      <c r="D48" s="35"/>
      <c r="E48" s="35"/>
      <c r="F48" s="35"/>
      <c r="G48" s="35"/>
      <c r="H48" s="35"/>
      <c r="I48" s="1182">
        <f>0.03*(I39+I42+I45)</f>
        <v>0</v>
      </c>
    </row>
    <row r="49" spans="1:9">
      <c r="A49" s="2"/>
      <c r="B49" s="33" t="s">
        <v>467</v>
      </c>
      <c r="C49" s="35"/>
      <c r="D49" s="35"/>
      <c r="E49" s="35"/>
      <c r="F49" s="35"/>
      <c r="G49" s="35"/>
      <c r="H49" s="35"/>
      <c r="I49" s="36"/>
    </row>
    <row r="50" spans="1:9">
      <c r="A50" s="2"/>
      <c r="B50" s="37"/>
      <c r="C50" s="35"/>
      <c r="D50" s="35"/>
      <c r="E50" s="35"/>
      <c r="F50" s="35"/>
      <c r="G50" s="35"/>
      <c r="H50" s="35"/>
      <c r="I50" s="36"/>
    </row>
    <row r="51" spans="1:9">
      <c r="A51" s="2"/>
      <c r="B51" s="42" t="s">
        <v>468</v>
      </c>
      <c r="C51" s="35"/>
      <c r="D51" s="35"/>
      <c r="E51" s="35"/>
      <c r="F51" s="35"/>
      <c r="G51" s="35"/>
      <c r="H51" s="35"/>
      <c r="I51" s="1182">
        <f>0.01*(I39+I42+I45)</f>
        <v>0</v>
      </c>
    </row>
    <row r="52" spans="1:9">
      <c r="A52" s="2"/>
      <c r="B52" s="33" t="s">
        <v>749</v>
      </c>
      <c r="C52" s="35"/>
      <c r="D52" s="35"/>
      <c r="E52" s="35"/>
      <c r="F52" s="35"/>
      <c r="G52" s="35"/>
      <c r="H52" s="35"/>
      <c r="I52" s="36"/>
    </row>
    <row r="53" spans="1:9">
      <c r="A53" s="2"/>
      <c r="B53" s="37"/>
      <c r="C53" s="35"/>
      <c r="D53" s="35"/>
      <c r="E53" s="35"/>
      <c r="F53" s="35"/>
      <c r="G53" s="35"/>
      <c r="H53" s="35"/>
      <c r="I53" s="36"/>
    </row>
    <row r="54" spans="1:9">
      <c r="A54" s="2"/>
      <c r="B54" s="42" t="s">
        <v>7</v>
      </c>
      <c r="C54" s="35"/>
      <c r="D54" s="35"/>
      <c r="E54" s="35"/>
      <c r="F54" s="35"/>
      <c r="G54" s="35"/>
      <c r="H54" s="35"/>
      <c r="I54" s="1166">
        <v>0</v>
      </c>
    </row>
    <row r="55" spans="1:9">
      <c r="A55" s="2"/>
      <c r="B55" s="33" t="s">
        <v>104</v>
      </c>
      <c r="C55" s="35"/>
      <c r="D55" s="35"/>
      <c r="E55" s="35"/>
      <c r="F55" s="35"/>
      <c r="G55" s="35"/>
      <c r="H55" s="35"/>
      <c r="I55" s="36"/>
    </row>
    <row r="56" spans="1:9">
      <c r="A56" s="2"/>
      <c r="B56" s="37"/>
      <c r="C56" s="35"/>
      <c r="D56" s="35"/>
      <c r="E56" s="35"/>
      <c r="F56" s="35"/>
      <c r="G56" s="35"/>
      <c r="H56" s="35"/>
      <c r="I56" s="36"/>
    </row>
    <row r="57" spans="1:9">
      <c r="A57" s="2"/>
      <c r="B57" s="42" t="s">
        <v>471</v>
      </c>
      <c r="C57" s="35"/>
      <c r="D57" s="35"/>
      <c r="E57" s="35"/>
      <c r="F57" s="39"/>
      <c r="G57" s="35"/>
      <c r="H57" s="35"/>
      <c r="I57" s="1166">
        <f>90/4.5</f>
        <v>20</v>
      </c>
    </row>
    <row r="58" spans="1:9">
      <c r="A58" s="2"/>
      <c r="B58" s="756" t="s">
        <v>1504</v>
      </c>
      <c r="C58" s="35"/>
      <c r="D58" s="35"/>
      <c r="E58" s="35"/>
      <c r="F58" s="35"/>
      <c r="G58" s="35"/>
      <c r="H58" s="35"/>
      <c r="I58" s="47"/>
    </row>
    <row r="59" spans="1:9">
      <c r="A59" s="2"/>
      <c r="B59" s="37"/>
      <c r="C59" s="35"/>
      <c r="D59" s="35"/>
      <c r="E59" s="35"/>
      <c r="F59" s="35"/>
      <c r="G59" s="35"/>
      <c r="H59" s="35"/>
      <c r="I59" s="36"/>
    </row>
    <row r="60" spans="1:9">
      <c r="A60" s="2"/>
      <c r="B60" s="42" t="s">
        <v>5</v>
      </c>
      <c r="C60" s="35"/>
      <c r="D60" s="35"/>
      <c r="E60" s="35"/>
      <c r="F60" s="35"/>
      <c r="G60" s="35"/>
      <c r="H60" s="35"/>
      <c r="I60" s="1166">
        <v>0</v>
      </c>
    </row>
    <row r="61" spans="1:9">
      <c r="A61" s="2"/>
      <c r="B61" s="33" t="s">
        <v>104</v>
      </c>
      <c r="C61" s="35"/>
      <c r="D61" s="35"/>
      <c r="E61" s="35"/>
      <c r="F61" s="35"/>
      <c r="G61" s="35"/>
      <c r="H61" s="35"/>
      <c r="I61" s="47"/>
    </row>
    <row r="62" spans="1:9">
      <c r="A62" s="2"/>
      <c r="B62" s="37"/>
      <c r="C62" s="35"/>
      <c r="D62" s="35"/>
      <c r="E62" s="35"/>
      <c r="F62" s="35"/>
      <c r="G62" s="35"/>
      <c r="H62" s="35"/>
      <c r="I62" s="36"/>
    </row>
    <row r="63" spans="1:9">
      <c r="A63" s="2"/>
      <c r="B63" s="42" t="s">
        <v>20</v>
      </c>
      <c r="C63" s="35"/>
      <c r="D63" s="35"/>
      <c r="E63" s="35"/>
      <c r="F63" s="35"/>
      <c r="G63" s="35"/>
      <c r="H63" s="35"/>
      <c r="I63" s="1166">
        <v>0</v>
      </c>
    </row>
    <row r="64" spans="1:9">
      <c r="A64" s="2"/>
      <c r="B64" s="33" t="s">
        <v>104</v>
      </c>
      <c r="C64" s="35"/>
      <c r="D64" s="35"/>
      <c r="E64" s="35"/>
      <c r="F64" s="35"/>
      <c r="G64" s="35"/>
      <c r="H64" s="35"/>
      <c r="I64" s="36"/>
    </row>
    <row r="65" spans="1:9">
      <c r="A65" s="2"/>
      <c r="B65" s="40"/>
      <c r="C65" s="35"/>
      <c r="D65" s="35"/>
      <c r="E65" s="35"/>
      <c r="F65" s="35"/>
      <c r="G65" s="35"/>
      <c r="H65" s="35"/>
      <c r="I65" s="36"/>
    </row>
    <row r="66" spans="1:9">
      <c r="A66" s="2"/>
      <c r="B66" s="42" t="s">
        <v>473</v>
      </c>
      <c r="C66" s="35"/>
      <c r="D66" s="35"/>
      <c r="E66" s="35"/>
      <c r="F66" s="35"/>
      <c r="G66" s="35"/>
      <c r="H66" s="35"/>
      <c r="I66" s="1183">
        <f>+I39+I42+I45+I48+I54+I63</f>
        <v>0</v>
      </c>
    </row>
    <row r="67" spans="1:9" ht="15.75">
      <c r="A67" s="2"/>
      <c r="B67" s="33" t="s">
        <v>474</v>
      </c>
      <c r="C67" s="35"/>
      <c r="D67" s="35"/>
      <c r="E67" s="35"/>
      <c r="F67" s="35"/>
      <c r="G67" s="35"/>
      <c r="H67" s="35"/>
      <c r="I67" s="36"/>
    </row>
    <row r="68" spans="1:9">
      <c r="A68" s="2"/>
      <c r="B68" s="40"/>
      <c r="C68" s="35"/>
      <c r="D68" s="35"/>
      <c r="E68" s="35"/>
      <c r="F68" s="35"/>
      <c r="G68" s="35"/>
      <c r="H68" s="35"/>
      <c r="I68" s="36"/>
    </row>
    <row r="69" spans="1:9">
      <c r="A69" s="2"/>
      <c r="B69" s="43" t="s">
        <v>11</v>
      </c>
      <c r="C69" s="44"/>
      <c r="D69" s="44"/>
      <c r="E69" s="44"/>
      <c r="F69" s="44"/>
      <c r="G69" s="44"/>
      <c r="H69" s="44"/>
      <c r="I69" s="621">
        <f>SUM(I38:I63)</f>
        <v>20</v>
      </c>
    </row>
  </sheetData>
  <mergeCells count="2">
    <mergeCell ref="B1:D1"/>
    <mergeCell ref="E42:H42"/>
  </mergeCells>
  <pageMargins left="0.75" right="0.75" top="1" bottom="1" header="0.5" footer="0.5"/>
  <pageSetup scale="54" orientation="portrait" r:id="rId1"/>
  <headerFooter alignWithMargins="0"/>
</worksheet>
</file>

<file path=xl/worksheets/sheet158.xml><?xml version="1.0" encoding="utf-8"?>
<worksheet xmlns="http://schemas.openxmlformats.org/spreadsheetml/2006/main" xmlns:r="http://schemas.openxmlformats.org/officeDocument/2006/relationships">
  <sheetPr>
    <pageSetUpPr fitToPage="1"/>
  </sheetPr>
  <dimension ref="A1:L70"/>
  <sheetViews>
    <sheetView topLeftCell="A39" workbookViewId="0">
      <selection activeCell="B54" sqref="B54:I55"/>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472</v>
      </c>
      <c r="C6" s="7" t="str">
        <f>+E12</f>
        <v>EQIP</v>
      </c>
      <c r="D6" s="110" t="s">
        <v>1496</v>
      </c>
      <c r="E6" s="110" t="s">
        <v>1505</v>
      </c>
      <c r="F6" s="7" t="s">
        <v>394</v>
      </c>
      <c r="G6" s="85">
        <f>+I25</f>
        <v>26.363636363636363</v>
      </c>
    </row>
    <row r="7" spans="1:12" ht="25.5" hidden="1">
      <c r="A7" s="2"/>
      <c r="B7" s="54">
        <f>+B6</f>
        <v>472</v>
      </c>
      <c r="C7" s="7" t="str">
        <f>+C6</f>
        <v>EQIP</v>
      </c>
      <c r="D7" s="110" t="s">
        <v>1496</v>
      </c>
      <c r="E7" s="110" t="str">
        <f>CONCATENATE(E6, "-HU")</f>
        <v>Access Control - Exclusion with Setback from Woodlot or Other Upland Site-HU</v>
      </c>
      <c r="F7" s="7" t="str">
        <f>+F6</f>
        <v>Acre</v>
      </c>
      <c r="G7" s="85">
        <f>+J25</f>
        <v>26.363636363636363</v>
      </c>
    </row>
    <row r="8" spans="1:12" ht="25.5" hidden="1">
      <c r="A8" s="2"/>
      <c r="B8" s="54">
        <v>472</v>
      </c>
      <c r="C8" s="7" t="str">
        <f>+G12</f>
        <v>WHIP</v>
      </c>
      <c r="D8" s="110" t="s">
        <v>1496</v>
      </c>
      <c r="E8" s="110" t="s">
        <v>1505</v>
      </c>
      <c r="F8" s="7" t="s">
        <v>394</v>
      </c>
      <c r="G8" s="85">
        <f>+K25</f>
        <v>0</v>
      </c>
    </row>
    <row r="9" spans="1:12" ht="25.5" hidden="1">
      <c r="A9" s="2"/>
      <c r="B9" s="8">
        <f>+B8</f>
        <v>472</v>
      </c>
      <c r="C9" s="10" t="str">
        <f>+C8</f>
        <v>WHIP</v>
      </c>
      <c r="D9" s="111" t="s">
        <v>1496</v>
      </c>
      <c r="E9" s="111" t="str">
        <f>CONCATENATE(E6, "-HU")</f>
        <v>Access Control - Exclusion with Setback from Woodlot or Other Upland Site-HU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+I39</f>
        <v>0</v>
      </c>
      <c r="E16" s="160">
        <f>+'[10]Payment Factors'!D5</f>
        <v>0.75</v>
      </c>
      <c r="F16" s="160">
        <f>+'[10]Payment Factors'!E5</f>
        <v>0.9</v>
      </c>
      <c r="G16" s="160">
        <f>+'[10]Payment Factors'!F5</f>
        <v>0</v>
      </c>
      <c r="H16" s="160">
        <f>+'[10]Payment Factors'!G44</f>
        <v>0</v>
      </c>
      <c r="I16" s="1154">
        <f t="shared" ref="I16:L24" si="0">+$D16*E16</f>
        <v>0</v>
      </c>
      <c r="J16" s="1154">
        <f t="shared" si="0"/>
        <v>0</v>
      </c>
      <c r="K16" s="1154">
        <f t="shared" si="0"/>
        <v>0</v>
      </c>
      <c r="L16" s="1155">
        <f t="shared" si="0"/>
        <v>0</v>
      </c>
    </row>
    <row r="17" spans="1:12" hidden="1">
      <c r="A17" s="2"/>
      <c r="B17" s="15" t="s">
        <v>2</v>
      </c>
      <c r="C17" s="16"/>
      <c r="D17" s="24">
        <f>+I42</f>
        <v>0</v>
      </c>
      <c r="E17" s="160">
        <f t="shared" ref="E17:H18" si="1">+E16</f>
        <v>0.75</v>
      </c>
      <c r="F17" s="160">
        <f t="shared" si="1"/>
        <v>0.9</v>
      </c>
      <c r="G17" s="160">
        <f t="shared" si="1"/>
        <v>0</v>
      </c>
      <c r="H17" s="160">
        <f t="shared" si="1"/>
        <v>0</v>
      </c>
      <c r="I17" s="1154">
        <f t="shared" si="0"/>
        <v>0</v>
      </c>
      <c r="J17" s="1154">
        <f t="shared" si="0"/>
        <v>0</v>
      </c>
      <c r="K17" s="1154">
        <f t="shared" si="0"/>
        <v>0</v>
      </c>
      <c r="L17" s="1155">
        <f t="shared" si="0"/>
        <v>0</v>
      </c>
    </row>
    <row r="18" spans="1:12" hidden="1">
      <c r="A18" s="2"/>
      <c r="B18" s="15" t="s">
        <v>3</v>
      </c>
      <c r="C18" s="16"/>
      <c r="D18" s="24">
        <f>+I45</f>
        <v>0</v>
      </c>
      <c r="E18" s="160">
        <f t="shared" si="1"/>
        <v>0.75</v>
      </c>
      <c r="F18" s="160">
        <f t="shared" si="1"/>
        <v>0.9</v>
      </c>
      <c r="G18" s="160">
        <f t="shared" si="1"/>
        <v>0</v>
      </c>
      <c r="H18" s="160">
        <f t="shared" si="1"/>
        <v>0</v>
      </c>
      <c r="I18" s="1154">
        <f t="shared" si="0"/>
        <v>0</v>
      </c>
      <c r="J18" s="1154">
        <f t="shared" si="0"/>
        <v>0</v>
      </c>
      <c r="K18" s="1154">
        <f t="shared" si="0"/>
        <v>0</v>
      </c>
      <c r="L18" s="1155">
        <f t="shared" si="0"/>
        <v>0</v>
      </c>
    </row>
    <row r="19" spans="1:12" hidden="1">
      <c r="A19" s="2"/>
      <c r="B19" s="15" t="s">
        <v>4</v>
      </c>
      <c r="C19" s="16"/>
      <c r="D19" s="24">
        <f>+I48</f>
        <v>0</v>
      </c>
      <c r="E19" s="160">
        <v>0</v>
      </c>
      <c r="F19" s="160">
        <v>0</v>
      </c>
      <c r="G19" s="160">
        <v>0</v>
      </c>
      <c r="H19" s="160">
        <v>0</v>
      </c>
      <c r="I19" s="1154">
        <f t="shared" si="0"/>
        <v>0</v>
      </c>
      <c r="J19" s="1154">
        <f t="shared" si="0"/>
        <v>0</v>
      </c>
      <c r="K19" s="1154">
        <f t="shared" si="0"/>
        <v>0</v>
      </c>
      <c r="L19" s="1155">
        <f t="shared" si="0"/>
        <v>0</v>
      </c>
    </row>
    <row r="20" spans="1:12" hidden="1">
      <c r="A20" s="2"/>
      <c r="B20" s="15" t="s">
        <v>26</v>
      </c>
      <c r="C20" s="16"/>
      <c r="D20" s="24">
        <f>+I51</f>
        <v>0</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+I54</f>
        <v>0</v>
      </c>
      <c r="E21" s="160">
        <f>+E16</f>
        <v>0.75</v>
      </c>
      <c r="F21" s="160">
        <f>+F16</f>
        <v>0.9</v>
      </c>
      <c r="G21" s="160">
        <f t="shared" ref="G21:H23" si="2">+G16</f>
        <v>0</v>
      </c>
      <c r="H21" s="160">
        <f t="shared" si="2"/>
        <v>0</v>
      </c>
      <c r="I21" s="1154">
        <f t="shared" si="0"/>
        <v>0</v>
      </c>
      <c r="J21" s="1154">
        <f t="shared" si="0"/>
        <v>0</v>
      </c>
      <c r="K21" s="1154">
        <f t="shared" si="0"/>
        <v>0</v>
      </c>
      <c r="L21" s="1155">
        <f t="shared" si="0"/>
        <v>0</v>
      </c>
    </row>
    <row r="22" spans="1:12" hidden="1">
      <c r="A22" s="2"/>
      <c r="B22" s="15" t="s">
        <v>27</v>
      </c>
      <c r="C22" s="16"/>
      <c r="D22" s="24">
        <f>+I57</f>
        <v>26.363636363636363</v>
      </c>
      <c r="E22" s="160">
        <v>1</v>
      </c>
      <c r="F22" s="160">
        <v>1</v>
      </c>
      <c r="G22" s="160">
        <f t="shared" si="2"/>
        <v>0</v>
      </c>
      <c r="H22" s="160">
        <f t="shared" si="2"/>
        <v>0</v>
      </c>
      <c r="I22" s="1154">
        <f t="shared" si="0"/>
        <v>26.363636363636363</v>
      </c>
      <c r="J22" s="1154">
        <f t="shared" si="0"/>
        <v>26.363636363636363</v>
      </c>
      <c r="K22" s="1154">
        <f t="shared" si="0"/>
        <v>0</v>
      </c>
      <c r="L22" s="1155">
        <f t="shared" si="0"/>
        <v>0</v>
      </c>
    </row>
    <row r="23" spans="1:12" hidden="1">
      <c r="A23" s="2"/>
      <c r="B23" s="15" t="s">
        <v>5</v>
      </c>
      <c r="C23" s="16"/>
      <c r="D23" s="24">
        <f>+I61</f>
        <v>0</v>
      </c>
      <c r="E23" s="160">
        <v>0</v>
      </c>
      <c r="F23" s="160">
        <v>0</v>
      </c>
      <c r="G23" s="160">
        <f t="shared" si="2"/>
        <v>0</v>
      </c>
      <c r="H23" s="160">
        <f t="shared" si="2"/>
        <v>0</v>
      </c>
      <c r="I23" s="1154">
        <f t="shared" si="0"/>
        <v>0</v>
      </c>
      <c r="J23" s="1154">
        <f t="shared" si="0"/>
        <v>0</v>
      </c>
      <c r="K23" s="1154">
        <f t="shared" si="0"/>
        <v>0</v>
      </c>
      <c r="L23" s="1155">
        <f t="shared" si="0"/>
        <v>0</v>
      </c>
    </row>
    <row r="24" spans="1:12" hidden="1">
      <c r="A24" s="2"/>
      <c r="B24" s="15" t="s">
        <v>20</v>
      </c>
      <c r="C24" s="16"/>
      <c r="D24" s="75">
        <f>+I64</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26.363636363636363</v>
      </c>
      <c r="E25" s="1158"/>
      <c r="F25" s="1158"/>
      <c r="G25" s="28"/>
      <c r="H25" s="28"/>
      <c r="I25" s="1159">
        <f>SUM(I16:I24)</f>
        <v>26.363636363636363</v>
      </c>
      <c r="J25" s="1159">
        <f>SUM(J16:J24)</f>
        <v>26.363636363636363</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1506</v>
      </c>
      <c r="C29" s="34"/>
      <c r="D29" s="34"/>
      <c r="E29" s="35"/>
      <c r="F29" s="35"/>
      <c r="G29" s="35"/>
      <c r="H29" s="35"/>
      <c r="I29" s="36"/>
    </row>
    <row r="30" spans="1:12">
      <c r="A30" s="2"/>
      <c r="B30" s="37" t="s">
        <v>1503</v>
      </c>
      <c r="C30" s="34"/>
      <c r="D30" s="34"/>
      <c r="E30" s="1162"/>
      <c r="F30" s="1163"/>
      <c r="G30" s="35"/>
      <c r="H30" s="35"/>
      <c r="I30" s="36"/>
    </row>
    <row r="31" spans="1:12">
      <c r="A31" s="2"/>
      <c r="B31" s="37"/>
      <c r="C31" s="34"/>
      <c r="D31" s="34"/>
      <c r="E31" s="35"/>
      <c r="F31" s="35"/>
      <c r="G31" s="35"/>
      <c r="H31" s="35"/>
      <c r="I31" s="36"/>
    </row>
    <row r="32" spans="1:12">
      <c r="A32" s="2"/>
      <c r="B32" s="33"/>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f>+'[10]Payment Factors'!C5</f>
        <v>10</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v>0</v>
      </c>
    </row>
    <row r="40" spans="1:9">
      <c r="A40" s="2"/>
      <c r="B40" s="33" t="s">
        <v>104</v>
      </c>
      <c r="C40" s="35"/>
      <c r="D40" s="1167"/>
      <c r="E40" s="1167"/>
      <c r="F40" s="1167"/>
      <c r="G40" s="1167"/>
      <c r="H40" s="35"/>
      <c r="I40" s="46"/>
    </row>
    <row r="41" spans="1:9">
      <c r="A41" s="2"/>
      <c r="B41" s="1172"/>
      <c r="C41" s="6"/>
      <c r="D41" s="1173"/>
      <c r="E41" s="35"/>
      <c r="F41" s="35"/>
      <c r="G41" s="35"/>
      <c r="H41" s="35"/>
      <c r="I41" s="36"/>
    </row>
    <row r="42" spans="1:9">
      <c r="A42" s="2"/>
      <c r="B42" s="42" t="s">
        <v>2</v>
      </c>
      <c r="C42" s="35"/>
      <c r="D42" s="35"/>
      <c r="E42" s="2003"/>
      <c r="F42" s="2003"/>
      <c r="G42" s="2003"/>
      <c r="H42" s="2003"/>
      <c r="I42" s="1166">
        <v>0</v>
      </c>
    </row>
    <row r="43" spans="1:9">
      <c r="A43" s="2"/>
      <c r="B43" s="33" t="s">
        <v>104</v>
      </c>
      <c r="C43" s="35"/>
      <c r="D43" s="1167"/>
      <c r="E43" s="1167"/>
      <c r="F43" s="1167"/>
      <c r="G43" s="1167"/>
      <c r="H43" s="35"/>
      <c r="I43" s="46"/>
    </row>
    <row r="44" spans="1:9">
      <c r="A44" s="2"/>
      <c r="B44" s="1177"/>
      <c r="C44" s="1178"/>
      <c r="D44" s="1178"/>
      <c r="E44" s="1178"/>
      <c r="F44" s="1178"/>
      <c r="G44" s="1178"/>
      <c r="H44" s="1178"/>
      <c r="I44" s="1179"/>
    </row>
    <row r="45" spans="1:9">
      <c r="A45" s="2"/>
      <c r="B45" s="42" t="s">
        <v>3</v>
      </c>
      <c r="C45" s="35"/>
      <c r="D45" s="35"/>
      <c r="E45" s="35"/>
      <c r="F45" s="39"/>
      <c r="G45" s="35"/>
      <c r="H45" s="35"/>
      <c r="I45" s="1182">
        <v>0</v>
      </c>
    </row>
    <row r="46" spans="1:9">
      <c r="A46" s="2"/>
      <c r="B46" s="33" t="s">
        <v>104</v>
      </c>
      <c r="C46" s="35"/>
      <c r="D46" s="35"/>
      <c r="E46" s="35"/>
      <c r="F46" s="39"/>
      <c r="G46" s="35"/>
      <c r="H46" s="35"/>
      <c r="I46" s="1182"/>
    </row>
    <row r="47" spans="1:9">
      <c r="A47" s="2"/>
      <c r="B47" s="33"/>
      <c r="C47" s="35"/>
      <c r="D47" s="35"/>
      <c r="E47" s="35"/>
      <c r="F47" s="35"/>
      <c r="G47" s="35"/>
      <c r="H47" s="35"/>
      <c r="I47" s="36"/>
    </row>
    <row r="48" spans="1:9">
      <c r="A48" s="2"/>
      <c r="B48" s="42" t="s">
        <v>4</v>
      </c>
      <c r="C48" s="35"/>
      <c r="D48" s="35"/>
      <c r="E48" s="35"/>
      <c r="F48" s="35"/>
      <c r="G48" s="35"/>
      <c r="H48" s="35"/>
      <c r="I48" s="1182">
        <f>0.03*(I39+I42+I45)</f>
        <v>0</v>
      </c>
    </row>
    <row r="49" spans="1:9">
      <c r="A49" s="2"/>
      <c r="B49" s="33" t="s">
        <v>467</v>
      </c>
      <c r="C49" s="35"/>
      <c r="D49" s="35"/>
      <c r="E49" s="35"/>
      <c r="F49" s="35"/>
      <c r="G49" s="35"/>
      <c r="H49" s="35"/>
      <c r="I49" s="36"/>
    </row>
    <row r="50" spans="1:9">
      <c r="A50" s="2"/>
      <c r="B50" s="37"/>
      <c r="C50" s="35"/>
      <c r="D50" s="35"/>
      <c r="E50" s="35"/>
      <c r="F50" s="35"/>
      <c r="G50" s="35"/>
      <c r="H50" s="35"/>
      <c r="I50" s="36"/>
    </row>
    <row r="51" spans="1:9">
      <c r="A51" s="2"/>
      <c r="B51" s="42" t="s">
        <v>468</v>
      </c>
      <c r="C51" s="35"/>
      <c r="D51" s="35"/>
      <c r="E51" s="35"/>
      <c r="F51" s="35"/>
      <c r="G51" s="35"/>
      <c r="H51" s="35"/>
      <c r="I51" s="1182">
        <f>0.01*(I39+I42+I45)</f>
        <v>0</v>
      </c>
    </row>
    <row r="52" spans="1:9">
      <c r="A52" s="2"/>
      <c r="B52" s="33" t="s">
        <v>749</v>
      </c>
      <c r="C52" s="35"/>
      <c r="D52" s="35"/>
      <c r="E52" s="35"/>
      <c r="F52" s="35"/>
      <c r="G52" s="35"/>
      <c r="H52" s="35"/>
      <c r="I52" s="36"/>
    </row>
    <row r="53" spans="1:9">
      <c r="A53" s="2"/>
      <c r="B53" s="37"/>
      <c r="C53" s="35"/>
      <c r="D53" s="35"/>
      <c r="E53" s="35"/>
      <c r="F53" s="35"/>
      <c r="G53" s="35"/>
      <c r="H53" s="35"/>
      <c r="I53" s="36"/>
    </row>
    <row r="54" spans="1:9">
      <c r="A54" s="2"/>
      <c r="B54" s="42" t="s">
        <v>7</v>
      </c>
      <c r="C54" s="35"/>
      <c r="D54" s="35"/>
      <c r="E54" s="35"/>
      <c r="F54" s="35"/>
      <c r="G54" s="35"/>
      <c r="H54" s="35"/>
      <c r="I54" s="1166">
        <v>0</v>
      </c>
    </row>
    <row r="55" spans="1:9">
      <c r="A55" s="2"/>
      <c r="B55" s="33" t="s">
        <v>104</v>
      </c>
      <c r="C55" s="35"/>
      <c r="D55" s="35"/>
      <c r="E55" s="35"/>
      <c r="F55" s="35"/>
      <c r="G55" s="35"/>
      <c r="H55" s="35"/>
      <c r="I55" s="36"/>
    </row>
    <row r="56" spans="1:9">
      <c r="A56" s="2"/>
      <c r="B56" s="37"/>
      <c r="C56" s="35"/>
      <c r="D56" s="35"/>
      <c r="E56" s="35"/>
      <c r="F56" s="35"/>
      <c r="G56" s="35"/>
      <c r="H56" s="35"/>
      <c r="I56" s="36"/>
    </row>
    <row r="57" spans="1:9">
      <c r="A57" s="2"/>
      <c r="B57" s="42" t="s">
        <v>471</v>
      </c>
      <c r="C57" s="35"/>
      <c r="D57" s="35"/>
      <c r="E57" s="35"/>
      <c r="F57" s="39"/>
      <c r="G57" s="35"/>
      <c r="H57" s="35"/>
      <c r="I57" s="1166">
        <f>+(F58*10+F59)/11</f>
        <v>26.363636363636363</v>
      </c>
    </row>
    <row r="58" spans="1:9">
      <c r="A58" s="2"/>
      <c r="B58" s="756" t="s">
        <v>1504</v>
      </c>
      <c r="C58" s="35"/>
      <c r="D58" s="35"/>
      <c r="E58" s="35"/>
      <c r="F58" s="1425">
        <f>90/4.5</f>
        <v>20</v>
      </c>
      <c r="G58" s="35"/>
      <c r="H58" s="35"/>
      <c r="I58" s="47"/>
    </row>
    <row r="59" spans="1:9">
      <c r="A59" s="2"/>
      <c r="B59" s="756" t="s">
        <v>1500</v>
      </c>
      <c r="C59" s="35"/>
      <c r="D59" s="35"/>
      <c r="E59" s="35"/>
      <c r="F59" s="1425">
        <v>90</v>
      </c>
      <c r="G59" s="35"/>
      <c r="H59" s="35"/>
      <c r="I59" s="47"/>
    </row>
    <row r="60" spans="1:9">
      <c r="A60" s="2"/>
      <c r="B60" s="37"/>
      <c r="C60" s="35"/>
      <c r="D60" s="35"/>
      <c r="E60" s="35"/>
      <c r="F60" s="35"/>
      <c r="G60" s="35"/>
      <c r="H60" s="35"/>
      <c r="I60" s="36"/>
    </row>
    <row r="61" spans="1:9">
      <c r="A61" s="2"/>
      <c r="B61" s="42" t="s">
        <v>5</v>
      </c>
      <c r="C61" s="35"/>
      <c r="D61" s="35"/>
      <c r="E61" s="35"/>
      <c r="F61" s="35"/>
      <c r="G61" s="35"/>
      <c r="H61" s="35"/>
      <c r="I61" s="1166">
        <v>0</v>
      </c>
    </row>
    <row r="62" spans="1:9">
      <c r="A62" s="2"/>
      <c r="B62" s="33" t="s">
        <v>104</v>
      </c>
      <c r="C62" s="35"/>
      <c r="D62" s="35"/>
      <c r="E62" s="35"/>
      <c r="F62" s="35"/>
      <c r="G62" s="35"/>
      <c r="H62" s="35"/>
      <c r="I62" s="47"/>
    </row>
    <row r="63" spans="1:9">
      <c r="A63" s="2"/>
      <c r="B63" s="37"/>
      <c r="C63" s="35"/>
      <c r="D63" s="35"/>
      <c r="E63" s="35"/>
      <c r="F63" s="35"/>
      <c r="G63" s="35"/>
      <c r="H63" s="35"/>
      <c r="I63" s="36"/>
    </row>
    <row r="64" spans="1:9">
      <c r="A64" s="2"/>
      <c r="B64" s="42" t="s">
        <v>20</v>
      </c>
      <c r="C64" s="35"/>
      <c r="D64" s="35"/>
      <c r="E64" s="35"/>
      <c r="F64" s="35"/>
      <c r="G64" s="35"/>
      <c r="H64" s="35"/>
      <c r="I64" s="1166">
        <v>0</v>
      </c>
    </row>
    <row r="65" spans="1:9">
      <c r="A65" s="2"/>
      <c r="B65" s="33" t="s">
        <v>104</v>
      </c>
      <c r="C65" s="35"/>
      <c r="D65" s="35"/>
      <c r="E65" s="35"/>
      <c r="F65" s="35"/>
      <c r="G65" s="35"/>
      <c r="H65" s="35"/>
      <c r="I65" s="36"/>
    </row>
    <row r="66" spans="1:9">
      <c r="A66" s="2"/>
      <c r="B66" s="40"/>
      <c r="C66" s="35"/>
      <c r="D66" s="35"/>
      <c r="E66" s="35"/>
      <c r="F66" s="35"/>
      <c r="G66" s="35"/>
      <c r="H66" s="35"/>
      <c r="I66" s="36"/>
    </row>
    <row r="67" spans="1:9">
      <c r="A67" s="2"/>
      <c r="B67" s="42" t="s">
        <v>473</v>
      </c>
      <c r="C67" s="35"/>
      <c r="D67" s="35"/>
      <c r="E67" s="35"/>
      <c r="F67" s="35"/>
      <c r="G67" s="35"/>
      <c r="H67" s="35"/>
      <c r="I67" s="1183">
        <f>+I39+I42+I45+I48+I54+I64</f>
        <v>0</v>
      </c>
    </row>
    <row r="68" spans="1:9" ht="15.75">
      <c r="A68" s="2"/>
      <c r="B68" s="33" t="s">
        <v>474</v>
      </c>
      <c r="C68" s="35"/>
      <c r="D68" s="35"/>
      <c r="E68" s="35"/>
      <c r="F68" s="35"/>
      <c r="G68" s="35"/>
      <c r="H68" s="35"/>
      <c r="I68" s="36"/>
    </row>
    <row r="69" spans="1:9">
      <c r="A69" s="2"/>
      <c r="B69" s="40"/>
      <c r="C69" s="35"/>
      <c r="D69" s="35"/>
      <c r="E69" s="35"/>
      <c r="F69" s="35"/>
      <c r="G69" s="35"/>
      <c r="H69" s="35"/>
      <c r="I69" s="36"/>
    </row>
    <row r="70" spans="1:9">
      <c r="A70" s="2"/>
      <c r="B70" s="43" t="s">
        <v>11</v>
      </c>
      <c r="C70" s="44"/>
      <c r="D70" s="44"/>
      <c r="E70" s="44"/>
      <c r="F70" s="44"/>
      <c r="G70" s="44"/>
      <c r="H70" s="44"/>
      <c r="I70" s="621">
        <f>SUM(I39:I64)</f>
        <v>26.363636363636363</v>
      </c>
    </row>
  </sheetData>
  <mergeCells count="2">
    <mergeCell ref="B1:D1"/>
    <mergeCell ref="E42:H42"/>
  </mergeCells>
  <pageMargins left="0.75" right="0.75" top="1" bottom="1" header="0.5" footer="0.5"/>
  <pageSetup scale="54" orientation="portrait" r:id="rId1"/>
  <headerFooter alignWithMargins="0"/>
</worksheet>
</file>

<file path=xl/worksheets/sheet159.xml><?xml version="1.0" encoding="utf-8"?>
<worksheet xmlns="http://schemas.openxmlformats.org/spreadsheetml/2006/main" xmlns:r="http://schemas.openxmlformats.org/officeDocument/2006/relationships">
  <sheetPr>
    <pageSetUpPr fitToPage="1"/>
  </sheetPr>
  <dimension ref="A1:H114"/>
  <sheetViews>
    <sheetView topLeftCell="A13" zoomScaleNormal="100" workbookViewId="0">
      <selection activeCell="C8" sqref="C8"/>
    </sheetView>
  </sheetViews>
  <sheetFormatPr defaultRowHeight="12.75"/>
  <cols>
    <col min="1" max="1" width="34.5703125" style="2" customWidth="1"/>
    <col min="2" max="2" width="25.42578125" style="2" customWidth="1"/>
    <col min="3" max="3" width="43.85546875" style="2" customWidth="1"/>
    <col min="4" max="4" width="17.5703125" style="2" customWidth="1"/>
    <col min="5" max="5" width="15.140625" style="2" customWidth="1"/>
    <col min="6" max="6" width="11" style="2" customWidth="1"/>
    <col min="7" max="7" width="10.7109375" style="2" bestFit="1" customWidth="1"/>
    <col min="8" max="8" width="11.710937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858</v>
      </c>
      <c r="D6" s="456"/>
      <c r="E6" s="457"/>
      <c r="F6" s="458"/>
      <c r="G6" s="458"/>
    </row>
    <row r="7" spans="1:7" ht="21" customHeight="1">
      <c r="A7" s="454" t="s">
        <v>1</v>
      </c>
      <c r="B7" s="454" t="s">
        <v>381</v>
      </c>
      <c r="C7" s="459">
        <v>10</v>
      </c>
      <c r="D7" s="456"/>
      <c r="E7" s="457"/>
      <c r="F7" s="458"/>
      <c r="G7" s="458"/>
    </row>
    <row r="8" spans="1:7" ht="21" customHeight="1">
      <c r="A8" s="454" t="s">
        <v>382</v>
      </c>
      <c r="B8" s="454" t="s">
        <v>383</v>
      </c>
      <c r="C8" s="460" t="s">
        <v>859</v>
      </c>
      <c r="D8" s="461"/>
      <c r="E8" s="457"/>
      <c r="F8" s="457"/>
      <c r="G8" s="461"/>
    </row>
    <row r="9" spans="1:7" ht="47.25" customHeight="1">
      <c r="A9" s="454" t="s">
        <v>382</v>
      </c>
      <c r="B9" s="454" t="s">
        <v>385</v>
      </c>
      <c r="C9" s="2009" t="s">
        <v>860</v>
      </c>
      <c r="D9" s="2010"/>
      <c r="E9" s="2010"/>
      <c r="F9" s="2010"/>
      <c r="G9" s="2011"/>
    </row>
    <row r="10" spans="1:7" ht="51.75" customHeight="1">
      <c r="A10" s="454" t="s">
        <v>382</v>
      </c>
      <c r="B10" s="454" t="s">
        <v>387</v>
      </c>
      <c r="C10" s="2009" t="s">
        <v>861</v>
      </c>
      <c r="D10" s="2010"/>
      <c r="E10" s="2010"/>
      <c r="F10" s="2010"/>
      <c r="G10" s="2011"/>
    </row>
    <row r="11" spans="1:7" ht="51.75" customHeight="1">
      <c r="A11" s="454" t="s">
        <v>382</v>
      </c>
      <c r="B11" s="454" t="s">
        <v>389</v>
      </c>
      <c r="C11" s="2009" t="s">
        <v>862</v>
      </c>
      <c r="D11" s="2010"/>
      <c r="E11" s="2010"/>
      <c r="F11" s="2010"/>
      <c r="G11" s="2011"/>
    </row>
    <row r="12" spans="1:7" ht="51.75" customHeight="1">
      <c r="A12" s="454" t="s">
        <v>382</v>
      </c>
      <c r="B12" s="454" t="s">
        <v>391</v>
      </c>
      <c r="C12" s="2009" t="s">
        <v>863</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10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SUM(H31:H38)</f>
        <v>2177.6</v>
      </c>
      <c r="C18" s="466">
        <f>B18/C$14</f>
        <v>217.76</v>
      </c>
      <c r="D18" s="49"/>
      <c r="E18" s="89"/>
      <c r="F18" s="89"/>
      <c r="G18" s="49"/>
    </row>
    <row r="19" spans="1:8" ht="15">
      <c r="A19" s="454" t="s">
        <v>2</v>
      </c>
      <c r="B19" s="465">
        <f>SUM(H39:H44)</f>
        <v>487.45497872340434</v>
      </c>
      <c r="C19" s="466">
        <f t="shared" ref="C19:C27" si="0">B19/C$14</f>
        <v>48.745497872340437</v>
      </c>
      <c r="D19" s="49"/>
      <c r="E19" s="89"/>
      <c r="F19" s="89"/>
      <c r="G19" s="49"/>
    </row>
    <row r="20" spans="1:8" ht="15">
      <c r="A20" s="454" t="s">
        <v>3</v>
      </c>
      <c r="B20" s="465">
        <f>H45</f>
        <v>123.4918716577542</v>
      </c>
      <c r="C20" s="466">
        <f t="shared" si="0"/>
        <v>12.349187165775421</v>
      </c>
      <c r="D20" s="49"/>
      <c r="E20" s="89"/>
      <c r="F20" s="89"/>
      <c r="G20" s="49"/>
    </row>
    <row r="21" spans="1:8" ht="15">
      <c r="A21" s="454" t="s">
        <v>4</v>
      </c>
      <c r="B21" s="465">
        <v>0</v>
      </c>
      <c r="C21" s="466">
        <f t="shared" si="0"/>
        <v>0</v>
      </c>
      <c r="D21" s="49"/>
      <c r="E21" s="89"/>
      <c r="F21" s="89"/>
      <c r="G21" s="49"/>
    </row>
    <row r="22" spans="1:8" ht="15">
      <c r="A22" s="454" t="s">
        <v>26</v>
      </c>
      <c r="B22" s="465">
        <f>H46</f>
        <v>0</v>
      </c>
      <c r="C22" s="466">
        <f t="shared" si="0"/>
        <v>0</v>
      </c>
      <c r="D22" s="49"/>
      <c r="E22" s="89"/>
      <c r="F22" s="89"/>
      <c r="G22" s="49"/>
    </row>
    <row r="23" spans="1:8" ht="15">
      <c r="A23" s="454" t="s">
        <v>7</v>
      </c>
      <c r="B23" s="465">
        <f>SUM(H47:H49)</f>
        <v>0</v>
      </c>
      <c r="C23" s="466">
        <f t="shared" si="0"/>
        <v>0</v>
      </c>
      <c r="D23" s="49"/>
      <c r="E23" s="89"/>
      <c r="F23" s="89"/>
      <c r="G23" s="49"/>
    </row>
    <row r="24" spans="1:8" ht="15">
      <c r="A24" s="454" t="s">
        <v>27</v>
      </c>
      <c r="B24" s="465">
        <f>SUM(H48:H50)</f>
        <v>0</v>
      </c>
      <c r="C24" s="466">
        <f t="shared" si="0"/>
        <v>0</v>
      </c>
      <c r="D24" s="49"/>
      <c r="E24" s="89"/>
      <c r="F24" s="89"/>
      <c r="G24" s="49"/>
    </row>
    <row r="25" spans="1:8" ht="15">
      <c r="A25" s="454" t="s">
        <v>5</v>
      </c>
      <c r="B25" s="465">
        <f>G53</f>
        <v>0</v>
      </c>
      <c r="C25" s="466">
        <f t="shared" si="0"/>
        <v>0</v>
      </c>
      <c r="D25" s="49"/>
      <c r="E25" s="89"/>
      <c r="F25" s="89"/>
      <c r="G25" s="49"/>
    </row>
    <row r="26" spans="1:8" ht="15">
      <c r="A26" s="454" t="s">
        <v>20</v>
      </c>
      <c r="B26" s="465">
        <f>H53</f>
        <v>0</v>
      </c>
      <c r="C26" s="466">
        <f t="shared" si="0"/>
        <v>0</v>
      </c>
      <c r="D26" s="49"/>
      <c r="E26" s="89"/>
      <c r="F26" s="89"/>
      <c r="G26" s="49"/>
    </row>
    <row r="27" spans="1:8" ht="15">
      <c r="A27" s="454" t="s">
        <v>399</v>
      </c>
      <c r="B27" s="465">
        <f>SUM(B18:B26)</f>
        <v>2788.546850381158</v>
      </c>
      <c r="C27" s="466">
        <f t="shared" si="0"/>
        <v>278.8546850381158</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334</v>
      </c>
      <c r="C31" s="470" t="s">
        <v>427</v>
      </c>
      <c r="D31" s="471" t="s">
        <v>864</v>
      </c>
      <c r="E31" s="471" t="s">
        <v>408</v>
      </c>
      <c r="F31" s="472">
        <v>12.4</v>
      </c>
      <c r="G31" s="486">
        <v>10</v>
      </c>
      <c r="H31" s="474">
        <f>IF(G31&lt;=0, 0, F31*G31)</f>
        <v>124</v>
      </c>
    </row>
    <row r="32" spans="1:8" ht="15">
      <c r="A32" s="454" t="s">
        <v>0</v>
      </c>
      <c r="B32" s="470">
        <v>334</v>
      </c>
      <c r="C32" s="470" t="s">
        <v>427</v>
      </c>
      <c r="D32" s="471" t="s">
        <v>865</v>
      </c>
      <c r="E32" s="471" t="s">
        <v>408</v>
      </c>
      <c r="F32" s="472">
        <v>12.4</v>
      </c>
      <c r="G32" s="486">
        <v>10</v>
      </c>
      <c r="H32" s="474">
        <f t="shared" ref="H32:H45" si="1">IF(G32&lt;=0, 0, F32*G32)</f>
        <v>124</v>
      </c>
    </row>
    <row r="33" spans="1:8" ht="15">
      <c r="A33" s="454" t="s">
        <v>0</v>
      </c>
      <c r="B33" s="470">
        <v>75</v>
      </c>
      <c r="C33" s="470" t="s">
        <v>866</v>
      </c>
      <c r="D33" s="471"/>
      <c r="E33" s="471" t="s">
        <v>452</v>
      </c>
      <c r="F33" s="472">
        <v>54.12</v>
      </c>
      <c r="G33" s="486">
        <v>20</v>
      </c>
      <c r="H33" s="474">
        <f t="shared" si="1"/>
        <v>1082.3999999999999</v>
      </c>
    </row>
    <row r="34" spans="1:8" ht="15">
      <c r="A34" s="454" t="s">
        <v>0</v>
      </c>
      <c r="B34" s="470">
        <v>73</v>
      </c>
      <c r="C34" s="470" t="s">
        <v>867</v>
      </c>
      <c r="D34" s="471"/>
      <c r="E34" s="471" t="s">
        <v>572</v>
      </c>
      <c r="F34" s="472">
        <v>0.44</v>
      </c>
      <c r="G34" s="486">
        <v>600</v>
      </c>
      <c r="H34" s="474">
        <f t="shared" si="1"/>
        <v>264</v>
      </c>
    </row>
    <row r="35" spans="1:8" ht="15">
      <c r="A35" s="454" t="s">
        <v>0</v>
      </c>
      <c r="B35" s="470">
        <v>74</v>
      </c>
      <c r="C35" s="470" t="s">
        <v>868</v>
      </c>
      <c r="D35" s="471"/>
      <c r="E35" s="471" t="s">
        <v>572</v>
      </c>
      <c r="F35" s="472">
        <v>0.39</v>
      </c>
      <c r="G35" s="486">
        <v>600</v>
      </c>
      <c r="H35" s="474">
        <f t="shared" si="1"/>
        <v>234</v>
      </c>
    </row>
    <row r="36" spans="1:8" ht="15">
      <c r="A36" s="454" t="s">
        <v>0</v>
      </c>
      <c r="B36" s="470">
        <v>92</v>
      </c>
      <c r="C36" s="470" t="s">
        <v>869</v>
      </c>
      <c r="D36" s="471"/>
      <c r="E36" s="471" t="s">
        <v>572</v>
      </c>
      <c r="F36" s="472">
        <v>1.59</v>
      </c>
      <c r="G36" s="486">
        <v>100</v>
      </c>
      <c r="H36" s="474">
        <f t="shared" si="1"/>
        <v>159</v>
      </c>
    </row>
    <row r="37" spans="1:8" ht="15">
      <c r="A37" s="454" t="s">
        <v>0</v>
      </c>
      <c r="B37" s="1232">
        <v>112</v>
      </c>
      <c r="C37" s="1232" t="s">
        <v>870</v>
      </c>
      <c r="D37" s="1233"/>
      <c r="E37" s="1233" t="s">
        <v>572</v>
      </c>
      <c r="F37" s="1234">
        <v>2.16</v>
      </c>
      <c r="G37" s="486">
        <v>60</v>
      </c>
      <c r="H37" s="474">
        <f t="shared" si="1"/>
        <v>129.60000000000002</v>
      </c>
    </row>
    <row r="38" spans="1:8" ht="15">
      <c r="A38" s="454" t="s">
        <v>0</v>
      </c>
      <c r="B38" s="470">
        <v>109</v>
      </c>
      <c r="C38" s="470" t="s">
        <v>871</v>
      </c>
      <c r="D38" s="471"/>
      <c r="E38" s="471" t="s">
        <v>572</v>
      </c>
      <c r="F38" s="472">
        <v>3.03</v>
      </c>
      <c r="G38" s="486">
        <v>20</v>
      </c>
      <c r="H38" s="474">
        <f t="shared" si="1"/>
        <v>60.599999999999994</v>
      </c>
    </row>
    <row r="39" spans="1:8" ht="15">
      <c r="A39" s="454" t="s">
        <v>2</v>
      </c>
      <c r="B39" s="1235">
        <v>953</v>
      </c>
      <c r="C39" s="1236" t="s">
        <v>872</v>
      </c>
      <c r="D39" s="1236" t="s">
        <v>873</v>
      </c>
      <c r="E39" s="1236" t="s">
        <v>408</v>
      </c>
      <c r="F39" s="1237">
        <v>9.0574978723404307</v>
      </c>
      <c r="G39" s="486">
        <v>10</v>
      </c>
      <c r="H39" s="474">
        <f t="shared" si="1"/>
        <v>90.574978723404314</v>
      </c>
    </row>
    <row r="40" spans="1:8" ht="15">
      <c r="A40" s="454" t="s">
        <v>2</v>
      </c>
      <c r="B40" s="470">
        <v>948</v>
      </c>
      <c r="C40" s="470" t="s">
        <v>412</v>
      </c>
      <c r="D40" s="471" t="s">
        <v>864</v>
      </c>
      <c r="E40" s="471" t="s">
        <v>408</v>
      </c>
      <c r="F40" s="472">
        <v>5.91</v>
      </c>
      <c r="G40" s="486">
        <v>10</v>
      </c>
      <c r="H40" s="474">
        <f t="shared" si="1"/>
        <v>59.1</v>
      </c>
    </row>
    <row r="41" spans="1:8" ht="15">
      <c r="A41" s="454" t="s">
        <v>2</v>
      </c>
      <c r="B41" s="470">
        <v>948</v>
      </c>
      <c r="C41" s="470" t="s">
        <v>412</v>
      </c>
      <c r="D41" s="471" t="s">
        <v>865</v>
      </c>
      <c r="E41" s="471" t="s">
        <v>408</v>
      </c>
      <c r="F41" s="472">
        <v>5.91</v>
      </c>
      <c r="G41" s="486">
        <v>10</v>
      </c>
      <c r="H41" s="474">
        <f t="shared" si="1"/>
        <v>59.1</v>
      </c>
    </row>
    <row r="42" spans="1:8" ht="15">
      <c r="A42" s="454" t="s">
        <v>2</v>
      </c>
      <c r="B42" s="470">
        <v>963</v>
      </c>
      <c r="C42" s="470" t="s">
        <v>874</v>
      </c>
      <c r="D42" s="471"/>
      <c r="E42" s="471" t="s">
        <v>411</v>
      </c>
      <c r="F42" s="472">
        <v>17.420000000000002</v>
      </c>
      <c r="G42" s="486">
        <v>4</v>
      </c>
      <c r="H42" s="474">
        <f t="shared" si="1"/>
        <v>69.680000000000007</v>
      </c>
    </row>
    <row r="43" spans="1:8" ht="15">
      <c r="A43" s="454" t="s">
        <v>2</v>
      </c>
      <c r="B43" s="470">
        <v>950</v>
      </c>
      <c r="C43" s="470" t="s">
        <v>875</v>
      </c>
      <c r="D43" s="471"/>
      <c r="E43" s="471" t="s">
        <v>408</v>
      </c>
      <c r="F43" s="472">
        <v>4.78</v>
      </c>
      <c r="G43" s="1238">
        <v>10</v>
      </c>
      <c r="H43" s="474">
        <f t="shared" si="1"/>
        <v>47.800000000000004</v>
      </c>
    </row>
    <row r="44" spans="1:8" ht="15">
      <c r="A44" s="454" t="s">
        <v>2</v>
      </c>
      <c r="B44" s="470">
        <v>960</v>
      </c>
      <c r="C44" s="470" t="s">
        <v>576</v>
      </c>
      <c r="D44" s="471"/>
      <c r="E44" s="471" t="s">
        <v>408</v>
      </c>
      <c r="F44" s="472">
        <v>16.12</v>
      </c>
      <c r="G44" s="486">
        <v>10</v>
      </c>
      <c r="H44" s="474">
        <f t="shared" si="1"/>
        <v>161.20000000000002</v>
      </c>
    </row>
    <row r="45" spans="1:8" ht="15">
      <c r="A45" s="454" t="s">
        <v>3</v>
      </c>
      <c r="B45" s="1239">
        <v>231</v>
      </c>
      <c r="C45" s="1240" t="s">
        <v>578</v>
      </c>
      <c r="D45" s="1240"/>
      <c r="E45" s="1240" t="s">
        <v>411</v>
      </c>
      <c r="F45" s="1241">
        <v>20.5819786096257</v>
      </c>
      <c r="G45" s="486">
        <v>6</v>
      </c>
      <c r="H45" s="474">
        <f t="shared" si="1"/>
        <v>123.4918716577542</v>
      </c>
    </row>
    <row r="46" spans="1:8" ht="16.5" customHeight="1">
      <c r="A46" s="454" t="s">
        <v>3</v>
      </c>
      <c r="B46" s="470"/>
      <c r="C46" s="470"/>
      <c r="D46" s="471"/>
      <c r="E46" s="471"/>
      <c r="F46" s="472"/>
      <c r="G46" s="486"/>
      <c r="H46" s="474">
        <f t="shared" ref="H46:H54" si="2">IF(G46&lt;=0, 0, F49*G46)</f>
        <v>0</v>
      </c>
    </row>
    <row r="47" spans="1:8" ht="15">
      <c r="A47" s="454" t="s">
        <v>3</v>
      </c>
      <c r="B47" s="470"/>
      <c r="C47" s="470"/>
      <c r="D47" s="471"/>
      <c r="E47" s="471"/>
      <c r="F47" s="472"/>
      <c r="G47" s="486"/>
      <c r="H47" s="474">
        <f t="shared" si="2"/>
        <v>0</v>
      </c>
    </row>
    <row r="48" spans="1:8" ht="15">
      <c r="A48" s="454" t="s">
        <v>4</v>
      </c>
      <c r="B48" s="470"/>
      <c r="C48" s="470"/>
      <c r="D48" s="471"/>
      <c r="E48" s="471"/>
      <c r="F48" s="481"/>
      <c r="G48" s="486"/>
      <c r="H48" s="474">
        <f t="shared" si="2"/>
        <v>0</v>
      </c>
    </row>
    <row r="49" spans="1:8" ht="15">
      <c r="A49" s="454" t="s">
        <v>419</v>
      </c>
      <c r="B49" s="470"/>
      <c r="C49" s="470"/>
      <c r="D49" s="471"/>
      <c r="E49" s="471"/>
      <c r="F49" s="481"/>
      <c r="G49" s="486"/>
      <c r="H49" s="474">
        <f t="shared" si="2"/>
        <v>0</v>
      </c>
    </row>
    <row r="50" spans="1:8" ht="15">
      <c r="A50" s="454" t="s">
        <v>7</v>
      </c>
      <c r="B50" s="470"/>
      <c r="C50" s="470"/>
      <c r="D50" s="471"/>
      <c r="E50" s="471"/>
      <c r="F50" s="472"/>
      <c r="G50" s="486"/>
      <c r="H50" s="474">
        <f t="shared" si="2"/>
        <v>0</v>
      </c>
    </row>
    <row r="51" spans="1:8" ht="15">
      <c r="A51" s="454" t="s">
        <v>7</v>
      </c>
      <c r="B51" s="470"/>
      <c r="C51" s="470"/>
      <c r="D51" s="471"/>
      <c r="E51" s="471"/>
      <c r="F51" s="472"/>
      <c r="G51" s="486"/>
      <c r="H51" s="474">
        <f t="shared" si="2"/>
        <v>0</v>
      </c>
    </row>
    <row r="52" spans="1:8" ht="15">
      <c r="A52" s="454" t="s">
        <v>7</v>
      </c>
      <c r="B52" s="470"/>
      <c r="C52" s="470"/>
      <c r="D52" s="471"/>
      <c r="E52" s="471"/>
      <c r="F52" s="472"/>
      <c r="G52" s="486"/>
      <c r="H52" s="474">
        <f t="shared" si="2"/>
        <v>0</v>
      </c>
    </row>
    <row r="53" spans="1:8" ht="15">
      <c r="A53" s="454" t="s">
        <v>421</v>
      </c>
      <c r="B53" s="470"/>
      <c r="C53" s="470"/>
      <c r="D53" s="471"/>
      <c r="E53" s="471"/>
      <c r="F53" s="472"/>
      <c r="G53" s="486"/>
      <c r="H53" s="474">
        <f t="shared" si="2"/>
        <v>0</v>
      </c>
    </row>
    <row r="54" spans="1:8" ht="15">
      <c r="A54" s="454" t="s">
        <v>421</v>
      </c>
      <c r="B54" s="470"/>
      <c r="C54" s="470"/>
      <c r="D54" s="471"/>
      <c r="E54" s="471"/>
      <c r="F54" s="472"/>
      <c r="G54" s="486"/>
      <c r="H54" s="474">
        <f t="shared" si="2"/>
        <v>0</v>
      </c>
    </row>
    <row r="55" spans="1:8" ht="15">
      <c r="A55" s="454" t="s">
        <v>421</v>
      </c>
      <c r="B55" s="470"/>
      <c r="C55" s="470"/>
      <c r="D55" s="471"/>
      <c r="E55" s="471"/>
      <c r="F55" s="472"/>
      <c r="G55" s="82"/>
    </row>
    <row r="56" spans="1:8" ht="15">
      <c r="A56" s="454" t="s">
        <v>5</v>
      </c>
      <c r="B56" s="470"/>
      <c r="C56" s="470"/>
      <c r="D56" s="471"/>
      <c r="E56" s="471"/>
      <c r="F56" s="472"/>
      <c r="G56" s="82"/>
    </row>
    <row r="57" spans="1:8" ht="15">
      <c r="A57" s="454" t="s">
        <v>20</v>
      </c>
      <c r="B57" s="470"/>
      <c r="C57" s="470"/>
      <c r="D57" s="471"/>
      <c r="E57" s="471"/>
      <c r="F57" s="47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87" spans="1:7">
      <c r="A87" s="82"/>
      <c r="B87" s="82"/>
      <c r="C87" s="82"/>
      <c r="D87" s="82"/>
      <c r="E87" s="82"/>
      <c r="F87" s="82"/>
      <c r="G87" s="82"/>
    </row>
    <row r="88" spans="1:7">
      <c r="A88" s="82"/>
      <c r="B88" s="82"/>
      <c r="C88" s="82"/>
      <c r="D88" s="82"/>
      <c r="E88" s="82"/>
      <c r="F88" s="82"/>
      <c r="G88" s="82"/>
    </row>
    <row r="89" spans="1:7">
      <c r="A89" s="82"/>
      <c r="B89" s="82"/>
      <c r="C89" s="82"/>
      <c r="D89" s="82"/>
      <c r="E89" s="82"/>
      <c r="F89" s="82"/>
    </row>
    <row r="90" spans="1:7">
      <c r="A90" s="82"/>
      <c r="B90" s="82"/>
      <c r="C90" s="82"/>
      <c r="D90" s="82"/>
      <c r="E90" s="82"/>
      <c r="F90" s="82"/>
    </row>
    <row r="91" spans="1:7">
      <c r="A91" s="82"/>
      <c r="B91" s="82"/>
      <c r="C91" s="82"/>
      <c r="D91" s="82"/>
      <c r="E91" s="82"/>
      <c r="F91" s="82"/>
    </row>
    <row r="102" spans="4:4">
      <c r="D102" s="57"/>
    </row>
    <row r="103" spans="4:4">
      <c r="D103" s="57"/>
    </row>
    <row r="104" spans="4:4">
      <c r="D104" s="57"/>
    </row>
    <row r="105" spans="4:4">
      <c r="D105" s="57"/>
    </row>
    <row r="106" spans="4:4">
      <c r="D106" s="57"/>
    </row>
    <row r="107" spans="4:4">
      <c r="D107" s="57"/>
    </row>
    <row r="108" spans="4:4">
      <c r="D108" s="57"/>
    </row>
    <row r="110" spans="4:4">
      <c r="D110" s="57"/>
    </row>
    <row r="112" spans="4:4">
      <c r="D112" s="56"/>
    </row>
    <row r="114" spans="4:4">
      <c r="D114"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16.xml><?xml version="1.0" encoding="utf-8"?>
<worksheet xmlns="http://schemas.openxmlformats.org/spreadsheetml/2006/main" xmlns:r="http://schemas.openxmlformats.org/officeDocument/2006/relationships">
  <dimension ref="B1:P105"/>
  <sheetViews>
    <sheetView zoomScaleNormal="100" workbookViewId="0">
      <selection activeCell="L15" sqref="L15"/>
    </sheetView>
  </sheetViews>
  <sheetFormatPr defaultRowHeight="12.75"/>
  <cols>
    <col min="1" max="1" width="2.85546875" style="2" customWidth="1"/>
    <col min="2" max="2" width="11.5703125" style="2" customWidth="1"/>
    <col min="3" max="3" width="18.7109375" style="2" customWidth="1"/>
    <col min="4" max="4" width="27.5703125" style="2" customWidth="1"/>
    <col min="5" max="5" width="22.42578125" style="2" customWidth="1"/>
    <col min="6" max="6" width="11.42578125" style="2" customWidth="1"/>
    <col min="7" max="7" width="10.42578125" style="2" customWidth="1"/>
    <col min="8" max="8" width="10.5703125" style="2" customWidth="1"/>
    <col min="9" max="9" width="10.140625" style="2" customWidth="1"/>
    <col min="10" max="10" width="8.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c r="B2" s="163" t="s">
        <v>129</v>
      </c>
      <c r="C2" s="79">
        <v>106</v>
      </c>
      <c r="D2" s="79" t="s">
        <v>130</v>
      </c>
      <c r="E2" s="79" t="s">
        <v>154</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c r="B6" s="54">
        <v>106</v>
      </c>
      <c r="C6" s="7" t="str">
        <f>+E10</f>
        <v>EQIP</v>
      </c>
      <c r="D6" s="53" t="s">
        <v>130</v>
      </c>
      <c r="E6" s="53" t="s">
        <v>154</v>
      </c>
      <c r="F6" s="7" t="s">
        <v>47</v>
      </c>
      <c r="G6" s="85">
        <f>G23</f>
        <v>1866.75</v>
      </c>
      <c r="H6" s="89"/>
      <c r="I6" s="89"/>
      <c r="J6"/>
    </row>
    <row r="7" spans="2:10">
      <c r="B7" s="8">
        <v>106</v>
      </c>
      <c r="C7" s="10" t="s">
        <v>15</v>
      </c>
      <c r="D7" s="9" t="s">
        <v>130</v>
      </c>
      <c r="E7" s="9" t="s">
        <v>155</v>
      </c>
      <c r="F7" s="10" t="s">
        <v>47</v>
      </c>
      <c r="G7" s="86">
        <f>$H$23</f>
        <v>2240.1</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2489</v>
      </c>
      <c r="E16" s="160">
        <v>0.75</v>
      </c>
      <c r="F16" s="160">
        <v>0.9</v>
      </c>
      <c r="G16" s="73">
        <f t="shared" si="0"/>
        <v>1866.75</v>
      </c>
      <c r="H16" s="74">
        <f t="shared" si="0"/>
        <v>2240.1</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I58</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2489</v>
      </c>
      <c r="E23" s="28"/>
      <c r="F23" s="28"/>
      <c r="G23" s="51">
        <f t="shared" ref="G23:H23" si="1">SUM(G14:G22)</f>
        <v>1866.75</v>
      </c>
      <c r="H23" s="77">
        <f t="shared" si="1"/>
        <v>2240.1</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134</v>
      </c>
      <c r="E28" s="1955"/>
      <c r="F28" s="1955"/>
      <c r="G28" s="1955"/>
      <c r="H28" s="1955"/>
      <c r="I28" s="36"/>
    </row>
    <row r="29" spans="2:16">
      <c r="B29" s="42"/>
      <c r="C29" s="34"/>
      <c r="D29" s="115"/>
      <c r="E29" s="97"/>
      <c r="F29" s="97"/>
      <c r="G29" s="97"/>
      <c r="H29" s="97"/>
      <c r="I29" s="36"/>
    </row>
    <row r="30" spans="2:16" ht="13.5" customHeight="1">
      <c r="B30" s="37" t="s">
        <v>41</v>
      </c>
      <c r="C30" s="34"/>
      <c r="D30" s="1956" t="s">
        <v>135</v>
      </c>
      <c r="E30" s="1957"/>
      <c r="F30" s="1957"/>
      <c r="G30" s="1957"/>
      <c r="H30" s="1957"/>
      <c r="I30" s="36"/>
    </row>
    <row r="31" spans="2:16" ht="28.5" customHeight="1">
      <c r="B31" s="91" t="s">
        <v>40</v>
      </c>
      <c r="C31" s="34"/>
      <c r="D31" s="1956" t="s">
        <v>156</v>
      </c>
      <c r="E31" s="1957"/>
      <c r="F31" s="1957"/>
      <c r="G31" s="1957"/>
      <c r="H31" s="1957"/>
      <c r="I31" s="36"/>
    </row>
    <row r="32" spans="2:16" ht="48" customHeight="1">
      <c r="B32" s="91" t="s">
        <v>33</v>
      </c>
      <c r="C32" s="90"/>
      <c r="D32" s="1956" t="s">
        <v>137</v>
      </c>
      <c r="E32" s="1957"/>
      <c r="F32" s="1957"/>
      <c r="G32" s="1957"/>
      <c r="H32" s="1957"/>
      <c r="I32" s="36"/>
    </row>
    <row r="33" spans="2:15" ht="63.75" customHeight="1">
      <c r="B33" s="91" t="s">
        <v>35</v>
      </c>
      <c r="C33" s="90"/>
      <c r="D33" s="1956" t="s">
        <v>138</v>
      </c>
      <c r="E33" s="1957"/>
      <c r="F33" s="1957"/>
      <c r="G33" s="1957"/>
      <c r="H33" s="1957"/>
      <c r="I33" s="36"/>
    </row>
    <row r="34" spans="2:15" ht="15.75" customHeight="1">
      <c r="B34" s="91" t="s">
        <v>34</v>
      </c>
      <c r="C34" s="90"/>
      <c r="D34" s="1956" t="s">
        <v>139</v>
      </c>
      <c r="E34" s="1957"/>
      <c r="F34" s="1957"/>
      <c r="G34" s="1957"/>
      <c r="H34" s="1957"/>
      <c r="I34" s="36"/>
    </row>
    <row r="35" spans="2:15">
      <c r="B35" s="37"/>
      <c r="C35" s="34"/>
      <c r="D35" s="34"/>
      <c r="E35" s="35"/>
      <c r="F35" s="35"/>
      <c r="G35" s="35"/>
      <c r="H35" s="35"/>
      <c r="I35" s="36"/>
    </row>
    <row r="36" spans="2:15">
      <c r="B36" s="38" t="s">
        <v>25</v>
      </c>
      <c r="C36" s="34"/>
      <c r="D36" s="1958" t="s">
        <v>129</v>
      </c>
      <c r="E36" s="1952"/>
      <c r="F36" s="1952"/>
      <c r="G36" s="1952"/>
      <c r="H36" s="1952"/>
      <c r="I36" s="36"/>
      <c r="J36" s="49"/>
    </row>
    <row r="37" spans="2:15">
      <c r="B37" s="37"/>
      <c r="C37" s="34"/>
      <c r="D37" s="35"/>
      <c r="E37" s="35"/>
      <c r="F37" s="35"/>
      <c r="G37" s="35"/>
      <c r="H37" s="35"/>
      <c r="I37" s="36"/>
    </row>
    <row r="38" spans="2:15">
      <c r="B38" s="38" t="s">
        <v>8</v>
      </c>
      <c r="C38" s="34"/>
      <c r="D38" s="39" t="s">
        <v>38</v>
      </c>
      <c r="E38" s="35"/>
      <c r="F38" s="35"/>
      <c r="G38" s="35"/>
      <c r="H38" s="35"/>
      <c r="I38" s="36"/>
    </row>
    <row r="39" spans="2:15">
      <c r="B39" s="38" t="s">
        <v>9</v>
      </c>
      <c r="C39" s="34"/>
      <c r="D39" s="92">
        <v>1</v>
      </c>
      <c r="E39" s="35"/>
      <c r="F39" s="35"/>
      <c r="G39" s="35"/>
      <c r="H39" s="35"/>
      <c r="I39" s="36"/>
    </row>
    <row r="40" spans="2:15">
      <c r="B40" s="38" t="s">
        <v>10</v>
      </c>
      <c r="C40" s="35"/>
      <c r="D40" s="93">
        <v>0</v>
      </c>
      <c r="E40" s="35"/>
      <c r="F40" s="35"/>
      <c r="G40" s="35"/>
      <c r="H40" s="35"/>
      <c r="I40" s="96" t="s">
        <v>6</v>
      </c>
    </row>
    <row r="41" spans="2:15">
      <c r="B41" s="40"/>
      <c r="C41" s="35"/>
      <c r="D41" s="35"/>
      <c r="E41" s="41"/>
      <c r="F41" s="35"/>
      <c r="G41" s="35"/>
      <c r="H41" s="35"/>
      <c r="I41" s="149"/>
      <c r="L41" s="64"/>
      <c r="M41" s="64"/>
      <c r="N41" s="61"/>
      <c r="O41" s="61"/>
    </row>
    <row r="42" spans="2:15">
      <c r="B42" s="42" t="s">
        <v>0</v>
      </c>
      <c r="C42" s="35"/>
      <c r="D42" s="35"/>
      <c r="E42" s="35"/>
      <c r="F42" s="35"/>
      <c r="G42" s="35"/>
      <c r="H42" s="35"/>
      <c r="I42" s="46">
        <v>0</v>
      </c>
      <c r="L42" s="64"/>
      <c r="M42" s="64"/>
      <c r="N42" s="61"/>
      <c r="O42" s="61"/>
    </row>
    <row r="43" spans="2:15" ht="14.25" customHeight="1">
      <c r="B43" s="37" t="s">
        <v>39</v>
      </c>
      <c r="C43" s="35"/>
      <c r="D43" s="166"/>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0</v>
      </c>
      <c r="L45" s="64"/>
      <c r="M45" s="61"/>
    </row>
    <row r="46" spans="2:15" ht="12.75" customHeight="1">
      <c r="B46" s="1959" t="s">
        <v>39</v>
      </c>
      <c r="C46" s="1955"/>
      <c r="D46" s="1955"/>
      <c r="E46" s="1955"/>
      <c r="F46" s="1955"/>
      <c r="G46" s="1955"/>
      <c r="H46" s="1955"/>
      <c r="I46" s="46"/>
      <c r="L46" s="64"/>
      <c r="M46" s="61"/>
    </row>
    <row r="47" spans="2:15" ht="12.75" customHeight="1">
      <c r="B47" s="117"/>
      <c r="C47" s="97"/>
      <c r="D47" s="97"/>
      <c r="E47" s="97"/>
      <c r="F47" s="97"/>
      <c r="G47" s="97"/>
      <c r="H47" s="97"/>
      <c r="I47" s="46"/>
      <c r="L47" s="64"/>
      <c r="M47" s="61"/>
    </row>
    <row r="48" spans="2:15">
      <c r="B48" s="42" t="s">
        <v>3</v>
      </c>
      <c r="C48" s="167"/>
      <c r="D48" s="167"/>
      <c r="E48" s="167"/>
      <c r="F48" s="167"/>
      <c r="G48" s="167"/>
      <c r="H48" s="167"/>
      <c r="I48" s="46">
        <v>2489</v>
      </c>
      <c r="L48" s="64"/>
      <c r="M48" s="61"/>
    </row>
    <row r="49" spans="2:15" ht="15.75" customHeight="1">
      <c r="B49" s="1959" t="s">
        <v>153</v>
      </c>
      <c r="C49" s="1955"/>
      <c r="D49" s="1955"/>
      <c r="E49" s="1955"/>
      <c r="F49" s="1955"/>
      <c r="G49" s="1955"/>
      <c r="H49" s="1955"/>
      <c r="I49" s="46"/>
      <c r="L49" s="64"/>
      <c r="M49" s="61"/>
    </row>
    <row r="50" spans="2:15" ht="7.5" customHeight="1">
      <c r="B50" s="33"/>
      <c r="C50" s="35"/>
      <c r="D50" s="35"/>
      <c r="E50" s="35"/>
      <c r="F50" s="35"/>
      <c r="G50" s="35"/>
      <c r="H50" s="35"/>
      <c r="I50" s="48"/>
      <c r="L50" s="64"/>
      <c r="M50" s="61"/>
    </row>
    <row r="51" spans="2:15">
      <c r="B51" s="42" t="s">
        <v>4</v>
      </c>
      <c r="C51" s="35"/>
      <c r="D51" s="35"/>
      <c r="E51" s="35"/>
      <c r="F51" s="35"/>
      <c r="G51" s="35"/>
      <c r="H51" s="35"/>
      <c r="I51" s="48">
        <v>0</v>
      </c>
      <c r="L51" s="64"/>
      <c r="M51" s="61"/>
    </row>
    <row r="52" spans="2:15" ht="12" customHeight="1">
      <c r="B52" s="37" t="s">
        <v>39</v>
      </c>
      <c r="C52" s="35"/>
      <c r="D52" s="35"/>
      <c r="E52" s="35"/>
      <c r="F52" s="35"/>
      <c r="G52" s="35"/>
      <c r="H52" s="35"/>
      <c r="I52" s="36"/>
      <c r="L52" s="64"/>
      <c r="M52" s="61"/>
    </row>
    <row r="53" spans="2:15" ht="5.25" customHeight="1">
      <c r="B53" s="37"/>
      <c r="C53" s="35"/>
      <c r="D53" s="35"/>
      <c r="E53" s="35"/>
      <c r="F53" s="35"/>
      <c r="G53" s="35"/>
      <c r="H53" s="35"/>
      <c r="I53" s="36"/>
      <c r="L53" s="64"/>
      <c r="M53" s="61"/>
    </row>
    <row r="54" spans="2:15">
      <c r="B54" s="42" t="s">
        <v>26</v>
      </c>
      <c r="C54" s="35"/>
      <c r="D54" s="35"/>
      <c r="E54" s="35"/>
      <c r="F54" s="35"/>
      <c r="G54" s="35"/>
      <c r="H54" s="35"/>
      <c r="I54" s="46">
        <v>0</v>
      </c>
      <c r="L54" s="64"/>
      <c r="M54" s="61"/>
    </row>
    <row r="55" spans="2:15" ht="14.25" customHeight="1">
      <c r="B55" s="1959" t="s">
        <v>39</v>
      </c>
      <c r="C55" s="1955"/>
      <c r="D55" s="1955"/>
      <c r="E55" s="1955"/>
      <c r="F55" s="1955"/>
      <c r="G55" s="1955"/>
      <c r="H55" s="1955"/>
      <c r="I55" s="48"/>
      <c r="L55" s="64"/>
      <c r="M55" s="61"/>
    </row>
    <row r="56" spans="2:15" ht="8.25" customHeight="1">
      <c r="B56" s="1943"/>
      <c r="C56" s="1944"/>
      <c r="D56" s="1944"/>
      <c r="E56" s="1944"/>
      <c r="F56" s="1944"/>
      <c r="G56" s="1944"/>
      <c r="H56" s="35"/>
      <c r="I56" s="48"/>
      <c r="L56" s="64"/>
      <c r="M56" s="61"/>
    </row>
    <row r="57" spans="2:15" ht="5.25" customHeight="1">
      <c r="B57" s="37"/>
      <c r="C57" s="35"/>
      <c r="D57" s="35"/>
      <c r="E57" s="35"/>
      <c r="F57" s="35"/>
      <c r="G57" s="35"/>
      <c r="H57" s="35"/>
      <c r="I57" s="36"/>
      <c r="L57" s="64"/>
      <c r="M57" s="64"/>
    </row>
    <row r="58" spans="2:15">
      <c r="B58" s="42" t="s">
        <v>7</v>
      </c>
      <c r="C58" s="35"/>
      <c r="D58" s="35"/>
      <c r="E58" s="35"/>
      <c r="F58" s="35"/>
      <c r="G58" s="35"/>
      <c r="H58" s="35"/>
      <c r="I58" s="46">
        <v>0</v>
      </c>
      <c r="L58" s="64"/>
      <c r="M58" s="64"/>
      <c r="N58" s="64"/>
      <c r="O58" s="64"/>
    </row>
    <row r="59" spans="2:15" ht="12" customHeight="1">
      <c r="B59" s="37" t="s">
        <v>141</v>
      </c>
      <c r="C59" s="35"/>
      <c r="D59" s="35"/>
      <c r="E59" s="35"/>
      <c r="F59" s="35"/>
      <c r="G59" s="35"/>
      <c r="H59" s="35"/>
      <c r="I59" s="36"/>
      <c r="L59" s="64"/>
      <c r="M59" s="64"/>
      <c r="N59" s="61"/>
      <c r="O59" s="61"/>
    </row>
    <row r="60" spans="2:15" ht="6" customHeight="1">
      <c r="B60" s="37"/>
      <c r="C60" s="35"/>
      <c r="D60" s="35"/>
      <c r="E60" s="35"/>
      <c r="F60" s="35"/>
      <c r="G60" s="35"/>
      <c r="H60" s="35"/>
      <c r="I60" s="36"/>
      <c r="L60" s="64"/>
      <c r="M60" s="64"/>
      <c r="N60" s="65"/>
      <c r="O60" s="65"/>
    </row>
    <row r="61" spans="2:15">
      <c r="B61" s="42" t="s">
        <v>27</v>
      </c>
      <c r="C61" s="35"/>
      <c r="D61" s="35"/>
      <c r="E61" s="35"/>
      <c r="F61" s="35"/>
      <c r="G61" s="35"/>
      <c r="H61" s="35"/>
      <c r="I61" s="46">
        <v>0</v>
      </c>
      <c r="L61" s="64"/>
      <c r="M61" s="64"/>
      <c r="N61" s="61"/>
      <c r="O61" s="61"/>
    </row>
    <row r="62" spans="2:15" ht="13.5" customHeight="1">
      <c r="B62" s="37" t="s">
        <v>39</v>
      </c>
      <c r="C62" s="35"/>
      <c r="D62" s="35"/>
      <c r="E62" s="35"/>
      <c r="F62" s="35"/>
      <c r="G62" s="35"/>
      <c r="H62" s="35"/>
      <c r="I62" s="47"/>
      <c r="L62" s="64"/>
      <c r="M62" s="64"/>
      <c r="N62" s="65"/>
      <c r="O62" s="65"/>
    </row>
    <row r="63" spans="2:15" ht="3.75" customHeight="1">
      <c r="B63" s="37"/>
      <c r="C63" s="35"/>
      <c r="D63" s="35"/>
      <c r="E63" s="35"/>
      <c r="F63" s="35"/>
      <c r="G63" s="35"/>
      <c r="H63" s="35"/>
      <c r="I63" s="36"/>
      <c r="L63" s="64"/>
      <c r="M63" s="64"/>
      <c r="N63" s="61"/>
      <c r="O63" s="61"/>
    </row>
    <row r="64" spans="2:15">
      <c r="B64" s="42" t="s">
        <v>5</v>
      </c>
      <c r="C64" s="35"/>
      <c r="D64" s="35"/>
      <c r="E64" s="35"/>
      <c r="F64" s="35"/>
      <c r="G64" s="35"/>
      <c r="H64" s="35"/>
      <c r="I64" s="46">
        <v>0</v>
      </c>
      <c r="L64" s="64"/>
      <c r="M64" s="64"/>
      <c r="N64" s="61"/>
      <c r="O64" s="61"/>
    </row>
    <row r="65" spans="2:15" ht="11.25" customHeight="1">
      <c r="B65" s="37" t="s">
        <v>39</v>
      </c>
      <c r="C65" s="35"/>
      <c r="D65" s="35"/>
      <c r="E65" s="35"/>
      <c r="F65" s="35"/>
      <c r="G65" s="35"/>
      <c r="H65" s="35"/>
      <c r="I65" s="47"/>
      <c r="L65" s="64"/>
      <c r="M65" s="64"/>
      <c r="N65" s="64"/>
      <c r="O65" s="64"/>
    </row>
    <row r="66" spans="2:15" ht="4.5" customHeight="1">
      <c r="B66" s="37"/>
      <c r="C66" s="35"/>
      <c r="D66" s="35"/>
      <c r="E66" s="35"/>
      <c r="F66" s="35"/>
      <c r="G66" s="35"/>
      <c r="H66" s="35"/>
      <c r="I66" s="36"/>
      <c r="L66" s="64"/>
      <c r="M66" s="64"/>
      <c r="N66" s="64"/>
      <c r="O66" s="64"/>
    </row>
    <row r="67" spans="2:15">
      <c r="B67" s="42" t="s">
        <v>20</v>
      </c>
      <c r="C67" s="35"/>
      <c r="D67" s="35"/>
      <c r="E67" s="35"/>
      <c r="F67" s="35"/>
      <c r="G67" s="35"/>
      <c r="H67" s="35"/>
      <c r="I67" s="46">
        <v>0</v>
      </c>
      <c r="L67" s="64"/>
      <c r="M67" s="64"/>
      <c r="N67" s="61"/>
      <c r="O67" s="61"/>
    </row>
    <row r="68" spans="2:15" ht="12" customHeight="1">
      <c r="B68" s="37" t="s">
        <v>39</v>
      </c>
      <c r="C68" s="35"/>
      <c r="D68" s="35"/>
      <c r="E68" s="35"/>
      <c r="F68" s="35"/>
      <c r="G68" s="35"/>
      <c r="H68" s="35"/>
      <c r="I68" s="46"/>
      <c r="L68" s="64"/>
      <c r="M68" s="64"/>
      <c r="N68" s="61"/>
      <c r="O68" s="61"/>
    </row>
    <row r="69" spans="2:15" ht="6.75" customHeight="1">
      <c r="B69" s="42"/>
      <c r="C69" s="35"/>
      <c r="D69" s="35"/>
      <c r="E69" s="35"/>
      <c r="F69" s="35"/>
      <c r="G69" s="35"/>
      <c r="H69" s="35"/>
      <c r="I69" s="46"/>
      <c r="L69" s="64"/>
      <c r="M69" s="64"/>
      <c r="N69" s="61"/>
      <c r="O69" s="61"/>
    </row>
    <row r="70" spans="2:15" ht="5.25" customHeight="1">
      <c r="B70" s="40"/>
      <c r="C70" s="35"/>
      <c r="D70" s="35"/>
      <c r="E70" s="35"/>
      <c r="F70" s="35"/>
      <c r="G70" s="35"/>
      <c r="H70" s="35"/>
      <c r="I70" s="36"/>
      <c r="L70" s="64"/>
      <c r="M70" s="64"/>
      <c r="N70" s="64"/>
      <c r="O70" s="64"/>
    </row>
    <row r="71" spans="2:15">
      <c r="B71" s="43" t="s">
        <v>11</v>
      </c>
      <c r="C71" s="44"/>
      <c r="D71" s="44"/>
      <c r="E71" s="44"/>
      <c r="F71" s="44"/>
      <c r="G71" s="44"/>
      <c r="H71" s="44"/>
      <c r="I71" s="52">
        <f>+I67+I64+I61+I58+I54+I51+I48+I45+I42</f>
        <v>2489</v>
      </c>
      <c r="L71" s="64"/>
      <c r="M71" s="64"/>
      <c r="N71" s="64"/>
      <c r="O71" s="64"/>
    </row>
    <row r="73" spans="2:15">
      <c r="B73" s="168" t="s">
        <v>142</v>
      </c>
      <c r="C73" s="169"/>
      <c r="D73" s="169"/>
      <c r="E73" s="169"/>
      <c r="F73" s="169"/>
      <c r="G73" s="169"/>
      <c r="H73" s="169"/>
      <c r="I73" s="170"/>
    </row>
    <row r="74" spans="2:15">
      <c r="B74" s="1961" t="s">
        <v>143</v>
      </c>
      <c r="C74" s="1962"/>
      <c r="D74" s="1962"/>
      <c r="E74" s="1962"/>
      <c r="F74" s="1962"/>
      <c r="G74" s="1962"/>
      <c r="H74" s="1962"/>
      <c r="I74" s="1963"/>
    </row>
    <row r="75" spans="2:15">
      <c r="B75" s="141" t="s">
        <v>144</v>
      </c>
      <c r="C75" s="173"/>
      <c r="D75" s="173"/>
      <c r="E75" s="173"/>
      <c r="F75" s="173"/>
      <c r="G75" s="173"/>
      <c r="H75" s="173"/>
      <c r="I75" s="174"/>
    </row>
    <row r="76" spans="2:15">
      <c r="B76" s="175" t="s">
        <v>145</v>
      </c>
      <c r="C76" s="119"/>
      <c r="D76" s="119"/>
      <c r="E76" s="119"/>
      <c r="F76" s="119"/>
      <c r="G76" s="119"/>
      <c r="H76" s="119"/>
      <c r="I76" s="176"/>
    </row>
    <row r="94" spans="5:5">
      <c r="E94" s="57"/>
    </row>
    <row r="95" spans="5:5">
      <c r="E95" s="57"/>
    </row>
    <row r="96" spans="5:5">
      <c r="E96" s="57"/>
    </row>
    <row r="97" spans="5:5">
      <c r="E97" s="57"/>
    </row>
    <row r="98" spans="5:5">
      <c r="E98" s="57"/>
    </row>
    <row r="99" spans="5:5">
      <c r="E99" s="57"/>
    </row>
    <row r="101" spans="5:5">
      <c r="E101" s="57"/>
    </row>
    <row r="103" spans="5:5">
      <c r="E103" s="56"/>
    </row>
    <row r="105" spans="5:5">
      <c r="E105" s="57"/>
    </row>
  </sheetData>
  <mergeCells count="12">
    <mergeCell ref="B74:I74"/>
    <mergeCell ref="D28:H28"/>
    <mergeCell ref="D30:H30"/>
    <mergeCell ref="D31:H31"/>
    <mergeCell ref="D32:H32"/>
    <mergeCell ref="D33:H33"/>
    <mergeCell ref="D34:H34"/>
    <mergeCell ref="D36:H36"/>
    <mergeCell ref="B46:H46"/>
    <mergeCell ref="B49:H49"/>
    <mergeCell ref="B55:H55"/>
    <mergeCell ref="B56:G56"/>
  </mergeCells>
  <pageMargins left="0.36" right="0.3" top="0.43" bottom="0.64" header="0.28000000000000003" footer="0.36"/>
  <pageSetup scale="71" orientation="portrait" r:id="rId1"/>
  <headerFooter alignWithMargins="0"/>
</worksheet>
</file>

<file path=xl/worksheets/sheet160.xml><?xml version="1.0" encoding="utf-8"?>
<worksheet xmlns="http://schemas.openxmlformats.org/spreadsheetml/2006/main" xmlns:r="http://schemas.openxmlformats.org/officeDocument/2006/relationships">
  <dimension ref="A1:H112"/>
  <sheetViews>
    <sheetView topLeftCell="A4" zoomScale="90" zoomScaleNormal="90" workbookViewId="0">
      <selection activeCell="D19" sqref="D19"/>
    </sheetView>
  </sheetViews>
  <sheetFormatPr defaultRowHeight="12.75"/>
  <cols>
    <col min="1" max="1" width="34.5703125" style="2" customWidth="1"/>
    <col min="2" max="2" width="25.42578125" style="2" customWidth="1"/>
    <col min="3" max="3" width="56.5703125" style="2" customWidth="1"/>
    <col min="4" max="4" width="17.5703125" style="2" customWidth="1"/>
    <col min="5" max="5" width="15.140625" style="2" customWidth="1"/>
    <col min="6" max="6" width="11" style="2" customWidth="1"/>
    <col min="7" max="7" width="10.7109375" style="2" bestFit="1" customWidth="1"/>
    <col min="8" max="8" width="10.8554687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858</v>
      </c>
      <c r="D6" s="456"/>
      <c r="E6" s="457"/>
      <c r="F6" s="458"/>
      <c r="G6" s="458"/>
    </row>
    <row r="7" spans="1:7" ht="21" customHeight="1">
      <c r="A7" s="454" t="s">
        <v>1</v>
      </c>
      <c r="B7" s="454" t="s">
        <v>381</v>
      </c>
      <c r="C7" s="459">
        <v>10</v>
      </c>
      <c r="D7" s="456"/>
      <c r="E7" s="457"/>
      <c r="F7" s="458"/>
      <c r="G7" s="458"/>
    </row>
    <row r="8" spans="1:7" ht="21" customHeight="1">
      <c r="A8" s="454" t="s">
        <v>382</v>
      </c>
      <c r="B8" s="454" t="s">
        <v>383</v>
      </c>
      <c r="C8" s="460" t="s">
        <v>876</v>
      </c>
      <c r="D8" s="461"/>
      <c r="E8" s="457"/>
      <c r="F8" s="457"/>
      <c r="G8" s="461"/>
    </row>
    <row r="9" spans="1:7" ht="47.25" customHeight="1">
      <c r="A9" s="454" t="s">
        <v>382</v>
      </c>
      <c r="B9" s="454" t="s">
        <v>385</v>
      </c>
      <c r="C9" s="2009" t="s">
        <v>877</v>
      </c>
      <c r="D9" s="2010"/>
      <c r="E9" s="2010"/>
      <c r="F9" s="2010"/>
      <c r="G9" s="2011"/>
    </row>
    <row r="10" spans="1:7" ht="51.75" customHeight="1">
      <c r="A10" s="454" t="s">
        <v>382</v>
      </c>
      <c r="B10" s="454" t="s">
        <v>387</v>
      </c>
      <c r="C10" s="2009" t="s">
        <v>878</v>
      </c>
      <c r="D10" s="2010"/>
      <c r="E10" s="2010"/>
      <c r="F10" s="2010"/>
      <c r="G10" s="2011"/>
    </row>
    <row r="11" spans="1:7" ht="51.75" customHeight="1">
      <c r="A11" s="454" t="s">
        <v>382</v>
      </c>
      <c r="B11" s="454" t="s">
        <v>389</v>
      </c>
      <c r="C11" s="2009" t="s">
        <v>879</v>
      </c>
      <c r="D11" s="2010"/>
      <c r="E11" s="2010"/>
      <c r="F11" s="2010"/>
      <c r="G11" s="2011"/>
    </row>
    <row r="12" spans="1:7" ht="51.75" customHeight="1">
      <c r="A12" s="454" t="s">
        <v>382</v>
      </c>
      <c r="B12" s="454" t="s">
        <v>391</v>
      </c>
      <c r="C12" s="2009" t="s">
        <v>880</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SUM(H31:H37)</f>
        <v>825.02499999999998</v>
      </c>
      <c r="C18" s="466">
        <f>B18/C$14</f>
        <v>165.005</v>
      </c>
      <c r="D18" s="49"/>
      <c r="E18" s="89"/>
      <c r="F18" s="89"/>
      <c r="G18" s="49"/>
    </row>
    <row r="19" spans="1:8" ht="15">
      <c r="A19" s="454" t="s">
        <v>2</v>
      </c>
      <c r="B19" s="465">
        <f>SUM(H38:H42)</f>
        <v>390.15615106382955</v>
      </c>
      <c r="C19" s="466">
        <f t="shared" ref="C19:C27" si="0">B19/C$14</f>
        <v>78.031230212765905</v>
      </c>
      <c r="D19" s="49"/>
      <c r="E19" s="89"/>
      <c r="F19" s="89"/>
      <c r="G19" s="49"/>
    </row>
    <row r="20" spans="1:8" ht="15">
      <c r="A20" s="454" t="s">
        <v>3</v>
      </c>
      <c r="B20" s="465">
        <f>H43</f>
        <v>123.4918716577542</v>
      </c>
      <c r="C20" s="466">
        <f t="shared" si="0"/>
        <v>24.698374331550841</v>
      </c>
      <c r="D20" s="49"/>
      <c r="E20" s="89"/>
      <c r="F20" s="89"/>
      <c r="G20" s="49"/>
    </row>
    <row r="21" spans="1:8" ht="15">
      <c r="A21" s="454" t="s">
        <v>4</v>
      </c>
      <c r="B21" s="465">
        <f>H44</f>
        <v>0</v>
      </c>
      <c r="C21" s="466">
        <f t="shared" si="0"/>
        <v>0</v>
      </c>
      <c r="D21" s="49"/>
      <c r="E21" s="89"/>
      <c r="F21" s="89"/>
      <c r="G21" s="49"/>
    </row>
    <row r="22" spans="1:8" ht="15">
      <c r="A22" s="454" t="s">
        <v>26</v>
      </c>
      <c r="B22" s="465">
        <f>H45</f>
        <v>0</v>
      </c>
      <c r="C22" s="466">
        <f t="shared" si="0"/>
        <v>0</v>
      </c>
      <c r="D22" s="49"/>
      <c r="E22" s="89"/>
      <c r="F22" s="89"/>
      <c r="G22" s="49"/>
    </row>
    <row r="23" spans="1:8" ht="15">
      <c r="A23" s="454" t="s">
        <v>7</v>
      </c>
      <c r="B23" s="465">
        <f>SUM(H46:H48)</f>
        <v>0</v>
      </c>
      <c r="C23" s="466">
        <f t="shared" si="0"/>
        <v>0</v>
      </c>
      <c r="D23" s="49"/>
      <c r="E23" s="89"/>
      <c r="F23" s="89"/>
      <c r="G23" s="49"/>
    </row>
    <row r="24" spans="1:8" ht="15">
      <c r="A24" s="454" t="s">
        <v>27</v>
      </c>
      <c r="B24" s="465">
        <f>SUM(H49:H51)</f>
        <v>0</v>
      </c>
      <c r="C24" s="466">
        <f t="shared" si="0"/>
        <v>0</v>
      </c>
      <c r="D24" s="49"/>
      <c r="E24" s="89"/>
      <c r="F24" s="89"/>
      <c r="G24" s="49"/>
    </row>
    <row r="25" spans="1:8" ht="15">
      <c r="A25" s="454" t="s">
        <v>5</v>
      </c>
      <c r="B25" s="465">
        <f>G52</f>
        <v>0</v>
      </c>
      <c r="C25" s="466">
        <f t="shared" si="0"/>
        <v>0</v>
      </c>
      <c r="D25" s="49"/>
      <c r="E25" s="89"/>
      <c r="F25" s="89"/>
      <c r="G25" s="49"/>
    </row>
    <row r="26" spans="1:8" ht="15">
      <c r="A26" s="454" t="s">
        <v>20</v>
      </c>
      <c r="B26" s="465">
        <f>H52</f>
        <v>0</v>
      </c>
      <c r="C26" s="466">
        <f t="shared" si="0"/>
        <v>0</v>
      </c>
      <c r="D26" s="49"/>
      <c r="E26" s="89"/>
      <c r="F26" s="89"/>
      <c r="G26" s="49"/>
    </row>
    <row r="27" spans="1:8" ht="15">
      <c r="A27" s="454" t="s">
        <v>399</v>
      </c>
      <c r="B27" s="465">
        <f>SUM(B18:B26)</f>
        <v>1338.6730227215837</v>
      </c>
      <c r="C27" s="466">
        <f t="shared" si="0"/>
        <v>267.73460454431677</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334</v>
      </c>
      <c r="C31" s="470" t="s">
        <v>427</v>
      </c>
      <c r="D31" s="471" t="s">
        <v>864</v>
      </c>
      <c r="E31" s="471" t="s">
        <v>408</v>
      </c>
      <c r="F31" s="472">
        <v>12.4</v>
      </c>
      <c r="G31" s="486">
        <v>5</v>
      </c>
      <c r="H31" s="474">
        <f>IF(G31&lt;=0, 0, F31*G31)</f>
        <v>62</v>
      </c>
    </row>
    <row r="32" spans="1:8" ht="15">
      <c r="A32" s="454" t="s">
        <v>0</v>
      </c>
      <c r="B32" s="470">
        <v>341</v>
      </c>
      <c r="C32" s="470" t="s">
        <v>881</v>
      </c>
      <c r="D32" s="471" t="s">
        <v>882</v>
      </c>
      <c r="E32" s="471" t="s">
        <v>408</v>
      </c>
      <c r="F32" s="472">
        <v>11.244999999999999</v>
      </c>
      <c r="G32" s="486">
        <v>5</v>
      </c>
      <c r="H32" s="474">
        <f>IF(G32&lt;=0, 0, F32*G32)</f>
        <v>56.224999999999994</v>
      </c>
    </row>
    <row r="33" spans="1:8" ht="15">
      <c r="A33" s="454" t="s">
        <v>0</v>
      </c>
      <c r="B33" s="470">
        <v>334</v>
      </c>
      <c r="C33" s="470" t="s">
        <v>427</v>
      </c>
      <c r="D33" s="471" t="s">
        <v>865</v>
      </c>
      <c r="E33" s="471" t="s">
        <v>408</v>
      </c>
      <c r="F33" s="472">
        <v>12.4</v>
      </c>
      <c r="G33" s="486">
        <v>5</v>
      </c>
      <c r="H33" s="474">
        <f t="shared" ref="H33:H53" si="1">IF(G33&lt;=0, 0, F33*G33)</f>
        <v>62</v>
      </c>
    </row>
    <row r="34" spans="1:8" ht="15">
      <c r="A34" s="454" t="s">
        <v>0</v>
      </c>
      <c r="B34" s="470">
        <v>76</v>
      </c>
      <c r="C34" s="470" t="s">
        <v>883</v>
      </c>
      <c r="D34" s="471" t="s">
        <v>884</v>
      </c>
      <c r="E34" s="471" t="s">
        <v>885</v>
      </c>
      <c r="F34" s="472">
        <v>9.82</v>
      </c>
      <c r="G34" s="486">
        <v>20</v>
      </c>
      <c r="H34" s="474">
        <f t="shared" si="1"/>
        <v>196.4</v>
      </c>
    </row>
    <row r="35" spans="1:8" ht="15">
      <c r="A35" s="454" t="s">
        <v>0</v>
      </c>
      <c r="B35" s="470">
        <v>78</v>
      </c>
      <c r="C35" s="470" t="s">
        <v>886</v>
      </c>
      <c r="D35" s="471" t="s">
        <v>884</v>
      </c>
      <c r="E35" s="471" t="s">
        <v>885</v>
      </c>
      <c r="F35" s="472">
        <v>9.9700000000000006</v>
      </c>
      <c r="G35" s="486">
        <v>20</v>
      </c>
      <c r="H35" s="474">
        <f t="shared" si="1"/>
        <v>199.4</v>
      </c>
    </row>
    <row r="36" spans="1:8" ht="15">
      <c r="A36" s="454" t="s">
        <v>0</v>
      </c>
      <c r="B36" s="470">
        <v>73</v>
      </c>
      <c r="C36" s="470" t="s">
        <v>867</v>
      </c>
      <c r="D36" s="471"/>
      <c r="E36" s="471" t="s">
        <v>572</v>
      </c>
      <c r="F36" s="472">
        <v>0.44</v>
      </c>
      <c r="G36" s="486">
        <v>300</v>
      </c>
      <c r="H36" s="474">
        <f t="shared" si="1"/>
        <v>132</v>
      </c>
    </row>
    <row r="37" spans="1:8" ht="15">
      <c r="A37" s="454" t="s">
        <v>0</v>
      </c>
      <c r="B37" s="470">
        <v>74</v>
      </c>
      <c r="C37" s="470" t="s">
        <v>868</v>
      </c>
      <c r="D37" s="471"/>
      <c r="E37" s="471" t="s">
        <v>572</v>
      </c>
      <c r="F37" s="472">
        <v>0.39</v>
      </c>
      <c r="G37" s="486">
        <v>300</v>
      </c>
      <c r="H37" s="474">
        <f t="shared" si="1"/>
        <v>117</v>
      </c>
    </row>
    <row r="38" spans="1:8" ht="15">
      <c r="A38" s="454" t="s">
        <v>2</v>
      </c>
      <c r="B38" s="470">
        <v>957</v>
      </c>
      <c r="C38" s="470" t="s">
        <v>601</v>
      </c>
      <c r="D38" s="471" t="s">
        <v>602</v>
      </c>
      <c r="E38" s="471" t="s">
        <v>408</v>
      </c>
      <c r="F38" s="472">
        <v>12.0517434042553</v>
      </c>
      <c r="G38" s="486">
        <v>15</v>
      </c>
      <c r="H38" s="474">
        <f t="shared" si="1"/>
        <v>180.7761510638295</v>
      </c>
    </row>
    <row r="39" spans="1:8" ht="15">
      <c r="A39" s="454" t="s">
        <v>2</v>
      </c>
      <c r="B39" s="470">
        <v>960</v>
      </c>
      <c r="C39" s="470" t="s">
        <v>576</v>
      </c>
      <c r="D39" s="471"/>
      <c r="E39" s="471" t="s">
        <v>408</v>
      </c>
      <c r="F39" s="472">
        <v>16.12</v>
      </c>
      <c r="G39" s="486">
        <v>5</v>
      </c>
      <c r="H39" s="474">
        <f>IF(G39&lt;=0, 0, F39*G39)</f>
        <v>80.600000000000009</v>
      </c>
    </row>
    <row r="40" spans="1:8" ht="15">
      <c r="A40" s="454" t="s">
        <v>2</v>
      </c>
      <c r="B40" s="470">
        <v>948</v>
      </c>
      <c r="C40" s="470" t="s">
        <v>412</v>
      </c>
      <c r="D40" s="471" t="s">
        <v>864</v>
      </c>
      <c r="E40" s="471" t="s">
        <v>408</v>
      </c>
      <c r="F40" s="472">
        <v>5.91</v>
      </c>
      <c r="G40" s="486">
        <v>5</v>
      </c>
      <c r="H40" s="474">
        <f t="shared" si="1"/>
        <v>29.55</v>
      </c>
    </row>
    <row r="41" spans="1:8" ht="15">
      <c r="A41" s="454" t="s">
        <v>2</v>
      </c>
      <c r="B41" s="470">
        <v>963</v>
      </c>
      <c r="C41" s="470" t="s">
        <v>874</v>
      </c>
      <c r="D41" s="471"/>
      <c r="E41" s="471" t="s">
        <v>411</v>
      </c>
      <c r="F41" s="472">
        <v>17.420000000000002</v>
      </c>
      <c r="G41" s="486">
        <v>4</v>
      </c>
      <c r="H41" s="474">
        <f t="shared" si="1"/>
        <v>69.680000000000007</v>
      </c>
    </row>
    <row r="42" spans="1:8" ht="15">
      <c r="A42" s="454" t="s">
        <v>2</v>
      </c>
      <c r="B42" s="470">
        <v>948</v>
      </c>
      <c r="C42" s="470" t="s">
        <v>412</v>
      </c>
      <c r="D42" s="471" t="s">
        <v>865</v>
      </c>
      <c r="E42" s="471" t="s">
        <v>408</v>
      </c>
      <c r="F42" s="472">
        <v>5.91</v>
      </c>
      <c r="G42" s="486">
        <v>5</v>
      </c>
      <c r="H42" s="474">
        <f t="shared" si="1"/>
        <v>29.55</v>
      </c>
    </row>
    <row r="43" spans="1:8" ht="15">
      <c r="A43" s="454" t="s">
        <v>3</v>
      </c>
      <c r="B43" s="1239">
        <v>231</v>
      </c>
      <c r="C43" s="1240" t="s">
        <v>578</v>
      </c>
      <c r="D43" s="1240"/>
      <c r="E43" s="1240" t="s">
        <v>411</v>
      </c>
      <c r="F43" s="1241">
        <v>20.5819786096257</v>
      </c>
      <c r="G43" s="486">
        <v>6</v>
      </c>
      <c r="H43" s="474">
        <f t="shared" si="1"/>
        <v>123.4918716577542</v>
      </c>
    </row>
    <row r="44" spans="1:8" ht="15">
      <c r="A44" s="454" t="s">
        <v>3</v>
      </c>
      <c r="B44" s="470"/>
      <c r="C44" s="470"/>
      <c r="D44" s="471"/>
      <c r="E44" s="471"/>
      <c r="F44" s="472"/>
      <c r="G44" s="486"/>
      <c r="H44" s="474">
        <f t="shared" si="1"/>
        <v>0</v>
      </c>
    </row>
    <row r="45" spans="1:8" ht="16.5" customHeight="1">
      <c r="A45" s="454" t="s">
        <v>3</v>
      </c>
      <c r="B45" s="470"/>
      <c r="C45" s="470"/>
      <c r="D45" s="471"/>
      <c r="E45" s="471"/>
      <c r="F45" s="472"/>
      <c r="G45" s="486"/>
      <c r="H45" s="474">
        <f t="shared" si="1"/>
        <v>0</v>
      </c>
    </row>
    <row r="46" spans="1:8" ht="15">
      <c r="A46" s="454" t="s">
        <v>4</v>
      </c>
      <c r="B46" s="470"/>
      <c r="C46" s="470"/>
      <c r="D46" s="471"/>
      <c r="E46" s="471"/>
      <c r="F46" s="481"/>
      <c r="G46" s="486"/>
      <c r="H46" s="474">
        <f t="shared" si="1"/>
        <v>0</v>
      </c>
    </row>
    <row r="47" spans="1:8" ht="15">
      <c r="A47" s="454" t="s">
        <v>419</v>
      </c>
      <c r="B47" s="470"/>
      <c r="C47" s="470"/>
      <c r="D47" s="471"/>
      <c r="E47" s="471"/>
      <c r="F47" s="481"/>
      <c r="G47" s="486"/>
      <c r="H47" s="474">
        <f t="shared" si="1"/>
        <v>0</v>
      </c>
    </row>
    <row r="48" spans="1:8" ht="15">
      <c r="A48" s="454" t="s">
        <v>7</v>
      </c>
      <c r="B48" s="470"/>
      <c r="C48" s="470"/>
      <c r="D48" s="471"/>
      <c r="E48" s="471"/>
      <c r="F48" s="472"/>
      <c r="G48" s="486"/>
      <c r="H48" s="474">
        <f t="shared" si="1"/>
        <v>0</v>
      </c>
    </row>
    <row r="49" spans="1:8" ht="15">
      <c r="A49" s="454" t="s">
        <v>7</v>
      </c>
      <c r="B49" s="470"/>
      <c r="C49" s="470"/>
      <c r="D49" s="471"/>
      <c r="E49" s="471"/>
      <c r="F49" s="472"/>
      <c r="G49" s="486"/>
      <c r="H49" s="474">
        <f t="shared" si="1"/>
        <v>0</v>
      </c>
    </row>
    <row r="50" spans="1:8" ht="15">
      <c r="A50" s="454" t="s">
        <v>7</v>
      </c>
      <c r="B50" s="470"/>
      <c r="C50" s="470"/>
      <c r="D50" s="471"/>
      <c r="E50" s="471"/>
      <c r="F50" s="472"/>
      <c r="G50" s="486"/>
      <c r="H50" s="474">
        <f t="shared" si="1"/>
        <v>0</v>
      </c>
    </row>
    <row r="51" spans="1:8" ht="15">
      <c r="A51" s="454" t="s">
        <v>421</v>
      </c>
      <c r="B51" s="470"/>
      <c r="C51" s="470"/>
      <c r="D51" s="471"/>
      <c r="E51" s="471"/>
      <c r="F51" s="472"/>
      <c r="G51" s="486"/>
      <c r="H51" s="474">
        <f t="shared" si="1"/>
        <v>0</v>
      </c>
    </row>
    <row r="52" spans="1:8" ht="15">
      <c r="A52" s="454" t="s">
        <v>421</v>
      </c>
      <c r="B52" s="470"/>
      <c r="C52" s="470"/>
      <c r="D52" s="471"/>
      <c r="E52" s="471"/>
      <c r="F52" s="472"/>
      <c r="G52" s="486"/>
      <c r="H52" s="474">
        <f t="shared" si="1"/>
        <v>0</v>
      </c>
    </row>
    <row r="53" spans="1:8" ht="15">
      <c r="A53" s="454" t="s">
        <v>421</v>
      </c>
      <c r="B53" s="470"/>
      <c r="C53" s="470"/>
      <c r="D53" s="471"/>
      <c r="E53" s="471"/>
      <c r="F53" s="472"/>
      <c r="G53" s="486"/>
      <c r="H53" s="474">
        <f t="shared" si="1"/>
        <v>0</v>
      </c>
    </row>
    <row r="54" spans="1:8" ht="15">
      <c r="A54" s="454" t="s">
        <v>5</v>
      </c>
      <c r="B54" s="470"/>
      <c r="C54" s="470"/>
      <c r="D54" s="471"/>
      <c r="E54" s="471"/>
      <c r="F54" s="472"/>
      <c r="G54" s="82"/>
    </row>
    <row r="55" spans="1:8" ht="15">
      <c r="A55" s="454" t="s">
        <v>20</v>
      </c>
      <c r="B55" s="470"/>
      <c r="C55" s="470"/>
      <c r="D55" s="471"/>
      <c r="E55" s="471"/>
      <c r="F55" s="47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87" spans="1:7">
      <c r="A87" s="82"/>
      <c r="B87" s="82"/>
      <c r="C87" s="82"/>
      <c r="D87" s="82"/>
      <c r="E87" s="82"/>
      <c r="F87" s="82"/>
      <c r="G87" s="82"/>
    </row>
    <row r="88" spans="1:7">
      <c r="A88" s="82"/>
      <c r="B88" s="82"/>
      <c r="C88" s="82"/>
      <c r="D88" s="82"/>
      <c r="E88" s="82"/>
      <c r="F88" s="82"/>
    </row>
    <row r="89" spans="1:7">
      <c r="A89" s="82"/>
      <c r="B89" s="82"/>
      <c r="C89" s="82"/>
      <c r="D89" s="82"/>
      <c r="E89" s="82"/>
      <c r="F89" s="82"/>
    </row>
    <row r="100" spans="4:4">
      <c r="D100" s="57"/>
    </row>
    <row r="101" spans="4:4">
      <c r="D101" s="57"/>
    </row>
    <row r="102" spans="4:4">
      <c r="D102" s="57"/>
    </row>
    <row r="103" spans="4:4">
      <c r="D103" s="57"/>
    </row>
    <row r="104" spans="4:4">
      <c r="D104" s="57"/>
    </row>
    <row r="105" spans="4:4">
      <c r="D105" s="57"/>
    </row>
    <row r="106" spans="4:4">
      <c r="D106" s="57"/>
    </row>
    <row r="108" spans="4:4">
      <c r="D108" s="57"/>
    </row>
    <row r="110" spans="4:4">
      <c r="D110" s="56"/>
    </row>
    <row r="112" spans="4:4">
      <c r="D112"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sheetPr>
    <pageSetUpPr fitToPage="1"/>
  </sheetPr>
  <dimension ref="A1:H111"/>
  <sheetViews>
    <sheetView topLeftCell="A16" zoomScaleNormal="100" workbookViewId="0">
      <selection activeCell="C8" sqref="C8"/>
    </sheetView>
  </sheetViews>
  <sheetFormatPr defaultColWidth="9.140625"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12.710937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858</v>
      </c>
      <c r="D6" s="456"/>
      <c r="E6" s="457"/>
      <c r="F6" s="458"/>
      <c r="G6" s="458"/>
    </row>
    <row r="7" spans="1:7" ht="21" customHeight="1">
      <c r="A7" s="454" t="s">
        <v>1</v>
      </c>
      <c r="B7" s="454" t="s">
        <v>381</v>
      </c>
      <c r="C7" s="459">
        <v>5</v>
      </c>
      <c r="D7" s="456"/>
      <c r="E7" s="457"/>
      <c r="F7" s="458"/>
      <c r="G7" s="458"/>
    </row>
    <row r="8" spans="1:7" ht="21" customHeight="1">
      <c r="A8" s="454" t="s">
        <v>382</v>
      </c>
      <c r="B8" s="454" t="s">
        <v>383</v>
      </c>
      <c r="C8" s="460" t="s">
        <v>887</v>
      </c>
      <c r="D8" s="461"/>
      <c r="E8" s="457"/>
      <c r="F8" s="457"/>
      <c r="G8" s="461"/>
    </row>
    <row r="9" spans="1:7" ht="47.25" customHeight="1">
      <c r="A9" s="454" t="s">
        <v>382</v>
      </c>
      <c r="B9" s="454" t="s">
        <v>385</v>
      </c>
      <c r="C9" s="2009" t="s">
        <v>888</v>
      </c>
      <c r="D9" s="2010"/>
      <c r="E9" s="2010"/>
      <c r="F9" s="2010"/>
      <c r="G9" s="2011"/>
    </row>
    <row r="10" spans="1:7" ht="51.75" customHeight="1">
      <c r="A10" s="454" t="s">
        <v>382</v>
      </c>
      <c r="B10" s="454" t="s">
        <v>387</v>
      </c>
      <c r="C10" s="2009" t="s">
        <v>889</v>
      </c>
      <c r="D10" s="2010"/>
      <c r="E10" s="2010"/>
      <c r="F10" s="2010"/>
      <c r="G10" s="2011"/>
    </row>
    <row r="11" spans="1:7" ht="89.25" customHeight="1">
      <c r="A11" s="454" t="s">
        <v>382</v>
      </c>
      <c r="B11" s="454" t="s">
        <v>389</v>
      </c>
      <c r="C11" s="2009" t="s">
        <v>890</v>
      </c>
      <c r="D11" s="2010"/>
      <c r="E11" s="2010"/>
      <c r="F11" s="2010"/>
      <c r="G11" s="2011"/>
    </row>
    <row r="12" spans="1:7" ht="51.75" customHeight="1">
      <c r="A12" s="454" t="s">
        <v>382</v>
      </c>
      <c r="B12" s="454" t="s">
        <v>391</v>
      </c>
      <c r="C12" s="2009" t="s">
        <v>891</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10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SUM(H31:H38)</f>
        <v>1960.6739837398379</v>
      </c>
      <c r="C18" s="466">
        <f t="shared" ref="C18:C27" si="0">B18/C$14</f>
        <v>196.06739837398379</v>
      </c>
      <c r="D18" s="49"/>
      <c r="E18" s="89"/>
      <c r="F18" s="89"/>
      <c r="G18" s="49"/>
    </row>
    <row r="19" spans="1:8" ht="15">
      <c r="A19" s="454" t="s">
        <v>2</v>
      </c>
      <c r="B19" s="465">
        <f>SUM(H39:H43)</f>
        <v>825.36039148936129</v>
      </c>
      <c r="C19" s="466">
        <f t="shared" si="0"/>
        <v>82.536039148936126</v>
      </c>
      <c r="D19" s="49"/>
      <c r="E19" s="89"/>
      <c r="F19" s="89"/>
      <c r="G19" s="49"/>
    </row>
    <row r="20" spans="1:8" ht="15">
      <c r="A20" s="454" t="s">
        <v>3</v>
      </c>
      <c r="B20" s="465">
        <f>SUM(H44:H44)</f>
        <v>0</v>
      </c>
      <c r="C20" s="466">
        <f t="shared" si="0"/>
        <v>0</v>
      </c>
      <c r="D20" s="49"/>
      <c r="E20" s="89"/>
      <c r="F20" s="89"/>
      <c r="G20" s="49"/>
    </row>
    <row r="21" spans="1:8" ht="15">
      <c r="A21" s="454" t="s">
        <v>4</v>
      </c>
      <c r="B21" s="465">
        <f>H45</f>
        <v>0</v>
      </c>
      <c r="C21" s="466">
        <f t="shared" si="0"/>
        <v>0</v>
      </c>
      <c r="D21" s="49"/>
      <c r="E21" s="89"/>
      <c r="F21" s="89"/>
      <c r="G21" s="49"/>
    </row>
    <row r="22" spans="1:8" ht="15">
      <c r="A22" s="454" t="s">
        <v>26</v>
      </c>
      <c r="B22" s="465">
        <f>H46</f>
        <v>0</v>
      </c>
      <c r="C22" s="466">
        <f t="shared" si="0"/>
        <v>0</v>
      </c>
      <c r="D22" s="49"/>
      <c r="E22" s="89"/>
      <c r="F22" s="89"/>
      <c r="G22" s="49"/>
    </row>
    <row r="23" spans="1:8" ht="15">
      <c r="A23" s="454" t="s">
        <v>7</v>
      </c>
      <c r="B23" s="465">
        <f>SUM(H47:H49)</f>
        <v>0</v>
      </c>
      <c r="C23" s="466">
        <f t="shared" si="0"/>
        <v>0</v>
      </c>
      <c r="D23" s="49"/>
      <c r="E23" s="89"/>
      <c r="F23" s="89"/>
      <c r="G23" s="49"/>
    </row>
    <row r="24" spans="1:8" ht="15">
      <c r="A24" s="454" t="s">
        <v>27</v>
      </c>
      <c r="B24" s="465">
        <f>SUM(H50:H52)</f>
        <v>0</v>
      </c>
      <c r="C24" s="466">
        <f t="shared" si="0"/>
        <v>0</v>
      </c>
      <c r="D24" s="49"/>
      <c r="E24" s="89"/>
      <c r="F24" s="89"/>
      <c r="G24" s="49"/>
    </row>
    <row r="25" spans="1:8" ht="15">
      <c r="A25" s="454" t="s">
        <v>5</v>
      </c>
      <c r="B25" s="465">
        <f>G53</f>
        <v>0</v>
      </c>
      <c r="C25" s="466">
        <f t="shared" si="0"/>
        <v>0</v>
      </c>
      <c r="D25" s="49"/>
      <c r="E25" s="89"/>
      <c r="F25" s="89"/>
      <c r="G25" s="49"/>
    </row>
    <row r="26" spans="1:8" ht="15">
      <c r="A26" s="454" t="s">
        <v>20</v>
      </c>
      <c r="B26" s="465">
        <f>H53</f>
        <v>0</v>
      </c>
      <c r="C26" s="466">
        <f t="shared" si="0"/>
        <v>0</v>
      </c>
      <c r="D26" s="49"/>
      <c r="E26" s="89"/>
      <c r="F26" s="89"/>
      <c r="G26" s="49"/>
    </row>
    <row r="27" spans="1:8" ht="15">
      <c r="A27" s="454" t="s">
        <v>399</v>
      </c>
      <c r="B27" s="465">
        <f>SUM(B18:B26)</f>
        <v>2786.0343752291992</v>
      </c>
      <c r="C27" s="466">
        <f t="shared" si="0"/>
        <v>278.60343752291993</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269</v>
      </c>
      <c r="C31" s="470" t="s">
        <v>892</v>
      </c>
      <c r="D31" s="471" t="s">
        <v>893</v>
      </c>
      <c r="E31" s="1201" t="s">
        <v>572</v>
      </c>
      <c r="F31" s="472">
        <v>0.19520000000000001</v>
      </c>
      <c r="G31" s="1242">
        <v>500</v>
      </c>
      <c r="H31" s="474">
        <f t="shared" ref="H31:H54" si="1">IF(G31&lt;=0, 0, F31*G31)</f>
        <v>97.600000000000009</v>
      </c>
    </row>
    <row r="32" spans="1:8" ht="15">
      <c r="A32" s="454" t="s">
        <v>0</v>
      </c>
      <c r="B32" s="470">
        <v>271</v>
      </c>
      <c r="C32" s="470" t="s">
        <v>894</v>
      </c>
      <c r="D32" s="471" t="s">
        <v>895</v>
      </c>
      <c r="E32" s="1201" t="s">
        <v>572</v>
      </c>
      <c r="F32" s="472">
        <v>0.19520000000000001</v>
      </c>
      <c r="G32" s="1242">
        <v>1000</v>
      </c>
      <c r="H32" s="474">
        <f t="shared" si="1"/>
        <v>195.20000000000002</v>
      </c>
    </row>
    <row r="33" spans="1:8" ht="15">
      <c r="A33" s="454" t="s">
        <v>0</v>
      </c>
      <c r="B33" s="470">
        <v>273</v>
      </c>
      <c r="C33" s="470" t="s">
        <v>896</v>
      </c>
      <c r="D33" s="471" t="s">
        <v>897</v>
      </c>
      <c r="E33" s="1201" t="s">
        <v>572</v>
      </c>
      <c r="F33" s="472">
        <v>0.19520000000000001</v>
      </c>
      <c r="G33" s="1242">
        <v>1000</v>
      </c>
      <c r="H33" s="474">
        <f t="shared" si="1"/>
        <v>195.20000000000002</v>
      </c>
    </row>
    <row r="34" spans="1:8" ht="15">
      <c r="A34" s="454" t="s">
        <v>0</v>
      </c>
      <c r="B34" s="470">
        <v>116</v>
      </c>
      <c r="C34" s="470" t="s">
        <v>898</v>
      </c>
      <c r="D34" s="471" t="s">
        <v>594</v>
      </c>
      <c r="E34" s="1201" t="s">
        <v>572</v>
      </c>
      <c r="F34" s="472">
        <v>3.0249999999999999</v>
      </c>
      <c r="G34" s="1242">
        <v>20</v>
      </c>
      <c r="H34" s="474">
        <f t="shared" si="1"/>
        <v>60.5</v>
      </c>
    </row>
    <row r="35" spans="1:8" ht="15">
      <c r="A35" s="454" t="s">
        <v>0</v>
      </c>
      <c r="B35" s="1243">
        <v>117</v>
      </c>
      <c r="C35" s="1243" t="s">
        <v>899</v>
      </c>
      <c r="D35" s="1244" t="s">
        <v>594</v>
      </c>
      <c r="E35" s="1245" t="s">
        <v>572</v>
      </c>
      <c r="F35" s="1246">
        <v>3.39</v>
      </c>
      <c r="G35" s="1247">
        <v>20</v>
      </c>
      <c r="H35" s="474">
        <f t="shared" si="1"/>
        <v>67.8</v>
      </c>
    </row>
    <row r="36" spans="1:8" ht="15">
      <c r="A36" s="454" t="s">
        <v>0</v>
      </c>
      <c r="B36" s="470">
        <v>103</v>
      </c>
      <c r="C36" s="470" t="s">
        <v>900</v>
      </c>
      <c r="D36" s="471" t="s">
        <v>901</v>
      </c>
      <c r="E36" s="1201" t="s">
        <v>572</v>
      </c>
      <c r="F36" s="472">
        <v>2.2999999999999998</v>
      </c>
      <c r="G36" s="1242">
        <v>40</v>
      </c>
      <c r="H36" s="474">
        <f t="shared" si="1"/>
        <v>92</v>
      </c>
    </row>
    <row r="37" spans="1:8" ht="15">
      <c r="A37" s="454" t="s">
        <v>0</v>
      </c>
      <c r="B37" s="470">
        <v>100</v>
      </c>
      <c r="C37" s="470" t="s">
        <v>902</v>
      </c>
      <c r="D37" s="471" t="s">
        <v>901</v>
      </c>
      <c r="E37" s="1201" t="s">
        <v>572</v>
      </c>
      <c r="F37" s="472">
        <v>4.25</v>
      </c>
      <c r="G37" s="1242">
        <v>40</v>
      </c>
      <c r="H37" s="474">
        <f t="shared" si="1"/>
        <v>170</v>
      </c>
    </row>
    <row r="38" spans="1:8" ht="15">
      <c r="A38" s="454" t="s">
        <v>0</v>
      </c>
      <c r="B38" s="470">
        <v>75</v>
      </c>
      <c r="C38" s="470" t="s">
        <v>866</v>
      </c>
      <c r="D38" s="471" t="s">
        <v>903</v>
      </c>
      <c r="E38" s="1201" t="s">
        <v>452</v>
      </c>
      <c r="F38" s="472">
        <v>54.118699186991897</v>
      </c>
      <c r="G38" s="1242">
        <v>20</v>
      </c>
      <c r="H38" s="474">
        <f t="shared" si="1"/>
        <v>1082.373983739838</v>
      </c>
    </row>
    <row r="39" spans="1:8" ht="15">
      <c r="A39" s="454" t="s">
        <v>2</v>
      </c>
      <c r="B39" s="470">
        <v>946</v>
      </c>
      <c r="C39" s="470" t="s">
        <v>904</v>
      </c>
      <c r="D39" s="471" t="s">
        <v>905</v>
      </c>
      <c r="E39" s="1201" t="s">
        <v>408</v>
      </c>
      <c r="F39" s="472">
        <v>14.6919753191489</v>
      </c>
      <c r="G39" s="1242">
        <v>10</v>
      </c>
      <c r="H39" s="474">
        <f t="shared" si="1"/>
        <v>146.91975319148901</v>
      </c>
    </row>
    <row r="40" spans="1:8" ht="15">
      <c r="A40" s="454" t="s">
        <v>2</v>
      </c>
      <c r="B40" s="470">
        <v>945</v>
      </c>
      <c r="C40" s="470" t="s">
        <v>906</v>
      </c>
      <c r="D40" s="471" t="s">
        <v>907</v>
      </c>
      <c r="E40" s="1201" t="s">
        <v>408</v>
      </c>
      <c r="F40" s="472">
        <v>10.792390212766</v>
      </c>
      <c r="G40" s="1242">
        <v>10</v>
      </c>
      <c r="H40" s="474">
        <f t="shared" si="1"/>
        <v>107.92390212766</v>
      </c>
    </row>
    <row r="41" spans="1:8" ht="15">
      <c r="A41" s="454" t="s">
        <v>2</v>
      </c>
      <c r="B41" s="470">
        <v>950</v>
      </c>
      <c r="C41" s="470" t="s">
        <v>875</v>
      </c>
      <c r="D41" s="471" t="s">
        <v>908</v>
      </c>
      <c r="E41" s="1201" t="s">
        <v>408</v>
      </c>
      <c r="F41" s="472">
        <v>4.7802093617021297</v>
      </c>
      <c r="G41" s="1242">
        <v>10</v>
      </c>
      <c r="H41" s="474">
        <f t="shared" si="1"/>
        <v>47.802093617021299</v>
      </c>
    </row>
    <row r="42" spans="1:8" ht="15">
      <c r="A42" s="454" t="s">
        <v>2</v>
      </c>
      <c r="B42" s="470">
        <v>960</v>
      </c>
      <c r="C42" s="470" t="s">
        <v>576</v>
      </c>
      <c r="D42" s="471" t="s">
        <v>577</v>
      </c>
      <c r="E42" s="1201" t="s">
        <v>408</v>
      </c>
      <c r="F42" s="472">
        <v>16.116234042553199</v>
      </c>
      <c r="G42" s="1242">
        <v>10</v>
      </c>
      <c r="H42" s="474">
        <f t="shared" si="1"/>
        <v>161.16234042553199</v>
      </c>
    </row>
    <row r="43" spans="1:8" ht="15">
      <c r="A43" s="454" t="s">
        <v>2</v>
      </c>
      <c r="B43" s="470">
        <v>957</v>
      </c>
      <c r="C43" s="470" t="s">
        <v>601</v>
      </c>
      <c r="D43" s="471" t="s">
        <v>602</v>
      </c>
      <c r="E43" s="1201" t="s">
        <v>408</v>
      </c>
      <c r="F43" s="472">
        <v>12.0517434042553</v>
      </c>
      <c r="G43" s="1242">
        <v>30</v>
      </c>
      <c r="H43" s="474">
        <f t="shared" si="1"/>
        <v>361.552302127659</v>
      </c>
    </row>
    <row r="44" spans="1:8" ht="15">
      <c r="A44" s="454" t="s">
        <v>3</v>
      </c>
      <c r="B44" s="470"/>
      <c r="C44" s="470"/>
      <c r="D44" s="471"/>
      <c r="E44" s="471"/>
      <c r="F44" s="472"/>
      <c r="G44" s="1248"/>
      <c r="H44" s="474">
        <f t="shared" si="1"/>
        <v>0</v>
      </c>
    </row>
    <row r="45" spans="1:8" ht="15">
      <c r="A45" s="454" t="s">
        <v>4</v>
      </c>
      <c r="B45" s="470"/>
      <c r="C45" s="470"/>
      <c r="D45" s="471"/>
      <c r="E45" s="471"/>
      <c r="F45" s="481"/>
      <c r="G45" s="1248"/>
      <c r="H45" s="474">
        <f t="shared" si="1"/>
        <v>0</v>
      </c>
    </row>
    <row r="46" spans="1:8" ht="16.5" customHeight="1">
      <c r="A46" s="454" t="s">
        <v>419</v>
      </c>
      <c r="B46" s="470"/>
      <c r="C46" s="470"/>
      <c r="D46" s="471"/>
      <c r="E46" s="1201"/>
      <c r="F46" s="472"/>
      <c r="G46" s="1242"/>
      <c r="H46" s="474">
        <f t="shared" si="1"/>
        <v>0</v>
      </c>
    </row>
    <row r="47" spans="1:8" ht="15">
      <c r="A47" s="454" t="s">
        <v>7</v>
      </c>
      <c r="B47" s="470"/>
      <c r="C47" s="470"/>
      <c r="D47" s="471"/>
      <c r="E47" s="471"/>
      <c r="F47" s="472"/>
      <c r="G47" s="1248"/>
      <c r="H47" s="474">
        <f t="shared" si="1"/>
        <v>0</v>
      </c>
    </row>
    <row r="48" spans="1:8" ht="15">
      <c r="A48" s="454" t="s">
        <v>7</v>
      </c>
      <c r="B48" s="470"/>
      <c r="C48" s="470"/>
      <c r="D48" s="471"/>
      <c r="E48" s="471"/>
      <c r="F48" s="472"/>
      <c r="G48" s="1248"/>
      <c r="H48" s="474">
        <f t="shared" si="1"/>
        <v>0</v>
      </c>
    </row>
    <row r="49" spans="1:8" ht="15">
      <c r="A49" s="454" t="s">
        <v>7</v>
      </c>
      <c r="B49" s="470"/>
      <c r="C49" s="470"/>
      <c r="D49" s="471"/>
      <c r="E49" s="471"/>
      <c r="F49" s="472"/>
      <c r="G49" s="1248"/>
      <c r="H49" s="474">
        <f t="shared" si="1"/>
        <v>0</v>
      </c>
    </row>
    <row r="50" spans="1:8" ht="15">
      <c r="A50" s="454" t="s">
        <v>421</v>
      </c>
      <c r="B50" s="470"/>
      <c r="C50" s="470"/>
      <c r="D50" s="471"/>
      <c r="E50" s="471"/>
      <c r="F50" s="472"/>
      <c r="G50" s="1248"/>
      <c r="H50" s="474">
        <f t="shared" si="1"/>
        <v>0</v>
      </c>
    </row>
    <row r="51" spans="1:8" ht="15">
      <c r="A51" s="454" t="s">
        <v>421</v>
      </c>
      <c r="B51" s="470"/>
      <c r="C51" s="470"/>
      <c r="D51" s="471"/>
      <c r="E51" s="471"/>
      <c r="F51" s="472"/>
      <c r="G51" s="1248"/>
      <c r="H51" s="474">
        <f t="shared" si="1"/>
        <v>0</v>
      </c>
    </row>
    <row r="52" spans="1:8" ht="15">
      <c r="A52" s="454" t="s">
        <v>421</v>
      </c>
      <c r="B52" s="470"/>
      <c r="C52" s="470"/>
      <c r="D52" s="471"/>
      <c r="E52" s="471"/>
      <c r="F52" s="472"/>
      <c r="G52" s="1248"/>
      <c r="H52" s="474">
        <f t="shared" si="1"/>
        <v>0</v>
      </c>
    </row>
    <row r="53" spans="1:8" ht="15">
      <c r="A53" s="454" t="s">
        <v>5</v>
      </c>
      <c r="B53" s="470"/>
      <c r="C53" s="470"/>
      <c r="D53" s="471"/>
      <c r="E53" s="471"/>
      <c r="F53" s="472"/>
      <c r="G53" s="1248"/>
      <c r="H53" s="474">
        <f t="shared" si="1"/>
        <v>0</v>
      </c>
    </row>
    <row r="54" spans="1:8" ht="15">
      <c r="A54" s="454" t="s">
        <v>20</v>
      </c>
      <c r="B54" s="470"/>
      <c r="C54" s="470"/>
      <c r="D54" s="471"/>
      <c r="E54" s="471"/>
      <c r="F54" s="472"/>
      <c r="G54" s="1248"/>
      <c r="H54" s="474">
        <f t="shared" si="1"/>
        <v>0</v>
      </c>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87" spans="1:7">
      <c r="A87" s="82"/>
      <c r="B87" s="82"/>
      <c r="C87" s="82"/>
      <c r="D87" s="82"/>
      <c r="E87" s="82"/>
      <c r="F87" s="82"/>
      <c r="G87" s="82"/>
    </row>
    <row r="88" spans="1:7">
      <c r="A88" s="82"/>
      <c r="B88" s="82"/>
      <c r="C88" s="82"/>
      <c r="D88" s="82"/>
      <c r="E88" s="82"/>
      <c r="F88" s="82"/>
      <c r="G88" s="82"/>
    </row>
    <row r="99" spans="4:4">
      <c r="D99" s="57"/>
    </row>
    <row r="100" spans="4:4">
      <c r="D100" s="57"/>
    </row>
    <row r="101" spans="4:4">
      <c r="D101" s="57"/>
    </row>
    <row r="102" spans="4:4">
      <c r="D102" s="57"/>
    </row>
    <row r="103" spans="4:4">
      <c r="D103" s="57"/>
    </row>
    <row r="104" spans="4:4">
      <c r="D104" s="57"/>
    </row>
    <row r="105" spans="4:4">
      <c r="D105" s="57"/>
    </row>
    <row r="107" spans="4:4">
      <c r="D107" s="57"/>
    </row>
    <row r="109" spans="4:4">
      <c r="D109" s="56"/>
    </row>
    <row r="111" spans="4:4">
      <c r="D111"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61" orientation="portrait" r:id="rId1"/>
  <headerFooter alignWithMargins="0"/>
</worksheet>
</file>

<file path=xl/worksheets/sheet162.xml><?xml version="1.0" encoding="utf-8"?>
<worksheet xmlns="http://schemas.openxmlformats.org/spreadsheetml/2006/main" xmlns:r="http://schemas.openxmlformats.org/officeDocument/2006/relationships">
  <dimension ref="A1:H113"/>
  <sheetViews>
    <sheetView showGridLines="0" topLeftCell="B1" workbookViewId="0">
      <selection activeCell="H16" sqref="H16"/>
    </sheetView>
  </sheetViews>
  <sheetFormatPr defaultRowHeight="12.75"/>
  <cols>
    <col min="1" max="1" width="34.5703125" customWidth="1"/>
    <col min="2" max="2" width="25.42578125" customWidth="1"/>
    <col min="3" max="3" width="28.5703125" customWidth="1"/>
    <col min="4" max="4" width="23.5703125" customWidth="1"/>
    <col min="5" max="5" width="15.140625" customWidth="1"/>
    <col min="6" max="6" width="11" customWidth="1"/>
    <col min="7" max="7" width="10.7109375" customWidth="1"/>
    <col min="8" max="8" width="11" customWidth="1"/>
  </cols>
  <sheetData>
    <row r="1" spans="1:7" s="2" customFormat="1" ht="18.75">
      <c r="A1" s="449" t="s">
        <v>373</v>
      </c>
    </row>
    <row r="2" spans="1:7" s="2" customFormat="1"/>
    <row r="3" spans="1:7" s="2" customFormat="1" ht="15.75">
      <c r="A3" s="450" t="s">
        <v>374</v>
      </c>
      <c r="B3" s="451"/>
      <c r="C3" s="451"/>
    </row>
    <row r="4" spans="1:7" s="2" customFormat="1" ht="21" customHeight="1">
      <c r="A4" s="452" t="s">
        <v>375</v>
      </c>
      <c r="B4" s="452" t="s">
        <v>376</v>
      </c>
      <c r="C4" s="453" t="s">
        <v>377</v>
      </c>
      <c r="D4" s="82"/>
      <c r="E4" s="82"/>
      <c r="F4" s="82"/>
      <c r="G4" s="82"/>
    </row>
    <row r="5" spans="1:7" ht="15">
      <c r="A5" s="454" t="s">
        <v>1</v>
      </c>
      <c r="B5" s="454" t="s">
        <v>77</v>
      </c>
      <c r="C5" s="455" t="s">
        <v>378</v>
      </c>
      <c r="D5" s="1249"/>
      <c r="E5" s="1250"/>
      <c r="F5" s="1251"/>
      <c r="G5" s="1251"/>
    </row>
    <row r="6" spans="1:7" ht="15">
      <c r="A6" s="454" t="s">
        <v>1</v>
      </c>
      <c r="B6" s="454" t="s">
        <v>379</v>
      </c>
      <c r="C6" s="1252" t="s">
        <v>858</v>
      </c>
      <c r="D6" s="1249"/>
      <c r="E6" s="1250"/>
      <c r="F6" s="1251"/>
      <c r="G6" s="1251"/>
    </row>
    <row r="7" spans="1:7" ht="15">
      <c r="A7" s="454" t="s">
        <v>1</v>
      </c>
      <c r="B7" s="454" t="s">
        <v>381</v>
      </c>
      <c r="C7" s="1252">
        <v>5</v>
      </c>
      <c r="D7" s="1249"/>
      <c r="E7" s="1250"/>
      <c r="F7" s="1251"/>
      <c r="G7" s="1251"/>
    </row>
    <row r="8" spans="1:7" ht="15">
      <c r="A8" s="454" t="s">
        <v>382</v>
      </c>
      <c r="B8" s="454" t="s">
        <v>383</v>
      </c>
      <c r="C8" s="1253" t="s">
        <v>909</v>
      </c>
      <c r="D8" s="1254"/>
      <c r="E8" s="1250"/>
      <c r="F8" s="1250"/>
      <c r="G8" s="1254"/>
    </row>
    <row r="9" spans="1:7" ht="84.6" customHeight="1">
      <c r="A9" s="454" t="s">
        <v>382</v>
      </c>
      <c r="B9" s="454" t="s">
        <v>385</v>
      </c>
      <c r="C9" s="2196" t="s">
        <v>910</v>
      </c>
      <c r="D9" s="2197"/>
      <c r="E9" s="2197"/>
      <c r="F9" s="2197"/>
      <c r="G9" s="2198"/>
    </row>
    <row r="10" spans="1:7" ht="63.6" customHeight="1">
      <c r="A10" s="454" t="s">
        <v>382</v>
      </c>
      <c r="B10" s="454" t="s">
        <v>387</v>
      </c>
      <c r="C10" s="2196" t="s">
        <v>911</v>
      </c>
      <c r="D10" s="2197"/>
      <c r="E10" s="2197"/>
      <c r="F10" s="2197"/>
      <c r="G10" s="2198"/>
    </row>
    <row r="11" spans="1:7" ht="40.9" customHeight="1">
      <c r="A11" s="454" t="s">
        <v>382</v>
      </c>
      <c r="B11" s="454" t="s">
        <v>389</v>
      </c>
      <c r="C11" s="2199" t="s">
        <v>912</v>
      </c>
      <c r="D11" s="2197"/>
      <c r="E11" s="2197"/>
      <c r="F11" s="2197"/>
      <c r="G11" s="2198"/>
    </row>
    <row r="12" spans="1:7" ht="30.75" customHeight="1">
      <c r="A12" s="454" t="s">
        <v>382</v>
      </c>
      <c r="B12" s="454" t="s">
        <v>391</v>
      </c>
      <c r="C12" s="2196" t="s">
        <v>913</v>
      </c>
      <c r="D12" s="2197"/>
      <c r="E12" s="2197"/>
      <c r="F12" s="2197"/>
      <c r="G12" s="2198"/>
    </row>
    <row r="13" spans="1:7" ht="15">
      <c r="A13" s="454" t="s">
        <v>382</v>
      </c>
      <c r="B13" s="454" t="s">
        <v>393</v>
      </c>
      <c r="C13" s="1255" t="s">
        <v>394</v>
      </c>
      <c r="D13" s="1249"/>
      <c r="E13" s="1250"/>
      <c r="F13" s="1250"/>
      <c r="G13" s="1249"/>
    </row>
    <row r="14" spans="1:7" ht="15">
      <c r="A14" s="454" t="s">
        <v>382</v>
      </c>
      <c r="B14" s="454" t="s">
        <v>395</v>
      </c>
      <c r="C14" s="1252">
        <v>20</v>
      </c>
      <c r="D14" s="1249"/>
      <c r="E14" s="1250"/>
      <c r="F14" s="1250"/>
      <c r="G14" s="1249"/>
    </row>
    <row r="15" spans="1:7">
      <c r="A15" s="1256"/>
      <c r="B15" s="1256"/>
      <c r="C15" s="1256"/>
      <c r="D15" s="1256"/>
      <c r="E15" s="1256"/>
      <c r="F15" s="1256"/>
      <c r="G15" s="1256"/>
    </row>
    <row r="16" spans="1:7" ht="15.75">
      <c r="A16" s="462" t="s">
        <v>396</v>
      </c>
      <c r="B16" s="463"/>
      <c r="C16" s="464"/>
      <c r="D16" s="1257"/>
      <c r="E16" s="1258"/>
      <c r="F16" s="1258"/>
      <c r="G16" s="1257"/>
    </row>
    <row r="17" spans="1:8" ht="15">
      <c r="A17" s="452" t="s">
        <v>16</v>
      </c>
      <c r="B17" s="453" t="s">
        <v>397</v>
      </c>
      <c r="C17" s="453" t="s">
        <v>398</v>
      </c>
      <c r="D17" s="1257"/>
      <c r="E17" s="1258"/>
      <c r="F17" s="1258"/>
      <c r="G17" s="1257"/>
      <c r="H17" s="1259"/>
    </row>
    <row r="18" spans="1:8" ht="15">
      <c r="A18" s="454" t="s">
        <v>0</v>
      </c>
      <c r="B18" s="465">
        <f>SUM(H31:H39)</f>
        <v>2763.9916463414638</v>
      </c>
      <c r="C18" s="466">
        <f>B18/C$14</f>
        <v>138.19958231707318</v>
      </c>
      <c r="D18" s="1257"/>
      <c r="E18" s="1258"/>
      <c r="F18" s="1258"/>
      <c r="G18" s="1257"/>
      <c r="H18" s="1259"/>
    </row>
    <row r="19" spans="1:8" ht="15">
      <c r="A19" s="454" t="s">
        <v>2</v>
      </c>
      <c r="B19" s="465">
        <f>SUM(H40:H43)</f>
        <v>1635.5388085106379</v>
      </c>
      <c r="C19" s="466">
        <f t="shared" ref="C19:C26" si="0">B19/C$14</f>
        <v>81.77694042553189</v>
      </c>
      <c r="D19" s="1257"/>
      <c r="E19" s="1258"/>
      <c r="F19" s="1258"/>
      <c r="G19" s="1257"/>
      <c r="H19" s="1259"/>
    </row>
    <row r="20" spans="1:8" ht="15">
      <c r="A20" s="454" t="s">
        <v>3</v>
      </c>
      <c r="B20" s="465">
        <f>SUM(H44:H46)</f>
        <v>339.68</v>
      </c>
      <c r="C20" s="466">
        <f t="shared" si="0"/>
        <v>16.984000000000002</v>
      </c>
      <c r="D20" s="1257"/>
      <c r="E20" s="1258"/>
      <c r="F20" s="1258"/>
      <c r="G20" s="1257"/>
      <c r="H20" s="1259"/>
    </row>
    <row r="21" spans="1:8" ht="15">
      <c r="A21" s="454" t="s">
        <v>4</v>
      </c>
      <c r="B21" s="465">
        <f>H47</f>
        <v>0</v>
      </c>
      <c r="C21" s="466">
        <f t="shared" si="0"/>
        <v>0</v>
      </c>
      <c r="D21" s="1257"/>
      <c r="E21" s="1258"/>
      <c r="F21" s="1258"/>
      <c r="G21" s="1257"/>
      <c r="H21" s="1259"/>
    </row>
    <row r="22" spans="1:8" ht="15">
      <c r="A22" s="454" t="s">
        <v>26</v>
      </c>
      <c r="B22" s="465">
        <f>H48</f>
        <v>0</v>
      </c>
      <c r="C22" s="466">
        <f t="shared" si="0"/>
        <v>0</v>
      </c>
      <c r="D22" s="1257"/>
      <c r="E22" s="1258"/>
      <c r="F22" s="1258"/>
      <c r="G22" s="1257"/>
      <c r="H22" s="1259"/>
    </row>
    <row r="23" spans="1:8" ht="15">
      <c r="A23" s="454" t="s">
        <v>7</v>
      </c>
      <c r="B23" s="465">
        <f>SUM(H49:H51)</f>
        <v>0</v>
      </c>
      <c r="C23" s="466">
        <f t="shared" si="0"/>
        <v>0</v>
      </c>
      <c r="D23" s="1257"/>
      <c r="E23" s="1258"/>
      <c r="F23" s="1258"/>
      <c r="G23" s="1257"/>
      <c r="H23" s="1259"/>
    </row>
    <row r="24" spans="1:8" ht="15">
      <c r="A24" s="454" t="s">
        <v>27</v>
      </c>
      <c r="B24" s="465">
        <f>SUM(H52:H54)</f>
        <v>0</v>
      </c>
      <c r="C24" s="466">
        <f t="shared" si="0"/>
        <v>0</v>
      </c>
      <c r="D24" s="1257"/>
      <c r="E24" s="1258"/>
      <c r="F24" s="1258"/>
      <c r="G24" s="1257"/>
      <c r="H24" s="1259"/>
    </row>
    <row r="25" spans="1:8" ht="15">
      <c r="A25" s="454" t="s">
        <v>5</v>
      </c>
      <c r="B25" s="465">
        <f>H55</f>
        <v>0</v>
      </c>
      <c r="C25" s="466">
        <f t="shared" si="0"/>
        <v>0</v>
      </c>
      <c r="D25" s="1257"/>
      <c r="E25" s="1258"/>
      <c r="F25" s="1258"/>
      <c r="G25" s="1257"/>
      <c r="H25" s="1259"/>
    </row>
    <row r="26" spans="1:8" ht="15">
      <c r="A26" s="454" t="s">
        <v>20</v>
      </c>
      <c r="B26" s="465">
        <f>H56</f>
        <v>0</v>
      </c>
      <c r="C26" s="466">
        <f t="shared" si="0"/>
        <v>0</v>
      </c>
      <c r="D26" s="1257"/>
      <c r="E26" s="1258"/>
      <c r="F26" s="1258"/>
      <c r="G26" s="1257"/>
      <c r="H26" s="1259"/>
    </row>
    <row r="27" spans="1:8" ht="15">
      <c r="A27" s="454" t="s">
        <v>399</v>
      </c>
      <c r="B27" s="465">
        <f>SUM(B18:B26)</f>
        <v>4739.210454852102</v>
      </c>
      <c r="C27" s="466">
        <f>B27/C$14</f>
        <v>236.96052274260509</v>
      </c>
      <c r="D27" s="1257"/>
      <c r="E27" s="1258"/>
      <c r="F27" s="1258"/>
      <c r="G27" s="1257"/>
      <c r="H27" s="1259"/>
    </row>
    <row r="28" spans="1:8" ht="15">
      <c r="A28" s="1260"/>
      <c r="B28" s="1261"/>
      <c r="C28" s="1261"/>
      <c r="D28" s="1257"/>
      <c r="E28" s="1257"/>
      <c r="F28" s="1257"/>
      <c r="G28" s="1257"/>
      <c r="H28" s="1259"/>
    </row>
    <row r="29" spans="1:8" ht="15.75">
      <c r="A29" s="468" t="s">
        <v>400</v>
      </c>
      <c r="B29" s="1257"/>
      <c r="C29" s="1257"/>
      <c r="D29" s="1261"/>
      <c r="E29" s="1257"/>
      <c r="F29" s="1257"/>
      <c r="G29" s="1257"/>
      <c r="H29" s="1259"/>
    </row>
    <row r="30" spans="1:8" ht="30">
      <c r="A30" s="452" t="s">
        <v>16</v>
      </c>
      <c r="B30" s="469" t="s">
        <v>401</v>
      </c>
      <c r="C30" s="469" t="s">
        <v>402</v>
      </c>
      <c r="D30" s="469" t="s">
        <v>403</v>
      </c>
      <c r="E30" s="469" t="s">
        <v>46</v>
      </c>
      <c r="F30" s="469" t="s">
        <v>404</v>
      </c>
      <c r="G30" s="469" t="s">
        <v>405</v>
      </c>
      <c r="H30" s="469" t="s">
        <v>397</v>
      </c>
    </row>
    <row r="31" spans="1:8" ht="15">
      <c r="A31" s="454" t="s">
        <v>0</v>
      </c>
      <c r="B31" s="1262">
        <v>79</v>
      </c>
      <c r="C31" s="1262" t="s">
        <v>914</v>
      </c>
      <c r="D31" s="1263" t="s">
        <v>884</v>
      </c>
      <c r="E31" s="1263" t="s">
        <v>572</v>
      </c>
      <c r="F31" s="1264">
        <v>13.762499999999999</v>
      </c>
      <c r="G31" s="1265">
        <v>80</v>
      </c>
      <c r="H31" s="474">
        <f>IF(G31&lt;=0, 0, F31*G31)</f>
        <v>1101</v>
      </c>
    </row>
    <row r="32" spans="1:8" ht="15">
      <c r="A32" s="454" t="s">
        <v>0</v>
      </c>
      <c r="B32" s="1262">
        <v>78</v>
      </c>
      <c r="C32" s="1262" t="s">
        <v>886</v>
      </c>
      <c r="D32" s="1263" t="s">
        <v>884</v>
      </c>
      <c r="E32" s="1263" t="s">
        <v>572</v>
      </c>
      <c r="F32" s="1264">
        <v>9.9733000000000001</v>
      </c>
      <c r="G32" s="1265">
        <v>20</v>
      </c>
      <c r="H32" s="474">
        <f t="shared" ref="H32:H56" si="1">IF(G32&lt;=0, 0, F32*G32)</f>
        <v>199.46600000000001</v>
      </c>
    </row>
    <row r="33" spans="1:8" ht="15">
      <c r="A33" s="454" t="s">
        <v>0</v>
      </c>
      <c r="B33" s="1262">
        <v>81</v>
      </c>
      <c r="C33" s="1262" t="s">
        <v>915</v>
      </c>
      <c r="D33" s="1263" t="s">
        <v>884</v>
      </c>
      <c r="E33" s="1263" t="s">
        <v>572</v>
      </c>
      <c r="F33" s="1264">
        <v>11.425599999999999</v>
      </c>
      <c r="G33" s="1265">
        <v>20</v>
      </c>
      <c r="H33" s="474">
        <f t="shared" si="1"/>
        <v>228.512</v>
      </c>
    </row>
    <row r="34" spans="1:8" ht="15">
      <c r="A34" s="454" t="s">
        <v>0</v>
      </c>
      <c r="B34" s="1262">
        <v>84</v>
      </c>
      <c r="C34" s="1262" t="s">
        <v>916</v>
      </c>
      <c r="D34" s="1263" t="s">
        <v>884</v>
      </c>
      <c r="E34" s="1263" t="s">
        <v>572</v>
      </c>
      <c r="F34" s="1264">
        <v>8.8556000000000008</v>
      </c>
      <c r="G34" s="1265">
        <v>40</v>
      </c>
      <c r="H34" s="474">
        <f t="shared" si="1"/>
        <v>354.22400000000005</v>
      </c>
    </row>
    <row r="35" spans="1:8" ht="15">
      <c r="A35" s="454" t="s">
        <v>0</v>
      </c>
      <c r="B35" s="1262">
        <v>110</v>
      </c>
      <c r="C35" s="1262" t="s">
        <v>917</v>
      </c>
      <c r="D35" s="1263" t="s">
        <v>594</v>
      </c>
      <c r="E35" s="1263" t="s">
        <v>572</v>
      </c>
      <c r="F35" s="1264">
        <v>2.12</v>
      </c>
      <c r="G35" s="1265">
        <v>80</v>
      </c>
      <c r="H35" s="474">
        <f t="shared" si="1"/>
        <v>169.60000000000002</v>
      </c>
    </row>
    <row r="36" spans="1:8" ht="15">
      <c r="A36" s="454" t="s">
        <v>0</v>
      </c>
      <c r="B36" s="1262">
        <v>136</v>
      </c>
      <c r="C36" s="1262" t="s">
        <v>918</v>
      </c>
      <c r="D36" s="1263" t="s">
        <v>919</v>
      </c>
      <c r="E36" s="1263" t="s">
        <v>572</v>
      </c>
      <c r="F36" s="1264">
        <v>32.1111</v>
      </c>
      <c r="G36" s="1265">
        <v>5</v>
      </c>
      <c r="H36" s="474">
        <f t="shared" si="1"/>
        <v>160.55549999999999</v>
      </c>
    </row>
    <row r="37" spans="1:8" ht="15">
      <c r="A37" s="454" t="s">
        <v>0</v>
      </c>
      <c r="B37" s="1262">
        <v>75</v>
      </c>
      <c r="C37" s="1262" t="s">
        <v>866</v>
      </c>
      <c r="D37" s="1263" t="s">
        <v>903</v>
      </c>
      <c r="E37" s="1263" t="s">
        <v>452</v>
      </c>
      <c r="F37" s="1264">
        <v>27.531707317073199</v>
      </c>
      <c r="G37" s="1265">
        <v>20</v>
      </c>
      <c r="H37" s="474">
        <f t="shared" si="1"/>
        <v>550.63414634146397</v>
      </c>
    </row>
    <row r="38" spans="1:8" ht="15">
      <c r="A38" s="454" t="s">
        <v>0</v>
      </c>
      <c r="B38" s="1262"/>
      <c r="C38" s="1262"/>
      <c r="D38" s="1263"/>
      <c r="E38" s="1263"/>
      <c r="F38" s="1264"/>
      <c r="G38" s="1265"/>
      <c r="H38" s="474">
        <f t="shared" si="1"/>
        <v>0</v>
      </c>
    </row>
    <row r="39" spans="1:8" ht="15">
      <c r="A39" s="454" t="s">
        <v>0</v>
      </c>
      <c r="B39" s="1262"/>
      <c r="C39" s="1262"/>
      <c r="D39" s="1263"/>
      <c r="E39" s="1263"/>
      <c r="F39" s="1264"/>
      <c r="G39" s="1265"/>
      <c r="H39" s="474">
        <f t="shared" si="1"/>
        <v>0</v>
      </c>
    </row>
    <row r="40" spans="1:8" ht="15">
      <c r="A40" s="454" t="s">
        <v>2</v>
      </c>
      <c r="B40" s="1262"/>
      <c r="C40" s="1262"/>
      <c r="D40" s="1263"/>
      <c r="E40" s="1263"/>
      <c r="F40" s="1264"/>
      <c r="G40" s="1265"/>
      <c r="H40" s="474">
        <f t="shared" si="1"/>
        <v>0</v>
      </c>
    </row>
    <row r="41" spans="1:8" ht="15">
      <c r="A41" s="454" t="s">
        <v>2</v>
      </c>
      <c r="B41" s="1262">
        <v>946</v>
      </c>
      <c r="C41" s="1262" t="s">
        <v>904</v>
      </c>
      <c r="D41" s="1263" t="s">
        <v>905</v>
      </c>
      <c r="E41" s="1263" t="s">
        <v>408</v>
      </c>
      <c r="F41" s="1264">
        <v>14.6919753191489</v>
      </c>
      <c r="G41" s="1265">
        <v>60</v>
      </c>
      <c r="H41" s="474">
        <f t="shared" si="1"/>
        <v>881.51851914893405</v>
      </c>
    </row>
    <row r="42" spans="1:8" ht="15">
      <c r="A42" s="454" t="s">
        <v>2</v>
      </c>
      <c r="B42" s="1262">
        <v>945</v>
      </c>
      <c r="C42" s="1262" t="s">
        <v>906</v>
      </c>
      <c r="D42" s="1263" t="s">
        <v>907</v>
      </c>
      <c r="E42" s="1263" t="s">
        <v>408</v>
      </c>
      <c r="F42" s="1264">
        <v>10.792390212766</v>
      </c>
      <c r="G42" s="1265">
        <v>40</v>
      </c>
      <c r="H42" s="474">
        <f t="shared" si="1"/>
        <v>431.69560851064</v>
      </c>
    </row>
    <row r="43" spans="1:8" ht="15">
      <c r="A43" s="454" t="s">
        <v>2</v>
      </c>
      <c r="B43" s="1266">
        <v>960</v>
      </c>
      <c r="C43" s="1265" t="s">
        <v>576</v>
      </c>
      <c r="D43" s="1265" t="s">
        <v>577</v>
      </c>
      <c r="E43" s="1265" t="s">
        <v>408</v>
      </c>
      <c r="F43" s="1265">
        <v>16.116234042553199</v>
      </c>
      <c r="G43" s="1265">
        <v>20</v>
      </c>
      <c r="H43" s="474">
        <f t="shared" si="1"/>
        <v>322.32468085106399</v>
      </c>
    </row>
    <row r="44" spans="1:8" ht="24.6" customHeight="1">
      <c r="A44" s="454" t="s">
        <v>3</v>
      </c>
      <c r="B44" s="1262">
        <v>231</v>
      </c>
      <c r="C44" s="1262" t="s">
        <v>920</v>
      </c>
      <c r="D44" s="1267" t="s">
        <v>579</v>
      </c>
      <c r="E44" s="1263" t="s">
        <v>411</v>
      </c>
      <c r="F44" s="1264">
        <v>21.23</v>
      </c>
      <c r="G44" s="1265">
        <v>16</v>
      </c>
      <c r="H44" s="474">
        <f t="shared" si="1"/>
        <v>339.68</v>
      </c>
    </row>
    <row r="45" spans="1:8" ht="15">
      <c r="A45" s="454" t="s">
        <v>3</v>
      </c>
      <c r="B45" s="1262"/>
      <c r="C45" s="1262"/>
      <c r="D45" s="1263"/>
      <c r="E45" s="1263"/>
      <c r="F45" s="1264"/>
      <c r="G45" s="1265"/>
      <c r="H45" s="474">
        <f t="shared" si="1"/>
        <v>0</v>
      </c>
    </row>
    <row r="46" spans="1:8" ht="15">
      <c r="A46" s="454" t="s">
        <v>3</v>
      </c>
      <c r="B46" s="1262"/>
      <c r="C46" s="1262"/>
      <c r="D46" s="1263"/>
      <c r="E46" s="1263"/>
      <c r="F46" s="1264"/>
      <c r="G46" s="1265"/>
      <c r="H46" s="474">
        <f t="shared" si="1"/>
        <v>0</v>
      </c>
    </row>
    <row r="47" spans="1:8" ht="15">
      <c r="A47" s="454" t="s">
        <v>4</v>
      </c>
      <c r="B47" s="1262"/>
      <c r="C47" s="1262"/>
      <c r="D47" s="1263"/>
      <c r="E47" s="1263"/>
      <c r="F47" s="1268"/>
      <c r="G47" s="1269"/>
      <c r="H47" s="474">
        <f t="shared" si="1"/>
        <v>0</v>
      </c>
    </row>
    <row r="48" spans="1:8" ht="15">
      <c r="A48" s="454" t="s">
        <v>419</v>
      </c>
      <c r="B48" s="1262"/>
      <c r="C48" s="1262"/>
      <c r="D48" s="1263"/>
      <c r="E48" s="1263"/>
      <c r="F48" s="1268"/>
      <c r="G48" s="1269"/>
      <c r="H48" s="474">
        <f t="shared" si="1"/>
        <v>0</v>
      </c>
    </row>
    <row r="49" spans="1:8" ht="15">
      <c r="A49" s="454" t="s">
        <v>7</v>
      </c>
      <c r="B49" s="1262"/>
      <c r="C49" s="1262"/>
      <c r="D49" s="1263"/>
      <c r="E49" s="1263"/>
      <c r="F49" s="1264"/>
      <c r="G49" s="1265"/>
      <c r="H49" s="474">
        <f t="shared" si="1"/>
        <v>0</v>
      </c>
    </row>
    <row r="50" spans="1:8" ht="15">
      <c r="A50" s="454" t="s">
        <v>7</v>
      </c>
      <c r="B50" s="1262"/>
      <c r="C50" s="1262"/>
      <c r="D50" s="1263"/>
      <c r="E50" s="1263"/>
      <c r="F50" s="1264"/>
      <c r="G50" s="1265"/>
      <c r="H50" s="474">
        <f t="shared" si="1"/>
        <v>0</v>
      </c>
    </row>
    <row r="51" spans="1:8" ht="15">
      <c r="A51" s="454" t="s">
        <v>7</v>
      </c>
      <c r="B51" s="1262"/>
      <c r="C51" s="1262"/>
      <c r="D51" s="1263"/>
      <c r="E51" s="1263"/>
      <c r="F51" s="1264"/>
      <c r="G51" s="1265"/>
      <c r="H51" s="474">
        <f t="shared" si="1"/>
        <v>0</v>
      </c>
    </row>
    <row r="52" spans="1:8" ht="15">
      <c r="A52" s="454" t="s">
        <v>421</v>
      </c>
      <c r="B52" s="1262"/>
      <c r="C52" s="1262"/>
      <c r="D52" s="1263"/>
      <c r="E52" s="1263"/>
      <c r="F52" s="1264"/>
      <c r="G52" s="1265"/>
      <c r="H52" s="474">
        <f t="shared" si="1"/>
        <v>0</v>
      </c>
    </row>
    <row r="53" spans="1:8" ht="15">
      <c r="A53" s="454" t="s">
        <v>421</v>
      </c>
      <c r="B53" s="1262"/>
      <c r="C53" s="1262"/>
      <c r="D53" s="1263"/>
      <c r="E53" s="1263"/>
      <c r="F53" s="1264"/>
      <c r="G53" s="1265"/>
      <c r="H53" s="474">
        <f t="shared" si="1"/>
        <v>0</v>
      </c>
    </row>
    <row r="54" spans="1:8" ht="15">
      <c r="A54" s="454" t="s">
        <v>421</v>
      </c>
      <c r="B54" s="1262"/>
      <c r="C54" s="1262"/>
      <c r="D54" s="1263"/>
      <c r="E54" s="1263"/>
      <c r="F54" s="1264"/>
      <c r="G54" s="1265"/>
      <c r="H54" s="474">
        <f t="shared" si="1"/>
        <v>0</v>
      </c>
    </row>
    <row r="55" spans="1:8" ht="15">
      <c r="A55" s="454" t="s">
        <v>5</v>
      </c>
      <c r="B55" s="1262"/>
      <c r="C55" s="1262"/>
      <c r="D55" s="1263"/>
      <c r="E55" s="1263"/>
      <c r="F55" s="1264"/>
      <c r="G55" s="1265"/>
      <c r="H55" s="474">
        <f t="shared" si="1"/>
        <v>0</v>
      </c>
    </row>
    <row r="56" spans="1:8" ht="15">
      <c r="A56" s="454" t="s">
        <v>20</v>
      </c>
      <c r="B56" s="1262"/>
      <c r="C56" s="1262"/>
      <c r="D56" s="1263"/>
      <c r="E56" s="1263"/>
      <c r="F56" s="1264"/>
      <c r="G56" s="1265"/>
      <c r="H56" s="474">
        <f t="shared" si="1"/>
        <v>0</v>
      </c>
    </row>
    <row r="57" spans="1:8" ht="15">
      <c r="A57" s="1256"/>
      <c r="B57" s="1256"/>
      <c r="C57" s="1256"/>
      <c r="D57" s="1256"/>
      <c r="E57" s="1256"/>
      <c r="F57" s="1256"/>
      <c r="G57" s="1256"/>
      <c r="H57" s="1259"/>
    </row>
    <row r="58" spans="1:8" ht="15">
      <c r="A58" s="1256"/>
      <c r="B58" s="1256"/>
      <c r="C58" s="1256"/>
      <c r="D58" s="1256"/>
      <c r="E58" s="1256"/>
      <c r="F58" s="1256"/>
      <c r="G58" s="1256"/>
      <c r="H58" s="1259"/>
    </row>
    <row r="59" spans="1:8" ht="15">
      <c r="A59" s="1256"/>
      <c r="B59" s="1256"/>
      <c r="C59" s="1256"/>
      <c r="D59" s="1256"/>
      <c r="E59" s="1256"/>
      <c r="F59" s="1256"/>
      <c r="G59" s="1256"/>
      <c r="H59" s="1259"/>
    </row>
    <row r="60" spans="1:8" ht="15">
      <c r="A60" s="1256"/>
      <c r="B60" s="1256"/>
      <c r="C60" s="1256"/>
      <c r="D60" s="1256"/>
      <c r="E60" s="1256"/>
      <c r="F60" s="1256"/>
      <c r="G60" s="1256"/>
      <c r="H60" s="1259"/>
    </row>
    <row r="61" spans="1:8" ht="15">
      <c r="A61" s="1256"/>
      <c r="B61" s="1256"/>
      <c r="C61" s="1256"/>
      <c r="D61" s="1256"/>
      <c r="E61" s="1256"/>
      <c r="F61" s="1256"/>
      <c r="G61" s="1256"/>
      <c r="H61" s="1259"/>
    </row>
    <row r="62" spans="1:8" ht="15">
      <c r="A62" s="1256"/>
      <c r="B62" s="1256"/>
      <c r="C62" s="1256"/>
      <c r="D62" s="1256"/>
      <c r="E62" s="1256"/>
      <c r="F62" s="1256"/>
      <c r="G62" s="1256"/>
      <c r="H62" s="1259"/>
    </row>
    <row r="63" spans="1:8" ht="15">
      <c r="A63" s="1256"/>
      <c r="B63" s="1256"/>
      <c r="C63" s="1256"/>
      <c r="D63" s="1256"/>
      <c r="E63" s="1256"/>
      <c r="F63" s="1256"/>
      <c r="G63" s="1256"/>
      <c r="H63" s="1259"/>
    </row>
    <row r="64" spans="1:8" ht="15">
      <c r="A64" s="1256"/>
      <c r="B64" s="1256"/>
      <c r="C64" s="1256"/>
      <c r="D64" s="1256"/>
      <c r="E64" s="1256"/>
      <c r="F64" s="1256"/>
      <c r="G64" s="1256"/>
      <c r="H64" s="1259"/>
    </row>
    <row r="65" spans="1:7">
      <c r="A65" s="1256"/>
      <c r="B65" s="1256"/>
      <c r="C65" s="1256"/>
      <c r="D65" s="1256"/>
      <c r="E65" s="1256"/>
      <c r="F65" s="1256"/>
      <c r="G65" s="1256"/>
    </row>
    <row r="66" spans="1:7">
      <c r="A66" s="1256"/>
      <c r="B66" s="1256"/>
      <c r="C66" s="1256"/>
      <c r="D66" s="1256"/>
      <c r="E66" s="1256"/>
      <c r="F66" s="1256"/>
      <c r="G66" s="1256"/>
    </row>
    <row r="67" spans="1:7">
      <c r="A67" s="1256"/>
      <c r="B67" s="1256"/>
      <c r="C67" s="1256"/>
      <c r="D67" s="1256"/>
      <c r="E67" s="1256"/>
      <c r="F67" s="1256"/>
      <c r="G67" s="1256"/>
    </row>
    <row r="68" spans="1:7">
      <c r="A68" s="1256"/>
      <c r="B68" s="1256"/>
      <c r="C68" s="1256"/>
      <c r="D68" s="1256"/>
      <c r="E68" s="1256"/>
      <c r="F68" s="1256"/>
      <c r="G68" s="1256"/>
    </row>
    <row r="69" spans="1:7">
      <c r="A69" s="1256"/>
      <c r="B69" s="1256"/>
      <c r="C69" s="1256"/>
      <c r="D69" s="1256"/>
      <c r="E69" s="1256"/>
      <c r="F69" s="1256"/>
      <c r="G69" s="1256"/>
    </row>
    <row r="70" spans="1:7">
      <c r="A70" s="1256"/>
      <c r="B70" s="1256"/>
      <c r="C70" s="1256"/>
      <c r="D70" s="1256"/>
      <c r="E70" s="1256"/>
      <c r="F70" s="1256"/>
      <c r="G70" s="1256"/>
    </row>
    <row r="71" spans="1:7">
      <c r="A71" s="1256"/>
      <c r="B71" s="1256"/>
      <c r="C71" s="1256"/>
      <c r="D71" s="1256"/>
      <c r="E71" s="1256"/>
      <c r="F71" s="1256"/>
      <c r="G71" s="1256"/>
    </row>
    <row r="72" spans="1:7">
      <c r="A72" s="1256"/>
      <c r="B72" s="1256"/>
      <c r="C72" s="1256"/>
      <c r="D72" s="1256"/>
      <c r="E72" s="1256"/>
      <c r="F72" s="1256"/>
      <c r="G72" s="1256"/>
    </row>
    <row r="73" spans="1:7">
      <c r="A73" s="1256"/>
      <c r="B73" s="1256"/>
      <c r="C73" s="1256"/>
      <c r="D73" s="1256"/>
      <c r="E73" s="1256"/>
      <c r="F73" s="1256"/>
      <c r="G73" s="1256"/>
    </row>
    <row r="74" spans="1:7">
      <c r="A74" s="1256"/>
      <c r="B74" s="1256"/>
      <c r="C74" s="1256"/>
      <c r="D74" s="1256"/>
      <c r="E74" s="1256"/>
      <c r="F74" s="1256"/>
      <c r="G74" s="1256"/>
    </row>
    <row r="75" spans="1:7">
      <c r="A75" s="1256"/>
      <c r="B75" s="1256"/>
      <c r="C75" s="1256"/>
      <c r="D75" s="1256"/>
      <c r="E75" s="1256"/>
      <c r="F75" s="1256"/>
      <c r="G75" s="1256"/>
    </row>
    <row r="76" spans="1:7">
      <c r="A76" s="1256"/>
      <c r="B76" s="1256"/>
      <c r="C76" s="1256"/>
      <c r="D76" s="1256"/>
      <c r="E76" s="1256"/>
      <c r="F76" s="1256"/>
      <c r="G76" s="1256"/>
    </row>
    <row r="77" spans="1:7">
      <c r="A77" s="1256"/>
      <c r="B77" s="1256"/>
      <c r="C77" s="1256"/>
      <c r="D77" s="1256"/>
      <c r="E77" s="1256"/>
      <c r="F77" s="1256"/>
      <c r="G77" s="1256"/>
    </row>
    <row r="78" spans="1:7">
      <c r="A78" s="1256"/>
      <c r="B78" s="1256"/>
      <c r="C78" s="1256"/>
      <c r="D78" s="1256"/>
      <c r="E78" s="1256"/>
      <c r="F78" s="1256"/>
      <c r="G78" s="1256"/>
    </row>
    <row r="79" spans="1:7">
      <c r="A79" s="1256"/>
      <c r="B79" s="1256"/>
      <c r="C79" s="1256"/>
      <c r="D79" s="1256"/>
      <c r="E79" s="1256"/>
      <c r="F79" s="1256"/>
      <c r="G79" s="1256"/>
    </row>
    <row r="80" spans="1:7">
      <c r="A80" s="1256"/>
      <c r="B80" s="1256"/>
      <c r="C80" s="1256"/>
      <c r="D80" s="1256"/>
      <c r="E80" s="1256"/>
      <c r="F80" s="1256"/>
      <c r="G80" s="1256"/>
    </row>
    <row r="81" spans="1:7">
      <c r="A81" s="1256"/>
      <c r="B81" s="1256"/>
      <c r="C81" s="1256"/>
      <c r="D81" s="1256"/>
      <c r="E81" s="1256"/>
      <c r="F81" s="1256"/>
      <c r="G81" s="1256"/>
    </row>
    <row r="82" spans="1:7">
      <c r="A82" s="1256"/>
      <c r="B82" s="1256"/>
      <c r="C82" s="1256"/>
      <c r="D82" s="1256"/>
      <c r="E82" s="1256"/>
      <c r="F82" s="1256"/>
      <c r="G82" s="1256"/>
    </row>
    <row r="83" spans="1:7">
      <c r="A83" s="1256"/>
      <c r="B83" s="1256"/>
      <c r="C83" s="1256"/>
      <c r="D83" s="1256"/>
      <c r="E83" s="1256"/>
      <c r="F83" s="1256"/>
      <c r="G83" s="1256"/>
    </row>
    <row r="84" spans="1:7">
      <c r="A84" s="1256"/>
      <c r="B84" s="1256"/>
      <c r="C84" s="1256"/>
      <c r="D84" s="1256"/>
      <c r="E84" s="1256"/>
      <c r="F84" s="1256"/>
      <c r="G84" s="1256"/>
    </row>
    <row r="85" spans="1:7">
      <c r="A85" s="1256"/>
      <c r="B85" s="1256"/>
      <c r="C85" s="1256"/>
      <c r="D85" s="1256"/>
      <c r="E85" s="1256"/>
      <c r="F85" s="1256"/>
      <c r="G85" s="1256"/>
    </row>
    <row r="86" spans="1:7">
      <c r="A86" s="1256"/>
      <c r="B86" s="1256"/>
      <c r="C86" s="1256"/>
      <c r="D86" s="1256"/>
      <c r="E86" s="1256"/>
      <c r="F86" s="1256"/>
      <c r="G86" s="1256"/>
    </row>
    <row r="87" spans="1:7">
      <c r="A87" s="1256"/>
      <c r="B87" s="1256"/>
      <c r="C87" s="1256"/>
      <c r="D87" s="1256"/>
      <c r="E87" s="1256"/>
      <c r="F87" s="1256"/>
      <c r="G87" s="1256"/>
    </row>
    <row r="88" spans="1:7">
      <c r="A88" s="1256"/>
      <c r="B88" s="1256"/>
      <c r="C88" s="1256"/>
      <c r="D88" s="1256"/>
      <c r="E88" s="1256"/>
      <c r="F88" s="1256"/>
      <c r="G88" s="1256"/>
    </row>
    <row r="89" spans="1:7">
      <c r="A89" s="1256"/>
      <c r="B89" s="1256"/>
      <c r="C89" s="1256"/>
      <c r="D89" s="1256"/>
      <c r="E89" s="1256"/>
      <c r="F89" s="1256"/>
      <c r="G89" s="1256"/>
    </row>
    <row r="90" spans="1:7">
      <c r="A90" s="1256"/>
      <c r="B90" s="1256"/>
      <c r="C90" s="1256"/>
      <c r="D90" s="1256"/>
      <c r="E90" s="1256"/>
      <c r="F90" s="1256"/>
      <c r="G90" s="1256"/>
    </row>
    <row r="101" spans="4:4">
      <c r="D101" s="1270"/>
    </row>
    <row r="102" spans="4:4">
      <c r="D102" s="1270"/>
    </row>
    <row r="103" spans="4:4">
      <c r="D103" s="1270"/>
    </row>
    <row r="104" spans="4:4">
      <c r="D104" s="1270"/>
    </row>
    <row r="105" spans="4:4">
      <c r="D105" s="1270"/>
    </row>
    <row r="106" spans="4:4">
      <c r="D106" s="1270"/>
    </row>
    <row r="107" spans="4:4">
      <c r="D107" s="1270"/>
    </row>
    <row r="109" spans="4:4">
      <c r="D109" s="1270"/>
    </row>
    <row r="111" spans="4:4">
      <c r="D111" s="1271"/>
    </row>
    <row r="113" spans="4:4">
      <c r="D113" s="1270"/>
    </row>
  </sheetData>
  <mergeCells count="4">
    <mergeCell ref="C9:G9"/>
    <mergeCell ref="C10:G10"/>
    <mergeCell ref="C11:G11"/>
    <mergeCell ref="C12:G12"/>
  </mergeCells>
  <dataValidations count="1">
    <dataValidation type="list" allowBlank="1" showInputMessage="1" showErrorMessage="1" sqref="C5">
      <formula1>RegionName</formula1>
    </dataValidation>
  </dataValidations>
  <pageMargins left="0.7" right="0.7" top="0.75" bottom="0.75" header="0.3" footer="0.3"/>
  <pageSetup orientation="portrait" horizontalDpi="0" verticalDpi="0" r:id="rId1"/>
</worksheet>
</file>

<file path=xl/worksheets/sheet163.xml><?xml version="1.0" encoding="utf-8"?>
<worksheet xmlns="http://schemas.openxmlformats.org/spreadsheetml/2006/main" xmlns:r="http://schemas.openxmlformats.org/officeDocument/2006/relationships">
  <sheetPr>
    <pageSetUpPr fitToPage="1"/>
  </sheetPr>
  <dimension ref="A1:H106"/>
  <sheetViews>
    <sheetView topLeftCell="A13" zoomScale="105" zoomScaleNormal="105" workbookViewId="0">
      <selection activeCell="H31" sqref="H31"/>
    </sheetView>
  </sheetViews>
  <sheetFormatPr defaultRowHeight="12.75"/>
  <cols>
    <col min="1" max="1" width="34.5703125" style="2" customWidth="1"/>
    <col min="2" max="2" width="25.42578125" style="2" customWidth="1"/>
    <col min="3" max="3" width="23.42578125" style="2" customWidth="1"/>
    <col min="4" max="4" width="30.7109375" style="2" customWidth="1"/>
    <col min="5" max="5" width="15.140625" style="2" customWidth="1"/>
    <col min="6" max="6" width="11" style="2" customWidth="1"/>
    <col min="7" max="7" width="10.7109375" style="2" bestFit="1" customWidth="1"/>
    <col min="8"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921</v>
      </c>
      <c r="D6" s="456"/>
      <c r="E6" s="457"/>
      <c r="F6" s="458"/>
      <c r="G6" s="458"/>
    </row>
    <row r="7" spans="1:7" ht="21" customHeight="1">
      <c r="A7" s="454" t="s">
        <v>1</v>
      </c>
      <c r="B7" s="454" t="s">
        <v>381</v>
      </c>
      <c r="C7" s="459">
        <v>20</v>
      </c>
      <c r="D7" s="456"/>
      <c r="E7" s="457"/>
      <c r="F7" s="458"/>
      <c r="G7" s="458"/>
    </row>
    <row r="8" spans="1:7" ht="21" customHeight="1">
      <c r="A8" s="454" t="s">
        <v>382</v>
      </c>
      <c r="B8" s="454" t="s">
        <v>383</v>
      </c>
      <c r="C8" s="460" t="s">
        <v>922</v>
      </c>
      <c r="D8" s="461"/>
      <c r="E8" s="457"/>
      <c r="F8" s="457"/>
      <c r="G8" s="461"/>
    </row>
    <row r="9" spans="1:7" ht="29.25" customHeight="1">
      <c r="A9" s="454" t="s">
        <v>382</v>
      </c>
      <c r="B9" s="454" t="s">
        <v>385</v>
      </c>
      <c r="C9" s="2009" t="s">
        <v>923</v>
      </c>
      <c r="D9" s="2010"/>
      <c r="E9" s="2010"/>
      <c r="F9" s="2010"/>
      <c r="G9" s="2011"/>
    </row>
    <row r="10" spans="1:7" ht="79.5" customHeight="1">
      <c r="A10" s="454" t="s">
        <v>382</v>
      </c>
      <c r="B10" s="454" t="s">
        <v>387</v>
      </c>
      <c r="C10" s="2009" t="s">
        <v>924</v>
      </c>
      <c r="D10" s="2010"/>
      <c r="E10" s="2010"/>
      <c r="F10" s="2010"/>
      <c r="G10" s="2011"/>
    </row>
    <row r="11" spans="1:7" ht="80.25" customHeight="1">
      <c r="A11" s="454" t="s">
        <v>382</v>
      </c>
      <c r="B11" s="454" t="s">
        <v>389</v>
      </c>
      <c r="C11" s="2009" t="s">
        <v>925</v>
      </c>
      <c r="D11" s="2010"/>
      <c r="E11" s="2010"/>
      <c r="F11" s="2010"/>
      <c r="G11" s="2011"/>
    </row>
    <row r="12" spans="1:7" ht="44.25" customHeight="1">
      <c r="A12" s="454" t="s">
        <v>382</v>
      </c>
      <c r="B12" s="454" t="s">
        <v>391</v>
      </c>
      <c r="C12" s="2009" t="s">
        <v>926</v>
      </c>
      <c r="D12" s="2010"/>
      <c r="E12" s="2010"/>
      <c r="F12" s="2010"/>
      <c r="G12" s="2011"/>
    </row>
    <row r="13" spans="1:7" ht="21" customHeight="1">
      <c r="A13" s="454" t="s">
        <v>382</v>
      </c>
      <c r="B13" s="454" t="s">
        <v>393</v>
      </c>
      <c r="C13" s="455" t="s">
        <v>775</v>
      </c>
      <c r="D13" s="456"/>
      <c r="E13" s="457"/>
      <c r="F13" s="457"/>
      <c r="G13" s="456"/>
    </row>
    <row r="14" spans="1:7" ht="21" customHeight="1">
      <c r="A14" s="454" t="s">
        <v>382</v>
      </c>
      <c r="B14" s="454" t="s">
        <v>395</v>
      </c>
      <c r="C14" s="459">
        <v>500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720</v>
      </c>
      <c r="C18" s="466">
        <f>B18/C$14</f>
        <v>1.44</v>
      </c>
      <c r="D18" s="49"/>
      <c r="E18" s="89"/>
      <c r="F18" s="89"/>
      <c r="G18" s="49"/>
    </row>
    <row r="19" spans="1:8" ht="15">
      <c r="A19" s="454" t="s">
        <v>2</v>
      </c>
      <c r="B19" s="465">
        <f>SUM(H34:H36)</f>
        <v>573.12724550897997</v>
      </c>
      <c r="C19" s="466">
        <f t="shared" ref="C19:C27" si="0">B19/C$14</f>
        <v>1.14625449101796</v>
      </c>
      <c r="D19" s="49"/>
      <c r="E19" s="89"/>
      <c r="F19" s="89"/>
      <c r="G19" s="49"/>
    </row>
    <row r="20" spans="1:8" ht="15">
      <c r="A20" s="454" t="s">
        <v>3</v>
      </c>
      <c r="B20" s="465">
        <f>SUM(H37:H39)</f>
        <v>82.327914438502802</v>
      </c>
      <c r="C20" s="466">
        <f t="shared" si="0"/>
        <v>0.16465582887700561</v>
      </c>
      <c r="D20" s="49"/>
      <c r="E20" s="89"/>
      <c r="F20" s="89"/>
      <c r="G20" s="49"/>
    </row>
    <row r="21" spans="1:8" ht="15">
      <c r="A21" s="454" t="s">
        <v>4</v>
      </c>
      <c r="B21" s="465">
        <f>H40</f>
        <v>68.772757997374143</v>
      </c>
      <c r="C21" s="466">
        <f t="shared" si="0"/>
        <v>0.13754551599474829</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1444.2279179448569</v>
      </c>
      <c r="C27" s="466">
        <f t="shared" si="0"/>
        <v>2.8884558358897139</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975</v>
      </c>
      <c r="C31" s="470" t="s">
        <v>927</v>
      </c>
      <c r="D31" s="471" t="s">
        <v>928</v>
      </c>
      <c r="E31" s="471" t="s">
        <v>785</v>
      </c>
      <c r="F31" s="472">
        <v>1.44</v>
      </c>
      <c r="G31" s="486">
        <v>500</v>
      </c>
      <c r="H31" s="474">
        <f t="shared" ref="H31:H49" si="1">IF(G31&lt;=0, 0, F31*G31)</f>
        <v>720</v>
      </c>
    </row>
    <row r="32" spans="1:8" ht="15">
      <c r="A32" s="454" t="s">
        <v>0</v>
      </c>
      <c r="B32" s="470"/>
      <c r="C32" s="470"/>
      <c r="D32" s="471"/>
      <c r="E32" s="471"/>
      <c r="F32" s="472"/>
      <c r="G32" s="486"/>
      <c r="H32" s="474">
        <f t="shared" si="1"/>
        <v>0</v>
      </c>
    </row>
    <row r="33" spans="1:8" ht="15">
      <c r="A33" s="454" t="s">
        <v>0</v>
      </c>
      <c r="B33" s="470"/>
      <c r="C33" s="470"/>
      <c r="D33" s="471"/>
      <c r="E33" s="1272"/>
      <c r="F33" s="1273"/>
      <c r="G33" s="486"/>
      <c r="H33" s="474">
        <f t="shared" si="1"/>
        <v>0</v>
      </c>
    </row>
    <row r="34" spans="1:8" ht="15">
      <c r="A34" s="454" t="s">
        <v>2</v>
      </c>
      <c r="B34" s="470">
        <v>53</v>
      </c>
      <c r="C34" s="470" t="s">
        <v>929</v>
      </c>
      <c r="D34" s="471" t="s">
        <v>930</v>
      </c>
      <c r="E34" s="471" t="s">
        <v>785</v>
      </c>
      <c r="F34" s="472">
        <v>1.14625449101796</v>
      </c>
      <c r="G34" s="486">
        <v>500</v>
      </c>
      <c r="H34" s="474">
        <f t="shared" si="1"/>
        <v>573.12724550897997</v>
      </c>
    </row>
    <row r="35" spans="1:8" ht="15">
      <c r="A35" s="454" t="s">
        <v>2</v>
      </c>
      <c r="B35" s="470"/>
      <c r="C35" s="470"/>
      <c r="D35" s="471"/>
      <c r="E35" s="471"/>
      <c r="F35" s="472"/>
      <c r="G35" s="486"/>
      <c r="H35" s="474">
        <f t="shared" si="1"/>
        <v>0</v>
      </c>
    </row>
    <row r="36" spans="1:8" ht="15">
      <c r="A36" s="454" t="s">
        <v>2</v>
      </c>
      <c r="B36" s="470"/>
      <c r="C36" s="470"/>
      <c r="D36" s="471"/>
      <c r="E36" s="471"/>
      <c r="F36" s="472"/>
      <c r="G36" s="486"/>
      <c r="H36" s="474">
        <f t="shared" si="1"/>
        <v>0</v>
      </c>
    </row>
    <row r="37" spans="1:8" ht="15">
      <c r="A37" s="454" t="s">
        <v>3</v>
      </c>
      <c r="B37" s="470">
        <v>231</v>
      </c>
      <c r="C37" s="470" t="s">
        <v>578</v>
      </c>
      <c r="D37" s="471" t="s">
        <v>579</v>
      </c>
      <c r="E37" s="471" t="s">
        <v>411</v>
      </c>
      <c r="F37" s="472">
        <v>20.5819786096257</v>
      </c>
      <c r="G37" s="486">
        <v>4</v>
      </c>
      <c r="H37" s="474">
        <f t="shared" si="1"/>
        <v>82.327914438502802</v>
      </c>
    </row>
    <row r="38" spans="1:8" ht="15">
      <c r="A38" s="454" t="s">
        <v>3</v>
      </c>
      <c r="B38" s="470"/>
      <c r="C38" s="470"/>
      <c r="D38" s="471"/>
      <c r="E38" s="471"/>
      <c r="F38" s="472"/>
      <c r="G38" s="486"/>
      <c r="H38" s="474">
        <f t="shared" si="1"/>
        <v>0</v>
      </c>
    </row>
    <row r="39" spans="1:8" ht="15">
      <c r="A39" s="454" t="s">
        <v>3</v>
      </c>
      <c r="B39" s="470"/>
      <c r="C39" s="470"/>
      <c r="D39" s="471"/>
      <c r="E39" s="471"/>
      <c r="F39" s="472"/>
      <c r="G39" s="486"/>
      <c r="H39" s="474">
        <f t="shared" si="1"/>
        <v>0</v>
      </c>
    </row>
    <row r="40" spans="1:8" ht="15">
      <c r="A40" s="454" t="s">
        <v>4</v>
      </c>
      <c r="B40" s="470">
        <v>1043</v>
      </c>
      <c r="C40" s="470" t="s">
        <v>4</v>
      </c>
      <c r="D40" s="471" t="s">
        <v>931</v>
      </c>
      <c r="E40" s="471" t="s">
        <v>418</v>
      </c>
      <c r="F40" s="481">
        <v>0.05</v>
      </c>
      <c r="G40" s="486">
        <f>SUM(H31:H39)</f>
        <v>1375.4551599474828</v>
      </c>
      <c r="H40" s="474">
        <f t="shared" si="1"/>
        <v>68.772757997374143</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8" orientation="portrait" r:id="rId1"/>
  <headerFooter alignWithMargins="0"/>
</worksheet>
</file>

<file path=xl/worksheets/sheet164.xml><?xml version="1.0" encoding="utf-8"?>
<worksheet xmlns="http://schemas.openxmlformats.org/spreadsheetml/2006/main" xmlns:r="http://schemas.openxmlformats.org/officeDocument/2006/relationships">
  <sheetPr>
    <pageSetUpPr fitToPage="1"/>
  </sheetPr>
  <dimension ref="A1:H107"/>
  <sheetViews>
    <sheetView topLeftCell="A16" zoomScale="105" zoomScaleNormal="105" workbookViewId="0">
      <selection activeCell="H31" sqref="H31"/>
    </sheetView>
  </sheetViews>
  <sheetFormatPr defaultRowHeight="12.75"/>
  <cols>
    <col min="1" max="1" width="34.5703125" style="2" customWidth="1"/>
    <col min="2" max="2" width="25.42578125" style="2" customWidth="1"/>
    <col min="3" max="3" width="23.42578125" style="2" customWidth="1"/>
    <col min="4" max="4" width="30.7109375" style="2" customWidth="1"/>
    <col min="5" max="5" width="15.140625" style="2" customWidth="1"/>
    <col min="6" max="6" width="11" style="2" customWidth="1"/>
    <col min="7" max="7" width="10.7109375" style="2" bestFit="1" customWidth="1"/>
    <col min="8"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921</v>
      </c>
      <c r="D6" s="456"/>
      <c r="E6" s="457"/>
      <c r="F6" s="458"/>
      <c r="G6" s="458"/>
    </row>
    <row r="7" spans="1:7" ht="21" customHeight="1">
      <c r="A7" s="454" t="s">
        <v>1</v>
      </c>
      <c r="B7" s="454" t="s">
        <v>381</v>
      </c>
      <c r="C7" s="459">
        <v>20</v>
      </c>
      <c r="D7" s="456"/>
      <c r="E7" s="457"/>
      <c r="F7" s="458"/>
      <c r="G7" s="458"/>
    </row>
    <row r="8" spans="1:7" ht="21" customHeight="1">
      <c r="A8" s="454" t="s">
        <v>382</v>
      </c>
      <c r="B8" s="454" t="s">
        <v>383</v>
      </c>
      <c r="C8" s="460" t="s">
        <v>932</v>
      </c>
      <c r="D8" s="461"/>
      <c r="E8" s="457"/>
      <c r="F8" s="457"/>
      <c r="G8" s="461"/>
    </row>
    <row r="9" spans="1:7" ht="41.25" customHeight="1">
      <c r="A9" s="454" t="s">
        <v>382</v>
      </c>
      <c r="B9" s="454" t="s">
        <v>385</v>
      </c>
      <c r="C9" s="2009" t="s">
        <v>933</v>
      </c>
      <c r="D9" s="2010"/>
      <c r="E9" s="2010"/>
      <c r="F9" s="2010"/>
      <c r="G9" s="2011"/>
    </row>
    <row r="10" spans="1:7" ht="80.25" customHeight="1">
      <c r="A10" s="454" t="s">
        <v>382</v>
      </c>
      <c r="B10" s="454" t="s">
        <v>387</v>
      </c>
      <c r="C10" s="2009" t="s">
        <v>924</v>
      </c>
      <c r="D10" s="2010"/>
      <c r="E10" s="2010"/>
      <c r="F10" s="2010"/>
      <c r="G10" s="2011"/>
    </row>
    <row r="11" spans="1:7" ht="81.75" customHeight="1">
      <c r="A11" s="454" t="s">
        <v>382</v>
      </c>
      <c r="B11" s="454" t="s">
        <v>389</v>
      </c>
      <c r="C11" s="2009" t="s">
        <v>934</v>
      </c>
      <c r="D11" s="2010"/>
      <c r="E11" s="2010"/>
      <c r="F11" s="2010"/>
      <c r="G11" s="2011"/>
    </row>
    <row r="12" spans="1:7" ht="41.25" customHeight="1">
      <c r="A12" s="454" t="s">
        <v>382</v>
      </c>
      <c r="B12" s="454" t="s">
        <v>391</v>
      </c>
      <c r="C12" s="2009" t="s">
        <v>926</v>
      </c>
      <c r="D12" s="2010"/>
      <c r="E12" s="2010"/>
      <c r="F12" s="2010"/>
      <c r="G12" s="2011"/>
    </row>
    <row r="13" spans="1:7" ht="21" customHeight="1">
      <c r="A13" s="454" t="s">
        <v>382</v>
      </c>
      <c r="B13" s="454" t="s">
        <v>393</v>
      </c>
      <c r="C13" s="455" t="s">
        <v>775</v>
      </c>
      <c r="D13" s="456"/>
      <c r="E13" s="457"/>
      <c r="F13" s="457"/>
      <c r="G13" s="456"/>
    </row>
    <row r="14" spans="1:7" ht="21" customHeight="1">
      <c r="A14" s="454" t="s">
        <v>382</v>
      </c>
      <c r="B14" s="454" t="s">
        <v>395</v>
      </c>
      <c r="C14" s="459">
        <v>500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SUM(H31:H34)</f>
        <v>1227.440099124409</v>
      </c>
      <c r="C18" s="466">
        <f>B18/C$14</f>
        <v>2.454880198248818</v>
      </c>
      <c r="D18" s="49"/>
      <c r="E18" s="89"/>
      <c r="F18" s="89"/>
      <c r="G18" s="49"/>
    </row>
    <row r="19" spans="1:8" ht="15">
      <c r="A19" s="454" t="s">
        <v>2</v>
      </c>
      <c r="B19" s="465">
        <f>SUM(H35:H37)</f>
        <v>573.12724550897997</v>
      </c>
      <c r="C19" s="466">
        <f t="shared" ref="C19:C27" si="0">B19/C$14</f>
        <v>1.14625449101796</v>
      </c>
      <c r="D19" s="49"/>
      <c r="E19" s="89"/>
      <c r="F19" s="89"/>
      <c r="G19" s="49"/>
    </row>
    <row r="20" spans="1:8" ht="15">
      <c r="A20" s="454" t="s">
        <v>3</v>
      </c>
      <c r="B20" s="465">
        <f>SUM(H38:H40)</f>
        <v>82.327914438502802</v>
      </c>
      <c r="C20" s="466">
        <f t="shared" si="0"/>
        <v>0.16465582887700561</v>
      </c>
      <c r="D20" s="49"/>
      <c r="E20" s="89"/>
      <c r="F20" s="89"/>
      <c r="G20" s="49"/>
    </row>
    <row r="21" spans="1:8" ht="15">
      <c r="A21" s="454" t="s">
        <v>4</v>
      </c>
      <c r="B21" s="465">
        <f>H41</f>
        <v>94.144762953594594</v>
      </c>
      <c r="C21" s="466">
        <f t="shared" si="0"/>
        <v>0.1882895259071892</v>
      </c>
      <c r="D21" s="49"/>
      <c r="E21" s="89"/>
      <c r="F21" s="89"/>
      <c r="G21" s="49"/>
    </row>
    <row r="22" spans="1:8" ht="15">
      <c r="A22" s="454" t="s">
        <v>26</v>
      </c>
      <c r="B22" s="465">
        <f>H42</f>
        <v>0</v>
      </c>
      <c r="C22" s="466">
        <f t="shared" si="0"/>
        <v>0</v>
      </c>
      <c r="D22" s="49"/>
      <c r="E22" s="89"/>
      <c r="F22" s="89"/>
      <c r="G22" s="49"/>
    </row>
    <row r="23" spans="1:8" ht="15">
      <c r="A23" s="454" t="s">
        <v>7</v>
      </c>
      <c r="B23" s="465">
        <f>SUM(H43:H45)</f>
        <v>0</v>
      </c>
      <c r="C23" s="466">
        <f t="shared" si="0"/>
        <v>0</v>
      </c>
      <c r="D23" s="49"/>
      <c r="E23" s="89"/>
      <c r="F23" s="89"/>
      <c r="G23" s="49"/>
    </row>
    <row r="24" spans="1:8" ht="15">
      <c r="A24" s="454" t="s">
        <v>27</v>
      </c>
      <c r="B24" s="465">
        <f>SUM(H46:H48)</f>
        <v>0</v>
      </c>
      <c r="C24" s="466">
        <f t="shared" si="0"/>
        <v>0</v>
      </c>
      <c r="D24" s="49"/>
      <c r="E24" s="89"/>
      <c r="F24" s="89"/>
      <c r="G24" s="49"/>
    </row>
    <row r="25" spans="1:8" ht="15">
      <c r="A25" s="454" t="s">
        <v>5</v>
      </c>
      <c r="B25" s="465">
        <f>G49</f>
        <v>0</v>
      </c>
      <c r="C25" s="466">
        <f t="shared" si="0"/>
        <v>0</v>
      </c>
      <c r="D25" s="49"/>
      <c r="E25" s="89"/>
      <c r="F25" s="89"/>
      <c r="G25" s="49"/>
    </row>
    <row r="26" spans="1:8" ht="15">
      <c r="A26" s="454" t="s">
        <v>20</v>
      </c>
      <c r="B26" s="465">
        <f>H49</f>
        <v>0</v>
      </c>
      <c r="C26" s="466">
        <f t="shared" si="0"/>
        <v>0</v>
      </c>
      <c r="D26" s="49"/>
      <c r="E26" s="89"/>
      <c r="F26" s="89"/>
      <c r="G26" s="49"/>
    </row>
    <row r="27" spans="1:8" ht="15">
      <c r="A27" s="454" t="s">
        <v>399</v>
      </c>
      <c r="B27" s="465">
        <f>SUM(B18:B26)</f>
        <v>1977.0400220254865</v>
      </c>
      <c r="C27" s="466">
        <f t="shared" si="0"/>
        <v>3.9540800440509729</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240</v>
      </c>
      <c r="C31" s="470" t="s">
        <v>935</v>
      </c>
      <c r="D31" s="471" t="s">
        <v>936</v>
      </c>
      <c r="E31" s="1201" t="s">
        <v>778</v>
      </c>
      <c r="F31" s="472">
        <v>63.49</v>
      </c>
      <c r="G31" s="486">
        <v>2</v>
      </c>
      <c r="H31" s="474">
        <f>IF(G37&lt;=0, 0, F37*G37)</f>
        <v>573.12724550897997</v>
      </c>
    </row>
    <row r="32" spans="1:8" ht="15">
      <c r="A32" s="454" t="s">
        <v>0</v>
      </c>
      <c r="B32" s="470">
        <v>974</v>
      </c>
      <c r="C32" s="470" t="s">
        <v>937</v>
      </c>
      <c r="D32" s="471" t="s">
        <v>938</v>
      </c>
      <c r="E32" s="471" t="s">
        <v>785</v>
      </c>
      <c r="F32" s="472">
        <v>1.0289088873415999</v>
      </c>
      <c r="G32" s="486">
        <v>500</v>
      </c>
      <c r="H32" s="474">
        <f t="shared" ref="H32:H50" si="1">IF(G32&lt;=0, 0, F32*G32)</f>
        <v>514.45444367079995</v>
      </c>
    </row>
    <row r="33" spans="1:8" ht="15">
      <c r="A33" s="454" t="s">
        <v>0</v>
      </c>
      <c r="B33" s="470">
        <v>227</v>
      </c>
      <c r="C33" s="470" t="s">
        <v>939</v>
      </c>
      <c r="D33" s="471"/>
      <c r="E33" s="471" t="s">
        <v>778</v>
      </c>
      <c r="F33" s="472">
        <v>79.806547619047606</v>
      </c>
      <c r="G33" s="486">
        <v>1</v>
      </c>
      <c r="H33" s="474">
        <f t="shared" si="1"/>
        <v>79.806547619047606</v>
      </c>
    </row>
    <row r="34" spans="1:8" ht="15">
      <c r="A34" s="454" t="s">
        <v>0</v>
      </c>
      <c r="B34" s="470">
        <v>1042</v>
      </c>
      <c r="C34" s="470" t="s">
        <v>940</v>
      </c>
      <c r="D34" s="471" t="s">
        <v>941</v>
      </c>
      <c r="E34" s="471" t="s">
        <v>778</v>
      </c>
      <c r="F34" s="472">
        <v>30.025931162790702</v>
      </c>
      <c r="G34" s="486">
        <v>2</v>
      </c>
      <c r="H34" s="474">
        <f t="shared" si="1"/>
        <v>60.051862325581403</v>
      </c>
    </row>
    <row r="35" spans="1:8" ht="15">
      <c r="A35" s="454" t="s">
        <v>2</v>
      </c>
      <c r="B35" s="470"/>
      <c r="C35" s="1274"/>
      <c r="D35" s="471"/>
      <c r="E35" s="1201"/>
      <c r="F35" s="1273"/>
      <c r="G35" s="486"/>
      <c r="H35" s="474">
        <f t="shared" si="1"/>
        <v>0</v>
      </c>
    </row>
    <row r="36" spans="1:8" ht="15">
      <c r="A36" s="454" t="s">
        <v>2</v>
      </c>
      <c r="B36" s="470"/>
      <c r="C36" s="470"/>
      <c r="D36" s="471"/>
      <c r="E36" s="471"/>
      <c r="F36" s="472"/>
      <c r="G36" s="486"/>
      <c r="H36" s="474">
        <f t="shared" si="1"/>
        <v>0</v>
      </c>
    </row>
    <row r="37" spans="1:8" ht="15">
      <c r="A37" s="454" t="s">
        <v>2</v>
      </c>
      <c r="B37" s="470">
        <v>53</v>
      </c>
      <c r="C37" s="470" t="s">
        <v>929</v>
      </c>
      <c r="D37" s="471" t="s">
        <v>930</v>
      </c>
      <c r="E37" s="471" t="s">
        <v>785</v>
      </c>
      <c r="F37" s="472">
        <v>1.14625449101796</v>
      </c>
      <c r="G37" s="486">
        <v>500</v>
      </c>
      <c r="H37" s="474">
        <f t="shared" si="1"/>
        <v>573.12724550897997</v>
      </c>
    </row>
    <row r="38" spans="1:8" ht="15">
      <c r="A38" s="454" t="s">
        <v>3</v>
      </c>
      <c r="B38" s="470">
        <v>231</v>
      </c>
      <c r="C38" s="470" t="s">
        <v>578</v>
      </c>
      <c r="D38" s="471" t="s">
        <v>579</v>
      </c>
      <c r="E38" s="471" t="s">
        <v>411</v>
      </c>
      <c r="F38" s="472">
        <v>20.5819786096257</v>
      </c>
      <c r="G38" s="486">
        <v>4</v>
      </c>
      <c r="H38" s="474">
        <f t="shared" si="1"/>
        <v>82.327914438502802</v>
      </c>
    </row>
    <row r="39" spans="1:8" ht="15">
      <c r="A39" s="454" t="s">
        <v>3</v>
      </c>
      <c r="B39" s="470"/>
      <c r="C39" s="470"/>
      <c r="D39" s="471"/>
      <c r="E39" s="471"/>
      <c r="F39" s="472"/>
      <c r="G39" s="486"/>
      <c r="H39" s="474">
        <f t="shared" si="1"/>
        <v>0</v>
      </c>
    </row>
    <row r="40" spans="1:8" ht="15">
      <c r="A40" s="454" t="s">
        <v>3</v>
      </c>
      <c r="B40" s="470"/>
      <c r="C40" s="470"/>
      <c r="D40" s="471"/>
      <c r="E40" s="471"/>
      <c r="F40" s="481"/>
      <c r="G40" s="486"/>
      <c r="H40" s="474">
        <f t="shared" si="1"/>
        <v>0</v>
      </c>
    </row>
    <row r="41" spans="1:8" ht="15">
      <c r="A41" s="454" t="s">
        <v>4</v>
      </c>
      <c r="B41" s="470">
        <v>1043</v>
      </c>
      <c r="C41" s="470" t="s">
        <v>4</v>
      </c>
      <c r="D41" s="471" t="s">
        <v>931</v>
      </c>
      <c r="E41" s="471" t="s">
        <v>418</v>
      </c>
      <c r="F41" s="481">
        <v>0.05</v>
      </c>
      <c r="G41" s="486">
        <f>SUM(H31:H40)</f>
        <v>1882.8952590718918</v>
      </c>
      <c r="H41" s="474">
        <f t="shared" si="1"/>
        <v>94.144762953594594</v>
      </c>
    </row>
    <row r="42" spans="1:8" ht="16.5" customHeight="1">
      <c r="A42" s="454" t="s">
        <v>419</v>
      </c>
      <c r="B42" s="470"/>
      <c r="C42" s="470"/>
      <c r="D42" s="471"/>
      <c r="E42" s="471"/>
      <c r="F42" s="481"/>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7</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421</v>
      </c>
      <c r="B48" s="470"/>
      <c r="C48" s="470"/>
      <c r="D48" s="471"/>
      <c r="E48" s="471"/>
      <c r="F48" s="472"/>
      <c r="G48" s="486"/>
      <c r="H48" s="474">
        <f t="shared" si="1"/>
        <v>0</v>
      </c>
    </row>
    <row r="49" spans="1:8" ht="15">
      <c r="A49" s="454" t="s">
        <v>5</v>
      </c>
      <c r="B49" s="470"/>
      <c r="C49" s="470"/>
      <c r="D49" s="471"/>
      <c r="E49" s="471"/>
      <c r="F49" s="472"/>
      <c r="G49" s="486"/>
      <c r="H49" s="474">
        <f t="shared" si="1"/>
        <v>0</v>
      </c>
    </row>
    <row r="50" spans="1:8" ht="15">
      <c r="A50" s="454" t="s">
        <v>20</v>
      </c>
      <c r="B50" s="470"/>
      <c r="C50" s="470"/>
      <c r="D50" s="471"/>
      <c r="E50" s="471"/>
      <c r="F50" s="472"/>
      <c r="G50" s="486"/>
      <c r="H50" s="474">
        <f t="shared" si="1"/>
        <v>0</v>
      </c>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95" spans="1:7">
      <c r="D95" s="57"/>
    </row>
    <row r="96" spans="1:7">
      <c r="D96" s="57"/>
    </row>
    <row r="97" spans="4:4">
      <c r="D97" s="57"/>
    </row>
    <row r="98" spans="4:4">
      <c r="D98" s="57"/>
    </row>
    <row r="99" spans="4:4">
      <c r="D99" s="57"/>
    </row>
    <row r="100" spans="4:4">
      <c r="D100" s="57"/>
    </row>
    <row r="101" spans="4:4">
      <c r="D101" s="57"/>
    </row>
    <row r="103" spans="4:4">
      <c r="D103" s="57"/>
    </row>
    <row r="105" spans="4:4">
      <c r="D105" s="56"/>
    </row>
    <row r="107" spans="4:4">
      <c r="D107"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8" orientation="portrait" r:id="rId1"/>
  <headerFooter alignWithMargins="0"/>
</worksheet>
</file>

<file path=xl/worksheets/sheet165.xml><?xml version="1.0" encoding="utf-8"?>
<worksheet xmlns="http://schemas.openxmlformats.org/spreadsheetml/2006/main" xmlns:r="http://schemas.openxmlformats.org/officeDocument/2006/relationships">
  <sheetPr>
    <pageSetUpPr fitToPage="1"/>
  </sheetPr>
  <dimension ref="A1:H108"/>
  <sheetViews>
    <sheetView topLeftCell="C16" zoomScale="105" zoomScaleNormal="105" workbookViewId="0">
      <selection activeCell="J34" sqref="J34"/>
    </sheetView>
  </sheetViews>
  <sheetFormatPr defaultRowHeight="12.75"/>
  <cols>
    <col min="1" max="1" width="34.5703125" style="2" customWidth="1"/>
    <col min="2" max="2" width="25.42578125" style="2" customWidth="1"/>
    <col min="3" max="3" width="23.42578125" style="2" customWidth="1"/>
    <col min="4" max="4" width="30.7109375" style="2" customWidth="1"/>
    <col min="5" max="5" width="15.140625" style="2" customWidth="1"/>
    <col min="6" max="6" width="11" style="2" customWidth="1"/>
    <col min="7" max="7" width="10.7109375" style="2" bestFit="1" customWidth="1"/>
    <col min="8" max="8" width="10.710937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921</v>
      </c>
      <c r="D6" s="456"/>
      <c r="E6" s="457"/>
      <c r="F6" s="458"/>
      <c r="G6" s="458"/>
    </row>
    <row r="7" spans="1:7" ht="21" customHeight="1">
      <c r="A7" s="454" t="s">
        <v>1</v>
      </c>
      <c r="B7" s="454" t="s">
        <v>381</v>
      </c>
      <c r="C7" s="459">
        <v>20</v>
      </c>
      <c r="D7" s="456"/>
      <c r="E7" s="457"/>
      <c r="F7" s="458"/>
      <c r="G7" s="458"/>
    </row>
    <row r="8" spans="1:7" ht="21" customHeight="1">
      <c r="A8" s="454" t="s">
        <v>382</v>
      </c>
      <c r="B8" s="454" t="s">
        <v>383</v>
      </c>
      <c r="C8" s="460" t="s">
        <v>942</v>
      </c>
      <c r="D8" s="461"/>
      <c r="E8" s="457"/>
      <c r="F8" s="457"/>
      <c r="G8" s="461"/>
    </row>
    <row r="9" spans="1:7" ht="34.5" customHeight="1">
      <c r="A9" s="454" t="s">
        <v>382</v>
      </c>
      <c r="B9" s="454" t="s">
        <v>385</v>
      </c>
      <c r="C9" s="2200" t="s">
        <v>943</v>
      </c>
      <c r="D9" s="2201"/>
      <c r="E9" s="2201"/>
      <c r="F9" s="2201"/>
      <c r="G9" s="2202"/>
    </row>
    <row r="10" spans="1:7" ht="81" customHeight="1">
      <c r="A10" s="454" t="s">
        <v>382</v>
      </c>
      <c r="B10" s="454" t="s">
        <v>387</v>
      </c>
      <c r="C10" s="2009" t="s">
        <v>924</v>
      </c>
      <c r="D10" s="2010"/>
      <c r="E10" s="2010"/>
      <c r="F10" s="2010"/>
      <c r="G10" s="2011"/>
    </row>
    <row r="11" spans="1:7" ht="94.5" customHeight="1">
      <c r="A11" s="454" t="s">
        <v>382</v>
      </c>
      <c r="B11" s="454" t="s">
        <v>389</v>
      </c>
      <c r="C11" s="2009" t="s">
        <v>944</v>
      </c>
      <c r="D11" s="2010"/>
      <c r="E11" s="2010"/>
      <c r="F11" s="2010"/>
      <c r="G11" s="2011"/>
    </row>
    <row r="12" spans="1:7" ht="43.5" customHeight="1">
      <c r="A12" s="454" t="s">
        <v>382</v>
      </c>
      <c r="B12" s="454" t="s">
        <v>391</v>
      </c>
      <c r="C12" s="2009" t="s">
        <v>926</v>
      </c>
      <c r="D12" s="2010"/>
      <c r="E12" s="2010"/>
      <c r="F12" s="2010"/>
      <c r="G12" s="2011"/>
    </row>
    <row r="13" spans="1:7" ht="21" customHeight="1">
      <c r="A13" s="454" t="s">
        <v>382</v>
      </c>
      <c r="B13" s="454" t="s">
        <v>393</v>
      </c>
      <c r="C13" s="455" t="s">
        <v>775</v>
      </c>
      <c r="D13" s="456"/>
      <c r="E13" s="457"/>
      <c r="F13" s="457"/>
      <c r="G13" s="456"/>
    </row>
    <row r="14" spans="1:7" ht="21" customHeight="1">
      <c r="A14" s="454" t="s">
        <v>382</v>
      </c>
      <c r="B14" s="454" t="s">
        <v>395</v>
      </c>
      <c r="C14" s="459">
        <v>500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SUM(H31:H35)</f>
        <v>975.81840994462902</v>
      </c>
      <c r="C18" s="466">
        <f>B18/C$14</f>
        <v>1.951636819889258</v>
      </c>
      <c r="D18" s="49"/>
      <c r="E18" s="89"/>
      <c r="F18" s="89"/>
      <c r="G18" s="49"/>
    </row>
    <row r="19" spans="1:8" ht="15">
      <c r="A19" s="454" t="s">
        <v>2</v>
      </c>
      <c r="B19" s="465">
        <f>SUM(H36:H38)</f>
        <v>2311.2488739729843</v>
      </c>
      <c r="C19" s="466">
        <f t="shared" ref="C19:C27" si="0">B19/C$14</f>
        <v>4.6224977479459683</v>
      </c>
      <c r="D19" s="49"/>
      <c r="E19" s="89"/>
      <c r="F19" s="89"/>
      <c r="G19" s="49"/>
    </row>
    <row r="20" spans="1:8" ht="15">
      <c r="A20" s="454" t="s">
        <v>3</v>
      </c>
      <c r="B20" s="465">
        <f>SUM(H39:H41)</f>
        <v>82.327914438502802</v>
      </c>
      <c r="C20" s="466">
        <f t="shared" si="0"/>
        <v>0.16465582887700561</v>
      </c>
      <c r="D20" s="49"/>
      <c r="E20" s="89"/>
      <c r="F20" s="89"/>
      <c r="G20" s="49"/>
    </row>
    <row r="21" spans="1:8" ht="15">
      <c r="A21" s="454" t="s">
        <v>4</v>
      </c>
      <c r="B21" s="465">
        <f>H42</f>
        <v>112.5</v>
      </c>
      <c r="C21" s="466">
        <f t="shared" si="0"/>
        <v>0.22500000000000001</v>
      </c>
      <c r="D21" s="49"/>
      <c r="E21" s="89"/>
      <c r="F21" s="89"/>
      <c r="G21" s="49"/>
    </row>
    <row r="22" spans="1:8" ht="15">
      <c r="A22" s="454" t="s">
        <v>26</v>
      </c>
      <c r="B22" s="465">
        <f>H43</f>
        <v>0</v>
      </c>
      <c r="C22" s="466">
        <f t="shared" si="0"/>
        <v>0</v>
      </c>
      <c r="D22" s="49"/>
      <c r="E22" s="89"/>
      <c r="F22" s="89"/>
      <c r="G22" s="49"/>
    </row>
    <row r="23" spans="1:8" ht="15">
      <c r="A23" s="454" t="s">
        <v>7</v>
      </c>
      <c r="B23" s="465">
        <f>SUM(H44:H46)</f>
        <v>0</v>
      </c>
      <c r="C23" s="466">
        <f t="shared" si="0"/>
        <v>0</v>
      </c>
      <c r="D23" s="49"/>
      <c r="E23" s="89"/>
      <c r="F23" s="89"/>
      <c r="G23" s="49"/>
    </row>
    <row r="24" spans="1:8" ht="15">
      <c r="A24" s="454" t="s">
        <v>27</v>
      </c>
      <c r="B24" s="465">
        <f>SUM(H47:H49)</f>
        <v>0</v>
      </c>
      <c r="C24" s="466">
        <f t="shared" si="0"/>
        <v>0</v>
      </c>
      <c r="D24" s="49"/>
      <c r="E24" s="89"/>
      <c r="F24" s="89"/>
      <c r="G24" s="49"/>
    </row>
    <row r="25" spans="1:8" ht="15">
      <c r="A25" s="454" t="s">
        <v>5</v>
      </c>
      <c r="B25" s="465">
        <f>G50</f>
        <v>0</v>
      </c>
      <c r="C25" s="466">
        <f t="shared" si="0"/>
        <v>0</v>
      </c>
      <c r="D25" s="49"/>
      <c r="E25" s="89"/>
      <c r="F25" s="89"/>
      <c r="G25" s="49"/>
    </row>
    <row r="26" spans="1:8" ht="15">
      <c r="A26" s="454" t="s">
        <v>20</v>
      </c>
      <c r="B26" s="465">
        <f>H50</f>
        <v>0</v>
      </c>
      <c r="C26" s="466">
        <f t="shared" si="0"/>
        <v>0</v>
      </c>
      <c r="D26" s="49"/>
      <c r="E26" s="89"/>
      <c r="F26" s="89"/>
      <c r="G26" s="49"/>
    </row>
    <row r="27" spans="1:8" ht="15">
      <c r="A27" s="454" t="s">
        <v>399</v>
      </c>
      <c r="B27" s="465">
        <f>SUM(B18:B26)</f>
        <v>3481.895198356116</v>
      </c>
      <c r="C27" s="466">
        <f t="shared" si="0"/>
        <v>6.9637903967122323</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240</v>
      </c>
      <c r="C31" s="470" t="s">
        <v>935</v>
      </c>
      <c r="D31" s="471" t="s">
        <v>936</v>
      </c>
      <c r="E31" s="1201" t="s">
        <v>778</v>
      </c>
      <c r="F31" s="472">
        <v>63.49</v>
      </c>
      <c r="G31" s="486">
        <v>2</v>
      </c>
      <c r="H31" s="474">
        <f t="shared" ref="H31:H51" si="1">IF(G31&lt;=0, 0, F31*G31)</f>
        <v>126.98</v>
      </c>
    </row>
    <row r="32" spans="1:8" ht="15">
      <c r="A32" s="454" t="s">
        <v>0</v>
      </c>
      <c r="B32" s="470">
        <v>974</v>
      </c>
      <c r="C32" s="470" t="s">
        <v>945</v>
      </c>
      <c r="D32" s="471" t="s">
        <v>946</v>
      </c>
      <c r="E32" s="471" t="s">
        <v>785</v>
      </c>
      <c r="F32" s="472">
        <v>1.03</v>
      </c>
      <c r="G32" s="486">
        <v>500</v>
      </c>
      <c r="H32" s="474">
        <f t="shared" si="1"/>
        <v>515</v>
      </c>
    </row>
    <row r="33" spans="1:8" ht="15">
      <c r="A33" s="454" t="s">
        <v>0</v>
      </c>
      <c r="B33" s="470">
        <v>46</v>
      </c>
      <c r="C33" s="470" t="s">
        <v>947</v>
      </c>
      <c r="D33" s="1275" t="s">
        <v>948</v>
      </c>
      <c r="E33" s="471" t="s">
        <v>949</v>
      </c>
      <c r="F33" s="472">
        <v>32.33</v>
      </c>
      <c r="G33" s="486">
        <v>6</v>
      </c>
      <c r="H33" s="474">
        <f t="shared" si="1"/>
        <v>193.98</v>
      </c>
    </row>
    <row r="34" spans="1:8" ht="15">
      <c r="A34" s="454" t="s">
        <v>0</v>
      </c>
      <c r="B34" s="470">
        <v>227</v>
      </c>
      <c r="C34" s="470" t="s">
        <v>939</v>
      </c>
      <c r="D34" s="471"/>
      <c r="E34" s="471" t="s">
        <v>778</v>
      </c>
      <c r="F34" s="472">
        <v>79.806547619047606</v>
      </c>
      <c r="G34" s="486">
        <v>1</v>
      </c>
      <c r="H34" s="474">
        <f t="shared" si="1"/>
        <v>79.806547619047606</v>
      </c>
    </row>
    <row r="35" spans="1:8" ht="15">
      <c r="A35" s="454" t="s">
        <v>0</v>
      </c>
      <c r="B35" s="470">
        <v>1042</v>
      </c>
      <c r="C35" s="470" t="s">
        <v>940</v>
      </c>
      <c r="D35" s="471" t="s">
        <v>941</v>
      </c>
      <c r="E35" s="471" t="s">
        <v>778</v>
      </c>
      <c r="F35" s="472">
        <v>30.025931162790702</v>
      </c>
      <c r="G35" s="486">
        <v>2</v>
      </c>
      <c r="H35" s="474">
        <f t="shared" si="1"/>
        <v>60.051862325581403</v>
      </c>
    </row>
    <row r="36" spans="1:8" ht="15">
      <c r="A36" s="454" t="s">
        <v>2</v>
      </c>
      <c r="B36" s="470"/>
      <c r="C36" s="1274"/>
      <c r="D36" s="471"/>
      <c r="E36" s="1201"/>
      <c r="F36" s="1273"/>
      <c r="G36" s="486"/>
      <c r="H36" s="474">
        <f t="shared" si="1"/>
        <v>0</v>
      </c>
    </row>
    <row r="37" spans="1:8" ht="15">
      <c r="A37" s="454" t="s">
        <v>2</v>
      </c>
      <c r="B37" s="470"/>
      <c r="C37" s="470"/>
      <c r="D37" s="471"/>
      <c r="E37" s="471"/>
      <c r="F37" s="472"/>
      <c r="G37" s="486"/>
      <c r="H37" s="474">
        <f t="shared" si="1"/>
        <v>0</v>
      </c>
    </row>
    <row r="38" spans="1:8" ht="15">
      <c r="A38" s="454" t="s">
        <v>2</v>
      </c>
      <c r="B38" s="470">
        <v>1097</v>
      </c>
      <c r="C38" s="470" t="s">
        <v>950</v>
      </c>
      <c r="D38" s="1275" t="s">
        <v>951</v>
      </c>
      <c r="E38" s="471" t="s">
        <v>785</v>
      </c>
      <c r="F38" s="472">
        <v>28.890610924662301</v>
      </c>
      <c r="G38" s="486">
        <v>80</v>
      </c>
      <c r="H38" s="474">
        <f t="shared" si="1"/>
        <v>2311.2488739729843</v>
      </c>
    </row>
    <row r="39" spans="1:8" ht="15">
      <c r="A39" s="454" t="s">
        <v>3</v>
      </c>
      <c r="B39" s="470">
        <v>231</v>
      </c>
      <c r="C39" s="470" t="s">
        <v>578</v>
      </c>
      <c r="D39" s="471" t="s">
        <v>579</v>
      </c>
      <c r="E39" s="471" t="s">
        <v>411</v>
      </c>
      <c r="F39" s="472">
        <v>20.5819786096257</v>
      </c>
      <c r="G39" s="486">
        <v>4</v>
      </c>
      <c r="H39" s="474">
        <f t="shared" si="1"/>
        <v>82.327914438502802</v>
      </c>
    </row>
    <row r="40" spans="1:8" ht="15">
      <c r="A40" s="454" t="s">
        <v>3</v>
      </c>
      <c r="B40" s="470"/>
      <c r="C40" s="470"/>
      <c r="D40" s="471"/>
      <c r="E40" s="471"/>
      <c r="F40" s="472"/>
      <c r="G40" s="486"/>
      <c r="H40" s="474">
        <f t="shared" si="1"/>
        <v>0</v>
      </c>
    </row>
    <row r="41" spans="1:8" ht="15">
      <c r="A41" s="454" t="s">
        <v>3</v>
      </c>
      <c r="B41" s="470"/>
      <c r="C41" s="470"/>
      <c r="D41" s="471"/>
      <c r="E41" s="471"/>
      <c r="F41" s="472"/>
      <c r="G41" s="486"/>
      <c r="H41" s="474">
        <f t="shared" si="1"/>
        <v>0</v>
      </c>
    </row>
    <row r="42" spans="1:8" ht="15">
      <c r="A42" s="454" t="s">
        <v>4</v>
      </c>
      <c r="B42" s="470">
        <v>1043</v>
      </c>
      <c r="C42" s="470" t="s">
        <v>4</v>
      </c>
      <c r="D42" s="471" t="s">
        <v>931</v>
      </c>
      <c r="E42" s="471" t="s">
        <v>418</v>
      </c>
      <c r="F42" s="481">
        <v>0.05</v>
      </c>
      <c r="G42" s="486">
        <v>2250</v>
      </c>
      <c r="H42" s="474">
        <f t="shared" si="1"/>
        <v>112.5</v>
      </c>
    </row>
    <row r="43" spans="1:8" ht="16.5" customHeight="1">
      <c r="A43" s="454" t="s">
        <v>419</v>
      </c>
      <c r="B43" s="470"/>
      <c r="C43" s="470"/>
      <c r="D43" s="471"/>
      <c r="E43" s="471"/>
      <c r="F43" s="481"/>
      <c r="G43" s="486"/>
      <c r="H43" s="474">
        <f t="shared" si="1"/>
        <v>0</v>
      </c>
    </row>
    <row r="44" spans="1:8" ht="15">
      <c r="A44" s="454" t="s">
        <v>7</v>
      </c>
      <c r="B44" s="470"/>
      <c r="C44" s="470"/>
      <c r="D44" s="471"/>
      <c r="E44" s="471"/>
      <c r="F44" s="472"/>
      <c r="G44" s="486"/>
      <c r="H44" s="474">
        <f t="shared" si="1"/>
        <v>0</v>
      </c>
    </row>
    <row r="45" spans="1:8" ht="15">
      <c r="A45" s="454" t="s">
        <v>7</v>
      </c>
      <c r="B45" s="470"/>
      <c r="C45" s="470"/>
      <c r="D45" s="471"/>
      <c r="E45" s="471"/>
      <c r="F45" s="472"/>
      <c r="G45" s="486"/>
      <c r="H45" s="474">
        <f t="shared" si="1"/>
        <v>0</v>
      </c>
    </row>
    <row r="46" spans="1:8" ht="15">
      <c r="A46" s="454" t="s">
        <v>7</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421</v>
      </c>
      <c r="B48" s="470"/>
      <c r="C48" s="470"/>
      <c r="D48" s="471"/>
      <c r="E48" s="471"/>
      <c r="F48" s="472"/>
      <c r="G48" s="486"/>
      <c r="H48" s="474">
        <f t="shared" si="1"/>
        <v>0</v>
      </c>
    </row>
    <row r="49" spans="1:8" ht="15">
      <c r="A49" s="454" t="s">
        <v>421</v>
      </c>
      <c r="B49" s="470"/>
      <c r="C49" s="470"/>
      <c r="D49" s="471"/>
      <c r="E49" s="471"/>
      <c r="F49" s="472"/>
      <c r="G49" s="486"/>
      <c r="H49" s="474">
        <f t="shared" si="1"/>
        <v>0</v>
      </c>
    </row>
    <row r="50" spans="1:8" ht="15">
      <c r="A50" s="454" t="s">
        <v>5</v>
      </c>
      <c r="B50" s="470"/>
      <c r="C50" s="470"/>
      <c r="D50" s="471"/>
      <c r="E50" s="471"/>
      <c r="F50" s="472"/>
      <c r="G50" s="486"/>
      <c r="H50" s="474">
        <f t="shared" si="1"/>
        <v>0</v>
      </c>
    </row>
    <row r="51" spans="1:8" ht="15">
      <c r="A51" s="454" t="s">
        <v>20</v>
      </c>
      <c r="B51" s="470"/>
      <c r="C51" s="470"/>
      <c r="D51" s="471"/>
      <c r="E51" s="471"/>
      <c r="F51" s="472"/>
      <c r="G51" s="486"/>
      <c r="H51" s="474">
        <f t="shared" si="1"/>
        <v>0</v>
      </c>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96" spans="1:7">
      <c r="D96" s="57"/>
    </row>
    <row r="97" spans="4:4">
      <c r="D97" s="57"/>
    </row>
    <row r="98" spans="4:4">
      <c r="D98" s="57"/>
    </row>
    <row r="99" spans="4:4">
      <c r="D99" s="57"/>
    </row>
    <row r="100" spans="4:4">
      <c r="D100" s="57"/>
    </row>
    <row r="101" spans="4:4">
      <c r="D101" s="57"/>
    </row>
    <row r="102" spans="4:4">
      <c r="D102" s="57"/>
    </row>
    <row r="104" spans="4:4">
      <c r="D104" s="57"/>
    </row>
    <row r="106" spans="4:4">
      <c r="D106" s="56"/>
    </row>
    <row r="108" spans="4:4">
      <c r="D108"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8" orientation="portrait" r:id="rId1"/>
  <headerFooter alignWithMargins="0"/>
</worksheet>
</file>

<file path=xl/worksheets/sheet166.xml><?xml version="1.0" encoding="utf-8"?>
<worksheet xmlns="http://schemas.openxmlformats.org/spreadsheetml/2006/main" xmlns:r="http://schemas.openxmlformats.org/officeDocument/2006/relationships">
  <dimension ref="A1:H106"/>
  <sheetViews>
    <sheetView topLeftCell="A16" workbookViewId="0">
      <selection activeCell="I36" sqref="I36"/>
    </sheetView>
  </sheetViews>
  <sheetFormatPr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9.85546875" style="2" bestFit="1"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952</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953</v>
      </c>
      <c r="D8" s="461"/>
      <c r="E8" s="457"/>
      <c r="F8" s="457"/>
      <c r="G8" s="461"/>
    </row>
    <row r="9" spans="1:7" ht="61.5" customHeight="1">
      <c r="A9" s="454" t="s">
        <v>382</v>
      </c>
      <c r="B9" s="454" t="s">
        <v>385</v>
      </c>
      <c r="C9" s="2009" t="s">
        <v>954</v>
      </c>
      <c r="D9" s="2010"/>
      <c r="E9" s="2010"/>
      <c r="F9" s="2010"/>
      <c r="G9" s="2011"/>
    </row>
    <row r="10" spans="1:7" ht="69.75" customHeight="1">
      <c r="A10" s="454" t="s">
        <v>382</v>
      </c>
      <c r="B10" s="454" t="s">
        <v>387</v>
      </c>
      <c r="C10" s="2009" t="s">
        <v>955</v>
      </c>
      <c r="D10" s="2010"/>
      <c r="E10" s="2010"/>
      <c r="F10" s="2010"/>
      <c r="G10" s="2011"/>
    </row>
    <row r="11" spans="1:7" ht="79.5" customHeight="1">
      <c r="A11" s="454" t="s">
        <v>382</v>
      </c>
      <c r="B11" s="454" t="s">
        <v>389</v>
      </c>
      <c r="C11" s="2009" t="s">
        <v>956</v>
      </c>
      <c r="D11" s="2010"/>
      <c r="E11" s="2010"/>
      <c r="F11" s="2010"/>
      <c r="G11" s="2011"/>
    </row>
    <row r="12" spans="1:7" ht="51.75" customHeight="1">
      <c r="A12" s="454" t="s">
        <v>382</v>
      </c>
      <c r="B12" s="454" t="s">
        <v>391</v>
      </c>
      <c r="C12" s="2009" t="s">
        <v>957</v>
      </c>
      <c r="D12" s="2010"/>
      <c r="E12" s="2010"/>
      <c r="F12" s="2010"/>
      <c r="G12" s="2011"/>
    </row>
    <row r="13" spans="1:7" ht="21" customHeight="1">
      <c r="A13" s="454" t="s">
        <v>382</v>
      </c>
      <c r="B13" s="454" t="s">
        <v>393</v>
      </c>
      <c r="C13" s="455" t="s">
        <v>619</v>
      </c>
      <c r="D13" s="456"/>
      <c r="E13" s="457"/>
      <c r="F13" s="457"/>
      <c r="G13" s="456"/>
    </row>
    <row r="14" spans="1:7" ht="21" customHeight="1">
      <c r="A14" s="454" t="s">
        <v>382</v>
      </c>
      <c r="B14" s="454" t="s">
        <v>395</v>
      </c>
      <c r="C14" s="459">
        <v>80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195.47200000000001</v>
      </c>
      <c r="C18" s="466">
        <f>B18/C$14</f>
        <v>2.4434</v>
      </c>
      <c r="D18" s="49"/>
      <c r="E18" s="89"/>
      <c r="F18" s="89"/>
      <c r="G18" s="49"/>
    </row>
    <row r="19" spans="1:8" ht="15">
      <c r="A19" s="454" t="s">
        <v>2</v>
      </c>
      <c r="B19" s="465">
        <f>SUM(H34:H36)</f>
        <v>196.33931574468079</v>
      </c>
      <c r="C19" s="466">
        <f t="shared" ref="C19:C26" si="0">B19/C$14</f>
        <v>2.4542414468085099</v>
      </c>
      <c r="D19" s="49"/>
      <c r="E19" s="89"/>
      <c r="F19" s="89"/>
      <c r="G19" s="49"/>
    </row>
    <row r="20" spans="1:8" ht="15">
      <c r="A20" s="454" t="s">
        <v>3</v>
      </c>
      <c r="B20" s="465">
        <f>SUM(H37:H39)</f>
        <v>2956.2758716577573</v>
      </c>
      <c r="C20" s="466">
        <f t="shared" si="0"/>
        <v>36.953448395721963</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3348.0871874024378</v>
      </c>
      <c r="C27" s="466">
        <f>B27/C$14</f>
        <v>41.85108984253047</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965</v>
      </c>
      <c r="C31" s="470" t="s">
        <v>409</v>
      </c>
      <c r="D31" s="471" t="s">
        <v>958</v>
      </c>
      <c r="E31" s="471" t="s">
        <v>411</v>
      </c>
      <c r="F31" s="481">
        <v>9.7736000000000001</v>
      </c>
      <c r="G31" s="486">
        <v>20</v>
      </c>
      <c r="H31" s="474">
        <f>IF(G31&lt;=0, 0, F31*G31)</f>
        <v>195.47200000000001</v>
      </c>
    </row>
    <row r="32" spans="1:8" ht="15">
      <c r="A32" s="454" t="s">
        <v>0</v>
      </c>
      <c r="B32" s="470"/>
      <c r="C32" s="470"/>
      <c r="D32" s="471"/>
      <c r="E32" s="471"/>
      <c r="F32" s="481"/>
      <c r="G32" s="486"/>
      <c r="H32" s="474">
        <f t="shared" ref="H32:H49" si="1">IF(G32&lt;=0, 0, F32*G32)</f>
        <v>0</v>
      </c>
    </row>
    <row r="33" spans="1:8" ht="15">
      <c r="A33" s="454" t="s">
        <v>0</v>
      </c>
      <c r="B33" s="470"/>
      <c r="C33" s="470"/>
      <c r="D33" s="471"/>
      <c r="E33" s="471"/>
      <c r="F33" s="481"/>
      <c r="G33" s="486"/>
      <c r="H33" s="474">
        <f t="shared" si="1"/>
        <v>0</v>
      </c>
    </row>
    <row r="34" spans="1:8" ht="15">
      <c r="A34" s="454" t="s">
        <v>2</v>
      </c>
      <c r="B34" s="470">
        <v>939</v>
      </c>
      <c r="C34" s="470" t="s">
        <v>788</v>
      </c>
      <c r="D34" s="471" t="s">
        <v>430</v>
      </c>
      <c r="E34" s="471" t="s">
        <v>411</v>
      </c>
      <c r="F34" s="481">
        <v>24.542414468085099</v>
      </c>
      <c r="G34" s="486">
        <v>8</v>
      </c>
      <c r="H34" s="474">
        <f t="shared" si="1"/>
        <v>196.33931574468079</v>
      </c>
    </row>
    <row r="35" spans="1:8" ht="15">
      <c r="A35" s="454" t="s">
        <v>2</v>
      </c>
      <c r="B35" s="470"/>
      <c r="C35" s="470"/>
      <c r="D35" s="471"/>
      <c r="E35" s="471"/>
      <c r="F35" s="481"/>
      <c r="G35" s="486"/>
      <c r="H35" s="474">
        <f t="shared" si="1"/>
        <v>0</v>
      </c>
    </row>
    <row r="36" spans="1:8" ht="15">
      <c r="A36" s="454" t="s">
        <v>2</v>
      </c>
      <c r="B36" s="470"/>
      <c r="C36" s="470"/>
      <c r="D36" s="471"/>
      <c r="E36" s="471"/>
      <c r="F36" s="481"/>
      <c r="G36" s="486"/>
      <c r="H36" s="474">
        <f t="shared" si="1"/>
        <v>0</v>
      </c>
    </row>
    <row r="37" spans="1:8" ht="15">
      <c r="A37" s="454" t="s">
        <v>3</v>
      </c>
      <c r="B37" s="470">
        <v>231</v>
      </c>
      <c r="C37" s="470" t="s">
        <v>578</v>
      </c>
      <c r="D37" s="471" t="s">
        <v>579</v>
      </c>
      <c r="E37" s="471" t="s">
        <v>411</v>
      </c>
      <c r="F37" s="481">
        <v>20.5819786096257</v>
      </c>
      <c r="G37" s="486">
        <v>75</v>
      </c>
      <c r="H37" s="474">
        <f t="shared" si="1"/>
        <v>1543.6483957219275</v>
      </c>
    </row>
    <row r="38" spans="1:8" ht="15">
      <c r="A38" s="454" t="s">
        <v>3</v>
      </c>
      <c r="B38" s="470">
        <v>234</v>
      </c>
      <c r="C38" s="470" t="s">
        <v>959</v>
      </c>
      <c r="D38" s="471" t="s">
        <v>960</v>
      </c>
      <c r="E38" s="471" t="s">
        <v>411</v>
      </c>
      <c r="F38" s="481">
        <v>40.360785026738</v>
      </c>
      <c r="G38" s="486">
        <v>35</v>
      </c>
      <c r="H38" s="474">
        <f t="shared" si="1"/>
        <v>1412.62747593583</v>
      </c>
    </row>
    <row r="39" spans="1:8" ht="15">
      <c r="A39" s="454" t="s">
        <v>3</v>
      </c>
      <c r="B39" s="470"/>
      <c r="C39" s="470"/>
      <c r="D39" s="471"/>
      <c r="E39" s="471"/>
      <c r="F39" s="481"/>
      <c r="G39" s="486"/>
      <c r="H39" s="474">
        <f t="shared" si="1"/>
        <v>0</v>
      </c>
    </row>
    <row r="40" spans="1:8" ht="15">
      <c r="A40" s="454" t="s">
        <v>4</v>
      </c>
      <c r="B40" s="470"/>
      <c r="C40" s="470"/>
      <c r="D40" s="471"/>
      <c r="E40" s="471"/>
      <c r="F40" s="481"/>
      <c r="G40" s="486"/>
      <c r="H40" s="474">
        <f t="shared" si="1"/>
        <v>0</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worksheet>
</file>

<file path=xl/worksheets/sheet167.xml><?xml version="1.0" encoding="utf-8"?>
<worksheet xmlns="http://schemas.openxmlformats.org/spreadsheetml/2006/main" xmlns:r="http://schemas.openxmlformats.org/officeDocument/2006/relationships">
  <sheetPr>
    <pageSetUpPr fitToPage="1"/>
  </sheetPr>
  <dimension ref="A1:H109"/>
  <sheetViews>
    <sheetView zoomScale="80" zoomScaleNormal="80" workbookViewId="0">
      <selection activeCell="H12" sqref="H12"/>
    </sheetView>
  </sheetViews>
  <sheetFormatPr defaultRowHeight="12.75"/>
  <cols>
    <col min="1" max="1" width="34.5703125" style="2" customWidth="1"/>
    <col min="2" max="2" width="25.42578125" style="2" customWidth="1"/>
    <col min="3" max="3" width="29.42578125" style="2" customWidth="1"/>
    <col min="4" max="4" width="19.85546875" style="2" customWidth="1"/>
    <col min="5" max="5" width="15.140625" style="2" customWidth="1"/>
    <col min="6" max="6" width="11" style="2" customWidth="1"/>
    <col min="7" max="7" width="10.7109375" style="2" bestFit="1" customWidth="1"/>
    <col min="8" max="8" width="10.710937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2223</v>
      </c>
      <c r="D6" s="456"/>
      <c r="E6" s="457"/>
      <c r="F6" s="458"/>
      <c r="G6" s="458"/>
    </row>
    <row r="7" spans="1:7" ht="21" customHeight="1">
      <c r="A7" s="454" t="s">
        <v>1</v>
      </c>
      <c r="B7" s="454" t="s">
        <v>381</v>
      </c>
      <c r="C7" s="459">
        <v>15</v>
      </c>
      <c r="D7" s="456"/>
      <c r="E7" s="457"/>
      <c r="F7" s="458"/>
      <c r="G7" s="458"/>
    </row>
    <row r="8" spans="1:7" ht="21" customHeight="1">
      <c r="A8" s="454" t="s">
        <v>382</v>
      </c>
      <c r="B8" s="454" t="s">
        <v>383</v>
      </c>
      <c r="C8" s="460" t="s">
        <v>2224</v>
      </c>
      <c r="D8" s="461"/>
      <c r="E8" s="457"/>
      <c r="F8" s="457"/>
      <c r="G8" s="461"/>
    </row>
    <row r="9" spans="1:7" ht="118.5" customHeight="1">
      <c r="A9" s="454" t="s">
        <v>382</v>
      </c>
      <c r="B9" s="454" t="s">
        <v>385</v>
      </c>
      <c r="C9" s="2009" t="s">
        <v>2225</v>
      </c>
      <c r="D9" s="2010"/>
      <c r="E9" s="2010"/>
      <c r="F9" s="2010"/>
      <c r="G9" s="2011"/>
    </row>
    <row r="10" spans="1:7" ht="51.75" customHeight="1">
      <c r="A10" s="454" t="s">
        <v>382</v>
      </c>
      <c r="B10" s="454" t="s">
        <v>387</v>
      </c>
      <c r="C10" s="2009" t="s">
        <v>2226</v>
      </c>
      <c r="D10" s="2010"/>
      <c r="E10" s="2010"/>
      <c r="F10" s="2010"/>
      <c r="G10" s="2011"/>
    </row>
    <row r="11" spans="1:7" ht="51.75" customHeight="1">
      <c r="A11" s="454" t="s">
        <v>382</v>
      </c>
      <c r="B11" s="454" t="s">
        <v>389</v>
      </c>
      <c r="C11" s="2009" t="s">
        <v>2227</v>
      </c>
      <c r="D11" s="2010"/>
      <c r="E11" s="2010"/>
      <c r="F11" s="2010"/>
      <c r="G11" s="2011"/>
    </row>
    <row r="12" spans="1:7" ht="51.75" customHeight="1">
      <c r="A12" s="454" t="s">
        <v>382</v>
      </c>
      <c r="B12" s="454" t="s">
        <v>391</v>
      </c>
      <c r="C12" s="2009" t="s">
        <v>2228</v>
      </c>
      <c r="D12" s="2010"/>
      <c r="E12" s="2010"/>
      <c r="F12" s="2010"/>
      <c r="G12" s="2011"/>
    </row>
    <row r="13" spans="1:7" ht="21" customHeight="1">
      <c r="A13" s="454" t="s">
        <v>382</v>
      </c>
      <c r="B13" s="454" t="s">
        <v>393</v>
      </c>
      <c r="C13" s="455" t="s">
        <v>2229</v>
      </c>
      <c r="D13" s="456"/>
      <c r="E13" s="457"/>
      <c r="F13" s="457"/>
      <c r="G13" s="456"/>
    </row>
    <row r="14" spans="1:7" ht="21" customHeight="1">
      <c r="A14" s="454" t="s">
        <v>382</v>
      </c>
      <c r="B14" s="454" t="s">
        <v>395</v>
      </c>
      <c r="C14" s="459">
        <v>300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SUM(H31:H38)</f>
        <v>3870.9629937927707</v>
      </c>
      <c r="C18" s="466">
        <f>B18/C$14</f>
        <v>12.903209979309235</v>
      </c>
      <c r="D18" s="49"/>
      <c r="E18" s="89"/>
      <c r="F18" s="89"/>
      <c r="G18" s="49"/>
    </row>
    <row r="19" spans="1:8" ht="15">
      <c r="A19" s="454" t="s">
        <v>2</v>
      </c>
      <c r="B19" s="465">
        <f>SUM(H39)</f>
        <v>0</v>
      </c>
      <c r="C19" s="466">
        <f t="shared" ref="C19:C27" si="0">B19/C$14</f>
        <v>0</v>
      </c>
      <c r="D19" s="49"/>
      <c r="E19" s="89"/>
      <c r="F19" s="89"/>
      <c r="G19" s="49"/>
    </row>
    <row r="20" spans="1:8" ht="15">
      <c r="A20" s="454" t="s">
        <v>3</v>
      </c>
      <c r="B20" s="465">
        <f>SUM(H40:H41)</f>
        <v>392.99223957219277</v>
      </c>
      <c r="C20" s="466">
        <f t="shared" si="0"/>
        <v>1.3099741319073093</v>
      </c>
      <c r="D20" s="49"/>
      <c r="E20" s="89"/>
      <c r="F20" s="89"/>
      <c r="G20" s="49"/>
    </row>
    <row r="21" spans="1:8" ht="15">
      <c r="A21" s="454" t="s">
        <v>4</v>
      </c>
      <c r="B21" s="465">
        <f>H43</f>
        <v>213.19776166824818</v>
      </c>
      <c r="C21" s="466">
        <f t="shared" si="0"/>
        <v>0.71065920556082729</v>
      </c>
      <c r="D21" s="49"/>
      <c r="E21" s="89"/>
      <c r="F21" s="89"/>
      <c r="G21" s="49"/>
    </row>
    <row r="22" spans="1:8" ht="15">
      <c r="A22" s="454" t="s">
        <v>26</v>
      </c>
      <c r="B22" s="465">
        <f>H44</f>
        <v>0</v>
      </c>
      <c r="C22" s="466">
        <f t="shared" si="0"/>
        <v>0</v>
      </c>
      <c r="D22" s="49"/>
      <c r="E22" s="89"/>
      <c r="F22" s="89"/>
      <c r="G22" s="49"/>
    </row>
    <row r="23" spans="1:8" ht="15">
      <c r="A23" s="454" t="s">
        <v>7</v>
      </c>
      <c r="B23" s="465">
        <f>SUM(H45:H47)</f>
        <v>0</v>
      </c>
      <c r="C23" s="466">
        <f t="shared" si="0"/>
        <v>0</v>
      </c>
      <c r="D23" s="49"/>
      <c r="E23" s="89"/>
      <c r="F23" s="89"/>
      <c r="G23" s="49"/>
    </row>
    <row r="24" spans="1:8" ht="15">
      <c r="A24" s="454" t="s">
        <v>27</v>
      </c>
      <c r="B24" s="465">
        <f>SUM(H48:H50)</f>
        <v>0</v>
      </c>
      <c r="C24" s="466">
        <f t="shared" si="0"/>
        <v>0</v>
      </c>
      <c r="D24" s="49"/>
      <c r="E24" s="89"/>
      <c r="F24" s="89"/>
      <c r="G24" s="49"/>
    </row>
    <row r="25" spans="1:8" ht="15">
      <c r="A25" s="454" t="s">
        <v>5</v>
      </c>
      <c r="B25" s="465">
        <f>G51</f>
        <v>0</v>
      </c>
      <c r="C25" s="466">
        <f t="shared" si="0"/>
        <v>0</v>
      </c>
      <c r="D25" s="1806"/>
      <c r="E25" s="89"/>
      <c r="F25" s="89"/>
      <c r="G25" s="49"/>
    </row>
    <row r="26" spans="1:8" ht="15">
      <c r="A26" s="454" t="s">
        <v>20</v>
      </c>
      <c r="B26" s="465">
        <f>H51</f>
        <v>0</v>
      </c>
      <c r="C26" s="466">
        <f t="shared" si="0"/>
        <v>0</v>
      </c>
      <c r="D26" s="49"/>
      <c r="E26" s="89"/>
      <c r="F26" s="89"/>
      <c r="G26" s="49"/>
    </row>
    <row r="27" spans="1:8" ht="15">
      <c r="A27" s="454" t="s">
        <v>399</v>
      </c>
      <c r="B27" s="465">
        <f>SUM(B18:B26)</f>
        <v>4477.1529950332115</v>
      </c>
      <c r="C27" s="466">
        <f t="shared" si="0"/>
        <v>14.923843316777372</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1031</v>
      </c>
      <c r="C31" s="470" t="s">
        <v>2230</v>
      </c>
      <c r="D31" s="471" t="s">
        <v>2231</v>
      </c>
      <c r="E31" s="471" t="s">
        <v>2232</v>
      </c>
      <c r="F31" s="472">
        <v>5.7778999999999998</v>
      </c>
      <c r="G31" s="486">
        <v>300</v>
      </c>
      <c r="H31" s="474">
        <f>IF(G31&lt;=0, 0, F31*G31)</f>
        <v>1733.37</v>
      </c>
    </row>
    <row r="32" spans="1:8" ht="15">
      <c r="A32" s="454" t="s">
        <v>0</v>
      </c>
      <c r="B32" s="470">
        <v>1009</v>
      </c>
      <c r="C32" s="470" t="s">
        <v>2233</v>
      </c>
      <c r="D32" s="471" t="s">
        <v>2234</v>
      </c>
      <c r="E32" s="471" t="s">
        <v>2235</v>
      </c>
      <c r="F32" s="472">
        <v>1470.4281025380701</v>
      </c>
      <c r="G32" s="486">
        <v>1</v>
      </c>
      <c r="H32" s="474">
        <f t="shared" ref="H32:H52" si="1">IF(G32&lt;=0, 0, F32*G32)</f>
        <v>1470.4281025380701</v>
      </c>
    </row>
    <row r="33" spans="1:8" ht="15">
      <c r="A33" s="454" t="s">
        <v>0</v>
      </c>
      <c r="B33" s="470">
        <v>1117</v>
      </c>
      <c r="C33" s="470" t="s">
        <v>2236</v>
      </c>
      <c r="D33" s="471" t="s">
        <v>2237</v>
      </c>
      <c r="E33" s="471" t="s">
        <v>778</v>
      </c>
      <c r="F33" s="472">
        <v>171.904186046512</v>
      </c>
      <c r="G33" s="486">
        <v>2</v>
      </c>
      <c r="H33" s="474">
        <f t="shared" si="1"/>
        <v>343.80837209302399</v>
      </c>
    </row>
    <row r="34" spans="1:8" ht="15">
      <c r="A34" s="454" t="s">
        <v>0</v>
      </c>
      <c r="B34" s="470"/>
      <c r="C34" s="470"/>
      <c r="D34" s="1274"/>
      <c r="E34" s="1272"/>
      <c r="F34" s="1273"/>
      <c r="G34" s="486">
        <v>0</v>
      </c>
      <c r="H34" s="474">
        <f>IF(G34&lt;=0, 0, F37*G34)</f>
        <v>0</v>
      </c>
    </row>
    <row r="35" spans="1:8" ht="15">
      <c r="A35" s="454" t="s">
        <v>0</v>
      </c>
      <c r="B35" s="470"/>
      <c r="C35" s="470"/>
      <c r="D35" s="1274"/>
      <c r="E35" s="1272"/>
      <c r="F35" s="1273"/>
      <c r="G35" s="486">
        <v>0</v>
      </c>
      <c r="H35" s="474">
        <f t="shared" si="1"/>
        <v>0</v>
      </c>
    </row>
    <row r="36" spans="1:8" ht="15">
      <c r="A36" s="454" t="s">
        <v>0</v>
      </c>
      <c r="B36" s="470"/>
      <c r="C36" s="470"/>
      <c r="D36" s="1274"/>
      <c r="E36" s="1272"/>
      <c r="F36" s="1273"/>
      <c r="G36" s="486">
        <v>0</v>
      </c>
      <c r="H36" s="474">
        <f t="shared" si="1"/>
        <v>0</v>
      </c>
    </row>
    <row r="37" spans="1:8" ht="15">
      <c r="A37" s="454" t="s">
        <v>0</v>
      </c>
      <c r="B37" s="470">
        <v>1038</v>
      </c>
      <c r="C37" s="470" t="s">
        <v>2238</v>
      </c>
      <c r="D37" s="471" t="s">
        <v>1532</v>
      </c>
      <c r="E37" s="471" t="s">
        <v>778</v>
      </c>
      <c r="F37" s="472">
        <v>252.12610000000001</v>
      </c>
      <c r="G37" s="486">
        <v>1</v>
      </c>
      <c r="H37" s="474">
        <f t="shared" si="1"/>
        <v>252.12610000000001</v>
      </c>
    </row>
    <row r="38" spans="1:8" ht="15">
      <c r="A38" s="454" t="s">
        <v>0</v>
      </c>
      <c r="B38" s="470">
        <v>973</v>
      </c>
      <c r="C38" s="470" t="s">
        <v>2239</v>
      </c>
      <c r="D38" s="471" t="s">
        <v>2240</v>
      </c>
      <c r="E38" s="471" t="s">
        <v>785</v>
      </c>
      <c r="F38" s="472">
        <v>0.89038023952095802</v>
      </c>
      <c r="G38" s="486">
        <v>80</v>
      </c>
      <c r="H38" s="474">
        <f t="shared" si="1"/>
        <v>71.230419161676636</v>
      </c>
    </row>
    <row r="39" spans="1:8" ht="15">
      <c r="A39" s="454" t="s">
        <v>2</v>
      </c>
      <c r="B39" s="470"/>
      <c r="C39" s="470"/>
      <c r="D39" s="471"/>
      <c r="E39" s="471"/>
      <c r="F39" s="472"/>
      <c r="G39" s="486"/>
      <c r="H39" s="474">
        <f t="shared" si="1"/>
        <v>0</v>
      </c>
    </row>
    <row r="40" spans="1:8" ht="15">
      <c r="A40" s="454" t="s">
        <v>3</v>
      </c>
      <c r="B40" s="470">
        <v>230</v>
      </c>
      <c r="C40" s="470" t="s">
        <v>414</v>
      </c>
      <c r="D40" s="471" t="s">
        <v>415</v>
      </c>
      <c r="E40" s="471" t="s">
        <v>411</v>
      </c>
      <c r="F40" s="472">
        <v>28.544029946524098</v>
      </c>
      <c r="G40" s="486">
        <v>8</v>
      </c>
      <c r="H40" s="474">
        <f t="shared" si="1"/>
        <v>228.35223957219279</v>
      </c>
    </row>
    <row r="41" spans="1:8" ht="15">
      <c r="A41" s="454" t="s">
        <v>3</v>
      </c>
      <c r="B41" s="470">
        <v>231</v>
      </c>
      <c r="C41" s="470" t="s">
        <v>578</v>
      </c>
      <c r="D41" s="471"/>
      <c r="E41" s="471" t="s">
        <v>411</v>
      </c>
      <c r="F41" s="472">
        <v>20.58</v>
      </c>
      <c r="G41" s="486">
        <v>8</v>
      </c>
      <c r="H41" s="474">
        <f t="shared" si="1"/>
        <v>164.64</v>
      </c>
    </row>
    <row r="42" spans="1:8" ht="15">
      <c r="A42" s="454" t="s">
        <v>3</v>
      </c>
      <c r="B42" s="470"/>
      <c r="C42" s="470"/>
      <c r="D42" s="471"/>
      <c r="E42" s="471"/>
      <c r="F42" s="472"/>
      <c r="G42" s="486"/>
      <c r="H42" s="474"/>
    </row>
    <row r="43" spans="1:8" ht="15">
      <c r="A43" s="454" t="s">
        <v>4</v>
      </c>
      <c r="B43" s="470">
        <v>1043</v>
      </c>
      <c r="C43" s="470" t="s">
        <v>4</v>
      </c>
      <c r="D43" s="471" t="s">
        <v>931</v>
      </c>
      <c r="E43" s="471" t="s">
        <v>418</v>
      </c>
      <c r="F43" s="481">
        <v>0.05</v>
      </c>
      <c r="G43" s="486">
        <f>SUM(H31:H41)</f>
        <v>4263.9552333649635</v>
      </c>
      <c r="H43" s="474">
        <f t="shared" si="1"/>
        <v>213.19776166824818</v>
      </c>
    </row>
    <row r="44" spans="1:8" ht="16.5" customHeight="1">
      <c r="A44" s="454" t="s">
        <v>419</v>
      </c>
      <c r="B44" s="470"/>
      <c r="C44" s="470"/>
      <c r="D44" s="471"/>
      <c r="E44" s="471"/>
      <c r="F44" s="481"/>
      <c r="G44" s="486"/>
      <c r="H44" s="474">
        <f t="shared" si="1"/>
        <v>0</v>
      </c>
    </row>
    <row r="45" spans="1:8" ht="15">
      <c r="A45" s="454" t="s">
        <v>7</v>
      </c>
      <c r="B45" s="470"/>
      <c r="C45" s="470"/>
      <c r="D45" s="471"/>
      <c r="E45" s="471"/>
      <c r="F45" s="472"/>
      <c r="G45" s="486"/>
      <c r="H45" s="474">
        <f t="shared" si="1"/>
        <v>0</v>
      </c>
    </row>
    <row r="46" spans="1:8" ht="15">
      <c r="A46" s="454" t="s">
        <v>7</v>
      </c>
      <c r="B46" s="470"/>
      <c r="C46" s="470"/>
      <c r="D46" s="471"/>
      <c r="E46" s="471"/>
      <c r="F46" s="472"/>
      <c r="G46" s="486"/>
      <c r="H46" s="474">
        <f t="shared" si="1"/>
        <v>0</v>
      </c>
    </row>
    <row r="47" spans="1:8" ht="15">
      <c r="A47" s="454" t="s">
        <v>7</v>
      </c>
      <c r="B47" s="470"/>
      <c r="C47" s="470"/>
      <c r="D47" s="471"/>
      <c r="E47" s="471"/>
      <c r="F47" s="472"/>
      <c r="G47" s="486"/>
      <c r="H47" s="474">
        <f t="shared" si="1"/>
        <v>0</v>
      </c>
    </row>
    <row r="48" spans="1:8" ht="15">
      <c r="A48" s="454" t="s">
        <v>421</v>
      </c>
      <c r="B48" s="470"/>
      <c r="C48" s="470"/>
      <c r="D48" s="471"/>
      <c r="E48" s="471"/>
      <c r="F48" s="472"/>
      <c r="G48" s="486"/>
      <c r="H48" s="474">
        <f t="shared" si="1"/>
        <v>0</v>
      </c>
    </row>
    <row r="49" spans="1:8" ht="15">
      <c r="A49" s="454" t="s">
        <v>421</v>
      </c>
      <c r="B49" s="470"/>
      <c r="C49" s="470"/>
      <c r="D49" s="471"/>
      <c r="E49" s="471"/>
      <c r="F49" s="472"/>
      <c r="G49" s="486"/>
      <c r="H49" s="474">
        <f t="shared" si="1"/>
        <v>0</v>
      </c>
    </row>
    <row r="50" spans="1:8" ht="15">
      <c r="A50" s="454" t="s">
        <v>421</v>
      </c>
      <c r="B50" s="470"/>
      <c r="C50" s="470"/>
      <c r="D50" s="471"/>
      <c r="E50" s="471"/>
      <c r="F50" s="472"/>
      <c r="G50" s="486"/>
      <c r="H50" s="474">
        <f t="shared" si="1"/>
        <v>0</v>
      </c>
    </row>
    <row r="51" spans="1:8" ht="15">
      <c r="A51" s="454" t="s">
        <v>5</v>
      </c>
      <c r="B51" s="470"/>
      <c r="C51" s="470"/>
      <c r="D51" s="471"/>
      <c r="E51" s="471"/>
      <c r="F51" s="472"/>
      <c r="G51" s="486"/>
      <c r="H51" s="474">
        <f t="shared" si="1"/>
        <v>0</v>
      </c>
    </row>
    <row r="52" spans="1:8" ht="15">
      <c r="A52" s="454" t="s">
        <v>20</v>
      </c>
      <c r="B52" s="470"/>
      <c r="C52" s="470"/>
      <c r="D52" s="471"/>
      <c r="E52" s="471"/>
      <c r="F52" s="472"/>
      <c r="G52" s="486"/>
      <c r="H52" s="474">
        <f t="shared" si="1"/>
        <v>0</v>
      </c>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97" spans="4:4">
      <c r="D97" s="57"/>
    </row>
    <row r="98" spans="4:4">
      <c r="D98" s="57"/>
    </row>
    <row r="99" spans="4:4">
      <c r="D99" s="57"/>
    </row>
    <row r="100" spans="4:4">
      <c r="D100" s="57"/>
    </row>
    <row r="101" spans="4:4">
      <c r="D101" s="57"/>
    </row>
    <row r="102" spans="4:4">
      <c r="D102" s="57"/>
    </row>
    <row r="103" spans="4:4">
      <c r="D103" s="57"/>
    </row>
    <row r="105" spans="4:4">
      <c r="D105" s="57"/>
    </row>
    <row r="107" spans="4:4">
      <c r="D107" s="56"/>
    </row>
    <row r="109" spans="4:4">
      <c r="D109"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5" orientation="portrait" r:id="rId1"/>
  <headerFooter alignWithMargins="0"/>
</worksheet>
</file>

<file path=xl/worksheets/sheet168.xml><?xml version="1.0" encoding="utf-8"?>
<worksheet xmlns="http://schemas.openxmlformats.org/spreadsheetml/2006/main" xmlns:r="http://schemas.openxmlformats.org/officeDocument/2006/relationships">
  <dimension ref="A1:H106"/>
  <sheetViews>
    <sheetView topLeftCell="A4" zoomScale="90" zoomScaleNormal="90" workbookViewId="0">
      <selection activeCell="H12" sqref="H12"/>
    </sheetView>
  </sheetViews>
  <sheetFormatPr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2223</v>
      </c>
      <c r="D6" s="456"/>
      <c r="E6" s="457"/>
      <c r="F6" s="458"/>
      <c r="G6" s="458"/>
    </row>
    <row r="7" spans="1:7" ht="21" customHeight="1">
      <c r="A7" s="454" t="s">
        <v>1</v>
      </c>
      <c r="B7" s="454" t="s">
        <v>381</v>
      </c>
      <c r="C7" s="459">
        <v>15</v>
      </c>
      <c r="D7" s="456"/>
      <c r="E7" s="457"/>
      <c r="F7" s="458"/>
      <c r="G7" s="458"/>
    </row>
    <row r="8" spans="1:7" ht="21" customHeight="1">
      <c r="A8" s="454" t="s">
        <v>382</v>
      </c>
      <c r="B8" s="454" t="s">
        <v>383</v>
      </c>
      <c r="C8" s="460" t="s">
        <v>2241</v>
      </c>
      <c r="D8" s="461"/>
      <c r="E8" s="457"/>
      <c r="F8" s="457"/>
      <c r="G8" s="461"/>
    </row>
    <row r="9" spans="1:7" ht="67.5" customHeight="1">
      <c r="A9" s="454" t="s">
        <v>382</v>
      </c>
      <c r="B9" s="454" t="s">
        <v>385</v>
      </c>
      <c r="C9" s="2009" t="s">
        <v>2242</v>
      </c>
      <c r="D9" s="2010"/>
      <c r="E9" s="2010"/>
      <c r="F9" s="2010"/>
      <c r="G9" s="2011"/>
    </row>
    <row r="10" spans="1:7" ht="51.75" customHeight="1">
      <c r="A10" s="454" t="s">
        <v>382</v>
      </c>
      <c r="B10" s="454" t="s">
        <v>387</v>
      </c>
      <c r="C10" s="2009" t="s">
        <v>2226</v>
      </c>
      <c r="D10" s="2010"/>
      <c r="E10" s="2010"/>
      <c r="F10" s="2010"/>
      <c r="G10" s="2011"/>
    </row>
    <row r="11" spans="1:7" ht="62.25" customHeight="1">
      <c r="A11" s="454" t="s">
        <v>382</v>
      </c>
      <c r="B11" s="454" t="s">
        <v>389</v>
      </c>
      <c r="C11" s="2009" t="s">
        <v>2243</v>
      </c>
      <c r="D11" s="2010"/>
      <c r="E11" s="2010"/>
      <c r="F11" s="2010"/>
      <c r="G11" s="2011"/>
    </row>
    <row r="12" spans="1:7" ht="51.75" customHeight="1">
      <c r="A12" s="454" t="s">
        <v>382</v>
      </c>
      <c r="B12" s="454" t="s">
        <v>391</v>
      </c>
      <c r="C12" s="2009" t="s">
        <v>2244</v>
      </c>
      <c r="D12" s="2010"/>
      <c r="E12" s="2010"/>
      <c r="F12" s="2010"/>
      <c r="G12" s="2011"/>
    </row>
    <row r="13" spans="1:7" ht="21" customHeight="1">
      <c r="A13" s="454" t="s">
        <v>382</v>
      </c>
      <c r="B13" s="454" t="s">
        <v>393</v>
      </c>
      <c r="C13" s="455" t="s">
        <v>712</v>
      </c>
      <c r="D13" s="456"/>
      <c r="E13" s="457"/>
      <c r="F13" s="457"/>
      <c r="G13" s="456"/>
    </row>
    <row r="14" spans="1:7" ht="21" customHeight="1">
      <c r="A14" s="454" t="s">
        <v>382</v>
      </c>
      <c r="B14" s="454" t="s">
        <v>395</v>
      </c>
      <c r="C14" s="459">
        <v>1</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SUM(H31:H35)</f>
        <v>733.18766671911976</v>
      </c>
      <c r="C18" s="466">
        <f>B18/C$14</f>
        <v>733.18766671911976</v>
      </c>
      <c r="D18" s="49"/>
      <c r="E18" s="89"/>
      <c r="F18" s="89"/>
      <c r="G18" s="49"/>
    </row>
    <row r="19" spans="1:8" ht="15">
      <c r="A19" s="454" t="s">
        <v>2</v>
      </c>
      <c r="B19" s="465">
        <f>SUM(H36)</f>
        <v>0</v>
      </c>
      <c r="C19" s="466">
        <f t="shared" ref="C19:C27" si="0">B19/C$14</f>
        <v>0</v>
      </c>
      <c r="D19" s="49"/>
      <c r="E19" s="89"/>
      <c r="F19" s="89"/>
      <c r="G19" s="49"/>
    </row>
    <row r="20" spans="1:8" ht="15">
      <c r="A20" s="454" t="s">
        <v>3</v>
      </c>
      <c r="B20" s="465">
        <f>SUM(H37:H39)</f>
        <v>246.95999999999998</v>
      </c>
      <c r="C20" s="466">
        <f t="shared" si="0"/>
        <v>246.95999999999998</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980.1476667191198</v>
      </c>
      <c r="C27" s="466">
        <f t="shared" si="0"/>
        <v>980.1476667191198</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1114</v>
      </c>
      <c r="C31" s="470" t="s">
        <v>2245</v>
      </c>
      <c r="D31" s="471" t="s">
        <v>2246</v>
      </c>
      <c r="E31" s="471" t="s">
        <v>778</v>
      </c>
      <c r="F31" s="472">
        <v>491.83697674418602</v>
      </c>
      <c r="G31" s="486">
        <v>1</v>
      </c>
      <c r="H31" s="474">
        <f>IF(G31&lt;=0, 0, F31*G31)</f>
        <v>491.83697674418602</v>
      </c>
    </row>
    <row r="32" spans="1:8" ht="15">
      <c r="A32" s="454" t="s">
        <v>0</v>
      </c>
      <c r="B32" s="470">
        <v>38</v>
      </c>
      <c r="C32" s="470" t="s">
        <v>2247</v>
      </c>
      <c r="D32" s="471" t="s">
        <v>2248</v>
      </c>
      <c r="E32" s="471" t="s">
        <v>949</v>
      </c>
      <c r="F32" s="472">
        <v>402.25114995822298</v>
      </c>
      <c r="G32" s="486">
        <v>0.6</v>
      </c>
      <c r="H32" s="474">
        <f t="shared" ref="H32:H49" si="1">IF(G32&lt;=0, 0, F32*G32)</f>
        <v>241.35068997493377</v>
      </c>
    </row>
    <row r="33" spans="1:8" ht="15">
      <c r="A33" s="454" t="s">
        <v>0</v>
      </c>
      <c r="B33" s="470"/>
      <c r="C33" s="470"/>
      <c r="D33" s="471"/>
      <c r="E33" s="471"/>
      <c r="F33" s="472"/>
      <c r="G33" s="486"/>
      <c r="H33" s="474">
        <f t="shared" si="1"/>
        <v>0</v>
      </c>
    </row>
    <row r="34" spans="1:8" ht="15">
      <c r="A34" s="454" t="s">
        <v>0</v>
      </c>
      <c r="B34" s="470"/>
      <c r="C34" s="470"/>
      <c r="D34" s="471"/>
      <c r="E34" s="471"/>
      <c r="F34" s="472"/>
      <c r="G34" s="486"/>
      <c r="H34" s="474">
        <f t="shared" si="1"/>
        <v>0</v>
      </c>
    </row>
    <row r="35" spans="1:8" ht="15">
      <c r="A35" s="454" t="s">
        <v>0</v>
      </c>
      <c r="B35" s="470"/>
      <c r="C35" s="1274"/>
      <c r="D35" s="1272"/>
      <c r="E35" s="1272"/>
      <c r="F35" s="1273"/>
      <c r="G35" s="486"/>
      <c r="H35" s="474">
        <f t="shared" si="1"/>
        <v>0</v>
      </c>
    </row>
    <row r="36" spans="1:8" ht="15">
      <c r="A36" s="454" t="s">
        <v>2</v>
      </c>
      <c r="B36" s="470"/>
      <c r="C36" s="470"/>
      <c r="D36" s="471"/>
      <c r="E36" s="471"/>
      <c r="F36" s="472"/>
      <c r="G36" s="486"/>
      <c r="H36" s="474">
        <f t="shared" si="1"/>
        <v>0</v>
      </c>
    </row>
    <row r="37" spans="1:8" ht="15">
      <c r="A37" s="454" t="s">
        <v>3</v>
      </c>
      <c r="B37" s="470">
        <v>231</v>
      </c>
      <c r="C37" s="470" t="s">
        <v>578</v>
      </c>
      <c r="D37" s="471"/>
      <c r="E37" s="471" t="s">
        <v>411</v>
      </c>
      <c r="F37" s="472">
        <v>20.58</v>
      </c>
      <c r="G37" s="486">
        <v>12</v>
      </c>
      <c r="H37" s="474">
        <f t="shared" si="1"/>
        <v>246.95999999999998</v>
      </c>
    </row>
    <row r="38" spans="1:8" ht="15">
      <c r="A38" s="454" t="s">
        <v>3</v>
      </c>
      <c r="B38" s="470"/>
      <c r="C38" s="470"/>
      <c r="D38" s="471"/>
      <c r="E38" s="471"/>
      <c r="F38" s="472"/>
      <c r="G38" s="486"/>
      <c r="H38" s="474">
        <f t="shared" si="1"/>
        <v>0</v>
      </c>
    </row>
    <row r="39" spans="1:8" ht="15">
      <c r="A39" s="454" t="s">
        <v>3</v>
      </c>
      <c r="B39" s="470"/>
      <c r="C39" s="470"/>
      <c r="D39" s="471"/>
      <c r="E39" s="471"/>
      <c r="F39" s="472"/>
      <c r="G39" s="486"/>
      <c r="H39" s="474">
        <f t="shared" si="1"/>
        <v>0</v>
      </c>
    </row>
    <row r="40" spans="1:8" ht="15">
      <c r="A40" s="454" t="s">
        <v>4</v>
      </c>
      <c r="B40" s="470"/>
      <c r="C40" s="470"/>
      <c r="D40" s="471"/>
      <c r="E40" s="471"/>
      <c r="F40" s="481"/>
      <c r="G40" s="486"/>
      <c r="H40" s="474">
        <f t="shared" si="1"/>
        <v>0</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worksheet>
</file>

<file path=xl/worksheets/sheet169.xml><?xml version="1.0" encoding="utf-8"?>
<worksheet xmlns="http://schemas.openxmlformats.org/spreadsheetml/2006/main" xmlns:r="http://schemas.openxmlformats.org/officeDocument/2006/relationships">
  <dimension ref="A1:H110"/>
  <sheetViews>
    <sheetView zoomScale="90" zoomScaleNormal="90" workbookViewId="0">
      <selection activeCell="H12" sqref="H12"/>
    </sheetView>
  </sheetViews>
  <sheetFormatPr defaultRowHeight="12.75"/>
  <cols>
    <col min="1" max="1" width="34.5703125" style="2" customWidth="1"/>
    <col min="2" max="2" width="25.42578125" style="2" customWidth="1"/>
    <col min="3" max="3" width="37.7109375" style="2" customWidth="1"/>
    <col min="4" max="4" width="15" style="2" customWidth="1"/>
    <col min="5" max="5" width="9.42578125" style="2" customWidth="1"/>
    <col min="6" max="6" width="11" style="2" customWidth="1"/>
    <col min="7" max="7" width="10.7109375" style="2" bestFit="1" customWidth="1"/>
    <col min="8" max="8" width="12"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2223</v>
      </c>
      <c r="D6" s="456"/>
      <c r="E6" s="457"/>
      <c r="F6" s="458"/>
      <c r="G6" s="458"/>
    </row>
    <row r="7" spans="1:7" ht="21" customHeight="1">
      <c r="A7" s="454" t="s">
        <v>1</v>
      </c>
      <c r="B7" s="454" t="s">
        <v>381</v>
      </c>
      <c r="C7" s="459">
        <v>15</v>
      </c>
      <c r="D7" s="456"/>
      <c r="E7" s="457"/>
      <c r="F7" s="458"/>
      <c r="G7" s="458"/>
    </row>
    <row r="8" spans="1:7" ht="21" customHeight="1">
      <c r="A8" s="454" t="s">
        <v>382</v>
      </c>
      <c r="B8" s="454" t="s">
        <v>383</v>
      </c>
      <c r="C8" s="459" t="s">
        <v>2249</v>
      </c>
      <c r="D8" s="461"/>
      <c r="E8" s="457"/>
      <c r="F8" s="457"/>
      <c r="G8" s="461"/>
    </row>
    <row r="9" spans="1:7" ht="53.25" customHeight="1">
      <c r="A9" s="454" t="s">
        <v>382</v>
      </c>
      <c r="B9" s="454" t="s">
        <v>385</v>
      </c>
      <c r="C9" s="2009" t="s">
        <v>2250</v>
      </c>
      <c r="D9" s="2010"/>
      <c r="E9" s="2010"/>
      <c r="F9" s="2010"/>
      <c r="G9" s="2011"/>
    </row>
    <row r="10" spans="1:7" ht="49.5" customHeight="1">
      <c r="A10" s="454" t="s">
        <v>382</v>
      </c>
      <c r="B10" s="454" t="s">
        <v>387</v>
      </c>
      <c r="C10" s="2009" t="s">
        <v>2251</v>
      </c>
      <c r="D10" s="2010"/>
      <c r="E10" s="2010"/>
      <c r="F10" s="2010"/>
      <c r="G10" s="2011"/>
    </row>
    <row r="11" spans="1:7" ht="67.5" customHeight="1">
      <c r="A11" s="454" t="s">
        <v>382</v>
      </c>
      <c r="B11" s="454" t="s">
        <v>389</v>
      </c>
      <c r="C11" s="2009" t="s">
        <v>2252</v>
      </c>
      <c r="D11" s="2010"/>
      <c r="E11" s="2010"/>
      <c r="F11" s="2010"/>
      <c r="G11" s="2011"/>
    </row>
    <row r="12" spans="1:7" ht="51.75" customHeight="1">
      <c r="A12" s="454" t="s">
        <v>382</v>
      </c>
      <c r="B12" s="454" t="s">
        <v>391</v>
      </c>
      <c r="C12" s="2009" t="s">
        <v>2228</v>
      </c>
      <c r="D12" s="2010"/>
      <c r="E12" s="2010"/>
      <c r="F12" s="2010"/>
      <c r="G12" s="2011"/>
    </row>
    <row r="13" spans="1:7" ht="21" customHeight="1">
      <c r="A13" s="454" t="s">
        <v>382</v>
      </c>
      <c r="B13" s="454" t="s">
        <v>393</v>
      </c>
      <c r="C13" s="455" t="s">
        <v>712</v>
      </c>
      <c r="D13" s="456"/>
      <c r="E13" s="457"/>
      <c r="F13" s="457"/>
      <c r="G13" s="456"/>
    </row>
    <row r="14" spans="1:7" ht="21" customHeight="1">
      <c r="A14" s="454" t="s">
        <v>382</v>
      </c>
      <c r="B14" s="454" t="s">
        <v>395</v>
      </c>
      <c r="C14" s="459">
        <v>1</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SUM(H31:H37)</f>
        <v>1802.3607501571178</v>
      </c>
      <c r="C18" s="466">
        <f>B18/C$14</f>
        <v>1802.3607501571178</v>
      </c>
      <c r="D18" s="49"/>
      <c r="E18" s="89"/>
      <c r="F18" s="89"/>
      <c r="G18" s="49"/>
    </row>
    <row r="19" spans="1:8" ht="15">
      <c r="A19" s="454" t="s">
        <v>2</v>
      </c>
      <c r="B19" s="465">
        <f>SUM(H38:H40)</f>
        <v>0</v>
      </c>
      <c r="C19" s="466">
        <f t="shared" ref="C19:C27" si="0">B19/C$14</f>
        <v>0</v>
      </c>
      <c r="D19" s="49"/>
      <c r="E19" s="89"/>
      <c r="F19" s="89"/>
      <c r="G19" s="49"/>
    </row>
    <row r="20" spans="1:8" ht="15">
      <c r="A20" s="454" t="s">
        <v>3</v>
      </c>
      <c r="B20" s="465">
        <f>SUM(H41:H43)</f>
        <v>393.00806844919839</v>
      </c>
      <c r="C20" s="466">
        <f t="shared" si="0"/>
        <v>393.00806844919839</v>
      </c>
      <c r="D20" s="49"/>
      <c r="E20" s="89"/>
      <c r="F20" s="89"/>
      <c r="G20" s="49"/>
    </row>
    <row r="21" spans="1:8" ht="15">
      <c r="A21" s="454" t="s">
        <v>4</v>
      </c>
      <c r="B21" s="465">
        <f>H44</f>
        <v>109.7684409303158</v>
      </c>
      <c r="C21" s="466">
        <f t="shared" si="0"/>
        <v>109.7684409303158</v>
      </c>
      <c r="D21" s="49"/>
      <c r="E21" s="89"/>
      <c r="F21" s="89"/>
      <c r="G21" s="49"/>
    </row>
    <row r="22" spans="1:8" ht="15">
      <c r="A22" s="454" t="s">
        <v>26</v>
      </c>
      <c r="B22" s="465">
        <f>H45</f>
        <v>0</v>
      </c>
      <c r="C22" s="466">
        <f t="shared" si="0"/>
        <v>0</v>
      </c>
      <c r="D22" s="49"/>
      <c r="E22" s="89"/>
      <c r="F22" s="89"/>
      <c r="G22" s="49"/>
    </row>
    <row r="23" spans="1:8" ht="15">
      <c r="A23" s="454" t="s">
        <v>7</v>
      </c>
      <c r="B23" s="465">
        <f>SUM(H46:H48)</f>
        <v>0</v>
      </c>
      <c r="C23" s="466">
        <f t="shared" si="0"/>
        <v>0</v>
      </c>
      <c r="D23" s="49"/>
      <c r="E23" s="89"/>
      <c r="F23" s="89"/>
      <c r="G23" s="49"/>
    </row>
    <row r="24" spans="1:8" ht="15">
      <c r="A24" s="454" t="s">
        <v>27</v>
      </c>
      <c r="B24" s="465">
        <f>SUM(H49:H51)</f>
        <v>0</v>
      </c>
      <c r="C24" s="466">
        <f t="shared" si="0"/>
        <v>0</v>
      </c>
      <c r="D24" s="49"/>
      <c r="E24" s="89"/>
      <c r="F24" s="89"/>
      <c r="G24" s="49"/>
    </row>
    <row r="25" spans="1:8" ht="15">
      <c r="A25" s="454" t="s">
        <v>5</v>
      </c>
      <c r="B25" s="465">
        <f>G52</f>
        <v>0</v>
      </c>
      <c r="C25" s="466">
        <f t="shared" si="0"/>
        <v>0</v>
      </c>
      <c r="D25" s="49"/>
      <c r="E25" s="89"/>
      <c r="F25" s="89"/>
      <c r="G25" s="49"/>
    </row>
    <row r="26" spans="1:8" ht="15">
      <c r="A26" s="454" t="s">
        <v>20</v>
      </c>
      <c r="B26" s="465">
        <f>H52</f>
        <v>0</v>
      </c>
      <c r="C26" s="466">
        <f t="shared" si="0"/>
        <v>0</v>
      </c>
      <c r="D26" s="49"/>
      <c r="E26" s="89"/>
      <c r="F26" s="89"/>
      <c r="G26" s="49"/>
    </row>
    <row r="27" spans="1:8" ht="15">
      <c r="A27" s="454" t="s">
        <v>399</v>
      </c>
      <c r="B27" s="465">
        <f>SUM(B18:B26)</f>
        <v>2305.137259536632</v>
      </c>
      <c r="C27" s="466">
        <f t="shared" si="0"/>
        <v>2305.137259536632</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1009</v>
      </c>
      <c r="C31" s="470" t="s">
        <v>2233</v>
      </c>
      <c r="D31" s="471" t="s">
        <v>2234</v>
      </c>
      <c r="E31" s="471" t="s">
        <v>2235</v>
      </c>
      <c r="F31" s="472">
        <v>1470.4281025380701</v>
      </c>
      <c r="G31" s="1242">
        <v>1</v>
      </c>
      <c r="H31" s="474">
        <f>IF(G31&lt;=0, 0, F31*G31)</f>
        <v>1470.4281025380701</v>
      </c>
    </row>
    <row r="32" spans="1:8" ht="15">
      <c r="A32" s="454" t="s">
        <v>0</v>
      </c>
      <c r="B32" s="470">
        <v>1038</v>
      </c>
      <c r="C32" s="470" t="s">
        <v>2238</v>
      </c>
      <c r="D32" s="471" t="s">
        <v>1532</v>
      </c>
      <c r="E32" s="471" t="s">
        <v>778</v>
      </c>
      <c r="F32" s="472">
        <v>252.12610000000001</v>
      </c>
      <c r="G32" s="486">
        <v>1</v>
      </c>
      <c r="H32" s="474">
        <f t="shared" ref="H32:H53" si="1">IF(G32&lt;=0, 0, F32*G32)</f>
        <v>252.12610000000001</v>
      </c>
    </row>
    <row r="33" spans="1:8" ht="15">
      <c r="A33" s="454" t="s">
        <v>0</v>
      </c>
      <c r="B33" s="470">
        <v>227</v>
      </c>
      <c r="C33" s="470" t="s">
        <v>939</v>
      </c>
      <c r="D33" s="471"/>
      <c r="E33" s="471" t="s">
        <v>778</v>
      </c>
      <c r="F33" s="472">
        <v>79.806547619047606</v>
      </c>
      <c r="G33" s="486">
        <v>1</v>
      </c>
      <c r="H33" s="474">
        <f t="shared" si="1"/>
        <v>79.806547619047606</v>
      </c>
    </row>
    <row r="34" spans="1:8" ht="15">
      <c r="A34" s="454" t="s">
        <v>0</v>
      </c>
      <c r="B34" s="470"/>
      <c r="C34" s="470"/>
      <c r="D34" s="471"/>
      <c r="E34" s="1201"/>
      <c r="F34" s="472"/>
      <c r="G34" s="486"/>
      <c r="H34" s="474">
        <f t="shared" si="1"/>
        <v>0</v>
      </c>
    </row>
    <row r="35" spans="1:8" ht="15">
      <c r="A35" s="454" t="s">
        <v>0</v>
      </c>
      <c r="B35" s="470"/>
      <c r="C35" s="470"/>
      <c r="D35" s="471"/>
      <c r="E35" s="471"/>
      <c r="F35" s="472"/>
      <c r="G35" s="486"/>
      <c r="H35" s="474">
        <f t="shared" si="1"/>
        <v>0</v>
      </c>
    </row>
    <row r="36" spans="1:8" ht="15">
      <c r="A36" s="454" t="s">
        <v>0</v>
      </c>
      <c r="B36" s="470"/>
      <c r="C36" s="470"/>
      <c r="D36" s="471"/>
      <c r="E36" s="471"/>
      <c r="F36" s="472"/>
      <c r="G36" s="486"/>
      <c r="H36" s="474">
        <f t="shared" si="1"/>
        <v>0</v>
      </c>
    </row>
    <row r="37" spans="1:8" ht="15">
      <c r="A37" s="454" t="s">
        <v>0</v>
      </c>
      <c r="B37" s="470"/>
      <c r="C37" s="1274"/>
      <c r="D37" s="1272"/>
      <c r="E37" s="1272"/>
      <c r="F37" s="1273"/>
      <c r="G37" s="486"/>
      <c r="H37" s="474">
        <f t="shared" si="1"/>
        <v>0</v>
      </c>
    </row>
    <row r="38" spans="1:8" ht="15">
      <c r="A38" s="454" t="s">
        <v>2</v>
      </c>
      <c r="B38" s="470"/>
      <c r="C38" s="470"/>
      <c r="D38" s="471"/>
      <c r="E38" s="1201"/>
      <c r="F38" s="472"/>
      <c r="G38" s="486"/>
      <c r="H38" s="474">
        <f t="shared" si="1"/>
        <v>0</v>
      </c>
    </row>
    <row r="39" spans="1:8" ht="15">
      <c r="A39" s="454" t="s">
        <v>2</v>
      </c>
      <c r="B39" s="470"/>
      <c r="C39" s="470"/>
      <c r="D39" s="471"/>
      <c r="E39" s="471"/>
      <c r="F39" s="472"/>
      <c r="G39" s="486"/>
      <c r="H39" s="474">
        <f t="shared" si="1"/>
        <v>0</v>
      </c>
    </row>
    <row r="40" spans="1:8" ht="15">
      <c r="A40" s="454" t="s">
        <v>2</v>
      </c>
      <c r="B40" s="470"/>
      <c r="C40" s="470"/>
      <c r="D40" s="471"/>
      <c r="E40" s="471"/>
      <c r="F40" s="472"/>
      <c r="G40" s="486"/>
      <c r="H40" s="474">
        <f t="shared" si="1"/>
        <v>0</v>
      </c>
    </row>
    <row r="41" spans="1:8" ht="15">
      <c r="A41" s="454" t="s">
        <v>3</v>
      </c>
      <c r="B41" s="470">
        <v>230</v>
      </c>
      <c r="C41" s="470" t="s">
        <v>414</v>
      </c>
      <c r="D41" s="471" t="s">
        <v>415</v>
      </c>
      <c r="E41" s="471" t="s">
        <v>411</v>
      </c>
      <c r="F41" s="472">
        <v>28.544029946524098</v>
      </c>
      <c r="G41" s="486">
        <v>8</v>
      </c>
      <c r="H41" s="474">
        <f t="shared" si="1"/>
        <v>228.35223957219279</v>
      </c>
    </row>
    <row r="42" spans="1:8" ht="15">
      <c r="A42" s="454" t="s">
        <v>3</v>
      </c>
      <c r="B42" s="470">
        <v>231</v>
      </c>
      <c r="C42" s="470" t="s">
        <v>578</v>
      </c>
      <c r="D42" s="471" t="s">
        <v>579</v>
      </c>
      <c r="E42" s="471" t="s">
        <v>411</v>
      </c>
      <c r="F42" s="472">
        <v>20.5819786096257</v>
      </c>
      <c r="G42" s="486">
        <v>8</v>
      </c>
      <c r="H42" s="474">
        <f t="shared" si="1"/>
        <v>164.6558288770056</v>
      </c>
    </row>
    <row r="43" spans="1:8" ht="15">
      <c r="A43" s="454" t="s">
        <v>3</v>
      </c>
      <c r="B43" s="470"/>
      <c r="C43" s="470"/>
      <c r="D43" s="471"/>
      <c r="E43" s="471"/>
      <c r="F43" s="472"/>
      <c r="G43" s="486"/>
      <c r="H43" s="474">
        <f t="shared" si="1"/>
        <v>0</v>
      </c>
    </row>
    <row r="44" spans="1:8" ht="15">
      <c r="A44" s="454" t="s">
        <v>4</v>
      </c>
      <c r="B44" s="470"/>
      <c r="C44" s="470"/>
      <c r="D44" s="471"/>
      <c r="E44" s="471" t="s">
        <v>418</v>
      </c>
      <c r="F44" s="481">
        <v>0.05</v>
      </c>
      <c r="G44" s="486">
        <f>SUM(H31:H43)</f>
        <v>2195.3688186063159</v>
      </c>
      <c r="H44" s="474">
        <f t="shared" si="1"/>
        <v>109.7684409303158</v>
      </c>
    </row>
    <row r="45" spans="1:8" ht="16.5" customHeight="1">
      <c r="A45" s="454" t="s">
        <v>419</v>
      </c>
      <c r="B45" s="470"/>
      <c r="C45" s="470"/>
      <c r="D45" s="471"/>
      <c r="E45" s="471"/>
      <c r="F45" s="481"/>
      <c r="G45" s="486"/>
      <c r="H45" s="474">
        <f t="shared" si="1"/>
        <v>0</v>
      </c>
    </row>
    <row r="46" spans="1:8" ht="15">
      <c r="A46" s="454" t="s">
        <v>7</v>
      </c>
      <c r="B46" s="470"/>
      <c r="C46" s="470"/>
      <c r="D46" s="471"/>
      <c r="E46" s="471"/>
      <c r="F46" s="472"/>
      <c r="G46" s="486"/>
      <c r="H46" s="474">
        <f t="shared" si="1"/>
        <v>0</v>
      </c>
    </row>
    <row r="47" spans="1:8" ht="15">
      <c r="A47" s="454" t="s">
        <v>7</v>
      </c>
      <c r="B47" s="470"/>
      <c r="C47" s="470"/>
      <c r="D47" s="471"/>
      <c r="E47" s="471"/>
      <c r="F47" s="472"/>
      <c r="G47" s="486"/>
      <c r="H47" s="474">
        <f t="shared" si="1"/>
        <v>0</v>
      </c>
    </row>
    <row r="48" spans="1:8" ht="15">
      <c r="A48" s="454" t="s">
        <v>7</v>
      </c>
      <c r="B48" s="470"/>
      <c r="C48" s="470"/>
      <c r="D48" s="471"/>
      <c r="E48" s="471"/>
      <c r="F48" s="472"/>
      <c r="G48" s="486"/>
      <c r="H48" s="474">
        <f t="shared" si="1"/>
        <v>0</v>
      </c>
    </row>
    <row r="49" spans="1:8" ht="15">
      <c r="A49" s="454" t="s">
        <v>421</v>
      </c>
      <c r="B49" s="470"/>
      <c r="C49" s="470"/>
      <c r="D49" s="471"/>
      <c r="E49" s="471"/>
      <c r="F49" s="472"/>
      <c r="G49" s="486"/>
      <c r="H49" s="474">
        <f t="shared" si="1"/>
        <v>0</v>
      </c>
    </row>
    <row r="50" spans="1:8" ht="15">
      <c r="A50" s="454" t="s">
        <v>421</v>
      </c>
      <c r="B50" s="470"/>
      <c r="C50" s="470"/>
      <c r="D50" s="471"/>
      <c r="E50" s="471"/>
      <c r="F50" s="472"/>
      <c r="G50" s="486"/>
      <c r="H50" s="474">
        <f t="shared" si="1"/>
        <v>0</v>
      </c>
    </row>
    <row r="51" spans="1:8" ht="15">
      <c r="A51" s="454" t="s">
        <v>421</v>
      </c>
      <c r="B51" s="470"/>
      <c r="C51" s="470"/>
      <c r="D51" s="471"/>
      <c r="E51" s="471"/>
      <c r="F51" s="472"/>
      <c r="G51" s="486"/>
      <c r="H51" s="474">
        <f t="shared" si="1"/>
        <v>0</v>
      </c>
    </row>
    <row r="52" spans="1:8" ht="15">
      <c r="A52" s="454" t="s">
        <v>5</v>
      </c>
      <c r="B52" s="470"/>
      <c r="C52" s="470"/>
      <c r="D52" s="471"/>
      <c r="E52" s="471"/>
      <c r="F52" s="472"/>
      <c r="G52" s="486"/>
      <c r="H52" s="474">
        <f t="shared" si="1"/>
        <v>0</v>
      </c>
    </row>
    <row r="53" spans="1:8" ht="15">
      <c r="A53" s="454" t="s">
        <v>20</v>
      </c>
      <c r="B53" s="470"/>
      <c r="C53" s="470"/>
      <c r="D53" s="471"/>
      <c r="E53" s="471"/>
      <c r="F53" s="472"/>
      <c r="G53" s="486"/>
      <c r="H53" s="474">
        <f t="shared" si="1"/>
        <v>0</v>
      </c>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87" spans="1:7">
      <c r="A87" s="82"/>
      <c r="B87" s="82"/>
      <c r="C87" s="82"/>
      <c r="D87" s="82"/>
      <c r="E87" s="82"/>
      <c r="F87" s="82"/>
      <c r="G87" s="82"/>
    </row>
    <row r="98" spans="4:4">
      <c r="D98" s="57"/>
    </row>
    <row r="99" spans="4:4">
      <c r="D99" s="57"/>
    </row>
    <row r="100" spans="4:4">
      <c r="D100" s="57"/>
    </row>
    <row r="101" spans="4:4">
      <c r="D101" s="57"/>
    </row>
    <row r="102" spans="4:4">
      <c r="D102" s="57"/>
    </row>
    <row r="103" spans="4:4">
      <c r="D103" s="57"/>
    </row>
    <row r="104" spans="4:4">
      <c r="D104" s="57"/>
    </row>
    <row r="106" spans="4:4">
      <c r="D106" s="57"/>
    </row>
    <row r="108" spans="4:4">
      <c r="D108" s="56"/>
    </row>
    <row r="110" spans="4:4">
      <c r="D110"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dimension ref="B1:P105"/>
  <sheetViews>
    <sheetView zoomScaleNormal="100" workbookViewId="0">
      <selection activeCell="L15" sqref="L15"/>
    </sheetView>
  </sheetViews>
  <sheetFormatPr defaultRowHeight="12.75"/>
  <cols>
    <col min="1" max="1" width="2.85546875" style="2" customWidth="1"/>
    <col min="2" max="2" width="11.5703125" style="2" customWidth="1"/>
    <col min="3" max="3" width="18.7109375" style="2" customWidth="1"/>
    <col min="4" max="4" width="27.5703125" style="2" customWidth="1"/>
    <col min="5" max="5" width="22.42578125" style="2" customWidth="1"/>
    <col min="6" max="6" width="11.42578125" style="2" customWidth="1"/>
    <col min="7" max="7" width="10.42578125" style="2" customWidth="1"/>
    <col min="8" max="8" width="10.5703125" style="2" customWidth="1"/>
    <col min="9" max="9" width="10.140625" style="2" customWidth="1"/>
    <col min="10" max="10" width="8.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c r="B2" s="163" t="s">
        <v>129</v>
      </c>
      <c r="C2" s="79">
        <v>106</v>
      </c>
      <c r="D2" s="79" t="s">
        <v>130</v>
      </c>
      <c r="E2" s="79" t="s">
        <v>157</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c r="B6" s="54">
        <v>106</v>
      </c>
      <c r="C6" s="7" t="str">
        <f>+E10</f>
        <v>EQIP</v>
      </c>
      <c r="D6" s="53" t="s">
        <v>130</v>
      </c>
      <c r="E6" s="53" t="s">
        <v>157</v>
      </c>
      <c r="F6" s="7" t="s">
        <v>47</v>
      </c>
      <c r="G6" s="85">
        <f>G23</f>
        <v>2726.25</v>
      </c>
      <c r="H6" s="89"/>
      <c r="I6" s="89"/>
      <c r="J6"/>
    </row>
    <row r="7" spans="2:10">
      <c r="B7" s="8">
        <v>106</v>
      </c>
      <c r="C7" s="10" t="s">
        <v>15</v>
      </c>
      <c r="D7" s="9" t="s">
        <v>130</v>
      </c>
      <c r="E7" s="9" t="s">
        <v>158</v>
      </c>
      <c r="F7" s="10" t="s">
        <v>47</v>
      </c>
      <c r="G7" s="86">
        <f>$H$23</f>
        <v>3271.5</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3635</v>
      </c>
      <c r="E16" s="160">
        <v>0.75</v>
      </c>
      <c r="F16" s="160">
        <v>0.9</v>
      </c>
      <c r="G16" s="73">
        <f t="shared" si="0"/>
        <v>2726.25</v>
      </c>
      <c r="H16" s="74">
        <f t="shared" si="0"/>
        <v>3271.5</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I58</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3635</v>
      </c>
      <c r="E23" s="28"/>
      <c r="F23" s="28"/>
      <c r="G23" s="51">
        <f t="shared" ref="G23:H23" si="1">SUM(G14:G22)</f>
        <v>2726.25</v>
      </c>
      <c r="H23" s="77">
        <f t="shared" si="1"/>
        <v>3271.5</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134</v>
      </c>
      <c r="E28" s="1955"/>
      <c r="F28" s="1955"/>
      <c r="G28" s="1955"/>
      <c r="H28" s="1955"/>
      <c r="I28" s="36"/>
    </row>
    <row r="29" spans="2:16">
      <c r="B29" s="42"/>
      <c r="C29" s="34"/>
      <c r="D29" s="115"/>
      <c r="E29" s="97"/>
      <c r="F29" s="97"/>
      <c r="G29" s="97"/>
      <c r="H29" s="97"/>
      <c r="I29" s="36"/>
    </row>
    <row r="30" spans="2:16" ht="16.5" customHeight="1">
      <c r="B30" s="37" t="s">
        <v>41</v>
      </c>
      <c r="C30" s="34"/>
      <c r="D30" s="1956" t="s">
        <v>135</v>
      </c>
      <c r="E30" s="1957"/>
      <c r="F30" s="1957"/>
      <c r="G30" s="1957"/>
      <c r="H30" s="1957"/>
      <c r="I30" s="36"/>
    </row>
    <row r="31" spans="2:16" ht="30" customHeight="1">
      <c r="B31" s="91" t="s">
        <v>40</v>
      </c>
      <c r="C31" s="34"/>
      <c r="D31" s="1956" t="s">
        <v>159</v>
      </c>
      <c r="E31" s="1957"/>
      <c r="F31" s="1957"/>
      <c r="G31" s="1957"/>
      <c r="H31" s="1957"/>
      <c r="I31" s="36"/>
    </row>
    <row r="32" spans="2:16" ht="48" customHeight="1">
      <c r="B32" s="91" t="s">
        <v>33</v>
      </c>
      <c r="C32" s="90"/>
      <c r="D32" s="1956" t="s">
        <v>137</v>
      </c>
      <c r="E32" s="1957"/>
      <c r="F32" s="1957"/>
      <c r="G32" s="1957"/>
      <c r="H32" s="1957"/>
      <c r="I32" s="36"/>
    </row>
    <row r="33" spans="2:15" ht="65.25" customHeight="1">
      <c r="B33" s="91" t="s">
        <v>35</v>
      </c>
      <c r="C33" s="90"/>
      <c r="D33" s="1956" t="s">
        <v>138</v>
      </c>
      <c r="E33" s="1957"/>
      <c r="F33" s="1957"/>
      <c r="G33" s="1957"/>
      <c r="H33" s="1957"/>
      <c r="I33" s="36"/>
    </row>
    <row r="34" spans="2:15" ht="13.5" customHeight="1">
      <c r="B34" s="91" t="s">
        <v>34</v>
      </c>
      <c r="C34" s="90"/>
      <c r="D34" s="1956" t="s">
        <v>139</v>
      </c>
      <c r="E34" s="1957"/>
      <c r="F34" s="1957"/>
      <c r="G34" s="1957"/>
      <c r="H34" s="1957"/>
      <c r="I34" s="36"/>
    </row>
    <row r="35" spans="2:15">
      <c r="B35" s="37"/>
      <c r="C35" s="34"/>
      <c r="D35" s="34"/>
      <c r="E35" s="35"/>
      <c r="F35" s="35"/>
      <c r="G35" s="35"/>
      <c r="H35" s="35"/>
      <c r="I35" s="36"/>
    </row>
    <row r="36" spans="2:15">
      <c r="B36" s="38" t="s">
        <v>25</v>
      </c>
      <c r="C36" s="34"/>
      <c r="D36" s="1958" t="s">
        <v>129</v>
      </c>
      <c r="E36" s="1952"/>
      <c r="F36" s="1952"/>
      <c r="G36" s="1952"/>
      <c r="H36" s="1952"/>
      <c r="I36" s="36"/>
      <c r="J36" s="49"/>
    </row>
    <row r="37" spans="2:15">
      <c r="B37" s="37"/>
      <c r="C37" s="34"/>
      <c r="D37" s="35"/>
      <c r="E37" s="35"/>
      <c r="F37" s="35"/>
      <c r="G37" s="35"/>
      <c r="H37" s="35"/>
      <c r="I37" s="36"/>
    </row>
    <row r="38" spans="2:15">
      <c r="B38" s="38" t="s">
        <v>8</v>
      </c>
      <c r="C38" s="34"/>
      <c r="D38" s="39" t="s">
        <v>38</v>
      </c>
      <c r="E38" s="35"/>
      <c r="F38" s="35"/>
      <c r="G38" s="35"/>
      <c r="H38" s="35"/>
      <c r="I38" s="36"/>
    </row>
    <row r="39" spans="2:15">
      <c r="B39" s="38" t="s">
        <v>9</v>
      </c>
      <c r="C39" s="34"/>
      <c r="D39" s="92">
        <v>1</v>
      </c>
      <c r="E39" s="35"/>
      <c r="F39" s="35"/>
      <c r="G39" s="35"/>
      <c r="H39" s="35"/>
      <c r="I39" s="36"/>
    </row>
    <row r="40" spans="2:15">
      <c r="B40" s="38" t="s">
        <v>10</v>
      </c>
      <c r="C40" s="35"/>
      <c r="D40" s="93">
        <v>0</v>
      </c>
      <c r="E40" s="35"/>
      <c r="F40" s="35"/>
      <c r="G40" s="35"/>
      <c r="H40" s="35"/>
      <c r="I40" s="96" t="s">
        <v>6</v>
      </c>
    </row>
    <row r="41" spans="2:15">
      <c r="B41" s="40"/>
      <c r="C41" s="35"/>
      <c r="D41" s="35"/>
      <c r="E41" s="41"/>
      <c r="F41" s="35"/>
      <c r="G41" s="35"/>
      <c r="H41" s="35"/>
      <c r="I41" s="149"/>
      <c r="L41" s="64"/>
      <c r="M41" s="64"/>
      <c r="N41" s="61"/>
      <c r="O41" s="61"/>
    </row>
    <row r="42" spans="2:15">
      <c r="B42" s="42" t="s">
        <v>0</v>
      </c>
      <c r="C42" s="35"/>
      <c r="D42" s="35"/>
      <c r="E42" s="35"/>
      <c r="F42" s="35"/>
      <c r="G42" s="35"/>
      <c r="H42" s="35"/>
      <c r="I42" s="46">
        <v>0</v>
      </c>
      <c r="L42" s="64"/>
      <c r="M42" s="64"/>
      <c r="N42" s="61"/>
      <c r="O42" s="61"/>
    </row>
    <row r="43" spans="2:15" ht="14.25" customHeight="1">
      <c r="B43" s="37" t="s">
        <v>39</v>
      </c>
      <c r="C43" s="35"/>
      <c r="D43" s="166"/>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0</v>
      </c>
      <c r="L45" s="64"/>
      <c r="M45" s="61"/>
    </row>
    <row r="46" spans="2:15" ht="12.75" customHeight="1">
      <c r="B46" s="1959" t="s">
        <v>39</v>
      </c>
      <c r="C46" s="1955"/>
      <c r="D46" s="1955"/>
      <c r="E46" s="1955"/>
      <c r="F46" s="1955"/>
      <c r="G46" s="1955"/>
      <c r="H46" s="1955"/>
      <c r="I46" s="46"/>
      <c r="L46" s="64"/>
      <c r="M46" s="61"/>
    </row>
    <row r="47" spans="2:15" ht="12.75" customHeight="1">
      <c r="B47" s="117"/>
      <c r="C47" s="97"/>
      <c r="D47" s="97"/>
      <c r="E47" s="97"/>
      <c r="F47" s="97"/>
      <c r="G47" s="97"/>
      <c r="H47" s="97"/>
      <c r="I47" s="46"/>
      <c r="L47" s="64"/>
      <c r="M47" s="61"/>
    </row>
    <row r="48" spans="2:15">
      <c r="B48" s="42" t="s">
        <v>3</v>
      </c>
      <c r="C48" s="167"/>
      <c r="D48" s="167"/>
      <c r="E48" s="167"/>
      <c r="F48" s="167"/>
      <c r="G48" s="167"/>
      <c r="H48" s="167"/>
      <c r="I48" s="46">
        <v>3635</v>
      </c>
      <c r="L48" s="64"/>
      <c r="M48" s="61"/>
    </row>
    <row r="49" spans="2:15" ht="15.75" customHeight="1">
      <c r="B49" s="1959" t="s">
        <v>153</v>
      </c>
      <c r="C49" s="1955"/>
      <c r="D49" s="1955"/>
      <c r="E49" s="1955"/>
      <c r="F49" s="1955"/>
      <c r="G49" s="1955"/>
      <c r="H49" s="1955"/>
      <c r="I49" s="46"/>
      <c r="L49" s="64"/>
      <c r="M49" s="61"/>
    </row>
    <row r="50" spans="2:15" ht="7.5" customHeight="1">
      <c r="B50" s="33"/>
      <c r="C50" s="35"/>
      <c r="D50" s="35"/>
      <c r="E50" s="35"/>
      <c r="F50" s="35"/>
      <c r="G50" s="35"/>
      <c r="H50" s="35"/>
      <c r="I50" s="48"/>
      <c r="L50" s="64"/>
      <c r="M50" s="61"/>
    </row>
    <row r="51" spans="2:15">
      <c r="B51" s="42" t="s">
        <v>4</v>
      </c>
      <c r="C51" s="35"/>
      <c r="D51" s="35"/>
      <c r="E51" s="35"/>
      <c r="F51" s="35"/>
      <c r="G51" s="35"/>
      <c r="H51" s="35"/>
      <c r="I51" s="48">
        <v>0</v>
      </c>
      <c r="L51" s="64"/>
      <c r="M51" s="61"/>
    </row>
    <row r="52" spans="2:15" ht="12" customHeight="1">
      <c r="B52" s="37" t="s">
        <v>39</v>
      </c>
      <c r="C52" s="35"/>
      <c r="D52" s="35"/>
      <c r="E52" s="35"/>
      <c r="F52" s="35"/>
      <c r="G52" s="35"/>
      <c r="H52" s="35"/>
      <c r="I52" s="36"/>
      <c r="L52" s="64"/>
      <c r="M52" s="61"/>
    </row>
    <row r="53" spans="2:15" ht="5.25" customHeight="1">
      <c r="B53" s="37"/>
      <c r="C53" s="35"/>
      <c r="D53" s="35"/>
      <c r="E53" s="35"/>
      <c r="F53" s="35"/>
      <c r="G53" s="35"/>
      <c r="H53" s="35"/>
      <c r="I53" s="36"/>
      <c r="L53" s="64"/>
      <c r="M53" s="61"/>
    </row>
    <row r="54" spans="2:15">
      <c r="B54" s="42" t="s">
        <v>26</v>
      </c>
      <c r="C54" s="35"/>
      <c r="D54" s="35"/>
      <c r="E54" s="35"/>
      <c r="F54" s="35"/>
      <c r="G54" s="35"/>
      <c r="H54" s="35"/>
      <c r="I54" s="46">
        <v>0</v>
      </c>
      <c r="L54" s="64"/>
      <c r="M54" s="61"/>
    </row>
    <row r="55" spans="2:15" ht="14.25" customHeight="1">
      <c r="B55" s="1959" t="s">
        <v>39</v>
      </c>
      <c r="C55" s="1955"/>
      <c r="D55" s="1955"/>
      <c r="E55" s="1955"/>
      <c r="F55" s="1955"/>
      <c r="G55" s="1955"/>
      <c r="H55" s="1955"/>
      <c r="I55" s="48"/>
      <c r="L55" s="64"/>
      <c r="M55" s="61"/>
    </row>
    <row r="56" spans="2:15" ht="8.25" customHeight="1">
      <c r="B56" s="1943"/>
      <c r="C56" s="1944"/>
      <c r="D56" s="1944"/>
      <c r="E56" s="1944"/>
      <c r="F56" s="1944"/>
      <c r="G56" s="1944"/>
      <c r="H56" s="35"/>
      <c r="I56" s="48"/>
      <c r="L56" s="64"/>
      <c r="M56" s="61"/>
    </row>
    <row r="57" spans="2:15" ht="5.25" customHeight="1">
      <c r="B57" s="37"/>
      <c r="C57" s="35"/>
      <c r="D57" s="35"/>
      <c r="E57" s="35"/>
      <c r="F57" s="35"/>
      <c r="G57" s="35"/>
      <c r="H57" s="35"/>
      <c r="I57" s="36"/>
      <c r="L57" s="64"/>
      <c r="M57" s="64"/>
    </row>
    <row r="58" spans="2:15">
      <c r="B58" s="42" t="s">
        <v>7</v>
      </c>
      <c r="C58" s="35"/>
      <c r="D58" s="35"/>
      <c r="E58" s="35"/>
      <c r="F58" s="35"/>
      <c r="G58" s="35"/>
      <c r="H58" s="35"/>
      <c r="I58" s="46">
        <v>0</v>
      </c>
      <c r="L58" s="64"/>
      <c r="M58" s="64"/>
      <c r="N58" s="64"/>
      <c r="O58" s="64"/>
    </row>
    <row r="59" spans="2:15" ht="12" customHeight="1">
      <c r="B59" s="37" t="s">
        <v>141</v>
      </c>
      <c r="C59" s="35"/>
      <c r="D59" s="35"/>
      <c r="E59" s="35"/>
      <c r="F59" s="35"/>
      <c r="G59" s="35"/>
      <c r="H59" s="35"/>
      <c r="I59" s="36"/>
      <c r="L59" s="64"/>
      <c r="M59" s="64"/>
      <c r="N59" s="61"/>
      <c r="O59" s="61"/>
    </row>
    <row r="60" spans="2:15" ht="6" customHeight="1">
      <c r="B60" s="37"/>
      <c r="C60" s="35"/>
      <c r="D60" s="35"/>
      <c r="E60" s="35"/>
      <c r="F60" s="35"/>
      <c r="G60" s="35"/>
      <c r="H60" s="35"/>
      <c r="I60" s="36"/>
      <c r="L60" s="64"/>
      <c r="M60" s="64"/>
      <c r="N60" s="65"/>
      <c r="O60" s="65"/>
    </row>
    <row r="61" spans="2:15">
      <c r="B61" s="42" t="s">
        <v>27</v>
      </c>
      <c r="C61" s="35"/>
      <c r="D61" s="35"/>
      <c r="E61" s="35"/>
      <c r="F61" s="35"/>
      <c r="G61" s="35"/>
      <c r="H61" s="35"/>
      <c r="I61" s="46">
        <v>0</v>
      </c>
      <c r="L61" s="64"/>
      <c r="M61" s="64"/>
      <c r="N61" s="61"/>
      <c r="O61" s="61"/>
    </row>
    <row r="62" spans="2:15" ht="13.5" customHeight="1">
      <c r="B62" s="37" t="s">
        <v>39</v>
      </c>
      <c r="C62" s="35"/>
      <c r="D62" s="35"/>
      <c r="E62" s="35"/>
      <c r="F62" s="35"/>
      <c r="G62" s="35"/>
      <c r="H62" s="35"/>
      <c r="I62" s="47"/>
      <c r="L62" s="64"/>
      <c r="M62" s="64"/>
      <c r="N62" s="65"/>
      <c r="O62" s="65"/>
    </row>
    <row r="63" spans="2:15" ht="3.75" customHeight="1">
      <c r="B63" s="37"/>
      <c r="C63" s="35"/>
      <c r="D63" s="35"/>
      <c r="E63" s="35"/>
      <c r="F63" s="35"/>
      <c r="G63" s="35"/>
      <c r="H63" s="35"/>
      <c r="I63" s="36"/>
      <c r="L63" s="64"/>
      <c r="M63" s="64"/>
      <c r="N63" s="61"/>
      <c r="O63" s="61"/>
    </row>
    <row r="64" spans="2:15">
      <c r="B64" s="42" t="s">
        <v>5</v>
      </c>
      <c r="C64" s="35"/>
      <c r="D64" s="35"/>
      <c r="E64" s="35"/>
      <c r="F64" s="35"/>
      <c r="G64" s="35"/>
      <c r="H64" s="35"/>
      <c r="I64" s="46">
        <v>0</v>
      </c>
      <c r="L64" s="64"/>
      <c r="M64" s="64"/>
      <c r="N64" s="61"/>
      <c r="O64" s="61"/>
    </row>
    <row r="65" spans="2:15" ht="11.25" customHeight="1">
      <c r="B65" s="37" t="s">
        <v>39</v>
      </c>
      <c r="C65" s="35"/>
      <c r="D65" s="35"/>
      <c r="E65" s="35"/>
      <c r="F65" s="35"/>
      <c r="G65" s="35"/>
      <c r="H65" s="35"/>
      <c r="I65" s="47"/>
      <c r="L65" s="64"/>
      <c r="M65" s="64"/>
      <c r="N65" s="64"/>
      <c r="O65" s="64"/>
    </row>
    <row r="66" spans="2:15" ht="4.5" customHeight="1">
      <c r="B66" s="37"/>
      <c r="C66" s="35"/>
      <c r="D66" s="35"/>
      <c r="E66" s="35"/>
      <c r="F66" s="35"/>
      <c r="G66" s="35"/>
      <c r="H66" s="35"/>
      <c r="I66" s="36"/>
      <c r="L66" s="64"/>
      <c r="M66" s="64"/>
      <c r="N66" s="64"/>
      <c r="O66" s="64"/>
    </row>
    <row r="67" spans="2:15">
      <c r="B67" s="42" t="s">
        <v>20</v>
      </c>
      <c r="C67" s="35"/>
      <c r="D67" s="35"/>
      <c r="E67" s="35"/>
      <c r="F67" s="35"/>
      <c r="G67" s="35"/>
      <c r="H67" s="35"/>
      <c r="I67" s="46">
        <v>0</v>
      </c>
      <c r="L67" s="64"/>
      <c r="M67" s="64"/>
      <c r="N67" s="61"/>
      <c r="O67" s="61"/>
    </row>
    <row r="68" spans="2:15" ht="12" customHeight="1">
      <c r="B68" s="37" t="s">
        <v>39</v>
      </c>
      <c r="C68" s="35"/>
      <c r="D68" s="35"/>
      <c r="E68" s="35"/>
      <c r="F68" s="35"/>
      <c r="G68" s="35"/>
      <c r="H68" s="35"/>
      <c r="I68" s="46"/>
      <c r="L68" s="64"/>
      <c r="M68" s="64"/>
      <c r="N68" s="61"/>
      <c r="O68" s="61"/>
    </row>
    <row r="69" spans="2:15" ht="6.75" customHeight="1">
      <c r="B69" s="42"/>
      <c r="C69" s="35"/>
      <c r="D69" s="35"/>
      <c r="E69" s="35"/>
      <c r="F69" s="35"/>
      <c r="G69" s="35"/>
      <c r="H69" s="35"/>
      <c r="I69" s="46"/>
      <c r="L69" s="64"/>
      <c r="M69" s="64"/>
      <c r="N69" s="61"/>
      <c r="O69" s="61"/>
    </row>
    <row r="70" spans="2:15" ht="5.25" customHeight="1">
      <c r="B70" s="40"/>
      <c r="C70" s="35"/>
      <c r="D70" s="35"/>
      <c r="E70" s="35"/>
      <c r="F70" s="35"/>
      <c r="G70" s="35"/>
      <c r="H70" s="35"/>
      <c r="I70" s="36"/>
      <c r="L70" s="64"/>
      <c r="M70" s="64"/>
      <c r="N70" s="64"/>
      <c r="O70" s="64"/>
    </row>
    <row r="71" spans="2:15">
      <c r="B71" s="43" t="s">
        <v>11</v>
      </c>
      <c r="C71" s="44"/>
      <c r="D71" s="44"/>
      <c r="E71" s="44"/>
      <c r="F71" s="44"/>
      <c r="G71" s="44"/>
      <c r="H71" s="44"/>
      <c r="I71" s="52">
        <f>+I67+I64+I61+I58+I54+I51+I48+I45+I42</f>
        <v>3635</v>
      </c>
      <c r="L71" s="64"/>
      <c r="M71" s="64"/>
      <c r="N71" s="64"/>
      <c r="O71" s="64"/>
    </row>
    <row r="73" spans="2:15">
      <c r="B73" s="168" t="s">
        <v>142</v>
      </c>
      <c r="C73" s="169"/>
      <c r="D73" s="169"/>
      <c r="E73" s="169"/>
      <c r="F73" s="169"/>
      <c r="G73" s="169"/>
      <c r="H73" s="169"/>
      <c r="I73" s="170"/>
    </row>
    <row r="74" spans="2:15">
      <c r="B74" s="1961" t="s">
        <v>143</v>
      </c>
      <c r="C74" s="1962"/>
      <c r="D74" s="1962"/>
      <c r="E74" s="1962"/>
      <c r="F74" s="1962"/>
      <c r="G74" s="1962"/>
      <c r="H74" s="1962"/>
      <c r="I74" s="1963"/>
    </row>
    <row r="75" spans="2:15">
      <c r="B75" s="141" t="s">
        <v>144</v>
      </c>
      <c r="C75" s="173"/>
      <c r="D75" s="173"/>
      <c r="E75" s="173"/>
      <c r="F75" s="173"/>
      <c r="G75" s="173"/>
      <c r="H75" s="173"/>
      <c r="I75" s="174"/>
    </row>
    <row r="76" spans="2:15">
      <c r="B76" s="175" t="s">
        <v>145</v>
      </c>
      <c r="C76" s="119"/>
      <c r="D76" s="119"/>
      <c r="E76" s="119"/>
      <c r="F76" s="119"/>
      <c r="G76" s="119"/>
      <c r="H76" s="119"/>
      <c r="I76" s="176"/>
    </row>
    <row r="94" spans="5:5">
      <c r="E94" s="57"/>
    </row>
    <row r="95" spans="5:5">
      <c r="E95" s="57"/>
    </row>
    <row r="96" spans="5:5">
      <c r="E96" s="57"/>
    </row>
    <row r="97" spans="5:5">
      <c r="E97" s="57"/>
    </row>
    <row r="98" spans="5:5">
      <c r="E98" s="57"/>
    </row>
    <row r="99" spans="5:5">
      <c r="E99" s="57"/>
    </row>
    <row r="101" spans="5:5">
      <c r="E101" s="57"/>
    </row>
    <row r="103" spans="5:5">
      <c r="E103" s="56"/>
    </row>
    <row r="105" spans="5:5">
      <c r="E105" s="57"/>
    </row>
  </sheetData>
  <mergeCells count="12">
    <mergeCell ref="B74:I74"/>
    <mergeCell ref="D28:H28"/>
    <mergeCell ref="D30:H30"/>
    <mergeCell ref="D31:H31"/>
    <mergeCell ref="D32:H32"/>
    <mergeCell ref="D33:H33"/>
    <mergeCell ref="D34:H34"/>
    <mergeCell ref="D36:H36"/>
    <mergeCell ref="B46:H46"/>
    <mergeCell ref="B49:H49"/>
    <mergeCell ref="B55:H55"/>
    <mergeCell ref="B56:G56"/>
  </mergeCells>
  <pageMargins left="0.36" right="0.3" top="0.43" bottom="0.64" header="0.28000000000000003" footer="0.36"/>
  <pageSetup scale="71" orientation="portrait" r:id="rId1"/>
  <headerFooter alignWithMargins="0"/>
</worksheet>
</file>

<file path=xl/worksheets/sheet170.xml><?xml version="1.0" encoding="utf-8"?>
<worksheet xmlns="http://schemas.openxmlformats.org/spreadsheetml/2006/main" xmlns:r="http://schemas.openxmlformats.org/officeDocument/2006/relationships">
  <dimension ref="A1:H110"/>
  <sheetViews>
    <sheetView zoomScale="90" zoomScaleNormal="90" workbookViewId="0">
      <selection activeCell="H12" sqref="H12"/>
    </sheetView>
  </sheetViews>
  <sheetFormatPr defaultRowHeight="12.75"/>
  <cols>
    <col min="1" max="1" width="34.5703125" style="2" customWidth="1"/>
    <col min="2" max="2" width="25.42578125" style="2" customWidth="1"/>
    <col min="3" max="3" width="36.140625" style="2" customWidth="1"/>
    <col min="4" max="4" width="16.7109375" style="2" customWidth="1"/>
    <col min="5" max="5" width="15.140625" style="2" customWidth="1"/>
    <col min="6" max="6" width="11" style="2" customWidth="1"/>
    <col min="7" max="7" width="10.7109375" style="2" bestFit="1" customWidth="1"/>
    <col min="8" max="8" width="12.8554687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2223</v>
      </c>
      <c r="D6" s="456"/>
      <c r="E6" s="457"/>
      <c r="F6" s="458"/>
      <c r="G6" s="458"/>
    </row>
    <row r="7" spans="1:7" ht="21" customHeight="1">
      <c r="A7" s="454" t="s">
        <v>1</v>
      </c>
      <c r="B7" s="454" t="s">
        <v>381</v>
      </c>
      <c r="C7" s="459">
        <v>15</v>
      </c>
      <c r="D7" s="456"/>
      <c r="E7" s="457"/>
      <c r="F7" s="458"/>
      <c r="G7" s="458"/>
    </row>
    <row r="8" spans="1:7" ht="21" customHeight="1">
      <c r="A8" s="454" t="s">
        <v>382</v>
      </c>
      <c r="B8" s="454" t="s">
        <v>383</v>
      </c>
      <c r="C8" s="459" t="s">
        <v>2253</v>
      </c>
      <c r="D8" s="461"/>
      <c r="E8" s="457"/>
      <c r="F8" s="457"/>
      <c r="G8" s="461"/>
    </row>
    <row r="9" spans="1:7" ht="66.75" customHeight="1">
      <c r="A9" s="454" t="s">
        <v>382</v>
      </c>
      <c r="B9" s="454" t="s">
        <v>385</v>
      </c>
      <c r="C9" s="2009" t="s">
        <v>2254</v>
      </c>
      <c r="D9" s="2010"/>
      <c r="E9" s="2010"/>
      <c r="F9" s="2010"/>
      <c r="G9" s="2011"/>
    </row>
    <row r="10" spans="1:7" ht="69" customHeight="1">
      <c r="A10" s="454" t="s">
        <v>382</v>
      </c>
      <c r="B10" s="454" t="s">
        <v>387</v>
      </c>
      <c r="C10" s="2009" t="s">
        <v>2255</v>
      </c>
      <c r="D10" s="2010"/>
      <c r="E10" s="2010"/>
      <c r="F10" s="2010"/>
      <c r="G10" s="2011"/>
    </row>
    <row r="11" spans="1:7" ht="42.75" customHeight="1">
      <c r="A11" s="454" t="s">
        <v>382</v>
      </c>
      <c r="B11" s="454" t="s">
        <v>389</v>
      </c>
      <c r="C11" s="2009" t="s">
        <v>2256</v>
      </c>
      <c r="D11" s="2010"/>
      <c r="E11" s="2010"/>
      <c r="F11" s="2010"/>
      <c r="G11" s="2011"/>
    </row>
    <row r="12" spans="1:7" ht="51.75" customHeight="1">
      <c r="A12" s="454" t="s">
        <v>382</v>
      </c>
      <c r="B12" s="454" t="s">
        <v>391</v>
      </c>
      <c r="C12" s="2009" t="s">
        <v>2257</v>
      </c>
      <c r="D12" s="2010"/>
      <c r="E12" s="2010"/>
      <c r="F12" s="2010"/>
      <c r="G12" s="2011"/>
    </row>
    <row r="13" spans="1:7" ht="21" customHeight="1">
      <c r="A13" s="454" t="s">
        <v>382</v>
      </c>
      <c r="B13" s="454" t="s">
        <v>393</v>
      </c>
      <c r="C13" s="1807" t="s">
        <v>688</v>
      </c>
      <c r="D13" s="456"/>
      <c r="E13" s="457"/>
      <c r="F13" s="457"/>
      <c r="G13" s="456"/>
    </row>
    <row r="14" spans="1:7" ht="21" customHeight="1">
      <c r="A14" s="454" t="s">
        <v>382</v>
      </c>
      <c r="B14" s="454" t="s">
        <v>395</v>
      </c>
      <c r="C14" s="459">
        <v>3</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SUM(H31:H37)</f>
        <v>4411.2843076142108</v>
      </c>
      <c r="C18" s="466">
        <f>B18/C$14</f>
        <v>1470.4281025380703</v>
      </c>
      <c r="D18" s="49"/>
      <c r="E18" s="89"/>
      <c r="F18" s="89"/>
      <c r="G18" s="49"/>
    </row>
    <row r="19" spans="1:8" ht="15">
      <c r="A19" s="454" t="s">
        <v>2</v>
      </c>
      <c r="B19" s="465">
        <f>SUM(H38:H40)</f>
        <v>0</v>
      </c>
      <c r="C19" s="466">
        <f t="shared" ref="C19:C27" si="0">B19/C$14</f>
        <v>0</v>
      </c>
      <c r="D19" s="49"/>
      <c r="E19" s="89"/>
      <c r="F19" s="89"/>
      <c r="G19" s="49"/>
    </row>
    <row r="20" spans="1:8" ht="15">
      <c r="A20" s="454" t="s">
        <v>3</v>
      </c>
      <c r="B20" s="465">
        <f>SUM(H41:H43)</f>
        <v>0</v>
      </c>
      <c r="C20" s="466">
        <f t="shared" si="0"/>
        <v>0</v>
      </c>
      <c r="D20" s="49"/>
      <c r="E20" s="89"/>
      <c r="F20" s="89"/>
      <c r="G20" s="49"/>
    </row>
    <row r="21" spans="1:8" ht="15">
      <c r="A21" s="454" t="s">
        <v>4</v>
      </c>
      <c r="B21" s="465">
        <f>H44</f>
        <v>220.56421538071055</v>
      </c>
      <c r="C21" s="466">
        <f t="shared" si="0"/>
        <v>73.521405126903517</v>
      </c>
      <c r="D21" s="49"/>
      <c r="E21" s="89"/>
      <c r="F21" s="89"/>
      <c r="G21" s="49"/>
    </row>
    <row r="22" spans="1:8" ht="15">
      <c r="A22" s="454" t="s">
        <v>26</v>
      </c>
      <c r="B22" s="465">
        <f>H45</f>
        <v>0</v>
      </c>
      <c r="C22" s="466">
        <f t="shared" si="0"/>
        <v>0</v>
      </c>
      <c r="D22" s="49"/>
      <c r="E22" s="89"/>
      <c r="F22" s="89"/>
      <c r="G22" s="49"/>
    </row>
    <row r="23" spans="1:8" ht="15">
      <c r="A23" s="454" t="s">
        <v>7</v>
      </c>
      <c r="B23" s="465">
        <f>SUM(H46:H48)</f>
        <v>0</v>
      </c>
      <c r="C23" s="466">
        <f t="shared" si="0"/>
        <v>0</v>
      </c>
      <c r="D23" s="49"/>
      <c r="E23" s="89"/>
      <c r="F23" s="89"/>
      <c r="G23" s="49"/>
    </row>
    <row r="24" spans="1:8" ht="15">
      <c r="A24" s="454" t="s">
        <v>27</v>
      </c>
      <c r="B24" s="465">
        <f>SUM(H49:H51)</f>
        <v>0</v>
      </c>
      <c r="C24" s="466">
        <f t="shared" si="0"/>
        <v>0</v>
      </c>
      <c r="D24" s="49"/>
      <c r="E24" s="89"/>
      <c r="F24" s="89"/>
      <c r="G24" s="49"/>
    </row>
    <row r="25" spans="1:8" ht="15">
      <c r="A25" s="454" t="s">
        <v>5</v>
      </c>
      <c r="B25" s="465">
        <f>G52</f>
        <v>0</v>
      </c>
      <c r="C25" s="466">
        <f t="shared" si="0"/>
        <v>0</v>
      </c>
      <c r="D25" s="49"/>
      <c r="E25" s="89"/>
      <c r="F25" s="89"/>
      <c r="G25" s="49"/>
    </row>
    <row r="26" spans="1:8" ht="15">
      <c r="A26" s="454" t="s">
        <v>20</v>
      </c>
      <c r="B26" s="465">
        <f>H52</f>
        <v>0</v>
      </c>
      <c r="C26" s="466">
        <f t="shared" si="0"/>
        <v>0</v>
      </c>
      <c r="D26" s="49"/>
      <c r="E26" s="89"/>
      <c r="F26" s="89"/>
      <c r="G26" s="49"/>
    </row>
    <row r="27" spans="1:8" ht="15">
      <c r="A27" s="454" t="s">
        <v>399</v>
      </c>
      <c r="B27" s="465">
        <f>SUM(B18:B26)</f>
        <v>4631.848522994921</v>
      </c>
      <c r="C27" s="466">
        <f t="shared" si="0"/>
        <v>1543.9495076649737</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1009</v>
      </c>
      <c r="C31" s="470" t="s">
        <v>2233</v>
      </c>
      <c r="D31" s="471" t="s">
        <v>2234</v>
      </c>
      <c r="E31" s="471" t="s">
        <v>2235</v>
      </c>
      <c r="F31" s="472">
        <v>1470.4281025380701</v>
      </c>
      <c r="G31" s="486">
        <v>3</v>
      </c>
      <c r="H31" s="474">
        <f>IF(G31&lt;=0, 0, F31*G31)</f>
        <v>4411.2843076142108</v>
      </c>
    </row>
    <row r="32" spans="1:8" ht="15">
      <c r="A32" s="454" t="s">
        <v>0</v>
      </c>
      <c r="B32" s="470"/>
      <c r="C32" s="470"/>
      <c r="D32" s="471"/>
      <c r="E32" s="471"/>
      <c r="F32" s="472"/>
      <c r="G32" s="486"/>
      <c r="H32" s="474">
        <f t="shared" ref="H32:H53" si="1">IF(G32&lt;=0, 0, F32*G32)</f>
        <v>0</v>
      </c>
    </row>
    <row r="33" spans="1:8" ht="15">
      <c r="A33" s="454" t="s">
        <v>0</v>
      </c>
      <c r="B33" s="470"/>
      <c r="C33" s="470"/>
      <c r="D33" s="471"/>
      <c r="E33" s="471"/>
      <c r="F33" s="472"/>
      <c r="G33" s="486"/>
      <c r="H33" s="474">
        <f t="shared" si="1"/>
        <v>0</v>
      </c>
    </row>
    <row r="34" spans="1:8" ht="15">
      <c r="A34" s="454" t="s">
        <v>0</v>
      </c>
      <c r="B34" s="470"/>
      <c r="C34" s="470"/>
      <c r="D34" s="471"/>
      <c r="E34" s="1201"/>
      <c r="F34" s="472"/>
      <c r="G34" s="486"/>
      <c r="H34" s="474">
        <f t="shared" si="1"/>
        <v>0</v>
      </c>
    </row>
    <row r="35" spans="1:8" ht="15">
      <c r="A35" s="454" t="s">
        <v>0</v>
      </c>
      <c r="B35" s="470"/>
      <c r="C35" s="470"/>
      <c r="D35" s="471"/>
      <c r="E35" s="471"/>
      <c r="F35" s="472"/>
      <c r="G35" s="486"/>
      <c r="H35" s="474">
        <f t="shared" si="1"/>
        <v>0</v>
      </c>
    </row>
    <row r="36" spans="1:8" ht="15">
      <c r="A36" s="454" t="s">
        <v>0</v>
      </c>
      <c r="B36" s="470"/>
      <c r="C36" s="470"/>
      <c r="D36" s="471"/>
      <c r="E36" s="471"/>
      <c r="F36" s="472"/>
      <c r="G36" s="486"/>
      <c r="H36" s="474">
        <f t="shared" si="1"/>
        <v>0</v>
      </c>
    </row>
    <row r="37" spans="1:8" ht="15">
      <c r="A37" s="454" t="s">
        <v>0</v>
      </c>
      <c r="B37" s="470"/>
      <c r="C37" s="1274"/>
      <c r="D37" s="1272"/>
      <c r="E37" s="1272"/>
      <c r="F37" s="1273"/>
      <c r="G37" s="486"/>
      <c r="H37" s="474">
        <f t="shared" si="1"/>
        <v>0</v>
      </c>
    </row>
    <row r="38" spans="1:8" ht="15">
      <c r="A38" s="454" t="s">
        <v>2</v>
      </c>
      <c r="B38" s="470"/>
      <c r="C38" s="470"/>
      <c r="D38" s="471"/>
      <c r="E38" s="1201"/>
      <c r="F38" s="472"/>
      <c r="G38" s="486"/>
      <c r="H38" s="474">
        <f t="shared" si="1"/>
        <v>0</v>
      </c>
    </row>
    <row r="39" spans="1:8" ht="15">
      <c r="A39" s="454" t="s">
        <v>2</v>
      </c>
      <c r="B39" s="470"/>
      <c r="C39" s="470"/>
      <c r="D39" s="471"/>
      <c r="E39" s="471"/>
      <c r="F39" s="472"/>
      <c r="G39" s="486"/>
      <c r="H39" s="474">
        <f t="shared" si="1"/>
        <v>0</v>
      </c>
    </row>
    <row r="40" spans="1:8" ht="15">
      <c r="A40" s="454" t="s">
        <v>2</v>
      </c>
      <c r="B40" s="470"/>
      <c r="C40" s="470"/>
      <c r="D40" s="471"/>
      <c r="E40" s="471"/>
      <c r="F40" s="472"/>
      <c r="G40" s="486"/>
      <c r="H40" s="474">
        <f t="shared" si="1"/>
        <v>0</v>
      </c>
    </row>
    <row r="41" spans="1:8" ht="15">
      <c r="A41" s="454" t="s">
        <v>3</v>
      </c>
      <c r="B41" s="470"/>
      <c r="C41" s="470"/>
      <c r="D41" s="471"/>
      <c r="E41" s="471"/>
      <c r="F41" s="472"/>
      <c r="G41" s="486"/>
      <c r="H41" s="474">
        <f t="shared" si="1"/>
        <v>0</v>
      </c>
    </row>
    <row r="42" spans="1:8" ht="15">
      <c r="A42" s="454" t="s">
        <v>3</v>
      </c>
      <c r="B42" s="470"/>
      <c r="C42" s="470"/>
      <c r="D42" s="471"/>
      <c r="E42" s="471"/>
      <c r="F42" s="472"/>
      <c r="G42" s="486"/>
      <c r="H42" s="474">
        <f t="shared" si="1"/>
        <v>0</v>
      </c>
    </row>
    <row r="43" spans="1:8" ht="15">
      <c r="A43" s="454" t="s">
        <v>3</v>
      </c>
      <c r="B43" s="470"/>
      <c r="C43" s="470"/>
      <c r="D43" s="471"/>
      <c r="E43" s="471"/>
      <c r="F43" s="472"/>
      <c r="G43" s="486"/>
      <c r="H43" s="474">
        <f t="shared" si="1"/>
        <v>0</v>
      </c>
    </row>
    <row r="44" spans="1:8" ht="15">
      <c r="A44" s="454" t="s">
        <v>4</v>
      </c>
      <c r="B44" s="470"/>
      <c r="C44" s="470"/>
      <c r="D44" s="471"/>
      <c r="E44" s="471" t="s">
        <v>418</v>
      </c>
      <c r="F44" s="481">
        <v>0.05</v>
      </c>
      <c r="G44" s="486">
        <f>SUM(H31:H43)</f>
        <v>4411.2843076142108</v>
      </c>
      <c r="H44" s="474">
        <f t="shared" si="1"/>
        <v>220.56421538071055</v>
      </c>
    </row>
    <row r="45" spans="1:8" ht="16.5" customHeight="1">
      <c r="A45" s="454" t="s">
        <v>419</v>
      </c>
      <c r="B45" s="470"/>
      <c r="C45" s="470"/>
      <c r="D45" s="471"/>
      <c r="E45" s="471"/>
      <c r="F45" s="481"/>
      <c r="G45" s="486"/>
      <c r="H45" s="474">
        <f t="shared" si="1"/>
        <v>0</v>
      </c>
    </row>
    <row r="46" spans="1:8" ht="15">
      <c r="A46" s="454" t="s">
        <v>7</v>
      </c>
      <c r="B46" s="470"/>
      <c r="C46" s="470"/>
      <c r="D46" s="471"/>
      <c r="E46" s="471"/>
      <c r="F46" s="472"/>
      <c r="G46" s="486"/>
      <c r="H46" s="474">
        <f t="shared" si="1"/>
        <v>0</v>
      </c>
    </row>
    <row r="47" spans="1:8" ht="15">
      <c r="A47" s="454" t="s">
        <v>7</v>
      </c>
      <c r="B47" s="470"/>
      <c r="C47" s="470"/>
      <c r="D47" s="471"/>
      <c r="E47" s="471"/>
      <c r="F47" s="472"/>
      <c r="G47" s="486"/>
      <c r="H47" s="474">
        <f t="shared" si="1"/>
        <v>0</v>
      </c>
    </row>
    <row r="48" spans="1:8" ht="15">
      <c r="A48" s="454" t="s">
        <v>7</v>
      </c>
      <c r="B48" s="470"/>
      <c r="C48" s="470"/>
      <c r="D48" s="471"/>
      <c r="E48" s="471"/>
      <c r="F48" s="472"/>
      <c r="G48" s="486"/>
      <c r="H48" s="474">
        <f t="shared" si="1"/>
        <v>0</v>
      </c>
    </row>
    <row r="49" spans="1:8" ht="15">
      <c r="A49" s="454" t="s">
        <v>421</v>
      </c>
      <c r="B49" s="470"/>
      <c r="C49" s="470"/>
      <c r="D49" s="471"/>
      <c r="E49" s="471"/>
      <c r="F49" s="472"/>
      <c r="G49" s="486"/>
      <c r="H49" s="474">
        <f t="shared" si="1"/>
        <v>0</v>
      </c>
    </row>
    <row r="50" spans="1:8" ht="15">
      <c r="A50" s="454" t="s">
        <v>421</v>
      </c>
      <c r="B50" s="470"/>
      <c r="C50" s="470"/>
      <c r="D50" s="471"/>
      <c r="E50" s="471"/>
      <c r="F50" s="472"/>
      <c r="G50" s="486"/>
      <c r="H50" s="474">
        <f t="shared" si="1"/>
        <v>0</v>
      </c>
    </row>
    <row r="51" spans="1:8" ht="15">
      <c r="A51" s="454" t="s">
        <v>421</v>
      </c>
      <c r="B51" s="470"/>
      <c r="C51" s="470"/>
      <c r="D51" s="471"/>
      <c r="E51" s="471"/>
      <c r="F51" s="472"/>
      <c r="G51" s="486"/>
      <c r="H51" s="474">
        <f t="shared" si="1"/>
        <v>0</v>
      </c>
    </row>
    <row r="52" spans="1:8" ht="15">
      <c r="A52" s="454" t="s">
        <v>5</v>
      </c>
      <c r="B52" s="470"/>
      <c r="C52" s="470"/>
      <c r="D52" s="471"/>
      <c r="E52" s="471"/>
      <c r="F52" s="472"/>
      <c r="G52" s="486"/>
      <c r="H52" s="474">
        <f t="shared" si="1"/>
        <v>0</v>
      </c>
    </row>
    <row r="53" spans="1:8" ht="15">
      <c r="A53" s="454" t="s">
        <v>20</v>
      </c>
      <c r="B53" s="470"/>
      <c r="C53" s="470"/>
      <c r="D53" s="471"/>
      <c r="E53" s="471"/>
      <c r="F53" s="472"/>
      <c r="G53" s="486"/>
      <c r="H53" s="474">
        <f t="shared" si="1"/>
        <v>0</v>
      </c>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87" spans="1:7">
      <c r="A87" s="82"/>
      <c r="B87" s="82"/>
      <c r="C87" s="82"/>
      <c r="D87" s="82"/>
      <c r="E87" s="82"/>
      <c r="F87" s="82"/>
      <c r="G87" s="82"/>
    </row>
    <row r="98" spans="4:4">
      <c r="D98" s="57"/>
    </row>
    <row r="99" spans="4:4">
      <c r="D99" s="57"/>
    </row>
    <row r="100" spans="4:4">
      <c r="D100" s="57"/>
    </row>
    <row r="101" spans="4:4">
      <c r="D101" s="57"/>
    </row>
    <row r="102" spans="4:4">
      <c r="D102" s="57"/>
    </row>
    <row r="103" spans="4:4">
      <c r="D103" s="57"/>
    </row>
    <row r="104" spans="4:4">
      <c r="D104" s="57"/>
    </row>
    <row r="106" spans="4:4">
      <c r="D106" s="57"/>
    </row>
    <row r="108" spans="4:4">
      <c r="D108" s="56"/>
    </row>
    <row r="110" spans="4:4">
      <c r="D110"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ageMargins left="0.7" right="0.7" top="0.75" bottom="0.75" header="0.3" footer="0.3"/>
  <pageSetup orientation="portrait" horizontalDpi="1200" verticalDpi="1200" r:id="rId1"/>
</worksheet>
</file>

<file path=xl/worksheets/sheet171.xml><?xml version="1.0" encoding="utf-8"?>
<worksheet xmlns="http://schemas.openxmlformats.org/spreadsheetml/2006/main" xmlns:r="http://schemas.openxmlformats.org/officeDocument/2006/relationships">
  <dimension ref="A1:H106"/>
  <sheetViews>
    <sheetView zoomScale="90" zoomScaleNormal="90" workbookViewId="0">
      <selection activeCell="H12" sqref="H12"/>
    </sheetView>
  </sheetViews>
  <sheetFormatPr defaultRowHeight="12.75"/>
  <cols>
    <col min="1" max="1" width="34.5703125" style="2" customWidth="1"/>
    <col min="2" max="2" width="25.42578125" style="2" customWidth="1"/>
    <col min="3" max="3" width="41.140625" style="2" customWidth="1"/>
    <col min="4" max="4" width="15.42578125" style="2" customWidth="1"/>
    <col min="5" max="5" width="8.140625" style="2" customWidth="1"/>
    <col min="6" max="6" width="11" style="2" customWidth="1"/>
    <col min="7" max="7" width="10.7109375" style="2" bestFit="1" customWidth="1"/>
    <col min="8" max="8" width="12.8554687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2223</v>
      </c>
      <c r="D6" s="456"/>
      <c r="E6" s="457"/>
      <c r="F6" s="458"/>
      <c r="G6" s="458"/>
    </row>
    <row r="7" spans="1:7" ht="21" customHeight="1">
      <c r="A7" s="454" t="s">
        <v>1</v>
      </c>
      <c r="B7" s="454" t="s">
        <v>381</v>
      </c>
      <c r="C7" s="459">
        <v>15</v>
      </c>
      <c r="D7" s="456"/>
      <c r="E7" s="457"/>
      <c r="F7" s="458"/>
      <c r="G7" s="458"/>
    </row>
    <row r="8" spans="1:7" ht="21" customHeight="1">
      <c r="A8" s="454" t="s">
        <v>382</v>
      </c>
      <c r="B8" s="454" t="s">
        <v>383</v>
      </c>
      <c r="C8" s="460" t="s">
        <v>2258</v>
      </c>
      <c r="D8" s="461"/>
      <c r="E8" s="457"/>
      <c r="F8" s="457"/>
      <c r="G8" s="461"/>
    </row>
    <row r="9" spans="1:7" ht="105" customHeight="1">
      <c r="A9" s="454" t="s">
        <v>382</v>
      </c>
      <c r="B9" s="454" t="s">
        <v>385</v>
      </c>
      <c r="C9" s="2009" t="s">
        <v>2259</v>
      </c>
      <c r="D9" s="2010"/>
      <c r="E9" s="2010"/>
      <c r="F9" s="2010"/>
      <c r="G9" s="2011"/>
    </row>
    <row r="10" spans="1:7" ht="51.75" customHeight="1">
      <c r="A10" s="454" t="s">
        <v>382</v>
      </c>
      <c r="B10" s="454" t="s">
        <v>387</v>
      </c>
      <c r="C10" s="2009" t="s">
        <v>2260</v>
      </c>
      <c r="D10" s="2010"/>
      <c r="E10" s="2010"/>
      <c r="F10" s="2010"/>
      <c r="G10" s="2011"/>
    </row>
    <row r="11" spans="1:7" ht="73.5" customHeight="1">
      <c r="A11" s="454" t="s">
        <v>382</v>
      </c>
      <c r="B11" s="454" t="s">
        <v>389</v>
      </c>
      <c r="C11" s="2009" t="s">
        <v>2261</v>
      </c>
      <c r="D11" s="2010"/>
      <c r="E11" s="2010"/>
      <c r="F11" s="2010"/>
      <c r="G11" s="2011"/>
    </row>
    <row r="12" spans="1:7" ht="51.75" customHeight="1">
      <c r="A12" s="454" t="s">
        <v>382</v>
      </c>
      <c r="B12" s="454" t="s">
        <v>391</v>
      </c>
      <c r="C12" s="2009" t="s">
        <v>2257</v>
      </c>
      <c r="D12" s="2010"/>
      <c r="E12" s="2010"/>
      <c r="F12" s="2010"/>
      <c r="G12" s="2011"/>
    </row>
    <row r="13" spans="1:7" ht="21" customHeight="1">
      <c r="A13" s="454" t="s">
        <v>382</v>
      </c>
      <c r="B13" s="454" t="s">
        <v>393</v>
      </c>
      <c r="C13" s="459" t="s">
        <v>688</v>
      </c>
      <c r="D13" s="456"/>
      <c r="E13" s="457"/>
      <c r="F13" s="457"/>
      <c r="G13" s="456"/>
    </row>
    <row r="14" spans="1:7" ht="21" customHeight="1">
      <c r="A14" s="454" t="s">
        <v>382</v>
      </c>
      <c r="B14" s="454" t="s">
        <v>395</v>
      </c>
      <c r="C14" s="459">
        <v>7.5</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SUM(H31:H35)</f>
        <v>6673.0260025000698</v>
      </c>
      <c r="C18" s="466">
        <f>B18/C$14</f>
        <v>889.73680033334267</v>
      </c>
      <c r="D18" s="49"/>
      <c r="E18" s="89"/>
      <c r="F18" s="89"/>
      <c r="G18" s="49"/>
    </row>
    <row r="19" spans="1:8" ht="15">
      <c r="A19" s="454" t="s">
        <v>2</v>
      </c>
      <c r="B19" s="465">
        <f>SUM(H36)</f>
        <v>34.833760791687197</v>
      </c>
      <c r="C19" s="466">
        <f t="shared" ref="C19:C27" si="0">B19/C$14</f>
        <v>4.6445014388916261</v>
      </c>
      <c r="D19" s="49"/>
      <c r="E19" s="89"/>
      <c r="F19" s="89"/>
      <c r="G19" s="49"/>
    </row>
    <row r="20" spans="1:8" ht="15">
      <c r="A20" s="454" t="s">
        <v>3</v>
      </c>
      <c r="B20" s="465">
        <f>SUM(H37:H39)</f>
        <v>164.6558288770056</v>
      </c>
      <c r="C20" s="466">
        <f t="shared" si="0"/>
        <v>21.95411051693408</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6872.5155921687629</v>
      </c>
      <c r="C27" s="466">
        <f t="shared" si="0"/>
        <v>916.3354122891684</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1010</v>
      </c>
      <c r="C31" s="470" t="s">
        <v>2262</v>
      </c>
      <c r="D31" s="471" t="s">
        <v>2263</v>
      </c>
      <c r="E31" s="471" t="s">
        <v>2235</v>
      </c>
      <c r="F31" s="472">
        <v>668.60067258883203</v>
      </c>
      <c r="G31" s="1348">
        <v>7.5</v>
      </c>
      <c r="H31" s="474">
        <f>IF(G31&lt;=0, 0, F31*G31)</f>
        <v>5014.5050444162398</v>
      </c>
    </row>
    <row r="32" spans="1:8" ht="15">
      <c r="A32" s="454" t="s">
        <v>0</v>
      </c>
      <c r="B32" s="470">
        <v>1053</v>
      </c>
      <c r="C32" s="470" t="s">
        <v>2264</v>
      </c>
      <c r="D32" s="471" t="s">
        <v>2265</v>
      </c>
      <c r="E32" s="471" t="s">
        <v>778</v>
      </c>
      <c r="F32" s="472">
        <v>1658.52095808383</v>
      </c>
      <c r="G32" s="486">
        <v>1</v>
      </c>
      <c r="H32" s="474">
        <f t="shared" ref="H32:H49" si="1">IF(G32&lt;=0, 0, F32*G32)</f>
        <v>1658.52095808383</v>
      </c>
    </row>
    <row r="33" spans="1:8" ht="15">
      <c r="A33" s="454" t="s">
        <v>0</v>
      </c>
      <c r="B33" s="470"/>
      <c r="C33" s="470"/>
      <c r="D33" s="471"/>
      <c r="E33" s="471"/>
      <c r="F33" s="472"/>
      <c r="G33" s="486"/>
      <c r="H33" s="474">
        <f t="shared" si="1"/>
        <v>0</v>
      </c>
    </row>
    <row r="34" spans="1:8" ht="15">
      <c r="A34" s="454" t="s">
        <v>0</v>
      </c>
      <c r="B34" s="470"/>
      <c r="C34" s="470"/>
      <c r="D34" s="471"/>
      <c r="E34" s="471"/>
      <c r="F34" s="472"/>
      <c r="G34" s="486"/>
      <c r="H34" s="474">
        <f t="shared" si="1"/>
        <v>0</v>
      </c>
    </row>
    <row r="35" spans="1:8" ht="15">
      <c r="A35" s="454" t="s">
        <v>0</v>
      </c>
      <c r="B35" s="470"/>
      <c r="C35" s="470"/>
      <c r="D35" s="471"/>
      <c r="E35" s="471"/>
      <c r="F35" s="472"/>
      <c r="G35" s="486"/>
      <c r="H35" s="474">
        <f>IF(G34&lt;=0, 0, F34*G34)</f>
        <v>0</v>
      </c>
    </row>
    <row r="36" spans="1:8" ht="15">
      <c r="A36" s="454" t="s">
        <v>2</v>
      </c>
      <c r="B36" s="470">
        <v>963</v>
      </c>
      <c r="C36" s="470" t="s">
        <v>600</v>
      </c>
      <c r="D36" s="471" t="s">
        <v>575</v>
      </c>
      <c r="E36" s="471" t="s">
        <v>411</v>
      </c>
      <c r="F36" s="472">
        <v>17.416880395843599</v>
      </c>
      <c r="G36" s="486">
        <v>2</v>
      </c>
      <c r="H36" s="474">
        <f t="shared" si="1"/>
        <v>34.833760791687197</v>
      </c>
    </row>
    <row r="37" spans="1:8" ht="15">
      <c r="A37" s="454" t="s">
        <v>3</v>
      </c>
      <c r="B37" s="470">
        <v>231</v>
      </c>
      <c r="C37" s="470" t="s">
        <v>578</v>
      </c>
      <c r="D37" s="471" t="s">
        <v>579</v>
      </c>
      <c r="E37" s="471" t="s">
        <v>411</v>
      </c>
      <c r="F37" s="472">
        <v>20.5819786096257</v>
      </c>
      <c r="G37" s="486">
        <v>8</v>
      </c>
      <c r="H37" s="474">
        <f t="shared" si="1"/>
        <v>164.6558288770056</v>
      </c>
    </row>
    <row r="38" spans="1:8" ht="15">
      <c r="A38" s="454" t="s">
        <v>3</v>
      </c>
      <c r="B38" s="470"/>
      <c r="C38" s="470"/>
      <c r="D38" s="471"/>
      <c r="E38" s="471"/>
      <c r="F38" s="472"/>
      <c r="G38" s="486"/>
      <c r="H38" s="474">
        <f t="shared" si="1"/>
        <v>0</v>
      </c>
    </row>
    <row r="39" spans="1:8" ht="15">
      <c r="A39" s="454" t="s">
        <v>3</v>
      </c>
      <c r="B39" s="470"/>
      <c r="C39" s="470"/>
      <c r="D39" s="471"/>
      <c r="E39" s="471"/>
      <c r="F39" s="472"/>
      <c r="G39" s="486"/>
      <c r="H39" s="474">
        <f t="shared" si="1"/>
        <v>0</v>
      </c>
    </row>
    <row r="40" spans="1:8" ht="15">
      <c r="A40" s="454" t="s">
        <v>4</v>
      </c>
      <c r="B40" s="470"/>
      <c r="C40" s="470"/>
      <c r="D40" s="471"/>
      <c r="E40" s="471"/>
      <c r="F40" s="481"/>
      <c r="G40" s="486"/>
      <c r="H40" s="474">
        <f t="shared" si="1"/>
        <v>0</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pageSetup orientation="portrait" horizontalDpi="1200" verticalDpi="1200" r:id="rId1"/>
</worksheet>
</file>

<file path=xl/worksheets/sheet172.xml><?xml version="1.0" encoding="utf-8"?>
<worksheet xmlns="http://schemas.openxmlformats.org/spreadsheetml/2006/main" xmlns:r="http://schemas.openxmlformats.org/officeDocument/2006/relationships">
  <dimension ref="B1:T135"/>
  <sheetViews>
    <sheetView zoomScale="90" zoomScaleNormal="100" workbookViewId="0">
      <selection activeCell="F6" sqref="F6:F7"/>
    </sheetView>
  </sheetViews>
  <sheetFormatPr defaultRowHeight="12.75"/>
  <cols>
    <col min="1" max="1" width="2.85546875" style="2" customWidth="1"/>
    <col min="2" max="2" width="10.5703125" style="2" customWidth="1"/>
    <col min="3" max="3" width="21" style="2" customWidth="1"/>
    <col min="4" max="4" width="21.85546875" style="2" customWidth="1"/>
    <col min="5" max="5" width="42.7109375" style="2" customWidth="1"/>
    <col min="6" max="6" width="10.5703125" style="2" customWidth="1"/>
    <col min="7" max="7" width="10.28515625" style="2" customWidth="1"/>
    <col min="8" max="9" width="9.140625" style="2"/>
    <col min="10" max="10" width="9" style="2" bestFit="1" customWidth="1"/>
    <col min="11" max="11" width="11.28515625" style="2" customWidth="1"/>
    <col min="12" max="16384" width="9.140625" style="2"/>
  </cols>
  <sheetData>
    <row r="1" spans="2:20" s="1277" customFormat="1">
      <c r="B1" s="1276" t="s">
        <v>644</v>
      </c>
      <c r="C1" s="1276">
        <v>557</v>
      </c>
      <c r="D1" s="1276" t="s">
        <v>961</v>
      </c>
      <c r="E1" s="1276" t="s">
        <v>962</v>
      </c>
      <c r="F1" s="1276"/>
      <c r="G1" s="1276"/>
    </row>
    <row r="3" spans="2:20" ht="15.75">
      <c r="B3" s="1" t="s">
        <v>17</v>
      </c>
    </row>
    <row r="4" spans="2:20">
      <c r="B4" s="68" t="s">
        <v>1</v>
      </c>
      <c r="C4" s="69" t="s">
        <v>21</v>
      </c>
      <c r="D4" s="70"/>
      <c r="E4" s="70"/>
      <c r="F4" s="70"/>
      <c r="G4" s="83" t="s">
        <v>12</v>
      </c>
      <c r="H4"/>
      <c r="I4" s="730" t="s">
        <v>621</v>
      </c>
      <c r="J4"/>
      <c r="K4" s="730"/>
    </row>
    <row r="5" spans="2:20">
      <c r="B5" s="71" t="s">
        <v>13</v>
      </c>
      <c r="C5" s="72" t="s">
        <v>22</v>
      </c>
      <c r="D5" s="72" t="s">
        <v>29</v>
      </c>
      <c r="E5" s="72" t="s">
        <v>30</v>
      </c>
      <c r="F5" s="72" t="s">
        <v>23</v>
      </c>
      <c r="G5" s="84" t="s">
        <v>14</v>
      </c>
      <c r="H5"/>
      <c r="I5" s="731" t="s">
        <v>622</v>
      </c>
      <c r="J5"/>
      <c r="K5" s="88"/>
    </row>
    <row r="6" spans="2:20">
      <c r="B6" s="54">
        <v>557</v>
      </c>
      <c r="C6" s="7" t="str">
        <f>+E13</f>
        <v>EQIP</v>
      </c>
      <c r="D6" s="53" t="s">
        <v>961</v>
      </c>
      <c r="E6" s="53" t="s">
        <v>962</v>
      </c>
      <c r="F6" s="7" t="s">
        <v>761</v>
      </c>
      <c r="G6" s="85">
        <f>H26</f>
        <v>75</v>
      </c>
      <c r="H6"/>
      <c r="I6" s="1278" t="str">
        <f>D35</f>
        <v>Statewide</v>
      </c>
      <c r="J6"/>
      <c r="K6" s="89"/>
    </row>
    <row r="7" spans="2:20">
      <c r="B7" s="54">
        <v>557</v>
      </c>
      <c r="C7" s="7" t="s">
        <v>31</v>
      </c>
      <c r="D7" s="53" t="s">
        <v>961</v>
      </c>
      <c r="E7" s="53" t="s">
        <v>963</v>
      </c>
      <c r="F7" s="7" t="s">
        <v>761</v>
      </c>
      <c r="G7" s="85">
        <f>I26</f>
        <v>90</v>
      </c>
      <c r="I7"/>
      <c r="J7"/>
      <c r="K7" s="89"/>
      <c r="L7" s="79"/>
      <c r="M7" s="79"/>
      <c r="N7" s="79"/>
      <c r="O7" s="79"/>
      <c r="P7" s="79"/>
      <c r="Q7" s="79"/>
      <c r="R7" s="79"/>
      <c r="S7" s="79"/>
      <c r="T7" s="79"/>
    </row>
    <row r="8" spans="2:20">
      <c r="B8" s="4"/>
      <c r="C8" s="3"/>
      <c r="D8" s="3"/>
      <c r="G8"/>
      <c r="H8"/>
      <c r="I8"/>
      <c r="J8"/>
    </row>
    <row r="9" spans="2:20">
      <c r="B9" s="4"/>
      <c r="C9" s="3"/>
      <c r="D9" s="3"/>
      <c r="G9"/>
      <c r="H9"/>
      <c r="I9"/>
      <c r="J9"/>
    </row>
    <row r="10" spans="2:20">
      <c r="B10" s="4"/>
      <c r="C10" s="3"/>
      <c r="D10" s="3"/>
      <c r="G10"/>
      <c r="H10"/>
      <c r="I10"/>
      <c r="J10"/>
    </row>
    <row r="11" spans="2:20">
      <c r="B11" s="4"/>
      <c r="C11" s="3"/>
      <c r="D11" s="3"/>
      <c r="G11"/>
      <c r="H11"/>
      <c r="I11"/>
      <c r="J11"/>
    </row>
    <row r="12" spans="2:20" ht="15.75">
      <c r="B12" s="1" t="s">
        <v>18</v>
      </c>
      <c r="C12" s="3"/>
      <c r="D12" s="3"/>
      <c r="G12"/>
      <c r="H12"/>
      <c r="I12"/>
      <c r="J12"/>
    </row>
    <row r="13" spans="2:20">
      <c r="B13" s="55"/>
      <c r="C13" s="12"/>
      <c r="D13" s="11"/>
      <c r="E13" s="13" t="s">
        <v>15</v>
      </c>
      <c r="F13" s="13"/>
      <c r="G13" s="13" t="s">
        <v>31</v>
      </c>
      <c r="H13" s="13"/>
      <c r="I13" s="13"/>
      <c r="J13" s="14"/>
    </row>
    <row r="14" spans="2:20">
      <c r="B14" s="15"/>
      <c r="C14" s="67"/>
      <c r="D14" s="16"/>
      <c r="E14" s="17" t="s">
        <v>22</v>
      </c>
      <c r="F14" s="17"/>
      <c r="G14" s="17" t="s">
        <v>22</v>
      </c>
      <c r="H14" s="17" t="s">
        <v>15</v>
      </c>
      <c r="I14" s="18" t="s">
        <v>31</v>
      </c>
    </row>
    <row r="15" spans="2:20">
      <c r="B15" s="19"/>
      <c r="C15" s="16"/>
      <c r="D15" s="16"/>
      <c r="E15" s="17" t="s">
        <v>12</v>
      </c>
      <c r="F15" s="17"/>
      <c r="G15" s="17" t="s">
        <v>12</v>
      </c>
      <c r="H15" s="17" t="s">
        <v>12</v>
      </c>
      <c r="I15" s="18" t="s">
        <v>12</v>
      </c>
    </row>
    <row r="16" spans="2:20">
      <c r="B16" s="164" t="s">
        <v>16</v>
      </c>
      <c r="C16" s="16"/>
      <c r="D16" s="165" t="s">
        <v>6</v>
      </c>
      <c r="E16" s="22" t="s">
        <v>24</v>
      </c>
      <c r="F16" s="22"/>
      <c r="G16" s="22" t="s">
        <v>24</v>
      </c>
      <c r="H16" s="22" t="s">
        <v>14</v>
      </c>
      <c r="I16" s="23" t="s">
        <v>14</v>
      </c>
    </row>
    <row r="17" spans="2:9">
      <c r="B17" s="15" t="s">
        <v>0</v>
      </c>
      <c r="C17" s="16"/>
      <c r="D17" s="24">
        <f>+I41</f>
        <v>0</v>
      </c>
      <c r="E17" s="130">
        <v>0.75</v>
      </c>
      <c r="F17" s="130"/>
      <c r="G17" s="130">
        <v>0.9</v>
      </c>
      <c r="H17" s="73">
        <f t="shared" ref="H17:H25" si="0">+$D17*E17</f>
        <v>0</v>
      </c>
      <c r="I17" s="74">
        <f t="shared" ref="I17:I25" si="1">+$D17*G17</f>
        <v>0</v>
      </c>
    </row>
    <row r="18" spans="2:9">
      <c r="B18" s="15" t="s">
        <v>2</v>
      </c>
      <c r="C18" s="16"/>
      <c r="D18" s="24">
        <f>+I44</f>
        <v>100</v>
      </c>
      <c r="E18" s="130">
        <v>0.75</v>
      </c>
      <c r="F18" s="130"/>
      <c r="G18" s="130">
        <v>0.9</v>
      </c>
      <c r="H18" s="73">
        <f t="shared" si="0"/>
        <v>75</v>
      </c>
      <c r="I18" s="74">
        <f t="shared" si="1"/>
        <v>90</v>
      </c>
    </row>
    <row r="19" spans="2:9">
      <c r="B19" s="15" t="s">
        <v>3</v>
      </c>
      <c r="C19" s="16"/>
      <c r="D19" s="24">
        <f>+I53</f>
        <v>0</v>
      </c>
      <c r="E19" s="130">
        <v>0.75</v>
      </c>
      <c r="F19" s="130"/>
      <c r="G19" s="130">
        <v>0.9</v>
      </c>
      <c r="H19" s="73">
        <f t="shared" si="0"/>
        <v>0</v>
      </c>
      <c r="I19" s="74">
        <f t="shared" si="1"/>
        <v>0</v>
      </c>
    </row>
    <row r="20" spans="2:9">
      <c r="B20" s="15" t="s">
        <v>4</v>
      </c>
      <c r="C20" s="16"/>
      <c r="D20" s="24">
        <f>+I57</f>
        <v>0</v>
      </c>
      <c r="E20" s="130">
        <v>0.75</v>
      </c>
      <c r="F20" s="130"/>
      <c r="G20" s="130">
        <v>0.9</v>
      </c>
      <c r="H20" s="73">
        <f t="shared" si="0"/>
        <v>0</v>
      </c>
      <c r="I20" s="74">
        <f t="shared" si="1"/>
        <v>0</v>
      </c>
    </row>
    <row r="21" spans="2:9">
      <c r="B21" s="15" t="s">
        <v>26</v>
      </c>
      <c r="C21" s="16"/>
      <c r="D21" s="24">
        <f>+I60</f>
        <v>0</v>
      </c>
      <c r="E21" s="130">
        <v>0</v>
      </c>
      <c r="F21" s="130"/>
      <c r="G21" s="130">
        <v>0</v>
      </c>
      <c r="H21" s="73">
        <f t="shared" si="0"/>
        <v>0</v>
      </c>
      <c r="I21" s="74">
        <f t="shared" si="1"/>
        <v>0</v>
      </c>
    </row>
    <row r="22" spans="2:9">
      <c r="B22" s="15" t="s">
        <v>7</v>
      </c>
      <c r="C22" s="16"/>
      <c r="D22" s="24">
        <f>+I63</f>
        <v>0</v>
      </c>
      <c r="E22" s="130">
        <v>0</v>
      </c>
      <c r="F22" s="130"/>
      <c r="G22" s="130">
        <v>0</v>
      </c>
      <c r="H22" s="73">
        <f t="shared" si="0"/>
        <v>0</v>
      </c>
      <c r="I22" s="74">
        <f t="shared" si="1"/>
        <v>0</v>
      </c>
    </row>
    <row r="23" spans="2:9">
      <c r="B23" s="15" t="s">
        <v>27</v>
      </c>
      <c r="C23" s="16"/>
      <c r="D23" s="24">
        <f>+I66</f>
        <v>0</v>
      </c>
      <c r="E23" s="130">
        <v>0</v>
      </c>
      <c r="F23" s="130"/>
      <c r="G23" s="130">
        <v>0</v>
      </c>
      <c r="H23" s="73">
        <f t="shared" si="0"/>
        <v>0</v>
      </c>
      <c r="I23" s="74">
        <f t="shared" si="1"/>
        <v>0</v>
      </c>
    </row>
    <row r="24" spans="2:9">
      <c r="B24" s="15" t="s">
        <v>5</v>
      </c>
      <c r="C24" s="16"/>
      <c r="D24" s="24">
        <f>+I69</f>
        <v>0</v>
      </c>
      <c r="E24" s="130">
        <v>0</v>
      </c>
      <c r="F24" s="130"/>
      <c r="G24" s="130">
        <v>0</v>
      </c>
      <c r="H24" s="73">
        <f t="shared" si="0"/>
        <v>0</v>
      </c>
      <c r="I24" s="74">
        <f t="shared" si="1"/>
        <v>0</v>
      </c>
    </row>
    <row r="25" spans="2:9">
      <c r="B25" s="15" t="s">
        <v>20</v>
      </c>
      <c r="C25" s="16"/>
      <c r="D25" s="75">
        <f>+I72</f>
        <v>0</v>
      </c>
      <c r="E25" s="130">
        <v>0</v>
      </c>
      <c r="F25" s="130"/>
      <c r="G25" s="130">
        <v>0</v>
      </c>
      <c r="H25" s="133">
        <f t="shared" si="0"/>
        <v>0</v>
      </c>
      <c r="I25" s="134">
        <f t="shared" si="1"/>
        <v>0</v>
      </c>
    </row>
    <row r="26" spans="2:9">
      <c r="B26" s="26" t="s">
        <v>19</v>
      </c>
      <c r="C26" s="27"/>
      <c r="D26" s="51">
        <f>SUM(D17:D25)</f>
        <v>100</v>
      </c>
      <c r="E26" s="28"/>
      <c r="F26" s="28"/>
      <c r="G26" s="28"/>
      <c r="H26" s="51">
        <f>SUM(H17:H25)</f>
        <v>75</v>
      </c>
      <c r="I26" s="77">
        <f>SUM(I17:I25)</f>
        <v>90</v>
      </c>
    </row>
    <row r="27" spans="2:9">
      <c r="B27" s="1279"/>
    </row>
    <row r="28" spans="2:9">
      <c r="B28" s="1279"/>
    </row>
    <row r="29" spans="2:9">
      <c r="B29" s="1279"/>
    </row>
    <row r="30" spans="2:9">
      <c r="B30" s="1279"/>
    </row>
    <row r="31" spans="2:9" ht="15.75">
      <c r="B31" s="50" t="s">
        <v>28</v>
      </c>
      <c r="I31" s="140"/>
    </row>
    <row r="32" spans="2:9">
      <c r="B32" s="29" t="s">
        <v>89</v>
      </c>
      <c r="C32" s="30"/>
      <c r="D32" s="30"/>
      <c r="E32" s="31"/>
      <c r="F32" s="31"/>
      <c r="G32" s="31"/>
      <c r="H32" s="31"/>
      <c r="I32" s="32"/>
    </row>
    <row r="33" spans="2:13" ht="68.25" customHeight="1">
      <c r="B33" s="2203" t="s">
        <v>964</v>
      </c>
      <c r="C33" s="2204"/>
      <c r="D33" s="2204"/>
      <c r="E33" s="2204"/>
      <c r="F33" s="2204"/>
      <c r="G33" s="2204"/>
      <c r="H33" s="2204"/>
      <c r="I33" s="2205"/>
    </row>
    <row r="34" spans="2:13" ht="27" customHeight="1">
      <c r="B34" s="1943"/>
      <c r="C34" s="1944"/>
      <c r="D34" s="1944"/>
      <c r="E34" s="1944"/>
      <c r="F34" s="1944"/>
      <c r="G34" s="1944"/>
      <c r="H34" s="1944"/>
      <c r="I34" s="1945"/>
    </row>
    <row r="35" spans="2:13">
      <c r="B35" s="38" t="s">
        <v>25</v>
      </c>
      <c r="C35" s="34"/>
      <c r="D35" s="39" t="s">
        <v>91</v>
      </c>
      <c r="E35" s="6"/>
      <c r="F35" s="35"/>
      <c r="G35" s="35"/>
      <c r="H35" s="35"/>
      <c r="I35" s="36"/>
      <c r="J35" s="49"/>
    </row>
    <row r="36" spans="2:13">
      <c r="B36" s="37"/>
      <c r="C36" s="34"/>
      <c r="D36" s="35"/>
      <c r="E36" s="6"/>
      <c r="F36" s="35"/>
      <c r="G36" s="35"/>
      <c r="H36" s="35"/>
      <c r="I36" s="36"/>
    </row>
    <row r="37" spans="2:13">
      <c r="B37" s="38" t="s">
        <v>8</v>
      </c>
      <c r="C37" s="34"/>
      <c r="D37" s="39" t="s">
        <v>965</v>
      </c>
      <c r="E37" s="6"/>
      <c r="F37" s="35"/>
      <c r="G37" s="35"/>
      <c r="H37" s="35"/>
      <c r="I37" s="36"/>
    </row>
    <row r="38" spans="2:13">
      <c r="B38" s="38" t="s">
        <v>9</v>
      </c>
      <c r="C38" s="34"/>
      <c r="D38" s="92">
        <v>5</v>
      </c>
      <c r="E38" s="6"/>
      <c r="F38" s="35"/>
      <c r="G38" s="35"/>
      <c r="H38" s="35"/>
      <c r="I38" s="36"/>
    </row>
    <row r="39" spans="2:13">
      <c r="B39" s="38" t="s">
        <v>10</v>
      </c>
      <c r="C39" s="35"/>
      <c r="D39" s="93">
        <v>0.05</v>
      </c>
      <c r="E39" s="6"/>
      <c r="F39" s="35"/>
      <c r="G39" s="35"/>
      <c r="H39" s="35"/>
      <c r="I39" s="147" t="s">
        <v>6</v>
      </c>
    </row>
    <row r="40" spans="2:13">
      <c r="B40" s="40"/>
      <c r="C40" s="35"/>
      <c r="D40" s="35"/>
      <c r="E40" s="41"/>
      <c r="F40" s="35"/>
      <c r="G40" s="35"/>
      <c r="H40" s="35"/>
      <c r="I40" s="149"/>
    </row>
    <row r="41" spans="2:13">
      <c r="B41" s="42" t="s">
        <v>0</v>
      </c>
      <c r="C41" s="35"/>
      <c r="D41" s="35"/>
      <c r="E41" s="35" t="s">
        <v>103</v>
      </c>
      <c r="F41" s="35"/>
      <c r="G41" s="35"/>
      <c r="H41" s="35"/>
      <c r="I41" s="46">
        <v>0</v>
      </c>
    </row>
    <row r="42" spans="2:13">
      <c r="B42" s="756" t="s">
        <v>104</v>
      </c>
      <c r="C42" s="6"/>
      <c r="D42" s="1173"/>
      <c r="E42" s="35"/>
      <c r="F42" s="35"/>
      <c r="G42" s="35"/>
      <c r="H42" s="35"/>
      <c r="I42" s="36"/>
    </row>
    <row r="43" spans="2:13">
      <c r="B43" s="40"/>
      <c r="C43" s="6"/>
      <c r="D43" s="6"/>
      <c r="E43" s="1221"/>
      <c r="F43" s="35"/>
      <c r="G43" s="35"/>
      <c r="H43" s="35"/>
      <c r="I43" s="36"/>
    </row>
    <row r="44" spans="2:13">
      <c r="B44" s="42" t="s">
        <v>2</v>
      </c>
      <c r="C44" s="35"/>
      <c r="D44" s="35"/>
      <c r="E44" s="35"/>
      <c r="F44" s="35"/>
      <c r="G44" s="35"/>
      <c r="H44" s="35"/>
      <c r="I44" s="48">
        <v>100</v>
      </c>
      <c r="M44" s="1222"/>
    </row>
    <row r="45" spans="2:13">
      <c r="B45" s="1220" t="s">
        <v>966</v>
      </c>
      <c r="C45" s="35"/>
      <c r="D45" s="35"/>
      <c r="E45" s="35"/>
      <c r="F45" s="35"/>
      <c r="G45" s="35"/>
      <c r="H45" s="35"/>
      <c r="I45" s="48"/>
      <c r="M45" s="1222"/>
    </row>
    <row r="46" spans="2:13">
      <c r="B46" s="40" t="s">
        <v>838</v>
      </c>
      <c r="C46" s="6"/>
      <c r="D46" s="1223">
        <v>20</v>
      </c>
      <c r="E46" s="6"/>
      <c r="F46" s="35"/>
      <c r="G46" s="35"/>
      <c r="H46" s="35"/>
      <c r="I46" s="48"/>
      <c r="M46" s="1222"/>
    </row>
    <row r="47" spans="2:13">
      <c r="B47" s="40" t="s">
        <v>839</v>
      </c>
      <c r="C47" s="6"/>
      <c r="D47" s="1223" t="s">
        <v>833</v>
      </c>
      <c r="E47" s="6"/>
      <c r="F47" s="35"/>
      <c r="G47" s="35"/>
      <c r="H47" s="35"/>
      <c r="I47" s="48"/>
      <c r="M47" s="1222"/>
    </row>
    <row r="48" spans="2:13">
      <c r="B48" s="1224" t="s">
        <v>840</v>
      </c>
      <c r="C48" s="6"/>
      <c r="D48" s="1225">
        <v>70</v>
      </c>
      <c r="E48" s="6"/>
      <c r="F48" s="35"/>
      <c r="G48" s="35"/>
      <c r="H48" s="35"/>
      <c r="I48" s="48"/>
      <c r="M48" s="1222"/>
    </row>
    <row r="49" spans="2:17">
      <c r="B49" s="40" t="s">
        <v>841</v>
      </c>
      <c r="C49" s="6"/>
      <c r="D49" s="1226">
        <f>D48/D46</f>
        <v>3.5</v>
      </c>
      <c r="E49" s="6"/>
      <c r="F49" s="35"/>
      <c r="G49" s="35"/>
      <c r="H49" s="35"/>
      <c r="I49" s="48"/>
      <c r="M49" s="1222"/>
    </row>
    <row r="50" spans="2:17">
      <c r="B50" s="40" t="s">
        <v>967</v>
      </c>
      <c r="C50" s="35"/>
      <c r="D50" s="1280">
        <v>30</v>
      </c>
      <c r="E50" s="35"/>
      <c r="F50" s="35"/>
      <c r="G50" s="35"/>
      <c r="H50" s="35"/>
      <c r="I50" s="48"/>
      <c r="M50" s="1222"/>
    </row>
    <row r="51" spans="2:17">
      <c r="B51" s="1220" t="s">
        <v>968</v>
      </c>
      <c r="C51" s="35"/>
      <c r="D51" s="1230">
        <v>100</v>
      </c>
      <c r="E51" s="1229"/>
      <c r="F51" s="35"/>
      <c r="G51" s="35"/>
      <c r="H51" s="35"/>
      <c r="I51" s="48"/>
      <c r="M51" s="1222"/>
    </row>
    <row r="52" spans="2:17">
      <c r="B52" s="1281" t="s">
        <v>969</v>
      </c>
      <c r="C52" s="35"/>
      <c r="D52" s="1228"/>
      <c r="E52" s="35"/>
      <c r="F52" s="35"/>
      <c r="G52" s="35"/>
      <c r="H52" s="35"/>
      <c r="I52" s="48"/>
      <c r="M52" s="1222"/>
    </row>
    <row r="53" spans="2:17">
      <c r="B53" s="42" t="s">
        <v>3</v>
      </c>
      <c r="C53" s="35"/>
      <c r="D53" s="35"/>
      <c r="E53" s="35" t="s">
        <v>103</v>
      </c>
      <c r="F53" s="35"/>
      <c r="G53" s="35"/>
      <c r="H53" s="35"/>
      <c r="I53" s="48">
        <v>0</v>
      </c>
    </row>
    <row r="54" spans="2:17">
      <c r="B54" s="1220" t="s">
        <v>970</v>
      </c>
      <c r="C54" s="35"/>
      <c r="D54" s="35"/>
      <c r="E54" s="35"/>
      <c r="F54" s="35"/>
      <c r="G54" s="35"/>
      <c r="H54" s="35"/>
      <c r="I54" s="48"/>
      <c r="Q54" s="79"/>
    </row>
    <row r="55" spans="2:17">
      <c r="B55" s="40" t="s">
        <v>844</v>
      </c>
      <c r="C55" s="6"/>
      <c r="D55" s="6"/>
      <c r="E55" s="6"/>
      <c r="F55" s="1231"/>
      <c r="G55" s="35"/>
      <c r="H55" s="35"/>
      <c r="I55" s="48"/>
      <c r="Q55" s="79"/>
    </row>
    <row r="56" spans="2:17">
      <c r="B56" s="33"/>
      <c r="C56" s="35"/>
      <c r="D56" s="35"/>
      <c r="E56" s="35"/>
      <c r="F56" s="35"/>
      <c r="G56" s="35"/>
      <c r="H56" s="35"/>
      <c r="I56" s="36"/>
    </row>
    <row r="57" spans="2:17">
      <c r="B57" s="42" t="s">
        <v>4</v>
      </c>
      <c r="C57" s="35"/>
      <c r="D57" s="35"/>
      <c r="E57" s="35" t="s">
        <v>103</v>
      </c>
      <c r="F57" s="35"/>
      <c r="G57" s="35"/>
      <c r="H57" s="35"/>
      <c r="I57" s="48">
        <v>0</v>
      </c>
    </row>
    <row r="58" spans="2:17">
      <c r="B58" s="33" t="s">
        <v>845</v>
      </c>
      <c r="C58" s="35"/>
      <c r="D58" s="35"/>
      <c r="E58" s="35"/>
      <c r="F58" s="35"/>
      <c r="G58" s="35"/>
      <c r="H58" s="35"/>
      <c r="I58" s="36"/>
    </row>
    <row r="59" spans="2:17">
      <c r="B59" s="37"/>
      <c r="C59" s="35"/>
      <c r="D59" s="35"/>
      <c r="E59" s="35"/>
      <c r="F59" s="35"/>
      <c r="G59" s="35"/>
      <c r="H59" s="35"/>
      <c r="I59" s="36"/>
    </row>
    <row r="60" spans="2:17">
      <c r="B60" s="42" t="s">
        <v>26</v>
      </c>
      <c r="C60" s="35"/>
      <c r="D60" s="35"/>
      <c r="E60" s="35" t="s">
        <v>103</v>
      </c>
      <c r="F60" s="35"/>
      <c r="G60" s="35"/>
      <c r="H60" s="35"/>
      <c r="I60" s="48">
        <v>0</v>
      </c>
    </row>
    <row r="61" spans="2:17">
      <c r="B61" s="33" t="s">
        <v>104</v>
      </c>
      <c r="C61" s="35"/>
      <c r="D61" s="35"/>
      <c r="E61" s="35"/>
      <c r="F61" s="35"/>
      <c r="G61" s="35"/>
      <c r="H61" s="35"/>
      <c r="I61" s="36"/>
    </row>
    <row r="62" spans="2:17">
      <c r="B62" s="37"/>
      <c r="C62" s="35"/>
      <c r="D62" s="35"/>
      <c r="E62" s="35"/>
      <c r="F62" s="35"/>
      <c r="G62" s="35"/>
      <c r="H62" s="35"/>
      <c r="I62" s="36"/>
    </row>
    <row r="63" spans="2:17">
      <c r="B63" s="42" t="s">
        <v>7</v>
      </c>
      <c r="C63" s="35"/>
      <c r="D63" s="35"/>
      <c r="E63" s="35" t="s">
        <v>103</v>
      </c>
      <c r="F63" s="35"/>
      <c r="G63" s="35"/>
      <c r="H63" s="35"/>
      <c r="I63" s="46">
        <v>0</v>
      </c>
    </row>
    <row r="64" spans="2:17">
      <c r="B64" s="33" t="s">
        <v>104</v>
      </c>
      <c r="C64" s="35"/>
      <c r="D64" s="35"/>
      <c r="E64" s="35"/>
      <c r="F64" s="35"/>
      <c r="G64" s="35"/>
      <c r="H64" s="35"/>
      <c r="I64" s="36"/>
    </row>
    <row r="65" spans="2:11">
      <c r="B65" s="37"/>
      <c r="C65" s="35"/>
      <c r="D65" s="35"/>
      <c r="E65" s="35"/>
      <c r="F65" s="35"/>
      <c r="G65" s="35"/>
      <c r="H65" s="35"/>
      <c r="I65" s="36"/>
    </row>
    <row r="66" spans="2:11">
      <c r="B66" s="42" t="s">
        <v>27</v>
      </c>
      <c r="C66" s="35"/>
      <c r="D66" s="35"/>
      <c r="E66" s="35" t="s">
        <v>103</v>
      </c>
      <c r="F66" s="35"/>
      <c r="G66" s="35"/>
      <c r="H66" s="35"/>
      <c r="I66" s="46">
        <v>0</v>
      </c>
      <c r="K66" s="1217"/>
    </row>
    <row r="67" spans="2:11">
      <c r="B67" s="33" t="s">
        <v>971</v>
      </c>
      <c r="C67" s="35"/>
      <c r="D67" s="35"/>
      <c r="E67" s="35"/>
      <c r="F67" s="35"/>
      <c r="G67" s="35"/>
      <c r="H67" s="35"/>
      <c r="I67" s="47"/>
    </row>
    <row r="68" spans="2:11">
      <c r="B68" s="33"/>
      <c r="C68" s="35"/>
      <c r="D68" s="35"/>
      <c r="E68" s="35"/>
      <c r="F68" s="35"/>
      <c r="G68" s="35"/>
      <c r="H68" s="35"/>
      <c r="I68" s="47"/>
    </row>
    <row r="69" spans="2:11">
      <c r="B69" s="42" t="s">
        <v>5</v>
      </c>
      <c r="C69" s="35"/>
      <c r="D69" s="35"/>
      <c r="E69" s="35" t="s">
        <v>103</v>
      </c>
      <c r="F69" s="35"/>
      <c r="G69" s="35"/>
      <c r="H69" s="35"/>
      <c r="I69" s="46">
        <v>0</v>
      </c>
    </row>
    <row r="70" spans="2:11">
      <c r="B70" s="33" t="s">
        <v>972</v>
      </c>
      <c r="C70" s="35"/>
      <c r="D70" s="35"/>
      <c r="E70" s="35"/>
      <c r="F70" s="35"/>
      <c r="G70" s="35"/>
      <c r="H70" s="35"/>
      <c r="I70" s="47"/>
    </row>
    <row r="71" spans="2:11">
      <c r="B71" s="37"/>
      <c r="C71" s="35"/>
      <c r="D71" s="35"/>
      <c r="E71" s="35"/>
      <c r="F71" s="35"/>
      <c r="G71" s="35"/>
      <c r="H71" s="35"/>
      <c r="I71" s="36"/>
    </row>
    <row r="72" spans="2:11">
      <c r="B72" s="42" t="s">
        <v>20</v>
      </c>
      <c r="C72" s="35"/>
      <c r="D72" s="35"/>
      <c r="E72" s="35" t="s">
        <v>103</v>
      </c>
      <c r="F72" s="35"/>
      <c r="G72" s="35"/>
      <c r="H72" s="35"/>
      <c r="I72" s="46">
        <v>0</v>
      </c>
    </row>
    <row r="73" spans="2:11">
      <c r="B73" s="33" t="s">
        <v>104</v>
      </c>
      <c r="C73" s="35"/>
      <c r="D73" s="35"/>
      <c r="E73" s="35"/>
      <c r="F73" s="35"/>
      <c r="G73" s="35"/>
      <c r="H73" s="35"/>
      <c r="I73" s="36"/>
    </row>
    <row r="74" spans="2:11">
      <c r="B74" s="40"/>
      <c r="C74" s="35"/>
      <c r="D74" s="35"/>
      <c r="E74" s="35"/>
      <c r="F74" s="35"/>
      <c r="G74" s="35"/>
      <c r="H74" s="35"/>
      <c r="I74" s="36"/>
    </row>
    <row r="75" spans="2:11">
      <c r="B75" s="40"/>
      <c r="C75" s="35"/>
      <c r="D75" s="35"/>
      <c r="E75" s="35"/>
      <c r="F75" s="35"/>
      <c r="G75" s="35"/>
      <c r="H75" s="35"/>
      <c r="I75" s="36"/>
    </row>
    <row r="76" spans="2:11">
      <c r="B76" s="43" t="s">
        <v>11</v>
      </c>
      <c r="C76" s="44"/>
      <c r="D76" s="44"/>
      <c r="E76" s="44"/>
      <c r="F76" s="44"/>
      <c r="G76" s="44"/>
      <c r="H76" s="44"/>
      <c r="I76" s="52">
        <f>+I72+I69+I66+I63+I60+I57+I53+I44+I41</f>
        <v>100</v>
      </c>
    </row>
    <row r="77" spans="2:11">
      <c r="B77" s="1282" t="s">
        <v>973</v>
      </c>
      <c r="C77" s="35"/>
      <c r="D77" s="35"/>
      <c r="E77" s="35"/>
      <c r="F77" s="35"/>
      <c r="G77" s="35"/>
      <c r="H77" s="35"/>
      <c r="I77" s="1283"/>
    </row>
    <row r="78" spans="2:11">
      <c r="B78" s="1955" t="s">
        <v>974</v>
      </c>
      <c r="C78" s="1955"/>
      <c r="D78" s="1955"/>
      <c r="E78" s="1955"/>
      <c r="F78" s="1955"/>
      <c r="G78" s="1955"/>
      <c r="H78" s="1955"/>
      <c r="I78" s="1955"/>
      <c r="J78" s="1955"/>
    </row>
    <row r="79" spans="2:11">
      <c r="B79" s="1955"/>
      <c r="C79" s="1955"/>
      <c r="D79" s="1955"/>
      <c r="E79" s="1955"/>
      <c r="F79" s="1955"/>
      <c r="G79" s="1955"/>
      <c r="H79" s="1955"/>
      <c r="I79" s="1955"/>
      <c r="J79" s="1955"/>
    </row>
    <row r="123" spans="5:5">
      <c r="E123" s="57"/>
    </row>
    <row r="124" spans="5:5">
      <c r="E124" s="57"/>
    </row>
    <row r="125" spans="5:5">
      <c r="E125" s="57"/>
    </row>
    <row r="126" spans="5:5">
      <c r="E126" s="57"/>
    </row>
    <row r="127" spans="5:5">
      <c r="E127" s="57"/>
    </row>
    <row r="128" spans="5:5">
      <c r="E128" s="57"/>
    </row>
    <row r="129" spans="5:5">
      <c r="E129" s="57"/>
    </row>
    <row r="131" spans="5:5">
      <c r="E131" s="57"/>
    </row>
    <row r="133" spans="5:5">
      <c r="E133" s="56"/>
    </row>
    <row r="135" spans="5:5">
      <c r="E135" s="57"/>
    </row>
  </sheetData>
  <mergeCells count="3">
    <mergeCell ref="B33:I33"/>
    <mergeCell ref="B34:I34"/>
    <mergeCell ref="B78:J79"/>
  </mergeCells>
  <pageMargins left="0.75" right="0.75" top="1" bottom="1" header="0.5" footer="0.5"/>
  <pageSetup scale="71" orientation="portrait" r:id="rId1"/>
  <headerFooter alignWithMargins="0"/>
  <legacyDrawing r:id="rId2"/>
</worksheet>
</file>

<file path=xl/worksheets/sheet173.xml><?xml version="1.0" encoding="utf-8"?>
<worksheet xmlns="http://schemas.openxmlformats.org/spreadsheetml/2006/main" xmlns:r="http://schemas.openxmlformats.org/officeDocument/2006/relationships">
  <dimension ref="B1:Q80"/>
  <sheetViews>
    <sheetView zoomScaleNormal="100" workbookViewId="0">
      <selection activeCell="D25" sqref="D25"/>
    </sheetView>
  </sheetViews>
  <sheetFormatPr defaultRowHeight="12.75"/>
  <cols>
    <col min="1" max="1" width="2.85546875" style="2" customWidth="1"/>
    <col min="2" max="2" width="9.7109375" style="2" customWidth="1"/>
    <col min="3" max="3" width="18.7109375" style="2" customWidth="1"/>
    <col min="4" max="4" width="25.7109375" style="2" customWidth="1"/>
    <col min="5" max="5" width="37.5703125" style="2" customWidth="1"/>
    <col min="6" max="6" width="9.85546875" style="2" customWidth="1"/>
    <col min="7" max="9" width="9.140625" style="2"/>
    <col min="10" max="10" width="11.85546875" style="2" customWidth="1"/>
    <col min="11" max="11" width="11.140625" style="2" customWidth="1"/>
    <col min="12" max="15" width="9.140625" style="2"/>
    <col min="16" max="16" width="17.85546875" style="2" customWidth="1"/>
    <col min="17" max="16384" width="9.140625" style="2"/>
  </cols>
  <sheetData>
    <row r="1" spans="2:17" s="730" customFormat="1">
      <c r="D1" s="1292"/>
    </row>
    <row r="3" spans="2:17" ht="15.75">
      <c r="B3" s="1" t="s">
        <v>17</v>
      </c>
      <c r="C3" s="3"/>
      <c r="D3" s="3"/>
      <c r="G3"/>
      <c r="H3"/>
      <c r="I3"/>
      <c r="J3"/>
    </row>
    <row r="4" spans="2:17">
      <c r="B4" s="68" t="s">
        <v>1</v>
      </c>
      <c r="C4" s="69" t="s">
        <v>21</v>
      </c>
      <c r="D4" s="70"/>
      <c r="E4" s="70"/>
      <c r="F4" s="70"/>
      <c r="G4" s="83" t="s">
        <v>12</v>
      </c>
      <c r="H4"/>
      <c r="I4"/>
      <c r="J4" s="87" t="s">
        <v>621</v>
      </c>
    </row>
    <row r="5" spans="2:17">
      <c r="B5" s="71" t="s">
        <v>13</v>
      </c>
      <c r="C5" s="72" t="s">
        <v>22</v>
      </c>
      <c r="D5" s="72" t="s">
        <v>29</v>
      </c>
      <c r="E5" s="72" t="s">
        <v>30</v>
      </c>
      <c r="F5" s="72" t="s">
        <v>23</v>
      </c>
      <c r="G5" s="84" t="s">
        <v>14</v>
      </c>
      <c r="H5"/>
      <c r="I5"/>
      <c r="J5" s="88" t="s">
        <v>622</v>
      </c>
    </row>
    <row r="6" spans="2:17">
      <c r="B6" s="54">
        <v>558</v>
      </c>
      <c r="C6" s="7" t="str">
        <f>+E10</f>
        <v>EQIP</v>
      </c>
      <c r="D6" s="53" t="s">
        <v>2266</v>
      </c>
      <c r="E6" s="53" t="s">
        <v>2267</v>
      </c>
      <c r="F6" s="7" t="str">
        <f>+D34</f>
        <v>Ft.</v>
      </c>
      <c r="G6" s="85">
        <f>+I23</f>
        <v>4.6012500000000003</v>
      </c>
      <c r="H6"/>
      <c r="I6"/>
      <c r="J6" s="89" t="str">
        <f>+D32</f>
        <v>Statewide</v>
      </c>
    </row>
    <row r="7" spans="2:17">
      <c r="B7" s="8">
        <v>558</v>
      </c>
      <c r="C7" s="10" t="str">
        <f>+F10</f>
        <v>EQIP-HU</v>
      </c>
      <c r="D7" s="9" t="s">
        <v>2266</v>
      </c>
      <c r="E7" s="9" t="s">
        <v>2267</v>
      </c>
      <c r="F7" s="10" t="str">
        <f>+D34</f>
        <v>Ft.</v>
      </c>
      <c r="G7" s="86">
        <f>+J23</f>
        <v>5.5214999999999996</v>
      </c>
      <c r="H7"/>
      <c r="I7"/>
      <c r="J7" s="79" t="str">
        <f>+D32</f>
        <v>Statewide</v>
      </c>
    </row>
    <row r="8" spans="2:17">
      <c r="B8" s="738"/>
      <c r="C8" s="738"/>
      <c r="D8" s="738"/>
      <c r="E8" s="738"/>
      <c r="F8" s="738"/>
      <c r="G8" s="738"/>
      <c r="H8" s="738"/>
      <c r="I8"/>
    </row>
    <row r="9" spans="2:17" ht="16.5" thickBot="1">
      <c r="B9" s="1" t="s">
        <v>18</v>
      </c>
      <c r="C9" s="112"/>
      <c r="G9"/>
      <c r="H9"/>
      <c r="I9"/>
      <c r="J9"/>
    </row>
    <row r="10" spans="2:17">
      <c r="B10" s="128"/>
      <c r="C10" s="11"/>
      <c r="D10" s="12"/>
      <c r="E10" s="13" t="s">
        <v>15</v>
      </c>
      <c r="F10" s="13" t="s">
        <v>31</v>
      </c>
      <c r="G10" s="13" t="s">
        <v>86</v>
      </c>
      <c r="H10" s="13" t="s">
        <v>441</v>
      </c>
      <c r="I10" s="13"/>
      <c r="J10" s="13"/>
      <c r="K10" s="13"/>
      <c r="L10" s="14"/>
      <c r="O10" s="1297" t="s">
        <v>1052</v>
      </c>
      <c r="P10" s="1298" t="s">
        <v>1053</v>
      </c>
      <c r="Q10" s="1299"/>
    </row>
    <row r="11" spans="2:17">
      <c r="B11" s="15"/>
      <c r="C11" s="67"/>
      <c r="D11" s="16"/>
      <c r="E11" s="17" t="s">
        <v>22</v>
      </c>
      <c r="F11" s="17" t="s">
        <v>22</v>
      </c>
      <c r="G11" s="17" t="s">
        <v>22</v>
      </c>
      <c r="H11" s="17" t="s">
        <v>22</v>
      </c>
      <c r="I11" s="17" t="str">
        <f>+E10</f>
        <v>EQIP</v>
      </c>
      <c r="J11" s="17" t="str">
        <f>+F10</f>
        <v>EQIP-HU</v>
      </c>
      <c r="K11" s="17" t="str">
        <f>+G10</f>
        <v>WHIP</v>
      </c>
      <c r="L11" s="18" t="str">
        <f>+H10</f>
        <v>WHIP-HU</v>
      </c>
      <c r="O11" s="1300" t="s">
        <v>1054</v>
      </c>
      <c r="P11" s="1301" t="s">
        <v>1055</v>
      </c>
      <c r="Q11" s="1302"/>
    </row>
    <row r="12" spans="2:17" ht="25.5">
      <c r="B12" s="19"/>
      <c r="C12" s="16"/>
      <c r="D12" s="16"/>
      <c r="E12" s="17" t="s">
        <v>12</v>
      </c>
      <c r="F12" s="17" t="s">
        <v>12</v>
      </c>
      <c r="G12" s="17" t="s">
        <v>12</v>
      </c>
      <c r="H12" s="17" t="s">
        <v>12</v>
      </c>
      <c r="I12" s="17" t="s">
        <v>12</v>
      </c>
      <c r="J12" s="17" t="s">
        <v>12</v>
      </c>
      <c r="K12" s="17" t="s">
        <v>12</v>
      </c>
      <c r="L12" s="18" t="s">
        <v>12</v>
      </c>
      <c r="O12" s="1300" t="s">
        <v>1056</v>
      </c>
      <c r="P12" s="1301" t="s">
        <v>1057</v>
      </c>
      <c r="Q12" s="1302"/>
    </row>
    <row r="13" spans="2:17" ht="25.5">
      <c r="B13" s="164" t="s">
        <v>16</v>
      </c>
      <c r="C13" s="16"/>
      <c r="D13" s="165" t="s">
        <v>6</v>
      </c>
      <c r="E13" s="22" t="s">
        <v>24</v>
      </c>
      <c r="F13" s="22" t="s">
        <v>24</v>
      </c>
      <c r="G13" s="22" t="s">
        <v>24</v>
      </c>
      <c r="H13" s="22" t="s">
        <v>24</v>
      </c>
      <c r="I13" s="22" t="s">
        <v>14</v>
      </c>
      <c r="J13" s="22" t="s">
        <v>14</v>
      </c>
      <c r="K13" s="22" t="s">
        <v>14</v>
      </c>
      <c r="L13" s="23" t="s">
        <v>14</v>
      </c>
      <c r="O13" s="1303" t="s">
        <v>1055</v>
      </c>
      <c r="P13" s="1304" t="s">
        <v>1058</v>
      </c>
      <c r="Q13" s="1305" t="s">
        <v>1059</v>
      </c>
    </row>
    <row r="14" spans="2:17">
      <c r="B14" s="15" t="s">
        <v>0</v>
      </c>
      <c r="C14" s="16"/>
      <c r="D14" s="24">
        <f>+I38</f>
        <v>6.1349999999999998</v>
      </c>
      <c r="E14" s="160">
        <v>0.75</v>
      </c>
      <c r="F14" s="160">
        <v>0.9</v>
      </c>
      <c r="G14" s="160">
        <v>0</v>
      </c>
      <c r="H14" s="160">
        <v>0</v>
      </c>
      <c r="I14" s="73">
        <f t="shared" ref="I14:L22" si="0">+$D14*E14</f>
        <v>4.6012500000000003</v>
      </c>
      <c r="J14" s="73">
        <f t="shared" si="0"/>
        <v>5.5214999999999996</v>
      </c>
      <c r="K14" s="73">
        <f t="shared" si="0"/>
        <v>0</v>
      </c>
      <c r="L14" s="74">
        <f t="shared" si="0"/>
        <v>0</v>
      </c>
      <c r="O14" s="1306">
        <f>D14</f>
        <v>6.1349999999999998</v>
      </c>
      <c r="P14" s="1307">
        <f>IF($D$35=1,O14,PMT($D$36,$D$35,-O14))</f>
        <v>0.55178865077592021</v>
      </c>
      <c r="Q14" s="1308" t="s">
        <v>103</v>
      </c>
    </row>
    <row r="15" spans="2:17">
      <c r="B15" s="15" t="s">
        <v>2</v>
      </c>
      <c r="C15" s="16"/>
      <c r="D15" s="24">
        <f>+I52</f>
        <v>0</v>
      </c>
      <c r="E15" s="160">
        <v>0.75</v>
      </c>
      <c r="F15" s="160">
        <v>0.9</v>
      </c>
      <c r="G15" s="160">
        <v>0</v>
      </c>
      <c r="H15" s="160">
        <v>0</v>
      </c>
      <c r="I15" s="73">
        <f t="shared" si="0"/>
        <v>0</v>
      </c>
      <c r="J15" s="73">
        <f t="shared" si="0"/>
        <v>0</v>
      </c>
      <c r="K15" s="73">
        <f t="shared" si="0"/>
        <v>0</v>
      </c>
      <c r="L15" s="74">
        <f t="shared" si="0"/>
        <v>0</v>
      </c>
      <c r="O15" s="1306">
        <f t="shared" ref="O15:O20" si="1">D15</f>
        <v>0</v>
      </c>
      <c r="P15" s="1307">
        <f>IF($D$35=1,O15,PMT($D$36,$D$35,-O15))</f>
        <v>0</v>
      </c>
      <c r="Q15" s="1308" t="s">
        <v>103</v>
      </c>
    </row>
    <row r="16" spans="2:17">
      <c r="B16" s="15" t="s">
        <v>3</v>
      </c>
      <c r="C16" s="16"/>
      <c r="D16" s="24">
        <f>+I55</f>
        <v>0</v>
      </c>
      <c r="E16" s="160">
        <v>0.75</v>
      </c>
      <c r="F16" s="160">
        <v>0.9</v>
      </c>
      <c r="G16" s="160">
        <v>0</v>
      </c>
      <c r="H16" s="160">
        <v>0</v>
      </c>
      <c r="I16" s="73">
        <f t="shared" si="0"/>
        <v>0</v>
      </c>
      <c r="J16" s="73">
        <f t="shared" si="0"/>
        <v>0</v>
      </c>
      <c r="K16" s="73">
        <f t="shared" si="0"/>
        <v>0</v>
      </c>
      <c r="L16" s="74">
        <f t="shared" si="0"/>
        <v>0</v>
      </c>
      <c r="O16" s="1306">
        <f t="shared" si="1"/>
        <v>0</v>
      </c>
      <c r="P16" s="1307">
        <f>IF($D$35=1,O16,PMT($D$36,$D$35,-O16))</f>
        <v>0</v>
      </c>
      <c r="Q16" s="1308" t="s">
        <v>103</v>
      </c>
    </row>
    <row r="17" spans="2:17">
      <c r="B17" s="15" t="s">
        <v>4</v>
      </c>
      <c r="C17" s="16"/>
      <c r="D17" s="24">
        <f>+I58</f>
        <v>0</v>
      </c>
      <c r="E17" s="160">
        <v>0.75</v>
      </c>
      <c r="F17" s="160">
        <v>0.9</v>
      </c>
      <c r="G17" s="160">
        <v>0</v>
      </c>
      <c r="H17" s="160">
        <v>0</v>
      </c>
      <c r="I17" s="73">
        <f t="shared" si="0"/>
        <v>0</v>
      </c>
      <c r="J17" s="73">
        <f t="shared" si="0"/>
        <v>0</v>
      </c>
      <c r="K17" s="73">
        <f t="shared" si="0"/>
        <v>0</v>
      </c>
      <c r="L17" s="74">
        <f t="shared" si="0"/>
        <v>0</v>
      </c>
      <c r="O17" s="1306">
        <f t="shared" si="1"/>
        <v>0</v>
      </c>
      <c r="P17" s="1307">
        <f>IF($D$35=1,O17,PMT($D$36,$D$35,-O17))</f>
        <v>0</v>
      </c>
      <c r="Q17" s="1308" t="s">
        <v>103</v>
      </c>
    </row>
    <row r="18" spans="2:17">
      <c r="B18" s="15" t="s">
        <v>26</v>
      </c>
      <c r="C18" s="16"/>
      <c r="D18" s="24">
        <f>+I61</f>
        <v>0.18404999999999999</v>
      </c>
      <c r="E18" s="160">
        <v>0</v>
      </c>
      <c r="F18" s="160">
        <v>0</v>
      </c>
      <c r="G18" s="160">
        <v>0</v>
      </c>
      <c r="H18" s="160">
        <v>0</v>
      </c>
      <c r="I18" s="73">
        <f t="shared" si="0"/>
        <v>0</v>
      </c>
      <c r="J18" s="73">
        <f t="shared" si="0"/>
        <v>0</v>
      </c>
      <c r="K18" s="73">
        <f t="shared" si="0"/>
        <v>0</v>
      </c>
      <c r="L18" s="74">
        <f t="shared" si="0"/>
        <v>0</v>
      </c>
      <c r="O18" s="1306">
        <f t="shared" si="1"/>
        <v>0.18404999999999999</v>
      </c>
      <c r="P18" s="1309" t="s">
        <v>103</v>
      </c>
      <c r="Q18" s="1310">
        <f>O18</f>
        <v>0.18404999999999999</v>
      </c>
    </row>
    <row r="19" spans="2:17">
      <c r="B19" s="15" t="s">
        <v>7</v>
      </c>
      <c r="C19" s="16"/>
      <c r="D19" s="24">
        <f>+I65</f>
        <v>0</v>
      </c>
      <c r="E19" s="160">
        <v>0.75</v>
      </c>
      <c r="F19" s="160">
        <v>0.9</v>
      </c>
      <c r="G19" s="160">
        <v>0</v>
      </c>
      <c r="H19" s="160">
        <v>0</v>
      </c>
      <c r="I19" s="73">
        <f t="shared" si="0"/>
        <v>0</v>
      </c>
      <c r="J19" s="73">
        <f t="shared" si="0"/>
        <v>0</v>
      </c>
      <c r="K19" s="73">
        <f t="shared" si="0"/>
        <v>0</v>
      </c>
      <c r="L19" s="74">
        <f t="shared" si="0"/>
        <v>0</v>
      </c>
      <c r="O19" s="1306">
        <f t="shared" si="1"/>
        <v>0</v>
      </c>
      <c r="P19" s="1307">
        <f>IF($D$35=1,O19,PMT($D$36,$D$35,-O19))</f>
        <v>0</v>
      </c>
      <c r="Q19" s="1308" t="s">
        <v>103</v>
      </c>
    </row>
    <row r="20" spans="2:17">
      <c r="B20" s="15" t="s">
        <v>27</v>
      </c>
      <c r="C20" s="16"/>
      <c r="D20" s="24">
        <f>+I68</f>
        <v>0</v>
      </c>
      <c r="E20" s="160">
        <v>0.75</v>
      </c>
      <c r="F20" s="160">
        <v>0.9</v>
      </c>
      <c r="G20" s="160">
        <v>0</v>
      </c>
      <c r="H20" s="160">
        <v>0</v>
      </c>
      <c r="I20" s="73">
        <f t="shared" si="0"/>
        <v>0</v>
      </c>
      <c r="J20" s="73">
        <f t="shared" si="0"/>
        <v>0</v>
      </c>
      <c r="K20" s="73">
        <f t="shared" si="0"/>
        <v>0</v>
      </c>
      <c r="L20" s="74">
        <f t="shared" si="0"/>
        <v>0</v>
      </c>
      <c r="O20" s="1306">
        <f t="shared" si="1"/>
        <v>0</v>
      </c>
      <c r="P20" s="1309" t="s">
        <v>103</v>
      </c>
      <c r="Q20" s="1310">
        <f>O20</f>
        <v>0</v>
      </c>
    </row>
    <row r="21" spans="2:17">
      <c r="B21" s="15" t="s">
        <v>5</v>
      </c>
      <c r="C21" s="16"/>
      <c r="D21" s="24">
        <f>+I71</f>
        <v>0</v>
      </c>
      <c r="E21" s="160">
        <v>0</v>
      </c>
      <c r="F21" s="160">
        <v>0</v>
      </c>
      <c r="G21" s="160">
        <v>0</v>
      </c>
      <c r="H21" s="160">
        <v>0</v>
      </c>
      <c r="I21" s="73">
        <f t="shared" si="0"/>
        <v>0</v>
      </c>
      <c r="J21" s="73">
        <f t="shared" si="0"/>
        <v>0</v>
      </c>
      <c r="K21" s="73">
        <f t="shared" si="0"/>
        <v>0</v>
      </c>
      <c r="L21" s="74">
        <f t="shared" si="0"/>
        <v>0</v>
      </c>
      <c r="O21" s="1312" t="s">
        <v>103</v>
      </c>
      <c r="P21" s="1309" t="s">
        <v>103</v>
      </c>
      <c r="Q21" s="1308" t="s">
        <v>103</v>
      </c>
    </row>
    <row r="22" spans="2:17">
      <c r="B22" s="15" t="s">
        <v>20</v>
      </c>
      <c r="C22" s="16"/>
      <c r="D22" s="75">
        <f>+I74</f>
        <v>0</v>
      </c>
      <c r="E22" s="160">
        <v>0</v>
      </c>
      <c r="F22" s="160">
        <v>0</v>
      </c>
      <c r="G22" s="160">
        <v>0</v>
      </c>
      <c r="H22" s="160">
        <v>0</v>
      </c>
      <c r="I22" s="75">
        <f t="shared" si="0"/>
        <v>0</v>
      </c>
      <c r="J22" s="75">
        <f t="shared" si="0"/>
        <v>0</v>
      </c>
      <c r="K22" s="75">
        <f t="shared" si="0"/>
        <v>0</v>
      </c>
      <c r="L22" s="76">
        <f t="shared" si="0"/>
        <v>0</v>
      </c>
      <c r="O22" s="1313" t="s">
        <v>103</v>
      </c>
      <c r="P22" s="1314" t="s">
        <v>103</v>
      </c>
      <c r="Q22" s="1315" t="s">
        <v>103</v>
      </c>
    </row>
    <row r="23" spans="2:17" ht="13.5" thickBot="1">
      <c r="B23" s="26" t="s">
        <v>19</v>
      </c>
      <c r="C23" s="27"/>
      <c r="D23" s="138">
        <f>+D22+D21+D20+D19+D18+D17+D16+D15+D14</f>
        <v>6.3190499999999998</v>
      </c>
      <c r="E23" s="28"/>
      <c r="F23" s="28"/>
      <c r="G23" s="28"/>
      <c r="H23" s="28"/>
      <c r="I23" s="51">
        <f>SUM(I14:I22)</f>
        <v>4.6012500000000003</v>
      </c>
      <c r="J23" s="51">
        <f>SUM(J14:J22)</f>
        <v>5.5214999999999996</v>
      </c>
      <c r="K23" s="51">
        <f>SUM(K14:K22)</f>
        <v>0</v>
      </c>
      <c r="L23" s="77">
        <f>SUM(L14:L22)</f>
        <v>0</v>
      </c>
      <c r="O23" s="1316">
        <f>SUM(O14:O20)</f>
        <v>6.3190499999999998</v>
      </c>
      <c r="P23" s="1317">
        <f>SUM(P14:P17,P192,P19)</f>
        <v>0.55178865077592021</v>
      </c>
      <c r="Q23" s="1318">
        <f>SUM(Q20,Q18)</f>
        <v>0.18404999999999999</v>
      </c>
    </row>
    <row r="24" spans="2:17">
      <c r="O24" s="2206" t="s">
        <v>1060</v>
      </c>
      <c r="P24" s="2206"/>
      <c r="Q24" s="1319">
        <f>SUM(Q23,P23)</f>
        <v>0.73583865077592026</v>
      </c>
    </row>
    <row r="25" spans="2:17" ht="15.75">
      <c r="B25" s="50" t="s">
        <v>28</v>
      </c>
      <c r="O25" s="1955" t="s">
        <v>1061</v>
      </c>
      <c r="P25" s="1955"/>
      <c r="Q25" s="1320">
        <f>D45+D48</f>
        <v>128</v>
      </c>
    </row>
    <row r="26" spans="2:17">
      <c r="B26" s="29" t="s">
        <v>89</v>
      </c>
      <c r="C26" s="30"/>
      <c r="D26" s="30"/>
      <c r="E26" s="31"/>
      <c r="F26" s="31"/>
      <c r="G26" s="31"/>
      <c r="H26" s="31"/>
      <c r="I26" s="32"/>
      <c r="J26" s="49"/>
      <c r="O26" s="1955" t="s">
        <v>1062</v>
      </c>
      <c r="P26" s="1955"/>
      <c r="Q26" s="1321" t="str">
        <f>D34</f>
        <v>Ft.</v>
      </c>
    </row>
    <row r="27" spans="2:17">
      <c r="B27" s="1808" t="s">
        <v>2268</v>
      </c>
      <c r="C27" s="34"/>
      <c r="D27" s="34"/>
      <c r="E27" s="35"/>
      <c r="F27" s="35"/>
      <c r="G27" s="35"/>
      <c r="H27" s="35"/>
      <c r="I27" s="36"/>
      <c r="J27" s="49"/>
      <c r="O27" s="2207" t="s">
        <v>1064</v>
      </c>
      <c r="P27" s="2207"/>
      <c r="Q27" s="1322">
        <f>Q25*Q24</f>
        <v>94.187347299317793</v>
      </c>
    </row>
    <row r="28" spans="2:17">
      <c r="B28" s="1808" t="s">
        <v>2269</v>
      </c>
      <c r="C28" s="34"/>
      <c r="D28" s="34"/>
      <c r="E28" s="35"/>
      <c r="F28" s="35"/>
      <c r="G28" s="35"/>
      <c r="H28" s="35"/>
      <c r="I28" s="36"/>
      <c r="J28" s="49"/>
    </row>
    <row r="29" spans="2:17">
      <c r="B29" s="37" t="s">
        <v>2270</v>
      </c>
      <c r="C29" s="34"/>
      <c r="D29" s="34"/>
      <c r="E29" s="35"/>
      <c r="F29" s="35"/>
      <c r="G29" s="35"/>
      <c r="H29" s="35"/>
      <c r="I29" s="36"/>
      <c r="J29" s="49"/>
    </row>
    <row r="30" spans="2:17">
      <c r="B30" s="1809" t="s">
        <v>2271</v>
      </c>
      <c r="C30" s="1810"/>
      <c r="D30" s="1810"/>
      <c r="E30" s="35"/>
      <c r="F30" s="35"/>
      <c r="G30" s="35"/>
      <c r="H30" s="35"/>
      <c r="I30" s="36"/>
      <c r="J30" s="49"/>
    </row>
    <row r="31" spans="2:17">
      <c r="B31" s="37"/>
      <c r="C31" s="34"/>
      <c r="D31" s="34"/>
      <c r="E31" s="6"/>
      <c r="F31" s="35"/>
      <c r="G31" s="35"/>
      <c r="H31" s="35"/>
      <c r="I31" s="36"/>
      <c r="J31" s="49"/>
    </row>
    <row r="32" spans="2:17">
      <c r="B32" s="38" t="s">
        <v>25</v>
      </c>
      <c r="C32" s="34"/>
      <c r="D32" s="39" t="s">
        <v>91</v>
      </c>
      <c r="E32" s="6"/>
      <c r="F32" s="35"/>
      <c r="G32" s="35"/>
      <c r="H32" s="35"/>
      <c r="I32" s="36"/>
      <c r="J32" s="49"/>
    </row>
    <row r="33" spans="2:10">
      <c r="B33" s="37"/>
      <c r="C33" s="34"/>
      <c r="D33" s="35"/>
      <c r="E33" s="6"/>
      <c r="F33" s="35"/>
      <c r="G33" s="35"/>
      <c r="H33" s="35"/>
      <c r="I33" s="36"/>
      <c r="J33" s="49"/>
    </row>
    <row r="34" spans="2:10">
      <c r="B34" s="38" t="s">
        <v>8</v>
      </c>
      <c r="C34" s="34"/>
      <c r="D34" s="39" t="s">
        <v>1067</v>
      </c>
      <c r="E34" s="6"/>
      <c r="F34" s="35"/>
      <c r="G34" s="35"/>
      <c r="H34" s="35"/>
      <c r="I34" s="36"/>
      <c r="J34" s="49"/>
    </row>
    <row r="35" spans="2:10">
      <c r="B35" s="38" t="s">
        <v>9</v>
      </c>
      <c r="C35" s="34"/>
      <c r="D35" s="92">
        <v>15</v>
      </c>
      <c r="E35" s="6"/>
      <c r="F35" s="35"/>
      <c r="G35" s="35"/>
      <c r="H35" s="35"/>
      <c r="I35" s="36"/>
      <c r="J35" s="49"/>
    </row>
    <row r="36" spans="2:10">
      <c r="B36" s="38" t="s">
        <v>10</v>
      </c>
      <c r="C36" s="35"/>
      <c r="D36" s="93">
        <v>0.04</v>
      </c>
      <c r="E36" s="6"/>
      <c r="F36" s="35"/>
      <c r="G36" s="35"/>
      <c r="H36" s="35"/>
      <c r="I36" s="147" t="s">
        <v>6</v>
      </c>
      <c r="J36" s="49"/>
    </row>
    <row r="37" spans="2:10">
      <c r="B37" s="40"/>
      <c r="C37" s="35"/>
      <c r="D37" s="35"/>
      <c r="E37" s="1811"/>
      <c r="F37" s="1812"/>
      <c r="G37" s="1812"/>
      <c r="H37" s="35"/>
      <c r="I37" s="149"/>
      <c r="J37" s="49"/>
    </row>
    <row r="38" spans="2:10">
      <c r="B38" s="42" t="s">
        <v>0</v>
      </c>
      <c r="C38" s="35"/>
      <c r="D38" s="1167"/>
      <c r="E38" s="1813"/>
      <c r="F38" s="1813"/>
      <c r="G38" s="1812"/>
      <c r="H38" s="35"/>
      <c r="I38" s="46">
        <f>+D49</f>
        <v>6.1349999999999998</v>
      </c>
      <c r="J38" s="49"/>
    </row>
    <row r="39" spans="2:10">
      <c r="B39" s="37" t="s">
        <v>2272</v>
      </c>
      <c r="C39" s="35"/>
      <c r="D39" s="1814">
        <f>+D40*D41</f>
        <v>4000</v>
      </c>
      <c r="E39" s="1815"/>
      <c r="F39" s="1813"/>
      <c r="G39" s="1812"/>
      <c r="H39" s="35"/>
      <c r="I39" s="46"/>
      <c r="J39" s="49"/>
    </row>
    <row r="40" spans="2:10">
      <c r="B40" s="1334" t="s">
        <v>2273</v>
      </c>
      <c r="C40" s="35"/>
      <c r="D40" s="1816">
        <v>80</v>
      </c>
      <c r="E40" s="1815"/>
      <c r="F40" s="1813"/>
      <c r="G40" s="1812"/>
      <c r="H40" s="35"/>
      <c r="I40" s="46"/>
      <c r="J40" s="49"/>
    </row>
    <row r="41" spans="2:10">
      <c r="B41" s="1334" t="s">
        <v>2274</v>
      </c>
      <c r="C41" s="35"/>
      <c r="D41" s="1816">
        <v>50</v>
      </c>
      <c r="E41" s="1388"/>
      <c r="F41" s="1813"/>
      <c r="G41" s="1812"/>
      <c r="H41" s="35"/>
      <c r="I41" s="46"/>
      <c r="J41" s="49"/>
    </row>
    <row r="42" spans="2:10">
      <c r="B42" s="1334" t="s">
        <v>2275</v>
      </c>
      <c r="C42" s="35"/>
      <c r="D42" s="1816">
        <v>12</v>
      </c>
      <c r="E42" s="1388"/>
      <c r="F42" s="1813"/>
      <c r="G42" s="1812"/>
      <c r="H42" s="35"/>
      <c r="I42" s="46"/>
      <c r="J42" s="49"/>
    </row>
    <row r="43" spans="2:10">
      <c r="B43" s="42"/>
      <c r="C43" s="35"/>
      <c r="D43" s="1167"/>
      <c r="E43" s="1813"/>
      <c r="F43" s="1813"/>
      <c r="G43" s="1812"/>
      <c r="H43" s="35"/>
      <c r="I43" s="46"/>
      <c r="J43" s="49"/>
    </row>
    <row r="44" spans="2:10">
      <c r="B44" s="40" t="s">
        <v>2276</v>
      </c>
      <c r="C44" s="1817"/>
      <c r="D44" s="1218">
        <v>4.5</v>
      </c>
      <c r="E44" s="1813"/>
      <c r="F44" s="1813"/>
      <c r="G44" s="1818"/>
      <c r="H44" s="35"/>
      <c r="I44" s="46"/>
      <c r="J44" s="49"/>
    </row>
    <row r="45" spans="2:10">
      <c r="B45" s="1184" t="s">
        <v>2277</v>
      </c>
      <c r="C45" s="1817"/>
      <c r="D45" s="1816">
        <f>+D40</f>
        <v>80</v>
      </c>
      <c r="E45" s="1813"/>
      <c r="F45" s="1813"/>
      <c r="G45" s="1818"/>
      <c r="H45" s="35"/>
      <c r="I45" s="46"/>
      <c r="J45" s="49"/>
    </row>
    <row r="46" spans="2:10">
      <c r="B46" s="40" t="s">
        <v>2278</v>
      </c>
      <c r="C46" s="1817"/>
      <c r="D46" s="1218">
        <v>2.5</v>
      </c>
      <c r="E46" s="1813"/>
      <c r="F46" s="1813"/>
      <c r="G46" s="1818"/>
      <c r="H46" s="35"/>
      <c r="I46" s="46"/>
      <c r="J46" s="49"/>
    </row>
    <row r="47" spans="2:10">
      <c r="B47" s="40" t="s">
        <v>2279</v>
      </c>
      <c r="C47" s="1817"/>
      <c r="D47" s="1218">
        <v>0.22500000000000001</v>
      </c>
      <c r="E47" s="1813"/>
      <c r="F47" s="1813"/>
      <c r="G47" s="1818"/>
      <c r="H47" s="35"/>
      <c r="I47" s="46"/>
      <c r="J47" s="49"/>
    </row>
    <row r="48" spans="2:10">
      <c r="B48" s="1184" t="s">
        <v>2277</v>
      </c>
      <c r="C48" s="1817"/>
      <c r="D48" s="1819">
        <f>+D42*4</f>
        <v>48</v>
      </c>
      <c r="E48" s="1813"/>
      <c r="F48" s="1813"/>
      <c r="G48" s="1818"/>
      <c r="H48" s="35"/>
      <c r="I48" s="46"/>
      <c r="J48" s="49"/>
    </row>
    <row r="49" spans="2:13">
      <c r="B49" s="40" t="s">
        <v>2280</v>
      </c>
      <c r="C49" s="1817"/>
      <c r="D49" s="1820">
        <f>((D44*D45)+(D46+D47)*D48)/D45</f>
        <v>6.1349999999999998</v>
      </c>
      <c r="E49" s="1813"/>
      <c r="F49" s="1813"/>
      <c r="G49" s="1821"/>
      <c r="H49" s="35"/>
      <c r="I49" s="46"/>
      <c r="J49" s="49"/>
    </row>
    <row r="50" spans="2:13">
      <c r="B50" s="40"/>
      <c r="C50" s="1817"/>
      <c r="D50" s="1822"/>
      <c r="E50" s="1813"/>
      <c r="F50" s="1813"/>
      <c r="G50" s="1812"/>
      <c r="H50" s="35"/>
      <c r="I50" s="46"/>
      <c r="J50" s="49"/>
    </row>
    <row r="51" spans="2:13">
      <c r="B51" s="1823"/>
      <c r="C51" s="35"/>
      <c r="D51" s="1824"/>
      <c r="E51" s="1813"/>
      <c r="F51" s="1813"/>
      <c r="G51" s="1812"/>
      <c r="H51" s="35"/>
      <c r="I51" s="46"/>
      <c r="J51" s="49"/>
    </row>
    <row r="52" spans="2:13">
      <c r="B52" s="42" t="s">
        <v>2</v>
      </c>
      <c r="C52" s="35"/>
      <c r="D52" s="1825"/>
      <c r="E52" s="1825"/>
      <c r="F52" s="1218"/>
      <c r="G52" s="1825"/>
      <c r="H52" s="35"/>
      <c r="I52" s="46">
        <v>0</v>
      </c>
      <c r="J52" s="49"/>
      <c r="M52" s="1222"/>
    </row>
    <row r="53" spans="2:13">
      <c r="B53" s="756" t="s">
        <v>2281</v>
      </c>
      <c r="C53" s="35"/>
      <c r="D53" s="1825"/>
      <c r="E53" s="1825"/>
      <c r="F53" s="1218"/>
      <c r="G53" s="1825"/>
      <c r="H53" s="35"/>
      <c r="I53" s="36"/>
      <c r="J53" s="49"/>
    </row>
    <row r="54" spans="2:13">
      <c r="B54" s="37"/>
      <c r="C54" s="35"/>
      <c r="D54" s="1825"/>
      <c r="E54" s="1825"/>
      <c r="F54" s="1218"/>
      <c r="G54" s="1825"/>
      <c r="H54" s="35"/>
      <c r="I54" s="36"/>
      <c r="J54" s="49"/>
    </row>
    <row r="55" spans="2:13">
      <c r="B55" s="42" t="s">
        <v>3</v>
      </c>
      <c r="C55" s="35"/>
      <c r="D55" s="1825"/>
      <c r="E55" s="1825"/>
      <c r="F55" s="1218"/>
      <c r="G55" s="1825"/>
      <c r="H55" s="35"/>
      <c r="I55" s="46">
        <v>0</v>
      </c>
      <c r="J55" s="49"/>
    </row>
    <row r="56" spans="2:13">
      <c r="B56" s="756" t="s">
        <v>2281</v>
      </c>
      <c r="C56" s="35"/>
      <c r="D56" s="1825"/>
      <c r="E56" s="1825"/>
      <c r="F56" s="1218"/>
      <c r="G56" s="1825"/>
      <c r="H56" s="35"/>
      <c r="I56" s="46"/>
      <c r="J56" s="49"/>
    </row>
    <row r="57" spans="2:13">
      <c r="B57" s="42"/>
      <c r="C57" s="35"/>
      <c r="D57" s="35"/>
      <c r="E57" s="35"/>
      <c r="F57" s="35"/>
      <c r="G57" s="35"/>
      <c r="H57" s="35"/>
      <c r="I57" s="46"/>
      <c r="J57" s="49"/>
    </row>
    <row r="58" spans="2:13">
      <c r="B58" s="42" t="s">
        <v>4</v>
      </c>
      <c r="C58" s="35"/>
      <c r="D58" s="35"/>
      <c r="E58" s="35"/>
      <c r="F58" s="35"/>
      <c r="G58" s="35"/>
      <c r="H58" s="35"/>
      <c r="I58" s="48">
        <v>0</v>
      </c>
      <c r="J58" s="49"/>
    </row>
    <row r="59" spans="2:13">
      <c r="B59" s="756" t="s">
        <v>2281</v>
      </c>
      <c r="C59" s="35"/>
      <c r="D59" s="35"/>
      <c r="E59" s="35"/>
      <c r="F59" s="35"/>
      <c r="G59" s="35"/>
      <c r="H59" s="35"/>
      <c r="I59" s="36"/>
      <c r="J59" s="49"/>
    </row>
    <row r="60" spans="2:13">
      <c r="B60" s="37"/>
      <c r="C60" s="35"/>
      <c r="D60" s="35"/>
      <c r="E60" s="35"/>
      <c r="F60" s="35"/>
      <c r="G60" s="35"/>
      <c r="H60" s="35"/>
      <c r="I60" s="36"/>
      <c r="J60" s="49"/>
    </row>
    <row r="61" spans="2:13">
      <c r="B61" s="42" t="s">
        <v>26</v>
      </c>
      <c r="C61" s="35"/>
      <c r="D61" s="35"/>
      <c r="E61" s="35"/>
      <c r="F61" s="35"/>
      <c r="G61" s="35"/>
      <c r="H61" s="35"/>
      <c r="I61" s="48">
        <f>0.03*(I38+I52+I55+I58)</f>
        <v>0.18404999999999999</v>
      </c>
      <c r="J61" s="49"/>
    </row>
    <row r="62" spans="2:13">
      <c r="B62" s="1826" t="s">
        <v>2282</v>
      </c>
      <c r="C62" s="35"/>
      <c r="D62" s="35"/>
      <c r="E62" s="35"/>
      <c r="F62" s="35"/>
      <c r="G62" s="35"/>
      <c r="H62" s="35"/>
      <c r="I62" s="48"/>
      <c r="J62" s="49"/>
    </row>
    <row r="63" spans="2:13">
      <c r="B63" s="33" t="s">
        <v>2283</v>
      </c>
      <c r="C63" s="35"/>
      <c r="D63" s="35"/>
      <c r="E63" s="35"/>
      <c r="F63" s="35"/>
      <c r="G63" s="35"/>
      <c r="H63" s="35"/>
      <c r="I63" s="36"/>
      <c r="J63" s="49"/>
    </row>
    <row r="64" spans="2:13">
      <c r="B64" s="37"/>
      <c r="C64" s="35"/>
      <c r="D64" s="35"/>
      <c r="E64" s="35"/>
      <c r="F64" s="35"/>
      <c r="G64" s="35"/>
      <c r="H64" s="35"/>
      <c r="I64" s="36"/>
      <c r="J64" s="49"/>
    </row>
    <row r="65" spans="2:10">
      <c r="B65" s="42" t="s">
        <v>7</v>
      </c>
      <c r="C65" s="35"/>
      <c r="D65" s="35"/>
      <c r="E65" s="35"/>
      <c r="F65" s="35"/>
      <c r="G65" s="35"/>
      <c r="H65" s="35"/>
      <c r="I65" s="46">
        <v>0</v>
      </c>
      <c r="J65" s="49"/>
    </row>
    <row r="66" spans="2:10">
      <c r="B66" s="33" t="s">
        <v>103</v>
      </c>
      <c r="C66" s="35"/>
      <c r="D66" s="35"/>
      <c r="E66" s="35"/>
      <c r="F66" s="35"/>
      <c r="G66" s="35"/>
      <c r="H66" s="35"/>
      <c r="I66" s="36"/>
      <c r="J66" s="49"/>
    </row>
    <row r="67" spans="2:10">
      <c r="B67" s="33"/>
      <c r="C67" s="35"/>
      <c r="D67" s="35"/>
      <c r="E67" s="35"/>
      <c r="F67" s="35"/>
      <c r="G67" s="35"/>
      <c r="H67" s="35"/>
      <c r="I67" s="36"/>
      <c r="J67" s="49"/>
    </row>
    <row r="68" spans="2:10">
      <c r="B68" s="42" t="s">
        <v>471</v>
      </c>
      <c r="C68" s="35"/>
      <c r="D68" s="35"/>
      <c r="E68" s="35"/>
      <c r="F68" s="35"/>
      <c r="G68" s="35"/>
      <c r="H68" s="35"/>
      <c r="I68" s="46">
        <v>0</v>
      </c>
      <c r="J68" s="49"/>
    </row>
    <row r="69" spans="2:10">
      <c r="B69" s="33" t="s">
        <v>103</v>
      </c>
      <c r="C69" s="35"/>
      <c r="D69" s="35"/>
      <c r="E69" s="35"/>
      <c r="F69" s="35"/>
      <c r="G69" s="35"/>
      <c r="H69" s="35"/>
      <c r="I69" s="47"/>
      <c r="J69" s="49"/>
    </row>
    <row r="70" spans="2:10">
      <c r="B70" s="37"/>
      <c r="C70" s="35"/>
      <c r="D70" s="35"/>
      <c r="E70" s="35"/>
      <c r="F70" s="35"/>
      <c r="G70" s="35"/>
      <c r="H70" s="35"/>
      <c r="I70" s="36"/>
      <c r="J70" s="49"/>
    </row>
    <row r="71" spans="2:10">
      <c r="B71" s="42" t="s">
        <v>5</v>
      </c>
      <c r="C71" s="35"/>
      <c r="D71" s="35"/>
      <c r="E71" s="35"/>
      <c r="F71" s="35"/>
      <c r="G71" s="35"/>
      <c r="H71" s="35"/>
      <c r="I71" s="46">
        <v>0</v>
      </c>
      <c r="J71" s="49"/>
    </row>
    <row r="72" spans="2:10">
      <c r="B72" s="33" t="s">
        <v>103</v>
      </c>
      <c r="C72" s="35"/>
      <c r="D72" s="35"/>
      <c r="E72" s="35"/>
      <c r="F72" s="35"/>
      <c r="G72" s="35"/>
      <c r="H72" s="35"/>
      <c r="I72" s="47"/>
      <c r="J72" s="49"/>
    </row>
    <row r="73" spans="2:10">
      <c r="B73" s="37"/>
      <c r="C73" s="35"/>
      <c r="D73" s="35"/>
      <c r="E73" s="35"/>
      <c r="F73" s="35"/>
      <c r="G73" s="35"/>
      <c r="H73" s="35"/>
      <c r="I73" s="36"/>
      <c r="J73" s="49"/>
    </row>
    <row r="74" spans="2:10">
      <c r="B74" s="42" t="s">
        <v>20</v>
      </c>
      <c r="C74" s="35"/>
      <c r="D74" s="35"/>
      <c r="E74" s="35"/>
      <c r="F74" s="35"/>
      <c r="G74" s="35"/>
      <c r="H74" s="35"/>
      <c r="I74" s="46">
        <v>0</v>
      </c>
      <c r="J74" s="49"/>
    </row>
    <row r="75" spans="2:10">
      <c r="B75" s="33" t="s">
        <v>103</v>
      </c>
      <c r="C75" s="35"/>
      <c r="D75" s="35"/>
      <c r="E75" s="35"/>
      <c r="F75" s="35"/>
      <c r="G75" s="35"/>
      <c r="H75" s="35"/>
      <c r="I75" s="36"/>
      <c r="J75" s="49"/>
    </row>
    <row r="76" spans="2:10">
      <c r="B76" s="33"/>
      <c r="C76" s="35"/>
      <c r="D76" s="39"/>
      <c r="E76" s="35"/>
      <c r="F76" s="35"/>
      <c r="G76" s="35"/>
      <c r="H76" s="35"/>
      <c r="I76" s="36"/>
      <c r="J76" s="49"/>
    </row>
    <row r="77" spans="2:10">
      <c r="B77" s="43" t="s">
        <v>11</v>
      </c>
      <c r="C77" s="44"/>
      <c r="D77" s="44"/>
      <c r="E77" s="44"/>
      <c r="F77" s="44"/>
      <c r="G77" s="44"/>
      <c r="H77" s="44"/>
      <c r="I77" s="1827">
        <f>+I74+I71+I68+I65+I61+I58+I55+I52+I38</f>
        <v>6.3190499999999998</v>
      </c>
      <c r="J77" s="49"/>
    </row>
    <row r="79" spans="2:10">
      <c r="B79" s="2" t="s">
        <v>638</v>
      </c>
    </row>
    <row r="80" spans="2:10">
      <c r="B80" s="2" t="s">
        <v>2284</v>
      </c>
    </row>
  </sheetData>
  <mergeCells count="4">
    <mergeCell ref="O24:P24"/>
    <mergeCell ref="O25:P25"/>
    <mergeCell ref="O26:P26"/>
    <mergeCell ref="O27:P27"/>
  </mergeCells>
  <pageMargins left="0.75" right="0.75" top="1" bottom="1" header="0.5" footer="0.5"/>
  <pageSetup scale="66" orientation="portrait" r:id="rId1"/>
  <headerFooter alignWithMargins="0"/>
</worksheet>
</file>

<file path=xl/worksheets/sheet174.xml><?xml version="1.0" encoding="utf-8"?>
<worksheet xmlns="http://schemas.openxmlformats.org/spreadsheetml/2006/main" xmlns:r="http://schemas.openxmlformats.org/officeDocument/2006/relationships">
  <dimension ref="B2:Q160"/>
  <sheetViews>
    <sheetView zoomScale="75" zoomScaleNormal="75" workbookViewId="0">
      <selection activeCell="K6" sqref="K6"/>
    </sheetView>
  </sheetViews>
  <sheetFormatPr defaultRowHeight="12.75"/>
  <cols>
    <col min="1" max="1" width="2.85546875" style="2" customWidth="1"/>
    <col min="2" max="2" width="9.140625" style="2"/>
    <col min="3" max="3" width="28.7109375" style="2" customWidth="1"/>
    <col min="4" max="4" width="18.85546875" style="2" customWidth="1"/>
    <col min="5" max="5" width="18.28515625" style="2" customWidth="1"/>
    <col min="6" max="6" width="10.5703125" style="2" customWidth="1"/>
    <col min="7" max="7" width="11.85546875" style="2" customWidth="1"/>
    <col min="8" max="8" width="11.42578125" style="2" customWidth="1"/>
    <col min="9" max="9" width="9.140625" style="2"/>
    <col min="10" max="10" width="8.7109375" style="2" customWidth="1"/>
    <col min="11" max="11" width="11.28515625" style="2" customWidth="1"/>
    <col min="12" max="16384" width="9.140625" style="2"/>
  </cols>
  <sheetData>
    <row r="2" spans="2:11" ht="15.75">
      <c r="B2" s="1" t="s">
        <v>17</v>
      </c>
    </row>
    <row r="3" spans="2:11">
      <c r="B3" s="68" t="s">
        <v>1</v>
      </c>
      <c r="C3" s="69" t="s">
        <v>21</v>
      </c>
      <c r="D3" s="70"/>
      <c r="E3" s="70"/>
      <c r="F3" s="70"/>
      <c r="G3" s="83" t="s">
        <v>12</v>
      </c>
      <c r="H3"/>
      <c r="I3"/>
      <c r="J3"/>
      <c r="K3" s="730" t="s">
        <v>621</v>
      </c>
    </row>
    <row r="4" spans="2:11">
      <c r="B4" s="71" t="s">
        <v>13</v>
      </c>
      <c r="C4" s="72" t="s">
        <v>22</v>
      </c>
      <c r="D4" s="72" t="s">
        <v>29</v>
      </c>
      <c r="E4" s="72" t="s">
        <v>30</v>
      </c>
      <c r="F4" s="72" t="s">
        <v>23</v>
      </c>
      <c r="G4" s="84" t="s">
        <v>14</v>
      </c>
      <c r="H4"/>
      <c r="I4"/>
      <c r="J4"/>
      <c r="K4" s="88" t="s">
        <v>622</v>
      </c>
    </row>
    <row r="5" spans="2:11">
      <c r="B5" s="54">
        <v>560</v>
      </c>
      <c r="C5" s="7" t="str">
        <f>+E9</f>
        <v>EQIP</v>
      </c>
      <c r="D5" s="53" t="s">
        <v>2285</v>
      </c>
      <c r="E5" s="53" t="s">
        <v>2286</v>
      </c>
      <c r="F5" s="7" t="str">
        <f>+D42</f>
        <v>Foot</v>
      </c>
      <c r="G5" s="85">
        <f>+G22</f>
        <v>11.205511031249998</v>
      </c>
      <c r="H5"/>
      <c r="I5"/>
      <c r="J5"/>
      <c r="K5" s="89" t="str">
        <f>+D40</f>
        <v>Statewide</v>
      </c>
    </row>
    <row r="6" spans="2:11">
      <c r="B6" s="8">
        <v>560</v>
      </c>
      <c r="C6" s="10" t="s">
        <v>15</v>
      </c>
      <c r="D6" s="9" t="s">
        <v>2285</v>
      </c>
      <c r="E6" s="9" t="s">
        <v>2287</v>
      </c>
      <c r="F6" s="10" t="s">
        <v>1146</v>
      </c>
      <c r="G6" s="86">
        <f>+H22</f>
        <v>13.446613237499999</v>
      </c>
      <c r="H6"/>
      <c r="I6"/>
      <c r="J6"/>
      <c r="K6" s="89" t="s">
        <v>623</v>
      </c>
    </row>
    <row r="7" spans="2:11">
      <c r="B7" s="4"/>
      <c r="C7" s="3"/>
      <c r="D7" s="3"/>
      <c r="G7"/>
      <c r="H7"/>
      <c r="I7"/>
      <c r="J7"/>
    </row>
    <row r="8" spans="2:11" ht="15.75">
      <c r="B8" s="1" t="s">
        <v>18</v>
      </c>
      <c r="C8" s="3"/>
      <c r="D8" s="3"/>
      <c r="G8"/>
      <c r="H8"/>
      <c r="I8"/>
      <c r="J8"/>
    </row>
    <row r="9" spans="2:11">
      <c r="B9" s="55"/>
      <c r="C9" s="12"/>
      <c r="D9" s="11"/>
      <c r="E9" s="13" t="s">
        <v>15</v>
      </c>
      <c r="F9" s="13" t="s">
        <v>31</v>
      </c>
      <c r="G9" s="13"/>
      <c r="H9" s="1828"/>
    </row>
    <row r="10" spans="2:11">
      <c r="B10" s="19"/>
      <c r="C10" s="16"/>
      <c r="D10" s="16"/>
      <c r="E10" s="17" t="s">
        <v>22</v>
      </c>
      <c r="F10" s="17" t="s">
        <v>22</v>
      </c>
      <c r="G10" s="17" t="s">
        <v>15</v>
      </c>
      <c r="H10" s="18" t="s">
        <v>31</v>
      </c>
    </row>
    <row r="11" spans="2:11">
      <c r="B11" s="19"/>
      <c r="C11" s="16"/>
      <c r="D11" s="16"/>
      <c r="E11" s="17" t="s">
        <v>12</v>
      </c>
      <c r="F11" s="17" t="s">
        <v>12</v>
      </c>
      <c r="G11" s="17" t="s">
        <v>12</v>
      </c>
      <c r="H11" s="18" t="s">
        <v>12</v>
      </c>
    </row>
    <row r="12" spans="2:11">
      <c r="B12" s="164" t="s">
        <v>16</v>
      </c>
      <c r="C12" s="16"/>
      <c r="D12" s="165" t="s">
        <v>6</v>
      </c>
      <c r="E12" s="22" t="s">
        <v>24</v>
      </c>
      <c r="F12" s="22" t="s">
        <v>24</v>
      </c>
      <c r="G12" s="22" t="s">
        <v>14</v>
      </c>
      <c r="H12" s="23" t="s">
        <v>14</v>
      </c>
    </row>
    <row r="13" spans="2:11">
      <c r="B13" s="15" t="s">
        <v>0</v>
      </c>
      <c r="C13" s="16"/>
      <c r="D13" s="24">
        <f>+I46</f>
        <v>11.3720775</v>
      </c>
      <c r="E13" s="160">
        <v>0.75</v>
      </c>
      <c r="F13" s="160">
        <v>0.9</v>
      </c>
      <c r="G13" s="73">
        <f t="shared" ref="G13:G21" si="0">$D13*E13</f>
        <v>8.5290581249999988</v>
      </c>
      <c r="H13" s="1829">
        <f t="shared" ref="H13:H21" si="1">+$D13*F13</f>
        <v>10.23486975</v>
      </c>
    </row>
    <row r="14" spans="2:11">
      <c r="B14" s="15" t="s">
        <v>2</v>
      </c>
      <c r="C14" s="16"/>
      <c r="D14" s="24">
        <f>+I68</f>
        <v>2.8571428571428572</v>
      </c>
      <c r="E14" s="160">
        <v>0.75</v>
      </c>
      <c r="F14" s="160">
        <v>0.9</v>
      </c>
      <c r="G14" s="73">
        <f t="shared" si="0"/>
        <v>2.1428571428571428</v>
      </c>
      <c r="H14" s="1829">
        <f t="shared" si="1"/>
        <v>2.5714285714285716</v>
      </c>
    </row>
    <row r="15" spans="2:11">
      <c r="B15" s="15" t="s">
        <v>3</v>
      </c>
      <c r="C15" s="16"/>
      <c r="D15" s="24">
        <f>+I77</f>
        <v>0</v>
      </c>
      <c r="E15" s="160">
        <v>0.75</v>
      </c>
      <c r="F15" s="160">
        <v>0.9</v>
      </c>
      <c r="G15" s="73">
        <f t="shared" si="0"/>
        <v>0</v>
      </c>
      <c r="H15" s="1829">
        <f t="shared" si="1"/>
        <v>0</v>
      </c>
    </row>
    <row r="16" spans="2:11">
      <c r="B16" s="15" t="s">
        <v>4</v>
      </c>
      <c r="C16" s="16"/>
      <c r="D16" s="24">
        <f>+I84</f>
        <v>0.71146101785714289</v>
      </c>
      <c r="E16" s="160">
        <v>0.75</v>
      </c>
      <c r="F16" s="160">
        <v>0.9</v>
      </c>
      <c r="G16" s="73">
        <f t="shared" si="0"/>
        <v>0.53359576339285719</v>
      </c>
      <c r="H16" s="1829">
        <f t="shared" si="1"/>
        <v>0.64031491607142865</v>
      </c>
    </row>
    <row r="17" spans="2:9">
      <c r="B17" s="15" t="s">
        <v>26</v>
      </c>
      <c r="C17" s="16"/>
      <c r="D17" s="24">
        <f>+I87</f>
        <v>0.42687661071428568</v>
      </c>
      <c r="E17" s="160">
        <v>0</v>
      </c>
      <c r="F17" s="160">
        <v>0</v>
      </c>
      <c r="G17" s="73">
        <f t="shared" si="0"/>
        <v>0</v>
      </c>
      <c r="H17" s="1829">
        <f t="shared" si="1"/>
        <v>0</v>
      </c>
    </row>
    <row r="18" spans="2:9">
      <c r="B18" s="15" t="s">
        <v>7</v>
      </c>
      <c r="C18" s="16"/>
      <c r="D18" s="24">
        <f>+I90</f>
        <v>0</v>
      </c>
      <c r="E18" s="160">
        <v>0</v>
      </c>
      <c r="F18" s="160">
        <v>0</v>
      </c>
      <c r="G18" s="73">
        <f t="shared" si="0"/>
        <v>0</v>
      </c>
      <c r="H18" s="1829">
        <f t="shared" si="1"/>
        <v>0</v>
      </c>
    </row>
    <row r="19" spans="2:9">
      <c r="B19" s="15" t="s">
        <v>27</v>
      </c>
      <c r="C19" s="16"/>
      <c r="D19" s="24">
        <f>+I93</f>
        <v>0</v>
      </c>
      <c r="E19" s="160">
        <v>0</v>
      </c>
      <c r="F19" s="160">
        <v>0</v>
      </c>
      <c r="G19" s="73">
        <f t="shared" si="0"/>
        <v>0</v>
      </c>
      <c r="H19" s="1829">
        <f t="shared" si="1"/>
        <v>0</v>
      </c>
    </row>
    <row r="20" spans="2:9">
      <c r="B20" s="15" t="s">
        <v>5</v>
      </c>
      <c r="C20" s="16"/>
      <c r="D20" s="24">
        <f>+I96</f>
        <v>0</v>
      </c>
      <c r="E20" s="160">
        <v>0</v>
      </c>
      <c r="F20" s="160">
        <v>0</v>
      </c>
      <c r="G20" s="73">
        <f t="shared" si="0"/>
        <v>0</v>
      </c>
      <c r="H20" s="1829">
        <f t="shared" si="1"/>
        <v>0</v>
      </c>
    </row>
    <row r="21" spans="2:9">
      <c r="B21" s="15" t="s">
        <v>20</v>
      </c>
      <c r="C21" s="16"/>
      <c r="D21" s="75">
        <f>+I99</f>
        <v>0</v>
      </c>
      <c r="E21" s="160">
        <v>0</v>
      </c>
      <c r="F21" s="160">
        <v>0</v>
      </c>
      <c r="G21" s="75">
        <f t="shared" si="0"/>
        <v>0</v>
      </c>
      <c r="H21" s="76">
        <f t="shared" si="1"/>
        <v>0</v>
      </c>
    </row>
    <row r="22" spans="2:9">
      <c r="B22" s="26" t="s">
        <v>19</v>
      </c>
      <c r="C22" s="27"/>
      <c r="D22" s="51">
        <f>SUM(D13:D21)</f>
        <v>15.367557985714287</v>
      </c>
      <c r="E22" s="28"/>
      <c r="F22" s="28"/>
      <c r="G22" s="51">
        <f>SUM(G13:G21)</f>
        <v>11.205511031249998</v>
      </c>
      <c r="H22" s="77">
        <f>SUM(H13:H21)</f>
        <v>13.446613237499999</v>
      </c>
    </row>
    <row r="24" spans="2:9" ht="15.75">
      <c r="B24" s="50" t="s">
        <v>28</v>
      </c>
      <c r="I24" s="5"/>
    </row>
    <row r="25" spans="2:9">
      <c r="B25" s="29" t="s">
        <v>89</v>
      </c>
      <c r="C25" s="30"/>
      <c r="D25" s="30"/>
      <c r="E25" s="31"/>
      <c r="F25" s="31"/>
      <c r="G25" s="31"/>
      <c r="H25" s="31"/>
      <c r="I25" s="32"/>
    </row>
    <row r="26" spans="2:9">
      <c r="B26" s="33" t="s">
        <v>2288</v>
      </c>
      <c r="C26" s="34"/>
      <c r="D26" s="34"/>
      <c r="E26" s="35"/>
      <c r="F26" s="35"/>
      <c r="G26" s="35"/>
      <c r="H26" s="35"/>
      <c r="I26" s="36"/>
    </row>
    <row r="27" spans="2:9">
      <c r="B27" s="33" t="s">
        <v>2289</v>
      </c>
      <c r="C27" s="34"/>
      <c r="D27" s="34"/>
      <c r="E27" s="35"/>
      <c r="F27" s="35"/>
      <c r="G27" s="35"/>
      <c r="H27" s="35"/>
      <c r="I27" s="36"/>
    </row>
    <row r="28" spans="2:9">
      <c r="B28" s="33"/>
      <c r="C28" s="34"/>
      <c r="D28" s="34"/>
      <c r="E28" s="35"/>
      <c r="F28" s="35"/>
      <c r="G28" s="35"/>
      <c r="H28" s="35"/>
      <c r="I28" s="36"/>
    </row>
    <row r="29" spans="2:9">
      <c r="B29" s="33" t="s">
        <v>2290</v>
      </c>
      <c r="C29" s="34"/>
      <c r="D29" s="34"/>
      <c r="E29" s="35"/>
      <c r="F29" s="35"/>
      <c r="G29" s="35"/>
      <c r="H29" s="35"/>
      <c r="I29" s="36"/>
    </row>
    <row r="30" spans="2:9">
      <c r="B30" s="33" t="s">
        <v>2291</v>
      </c>
      <c r="C30" s="34"/>
      <c r="D30" s="34"/>
      <c r="E30" s="35"/>
      <c r="F30" s="35"/>
      <c r="G30" s="35"/>
      <c r="H30" s="35"/>
      <c r="I30" s="36"/>
    </row>
    <row r="31" spans="2:9">
      <c r="B31" s="33"/>
      <c r="C31" s="34"/>
      <c r="D31" s="34"/>
      <c r="E31" s="35"/>
      <c r="F31" s="35"/>
      <c r="G31" s="35"/>
      <c r="H31" s="35"/>
      <c r="I31" s="36"/>
    </row>
    <row r="32" spans="2:9">
      <c r="B32" s="33" t="s">
        <v>2292</v>
      </c>
      <c r="C32" s="34"/>
      <c r="D32" s="34"/>
      <c r="E32" s="35"/>
      <c r="F32" s="35"/>
      <c r="G32" s="35"/>
      <c r="H32" s="35"/>
      <c r="I32" s="36"/>
    </row>
    <row r="33" spans="2:10">
      <c r="B33" s="33" t="s">
        <v>2293</v>
      </c>
      <c r="C33" s="34"/>
      <c r="D33" s="34"/>
      <c r="E33" s="35"/>
      <c r="F33" s="35"/>
      <c r="G33" s="35"/>
      <c r="H33" s="35"/>
      <c r="I33" s="36"/>
    </row>
    <row r="34" spans="2:10">
      <c r="B34" s="33" t="s">
        <v>2294</v>
      </c>
      <c r="C34" s="34"/>
      <c r="D34" s="34"/>
      <c r="E34" s="35"/>
      <c r="F34" s="35"/>
      <c r="G34" s="35"/>
      <c r="H34" s="35"/>
      <c r="I34" s="36"/>
    </row>
    <row r="35" spans="2:10">
      <c r="B35" s="37" t="s">
        <v>2295</v>
      </c>
      <c r="C35" s="34"/>
      <c r="D35" s="34"/>
      <c r="E35" s="35"/>
      <c r="F35" s="35"/>
      <c r="G35" s="35"/>
      <c r="H35" s="35"/>
      <c r="I35" s="36"/>
    </row>
    <row r="36" spans="2:10">
      <c r="B36" s="37"/>
      <c r="C36" s="34"/>
      <c r="D36" s="34"/>
      <c r="E36" s="35"/>
      <c r="F36" s="35"/>
      <c r="G36" s="35"/>
      <c r="H36" s="35"/>
      <c r="I36" s="36"/>
    </row>
    <row r="37" spans="2:10">
      <c r="B37" s="42" t="s">
        <v>2296</v>
      </c>
      <c r="C37" s="34"/>
      <c r="D37" s="34"/>
      <c r="E37" s="35"/>
      <c r="F37" s="35"/>
      <c r="G37" s="35"/>
      <c r="H37" s="35"/>
      <c r="I37" s="36"/>
    </row>
    <row r="38" spans="2:10">
      <c r="B38" s="2007" t="s">
        <v>2297</v>
      </c>
      <c r="C38" s="2008"/>
      <c r="D38" s="2008"/>
      <c r="E38" s="2008"/>
      <c r="F38" s="2008"/>
      <c r="G38" s="2008"/>
      <c r="H38" s="2008"/>
      <c r="I38" s="2208"/>
    </row>
    <row r="39" spans="2:10">
      <c r="B39" s="37"/>
      <c r="C39" s="34"/>
      <c r="D39" s="34"/>
      <c r="E39" s="35"/>
      <c r="F39" s="35"/>
      <c r="G39" s="35"/>
      <c r="H39" s="35"/>
      <c r="I39" s="36"/>
    </row>
    <row r="40" spans="2:10">
      <c r="B40" s="38" t="s">
        <v>25</v>
      </c>
      <c r="C40" s="34"/>
      <c r="D40" s="39" t="s">
        <v>91</v>
      </c>
      <c r="G40" s="6"/>
      <c r="H40" s="35"/>
      <c r="I40" s="36"/>
      <c r="J40" s="49"/>
    </row>
    <row r="41" spans="2:10">
      <c r="B41" s="37"/>
      <c r="C41" s="34"/>
      <c r="D41" s="35"/>
      <c r="G41" s="6"/>
      <c r="H41" s="35"/>
      <c r="I41" s="36"/>
    </row>
    <row r="42" spans="2:10">
      <c r="B42" s="38" t="s">
        <v>8</v>
      </c>
      <c r="C42" s="34"/>
      <c r="D42" s="39" t="s">
        <v>1146</v>
      </c>
      <c r="G42" s="6"/>
      <c r="H42" s="35"/>
      <c r="I42" s="36"/>
    </row>
    <row r="43" spans="2:10">
      <c r="B43" s="38" t="s">
        <v>9</v>
      </c>
      <c r="C43" s="34"/>
      <c r="D43" s="92">
        <v>10</v>
      </c>
      <c r="G43" s="6"/>
      <c r="H43" s="35"/>
      <c r="I43" s="36"/>
    </row>
    <row r="44" spans="2:10">
      <c r="B44" s="38" t="s">
        <v>10</v>
      </c>
      <c r="C44" s="35"/>
      <c r="D44" s="93">
        <v>0.05</v>
      </c>
      <c r="E44" s="6"/>
      <c r="F44" s="35"/>
      <c r="G44" s="35"/>
      <c r="H44" s="35"/>
      <c r="I44" s="147" t="s">
        <v>6</v>
      </c>
    </row>
    <row r="45" spans="2:10">
      <c r="B45" s="40"/>
      <c r="C45" s="35"/>
      <c r="D45" s="35"/>
      <c r="E45" s="41"/>
      <c r="F45" s="35"/>
      <c r="G45" s="35"/>
      <c r="H45" s="35"/>
      <c r="I45" s="149"/>
    </row>
    <row r="46" spans="2:10">
      <c r="B46" s="42" t="s">
        <v>0</v>
      </c>
      <c r="C46" s="35"/>
      <c r="D46" s="35"/>
      <c r="E46" s="35"/>
      <c r="F46" s="35"/>
      <c r="G46" s="35"/>
      <c r="H46" s="35"/>
      <c r="I46" s="46">
        <f>+D65*1.005</f>
        <v>11.3720775</v>
      </c>
    </row>
    <row r="47" spans="2:10">
      <c r="B47" s="756"/>
      <c r="C47" s="6"/>
      <c r="D47" s="1173"/>
      <c r="E47" s="35"/>
      <c r="F47" s="35"/>
      <c r="G47" s="35"/>
      <c r="H47" s="35"/>
      <c r="I47" s="36"/>
    </row>
    <row r="48" spans="2:10">
      <c r="B48" s="1830" t="s">
        <v>2298</v>
      </c>
      <c r="C48" s="1816"/>
      <c r="D48" s="63"/>
      <c r="E48" s="1218"/>
      <c r="F48" s="35"/>
      <c r="G48" s="35"/>
      <c r="H48" s="35"/>
      <c r="I48" s="36"/>
    </row>
    <row r="49" spans="2:9">
      <c r="B49" s="40" t="s">
        <v>2299</v>
      </c>
      <c r="C49" s="1816"/>
      <c r="D49" s="1831">
        <v>0.26</v>
      </c>
      <c r="E49" s="1832" t="s">
        <v>2300</v>
      </c>
      <c r="F49" s="35"/>
      <c r="G49" s="35"/>
      <c r="H49" s="35"/>
      <c r="I49" s="36"/>
    </row>
    <row r="50" spans="2:9">
      <c r="B50" s="40" t="s">
        <v>2301</v>
      </c>
      <c r="C50" s="1824"/>
      <c r="D50" s="35">
        <f>+D49*1.5</f>
        <v>0.39</v>
      </c>
      <c r="E50" s="35" t="s">
        <v>2302</v>
      </c>
      <c r="F50" s="35"/>
      <c r="G50" s="35"/>
      <c r="H50" s="35"/>
      <c r="I50" s="36"/>
    </row>
    <row r="51" spans="2:9">
      <c r="B51" s="40" t="s">
        <v>2303</v>
      </c>
      <c r="C51" s="1824"/>
      <c r="D51" s="1833">
        <v>9</v>
      </c>
      <c r="E51" s="1832"/>
      <c r="F51" s="35"/>
      <c r="G51" s="35"/>
      <c r="H51" s="35"/>
      <c r="I51" s="36"/>
    </row>
    <row r="52" spans="2:9">
      <c r="B52" s="40" t="s">
        <v>2304</v>
      </c>
      <c r="C52" s="1824"/>
      <c r="D52" s="1833">
        <v>9</v>
      </c>
      <c r="E52" s="1832"/>
      <c r="F52" s="1812"/>
      <c r="G52" s="35"/>
      <c r="H52" s="35"/>
      <c r="I52" s="36"/>
    </row>
    <row r="53" spans="2:9">
      <c r="B53" s="40" t="s">
        <v>2305</v>
      </c>
      <c r="C53" s="1824"/>
      <c r="D53" s="1834">
        <f>+D51+D52</f>
        <v>18</v>
      </c>
      <c r="E53" s="35"/>
      <c r="F53" s="1812"/>
      <c r="G53" s="35"/>
      <c r="H53" s="35"/>
      <c r="I53" s="36"/>
    </row>
    <row r="54" spans="2:9">
      <c r="B54" s="40" t="s">
        <v>838</v>
      </c>
      <c r="C54" s="1816"/>
      <c r="D54" s="1831">
        <v>60</v>
      </c>
      <c r="E54" s="1218" t="s">
        <v>2306</v>
      </c>
      <c r="F54" s="35"/>
      <c r="G54" s="35"/>
      <c r="H54" s="35"/>
      <c r="I54" s="36"/>
    </row>
    <row r="55" spans="2:9">
      <c r="B55" s="40" t="s">
        <v>839</v>
      </c>
      <c r="C55" s="1816"/>
      <c r="D55" s="1831" t="s">
        <v>1750</v>
      </c>
      <c r="E55" s="1218"/>
      <c r="F55" s="35"/>
      <c r="G55" s="35"/>
      <c r="H55" s="35"/>
      <c r="I55" s="36"/>
    </row>
    <row r="56" spans="2:9">
      <c r="B56" s="1224" t="s">
        <v>840</v>
      </c>
      <c r="C56" s="1816"/>
      <c r="D56" s="1835">
        <v>100</v>
      </c>
      <c r="E56" s="1218"/>
      <c r="F56" s="35"/>
      <c r="G56" s="35"/>
      <c r="H56" s="35"/>
      <c r="I56" s="36"/>
    </row>
    <row r="57" spans="2:9">
      <c r="B57" s="1224" t="s">
        <v>2307</v>
      </c>
      <c r="C57" s="1816"/>
      <c r="D57" s="1834">
        <f>+D56/D54*1.07</f>
        <v>1.7833333333333334</v>
      </c>
      <c r="E57" s="1218"/>
      <c r="F57" s="35"/>
      <c r="G57" s="35"/>
      <c r="H57" s="35"/>
      <c r="I57" s="36"/>
    </row>
    <row r="58" spans="2:9">
      <c r="B58" s="40" t="s">
        <v>2308</v>
      </c>
      <c r="C58" s="1816"/>
      <c r="D58" s="1834">
        <f>(+D57+D53)*D50</f>
        <v>7.7155000000000005</v>
      </c>
      <c r="E58" s="35" t="s">
        <v>2309</v>
      </c>
      <c r="F58" s="35"/>
      <c r="G58" s="35"/>
      <c r="H58" s="35"/>
      <c r="I58" s="36"/>
    </row>
    <row r="59" spans="2:9">
      <c r="B59" s="1224"/>
      <c r="C59" s="1816"/>
      <c r="D59" s="1835"/>
      <c r="E59" s="1218"/>
      <c r="F59" s="35"/>
      <c r="G59" s="35"/>
      <c r="H59" s="35"/>
      <c r="I59" s="36"/>
    </row>
    <row r="60" spans="2:9">
      <c r="B60" s="1830" t="s">
        <v>984</v>
      </c>
      <c r="C60" s="6"/>
      <c r="D60" s="1173"/>
      <c r="E60" s="35"/>
      <c r="F60" s="35"/>
      <c r="G60" s="35"/>
      <c r="H60" s="35"/>
      <c r="I60" s="36"/>
    </row>
    <row r="61" spans="2:9">
      <c r="B61" s="142" t="s">
        <v>2301</v>
      </c>
      <c r="C61" s="6"/>
      <c r="D61" s="1836">
        <v>1.8</v>
      </c>
      <c r="E61" s="1832" t="s">
        <v>2310</v>
      </c>
      <c r="F61" s="35"/>
      <c r="G61" s="35"/>
      <c r="H61" s="35"/>
      <c r="I61" s="36"/>
    </row>
    <row r="62" spans="2:9">
      <c r="B62" s="142" t="s">
        <v>2311</v>
      </c>
      <c r="C62" s="6"/>
      <c r="D62" s="1173">
        <f>2</f>
        <v>2</v>
      </c>
      <c r="E62" s="35"/>
      <c r="F62" s="1812"/>
      <c r="G62" s="35"/>
      <c r="H62" s="35"/>
      <c r="I62" s="36"/>
    </row>
    <row r="63" spans="2:9">
      <c r="B63" s="142" t="s">
        <v>2312</v>
      </c>
      <c r="C63" s="142"/>
      <c r="D63" s="1837">
        <f>+D61*D62</f>
        <v>3.6</v>
      </c>
      <c r="E63" s="35"/>
      <c r="F63" s="1812"/>
      <c r="G63" s="35"/>
      <c r="H63" s="35"/>
      <c r="I63" s="36"/>
    </row>
    <row r="64" spans="2:9">
      <c r="B64" s="142"/>
      <c r="C64" s="158"/>
      <c r="D64" s="1837"/>
      <c r="E64" s="35"/>
      <c r="F64" s="35"/>
      <c r="G64" s="35"/>
      <c r="H64" s="35"/>
      <c r="I64" s="36"/>
    </row>
    <row r="65" spans="2:17">
      <c r="B65" s="40" t="s">
        <v>2313</v>
      </c>
      <c r="C65" s="6"/>
      <c r="D65" s="1838">
        <f>+D63+D58</f>
        <v>11.3155</v>
      </c>
      <c r="E65" s="1221"/>
      <c r="F65" s="35"/>
      <c r="G65" s="35"/>
      <c r="H65" s="35"/>
      <c r="I65" s="36"/>
    </row>
    <row r="66" spans="2:17">
      <c r="B66" s="40"/>
      <c r="C66" s="6"/>
      <c r="D66" s="6"/>
      <c r="E66" s="1221"/>
      <c r="F66" s="35"/>
      <c r="G66" s="35"/>
      <c r="H66" s="35"/>
      <c r="I66" s="36"/>
    </row>
    <row r="67" spans="2:17">
      <c r="B67" s="40"/>
      <c r="C67" s="6"/>
      <c r="D67" s="6"/>
      <c r="E67" s="1221"/>
      <c r="F67" s="35"/>
      <c r="G67" s="35"/>
      <c r="H67" s="35"/>
      <c r="I67" s="36"/>
    </row>
    <row r="68" spans="2:17">
      <c r="B68" s="42" t="s">
        <v>2</v>
      </c>
      <c r="C68" s="35"/>
      <c r="D68" s="35"/>
      <c r="E68" s="35"/>
      <c r="F68" s="35"/>
      <c r="G68" s="35"/>
      <c r="H68" s="35"/>
      <c r="I68" s="48">
        <f>+D75</f>
        <v>2.8571428571428572</v>
      </c>
      <c r="M68" s="1222"/>
    </row>
    <row r="69" spans="2:17">
      <c r="B69" s="1220" t="s">
        <v>2314</v>
      </c>
      <c r="C69" s="35"/>
      <c r="D69" s="35"/>
      <c r="E69" s="35"/>
      <c r="F69" s="35"/>
      <c r="G69" s="35"/>
      <c r="H69" s="35"/>
      <c r="I69" s="48"/>
      <c r="M69" s="1222"/>
    </row>
    <row r="70" spans="2:17">
      <c r="B70" s="40" t="s">
        <v>838</v>
      </c>
      <c r="C70" s="6"/>
      <c r="D70" s="1231">
        <v>35</v>
      </c>
      <c r="E70" s="6"/>
      <c r="F70" s="35"/>
      <c r="G70" s="35"/>
      <c r="H70" s="35"/>
      <c r="I70" s="48"/>
      <c r="M70" s="1222"/>
    </row>
    <row r="71" spans="2:17">
      <c r="B71" s="40" t="s">
        <v>839</v>
      </c>
      <c r="C71" s="6"/>
      <c r="D71" s="1231" t="s">
        <v>833</v>
      </c>
      <c r="E71" s="6"/>
      <c r="F71" s="35"/>
      <c r="G71" s="35"/>
      <c r="H71" s="35"/>
      <c r="I71" s="48"/>
      <c r="M71" s="1222"/>
    </row>
    <row r="72" spans="2:17">
      <c r="B72" s="1224" t="s">
        <v>840</v>
      </c>
      <c r="C72" s="6"/>
      <c r="D72" s="1839">
        <v>100</v>
      </c>
      <c r="E72" s="6"/>
      <c r="F72" s="35"/>
      <c r="G72" s="35"/>
      <c r="H72" s="35"/>
      <c r="I72" s="48"/>
      <c r="M72" s="1222"/>
    </row>
    <row r="73" spans="2:17">
      <c r="B73" s="40" t="s">
        <v>841</v>
      </c>
      <c r="C73" s="6"/>
      <c r="D73" s="1207">
        <f>D72/D70</f>
        <v>2.8571428571428572</v>
      </c>
      <c r="E73" s="6"/>
      <c r="F73" s="1812"/>
      <c r="G73" s="35"/>
      <c r="H73" s="35"/>
      <c r="I73" s="48"/>
      <c r="M73" s="1222"/>
    </row>
    <row r="74" spans="2:17">
      <c r="B74" s="40" t="s">
        <v>2315</v>
      </c>
      <c r="C74" s="35"/>
      <c r="D74" s="1840">
        <v>1</v>
      </c>
      <c r="E74" s="35"/>
      <c r="F74" s="1812"/>
      <c r="G74" s="35"/>
      <c r="H74" s="35"/>
      <c r="I74" s="48"/>
      <c r="M74" s="1222"/>
    </row>
    <row r="75" spans="2:17">
      <c r="B75" s="1220" t="s">
        <v>2316</v>
      </c>
      <c r="C75" s="35"/>
      <c r="D75" s="1171">
        <f>+D74*D73</f>
        <v>2.8571428571428572</v>
      </c>
      <c r="E75" s="1229"/>
      <c r="F75" s="35"/>
      <c r="G75" s="35"/>
      <c r="H75" s="35"/>
      <c r="I75" s="48"/>
      <c r="M75" s="1222"/>
    </row>
    <row r="76" spans="2:17">
      <c r="B76" s="1220"/>
      <c r="C76" s="35"/>
      <c r="D76" s="1228"/>
      <c r="E76" s="35"/>
      <c r="F76" s="35"/>
      <c r="G76" s="35"/>
      <c r="H76" s="35"/>
      <c r="I76" s="48"/>
      <c r="M76" s="1222"/>
    </row>
    <row r="77" spans="2:17">
      <c r="B77" s="42" t="s">
        <v>3</v>
      </c>
      <c r="C77" s="35"/>
      <c r="D77" s="35"/>
      <c r="E77" s="35"/>
      <c r="F77" s="35"/>
      <c r="G77" s="35"/>
      <c r="H77" s="35"/>
      <c r="I77" s="48">
        <v>0</v>
      </c>
    </row>
    <row r="78" spans="2:17">
      <c r="B78" s="1220" t="s">
        <v>2314</v>
      </c>
      <c r="C78" s="35"/>
      <c r="D78" s="35"/>
      <c r="E78" s="35"/>
      <c r="F78" s="35"/>
      <c r="G78" s="35"/>
      <c r="H78" s="35"/>
      <c r="I78" s="48"/>
      <c r="Q78" s="79"/>
    </row>
    <row r="79" spans="2:17">
      <c r="B79" s="40" t="s">
        <v>844</v>
      </c>
      <c r="C79" s="6"/>
      <c r="D79" s="6"/>
      <c r="E79" s="6"/>
      <c r="F79" s="1231"/>
      <c r="G79" s="35"/>
      <c r="H79" s="35"/>
      <c r="I79" s="48"/>
      <c r="Q79" s="79"/>
    </row>
    <row r="80" spans="2:17">
      <c r="B80" s="33"/>
      <c r="C80" s="35"/>
      <c r="D80" s="35"/>
      <c r="E80" s="35"/>
      <c r="F80" s="35"/>
      <c r="G80" s="35"/>
      <c r="H80" s="35"/>
      <c r="I80" s="36"/>
    </row>
    <row r="81" spans="2:11">
      <c r="B81" s="33"/>
      <c r="C81" s="35"/>
      <c r="D81" s="35"/>
      <c r="E81" s="35"/>
      <c r="F81" s="2209"/>
      <c r="G81" s="2209"/>
      <c r="H81" s="2209"/>
      <c r="I81" s="36"/>
    </row>
    <row r="82" spans="2:11">
      <c r="B82" s="33"/>
      <c r="C82" s="35"/>
      <c r="D82" s="35"/>
      <c r="E82" s="35"/>
      <c r="F82" s="2209"/>
      <c r="G82" s="2209"/>
      <c r="H82" s="2209"/>
      <c r="I82" s="36"/>
    </row>
    <row r="83" spans="2:11">
      <c r="B83" s="33"/>
      <c r="C83" s="35"/>
      <c r="D83" s="35"/>
      <c r="E83" s="35"/>
      <c r="F83" s="35"/>
      <c r="G83" s="35"/>
      <c r="H83" s="35"/>
      <c r="I83" s="36"/>
    </row>
    <row r="84" spans="2:11">
      <c r="B84" s="42" t="s">
        <v>4</v>
      </c>
      <c r="C84" s="35"/>
      <c r="D84" s="35"/>
      <c r="E84" s="35"/>
      <c r="F84" s="35"/>
      <c r="G84" s="35"/>
      <c r="H84" s="35"/>
      <c r="I84" s="48">
        <f>0.05*(I46+I68+I77)</f>
        <v>0.71146101785714289</v>
      </c>
    </row>
    <row r="85" spans="2:11">
      <c r="B85" s="33" t="s">
        <v>845</v>
      </c>
      <c r="C85" s="35"/>
      <c r="D85" s="35"/>
      <c r="E85" s="35"/>
      <c r="F85" s="35"/>
      <c r="G85" s="35"/>
      <c r="H85" s="35"/>
      <c r="I85" s="36"/>
    </row>
    <row r="86" spans="2:11">
      <c r="B86" s="37"/>
      <c r="C86" s="35"/>
      <c r="D86" s="35"/>
      <c r="E86" s="35"/>
      <c r="F86" s="35"/>
      <c r="G86" s="35"/>
      <c r="H86" s="35"/>
      <c r="I86" s="36"/>
    </row>
    <row r="87" spans="2:11">
      <c r="B87" s="42" t="s">
        <v>26</v>
      </c>
      <c r="C87" s="35"/>
      <c r="D87" s="35"/>
      <c r="E87" s="35"/>
      <c r="F87" s="35"/>
      <c r="G87" s="35"/>
      <c r="H87" s="35"/>
      <c r="I87" s="48">
        <f>0.03*(I46+I68+I77)</f>
        <v>0.42687661071428568</v>
      </c>
    </row>
    <row r="88" spans="2:11">
      <c r="B88" s="33" t="s">
        <v>2283</v>
      </c>
      <c r="C88" s="35"/>
      <c r="D88" s="35"/>
      <c r="E88" s="35"/>
      <c r="F88" s="35"/>
      <c r="G88" s="35"/>
      <c r="H88" s="35"/>
      <c r="I88" s="36"/>
    </row>
    <row r="89" spans="2:11">
      <c r="B89" s="37"/>
      <c r="C89" s="35"/>
      <c r="D89" s="35"/>
      <c r="E89" s="35"/>
      <c r="F89" s="35"/>
      <c r="G89" s="35"/>
      <c r="H89" s="35"/>
      <c r="I89" s="36"/>
    </row>
    <row r="90" spans="2:11">
      <c r="B90" s="42" t="s">
        <v>7</v>
      </c>
      <c r="C90" s="35"/>
      <c r="D90" s="35"/>
      <c r="E90" s="35"/>
      <c r="F90" s="35"/>
      <c r="G90" s="35"/>
      <c r="H90" s="35"/>
      <c r="I90" s="46">
        <v>0</v>
      </c>
    </row>
    <row r="91" spans="2:11">
      <c r="B91" s="33" t="s">
        <v>104</v>
      </c>
      <c r="C91" s="35"/>
      <c r="D91" s="35"/>
      <c r="E91" s="35"/>
      <c r="F91" s="35"/>
      <c r="G91" s="35"/>
      <c r="H91" s="35"/>
      <c r="I91" s="36"/>
    </row>
    <row r="92" spans="2:11">
      <c r="B92" s="37"/>
      <c r="C92" s="35"/>
      <c r="D92" s="35"/>
      <c r="E92" s="35"/>
      <c r="F92" s="35"/>
      <c r="G92" s="35"/>
      <c r="H92" s="35"/>
      <c r="I92" s="36"/>
    </row>
    <row r="93" spans="2:11">
      <c r="B93" s="42" t="s">
        <v>27</v>
      </c>
      <c r="C93" s="35"/>
      <c r="D93" s="35"/>
      <c r="E93" s="35"/>
      <c r="F93" s="35"/>
      <c r="G93" s="35"/>
      <c r="H93" s="35"/>
      <c r="I93" s="46">
        <v>0</v>
      </c>
      <c r="K93" s="1217"/>
    </row>
    <row r="94" spans="2:11">
      <c r="B94" s="33" t="s">
        <v>848</v>
      </c>
      <c r="C94" s="35"/>
      <c r="D94" s="35"/>
      <c r="E94" s="35"/>
      <c r="F94" s="35"/>
      <c r="G94" s="35"/>
      <c r="H94" s="35"/>
      <c r="I94" s="47"/>
    </row>
    <row r="95" spans="2:11">
      <c r="B95" s="33"/>
      <c r="C95" s="35"/>
      <c r="D95" s="35"/>
      <c r="E95" s="35"/>
      <c r="F95" s="35"/>
      <c r="G95" s="35"/>
      <c r="H95" s="35"/>
      <c r="I95" s="47"/>
    </row>
    <row r="96" spans="2:11">
      <c r="B96" s="42" t="s">
        <v>5</v>
      </c>
      <c r="C96" s="35"/>
      <c r="D96" s="35"/>
      <c r="E96" s="35"/>
      <c r="F96" s="35"/>
      <c r="G96" s="35"/>
      <c r="H96" s="35"/>
      <c r="I96" s="46">
        <v>0</v>
      </c>
    </row>
    <row r="97" spans="2:9">
      <c r="B97" s="33" t="s">
        <v>2317</v>
      </c>
      <c r="C97" s="35"/>
      <c r="D97" s="35"/>
      <c r="E97" s="35"/>
      <c r="F97" s="35"/>
      <c r="G97" s="35"/>
      <c r="H97" s="35"/>
      <c r="I97" s="47"/>
    </row>
    <row r="98" spans="2:9">
      <c r="B98" s="37"/>
      <c r="C98" s="35"/>
      <c r="D98" s="35"/>
      <c r="E98" s="35"/>
      <c r="F98" s="35"/>
      <c r="G98" s="35"/>
      <c r="H98" s="35"/>
      <c r="I98" s="36"/>
    </row>
    <row r="99" spans="2:9">
      <c r="B99" s="42" t="s">
        <v>20</v>
      </c>
      <c r="C99" s="35"/>
      <c r="D99" s="35"/>
      <c r="E99" s="35"/>
      <c r="F99" s="35"/>
      <c r="G99" s="35"/>
      <c r="H99" s="35"/>
      <c r="I99" s="46">
        <v>0</v>
      </c>
    </row>
    <row r="100" spans="2:9">
      <c r="B100" s="33" t="s">
        <v>104</v>
      </c>
      <c r="C100" s="35"/>
      <c r="D100" s="35"/>
      <c r="E100" s="35"/>
      <c r="F100" s="35"/>
      <c r="G100" s="35"/>
      <c r="H100" s="35"/>
      <c r="I100" s="36"/>
    </row>
    <row r="101" spans="2:9">
      <c r="B101" s="40"/>
      <c r="C101" s="35"/>
      <c r="D101" s="35"/>
      <c r="E101" s="35"/>
      <c r="F101" s="35"/>
      <c r="G101" s="35"/>
      <c r="H101" s="35"/>
      <c r="I101" s="36"/>
    </row>
    <row r="102" spans="2:9">
      <c r="B102" s="43" t="s">
        <v>11</v>
      </c>
      <c r="C102" s="44"/>
      <c r="D102" s="44"/>
      <c r="E102" s="44"/>
      <c r="F102" s="44"/>
      <c r="G102" s="44"/>
      <c r="H102" s="44"/>
      <c r="I102" s="52">
        <f>+I99+I96+I93+I90+I87+I84+I77+I68+I46</f>
        <v>15.367557985714285</v>
      </c>
    </row>
    <row r="104" spans="2:9">
      <c r="B104" s="2" t="s">
        <v>638</v>
      </c>
    </row>
    <row r="105" spans="2:9">
      <c r="B105" s="2" t="s">
        <v>2318</v>
      </c>
    </row>
    <row r="148" spans="5:5">
      <c r="E148" s="57"/>
    </row>
    <row r="149" spans="5:5">
      <c r="E149" s="57"/>
    </row>
    <row r="150" spans="5:5">
      <c r="E150" s="57"/>
    </row>
    <row r="151" spans="5:5">
      <c r="E151" s="57"/>
    </row>
    <row r="152" spans="5:5">
      <c r="E152" s="57"/>
    </row>
    <row r="153" spans="5:5">
      <c r="E153" s="57"/>
    </row>
    <row r="154" spans="5:5">
      <c r="E154" s="57"/>
    </row>
    <row r="156" spans="5:5">
      <c r="E156" s="57"/>
    </row>
    <row r="158" spans="5:5">
      <c r="E158" s="56"/>
    </row>
    <row r="160" spans="5:5">
      <c r="E160" s="57"/>
    </row>
  </sheetData>
  <mergeCells count="2">
    <mergeCell ref="B38:I38"/>
    <mergeCell ref="F81:H82"/>
  </mergeCells>
  <dataValidations count="1">
    <dataValidation type="textLength" operator="lessThanOrEqual" allowBlank="1" showInputMessage="1" showErrorMessage="1" sqref="B38:I38">
      <formula1>255</formula1>
    </dataValidation>
  </dataValidations>
  <pageMargins left="0.75" right="0.75" top="0.5" bottom="0.75" header="0.5" footer="0.5"/>
  <pageSetup scale="71" orientation="portrait" r:id="rId1"/>
  <headerFooter alignWithMargins="0">
    <oddFooter>&amp;LPage &amp;P of &amp;N&amp;R&amp;F</oddFooter>
  </headerFooter>
</worksheet>
</file>

<file path=xl/worksheets/sheet175.xml><?xml version="1.0" encoding="utf-8"?>
<worksheet xmlns="http://schemas.openxmlformats.org/spreadsheetml/2006/main" xmlns:r="http://schemas.openxmlformats.org/officeDocument/2006/relationships">
  <sheetPr>
    <pageSetUpPr fitToPage="1"/>
  </sheetPr>
  <dimension ref="A1:H106"/>
  <sheetViews>
    <sheetView zoomScale="90" zoomScaleNormal="90" workbookViewId="0">
      <selection activeCell="G22" sqref="G22"/>
    </sheetView>
  </sheetViews>
  <sheetFormatPr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16384" width="9.140625" style="2"/>
  </cols>
  <sheetData>
    <row r="1" spans="1:7" ht="18.75">
      <c r="A1" s="449" t="s">
        <v>373</v>
      </c>
    </row>
    <row r="3" spans="1:7" ht="15.75">
      <c r="A3" s="450" t="s">
        <v>374</v>
      </c>
      <c r="B3" s="451"/>
      <c r="C3" s="451"/>
    </row>
    <row r="4" spans="1:7" ht="15">
      <c r="A4" s="452" t="s">
        <v>375</v>
      </c>
      <c r="B4" s="452" t="s">
        <v>376</v>
      </c>
      <c r="C4" s="453" t="s">
        <v>377</v>
      </c>
      <c r="D4" s="82"/>
      <c r="E4" s="82"/>
      <c r="F4" s="82"/>
      <c r="G4" s="82"/>
    </row>
    <row r="5" spans="1:7" ht="15">
      <c r="A5" s="454" t="s">
        <v>1</v>
      </c>
      <c r="B5" s="454" t="s">
        <v>77</v>
      </c>
      <c r="C5" s="455" t="s">
        <v>378</v>
      </c>
      <c r="D5" s="456"/>
      <c r="E5" s="457"/>
      <c r="F5" s="458"/>
      <c r="G5" s="458"/>
    </row>
    <row r="6" spans="1:7" ht="15">
      <c r="A6" s="454" t="s">
        <v>1</v>
      </c>
      <c r="B6" s="454" t="s">
        <v>379</v>
      </c>
      <c r="C6" s="459" t="s">
        <v>975</v>
      </c>
      <c r="D6" s="456"/>
      <c r="E6" s="457"/>
      <c r="F6" s="458"/>
      <c r="G6" s="458"/>
    </row>
    <row r="7" spans="1:7" ht="15">
      <c r="A7" s="454" t="s">
        <v>1</v>
      </c>
      <c r="B7" s="454" t="s">
        <v>381</v>
      </c>
      <c r="C7" s="459">
        <v>10</v>
      </c>
      <c r="D7" s="456"/>
      <c r="E7" s="457"/>
      <c r="F7" s="458"/>
      <c r="G7" s="458"/>
    </row>
    <row r="8" spans="1:7" ht="15">
      <c r="A8" s="454" t="s">
        <v>382</v>
      </c>
      <c r="B8" s="454" t="s">
        <v>383</v>
      </c>
      <c r="C8" s="460" t="s">
        <v>976</v>
      </c>
      <c r="D8" s="461"/>
      <c r="E8" s="457"/>
      <c r="F8" s="457"/>
      <c r="G8" s="461"/>
    </row>
    <row r="9" spans="1:7" ht="50.25" customHeight="1">
      <c r="A9" s="454" t="s">
        <v>382</v>
      </c>
      <c r="B9" s="454" t="s">
        <v>385</v>
      </c>
      <c r="C9" s="2009" t="s">
        <v>977</v>
      </c>
      <c r="D9" s="2010"/>
      <c r="E9" s="2010"/>
      <c r="F9" s="2010"/>
      <c r="G9" s="2011"/>
    </row>
    <row r="10" spans="1:7" ht="36.75" customHeight="1">
      <c r="A10" s="454" t="s">
        <v>382</v>
      </c>
      <c r="B10" s="454" t="s">
        <v>387</v>
      </c>
      <c r="C10" s="2009" t="s">
        <v>978</v>
      </c>
      <c r="D10" s="2010"/>
      <c r="E10" s="2010"/>
      <c r="F10" s="2010"/>
      <c r="G10" s="2011"/>
    </row>
    <row r="11" spans="1:7" ht="69" customHeight="1">
      <c r="A11" s="454" t="s">
        <v>382</v>
      </c>
      <c r="B11" s="454" t="s">
        <v>389</v>
      </c>
      <c r="C11" s="2009" t="s">
        <v>979</v>
      </c>
      <c r="D11" s="2010"/>
      <c r="E11" s="2010"/>
      <c r="F11" s="2010"/>
      <c r="G11" s="2011"/>
    </row>
    <row r="12" spans="1:7" ht="15" customHeight="1">
      <c r="A12" s="454" t="s">
        <v>382</v>
      </c>
      <c r="B12" s="454" t="s">
        <v>391</v>
      </c>
      <c r="C12" s="2009" t="s">
        <v>980</v>
      </c>
      <c r="D12" s="2010"/>
      <c r="E12" s="2010"/>
      <c r="F12" s="2010"/>
      <c r="G12" s="2011"/>
    </row>
    <row r="13" spans="1:7" ht="15">
      <c r="A13" s="454" t="s">
        <v>382</v>
      </c>
      <c r="B13" s="454" t="s">
        <v>393</v>
      </c>
      <c r="C13" s="455" t="s">
        <v>981</v>
      </c>
      <c r="D13" s="456"/>
      <c r="E13" s="457"/>
      <c r="F13" s="457"/>
      <c r="G13" s="456"/>
    </row>
    <row r="14" spans="1:7" ht="15">
      <c r="A14" s="454" t="s">
        <v>382</v>
      </c>
      <c r="B14" s="454" t="s">
        <v>395</v>
      </c>
      <c r="C14" s="459">
        <v>576</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598.08211970477635</v>
      </c>
      <c r="C18" s="466">
        <f>B18/C$14</f>
        <v>1.0383370133763479</v>
      </c>
      <c r="D18" s="49"/>
      <c r="E18" s="89"/>
      <c r="F18" s="89"/>
      <c r="G18" s="49"/>
    </row>
    <row r="19" spans="1:8" ht="15">
      <c r="A19" s="454" t="s">
        <v>2</v>
      </c>
      <c r="B19" s="465">
        <f>SUM(H34:H36)</f>
        <v>187.04999999999998</v>
      </c>
      <c r="C19" s="466">
        <f t="shared" ref="C19:C27" si="0">B19/C$14</f>
        <v>0.3247395833333333</v>
      </c>
      <c r="D19" s="49"/>
      <c r="E19" s="89"/>
      <c r="F19" s="89"/>
      <c r="G19" s="49"/>
    </row>
    <row r="20" spans="1:8" ht="15">
      <c r="A20" s="454" t="s">
        <v>3</v>
      </c>
      <c r="B20" s="465">
        <f>SUM(H37:H39)</f>
        <v>113.14999999999999</v>
      </c>
      <c r="C20" s="466">
        <f t="shared" si="0"/>
        <v>0.1964409722222222</v>
      </c>
      <c r="D20" s="49"/>
      <c r="E20" s="89"/>
      <c r="F20" s="89"/>
      <c r="G20" s="49"/>
    </row>
    <row r="21" spans="1:8" ht="15">
      <c r="A21" s="454" t="s">
        <v>4</v>
      </c>
      <c r="B21" s="465">
        <f>H40</f>
        <v>41.95</v>
      </c>
      <c r="C21" s="466">
        <f t="shared" si="0"/>
        <v>7.2829861111111116E-2</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940.23211970477632</v>
      </c>
      <c r="C27" s="466">
        <f t="shared" si="0"/>
        <v>1.6323474300430145</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46</v>
      </c>
      <c r="C31" s="470" t="s">
        <v>982</v>
      </c>
      <c r="D31" s="471" t="s">
        <v>983</v>
      </c>
      <c r="E31" s="471" t="s">
        <v>949</v>
      </c>
      <c r="F31" s="472">
        <v>32.33</v>
      </c>
      <c r="G31" s="486">
        <v>14</v>
      </c>
      <c r="H31" s="474">
        <f>IF(G31&lt;=0, 0, F31*G31)</f>
        <v>452.62</v>
      </c>
    </row>
    <row r="32" spans="1:8" ht="15">
      <c r="A32" s="454" t="s">
        <v>0</v>
      </c>
      <c r="B32" s="470">
        <v>42</v>
      </c>
      <c r="C32" s="470" t="s">
        <v>984</v>
      </c>
      <c r="D32" s="471" t="s">
        <v>985</v>
      </c>
      <c r="E32" s="471" t="s">
        <v>986</v>
      </c>
      <c r="F32" s="472">
        <v>2.2728456203871299</v>
      </c>
      <c r="G32" s="486">
        <v>64</v>
      </c>
      <c r="H32" s="474">
        <f t="shared" ref="H32:H49" si="1">IF(G32&lt;=0, 0, F32*G32)</f>
        <v>145.46211970477631</v>
      </c>
    </row>
    <row r="33" spans="1:8" ht="15">
      <c r="A33" s="454" t="s">
        <v>0</v>
      </c>
      <c r="B33" s="470"/>
      <c r="C33" s="470"/>
      <c r="D33" s="471" t="s">
        <v>627</v>
      </c>
      <c r="E33" s="471"/>
      <c r="F33" s="472"/>
      <c r="G33" s="486"/>
      <c r="H33" s="474">
        <f t="shared" si="1"/>
        <v>0</v>
      </c>
    </row>
    <row r="34" spans="1:8" ht="15">
      <c r="A34" s="454" t="s">
        <v>2</v>
      </c>
      <c r="B34" s="470">
        <v>933</v>
      </c>
      <c r="C34" s="470" t="s">
        <v>987</v>
      </c>
      <c r="D34" s="471"/>
      <c r="E34" s="1201" t="s">
        <v>411</v>
      </c>
      <c r="F34" s="472">
        <v>37.409999999999997</v>
      </c>
      <c r="G34" s="486">
        <v>5</v>
      </c>
      <c r="H34" s="474">
        <f t="shared" si="1"/>
        <v>187.04999999999998</v>
      </c>
    </row>
    <row r="35" spans="1:8" ht="15">
      <c r="A35" s="454" t="s">
        <v>2</v>
      </c>
      <c r="B35" s="470"/>
      <c r="C35" s="470"/>
      <c r="D35" s="471"/>
      <c r="E35" s="471"/>
      <c r="F35" s="472"/>
      <c r="G35" s="486"/>
      <c r="H35" s="474">
        <f t="shared" si="1"/>
        <v>0</v>
      </c>
    </row>
    <row r="36" spans="1:8" ht="15">
      <c r="A36" s="454" t="s">
        <v>2</v>
      </c>
      <c r="B36" s="470"/>
      <c r="C36" s="470"/>
      <c r="D36" s="471"/>
      <c r="E36" s="471"/>
      <c r="F36" s="472"/>
      <c r="G36" s="486"/>
      <c r="H36" s="474">
        <f t="shared" si="1"/>
        <v>0</v>
      </c>
    </row>
    <row r="37" spans="1:8" ht="15">
      <c r="A37" s="454" t="s">
        <v>3</v>
      </c>
      <c r="B37" s="470">
        <v>232</v>
      </c>
      <c r="C37" s="470" t="s">
        <v>988</v>
      </c>
      <c r="D37" s="471"/>
      <c r="E37" s="471" t="s">
        <v>411</v>
      </c>
      <c r="F37" s="472">
        <v>22.63</v>
      </c>
      <c r="G37" s="486">
        <v>5</v>
      </c>
      <c r="H37" s="474">
        <f t="shared" si="1"/>
        <v>113.14999999999999</v>
      </c>
    </row>
    <row r="38" spans="1:8" ht="15">
      <c r="A38" s="454" t="s">
        <v>3</v>
      </c>
      <c r="B38" s="470"/>
      <c r="C38" s="470"/>
      <c r="D38" s="471"/>
      <c r="E38" s="471"/>
      <c r="F38" s="472"/>
      <c r="G38" s="486"/>
      <c r="H38" s="474">
        <f t="shared" si="1"/>
        <v>0</v>
      </c>
    </row>
    <row r="39" spans="1:8" ht="15">
      <c r="A39" s="454" t="s">
        <v>3</v>
      </c>
      <c r="B39" s="470"/>
      <c r="C39" s="470"/>
      <c r="D39" s="471"/>
      <c r="E39" s="471"/>
      <c r="F39" s="472"/>
      <c r="G39" s="486"/>
      <c r="H39" s="474">
        <f t="shared" si="1"/>
        <v>0</v>
      </c>
    </row>
    <row r="40" spans="1:8" ht="15">
      <c r="A40" s="454" t="s">
        <v>4</v>
      </c>
      <c r="B40" s="470">
        <v>1043</v>
      </c>
      <c r="C40" s="470" t="s">
        <v>4</v>
      </c>
      <c r="D40" s="471" t="s">
        <v>4</v>
      </c>
      <c r="E40" s="471" t="s">
        <v>418</v>
      </c>
      <c r="F40" s="481">
        <v>0.05</v>
      </c>
      <c r="G40" s="486">
        <v>839</v>
      </c>
      <c r="H40" s="474">
        <f t="shared" si="1"/>
        <v>41.95</v>
      </c>
    </row>
    <row r="41" spans="1:8" ht="16.5" customHeight="1">
      <c r="A41" s="454" t="s">
        <v>419</v>
      </c>
      <c r="B41" s="470"/>
      <c r="C41" s="470"/>
      <c r="D41" s="471"/>
      <c r="E41" s="471"/>
      <c r="F41" s="481"/>
      <c r="G41" s="482"/>
      <c r="H41" s="474">
        <f t="shared" si="1"/>
        <v>0</v>
      </c>
    </row>
    <row r="42" spans="1:8" ht="15">
      <c r="A42" s="454" t="s">
        <v>7</v>
      </c>
      <c r="B42" s="470"/>
      <c r="C42" s="470"/>
      <c r="D42" s="471"/>
      <c r="E42" s="471"/>
      <c r="F42" s="472"/>
      <c r="G42" s="482"/>
      <c r="H42" s="474">
        <f t="shared" si="1"/>
        <v>0</v>
      </c>
    </row>
    <row r="43" spans="1:8" ht="15">
      <c r="A43" s="454" t="s">
        <v>7</v>
      </c>
      <c r="B43" s="470"/>
      <c r="C43" s="470"/>
      <c r="D43" s="471"/>
      <c r="E43" s="471"/>
      <c r="F43" s="472"/>
      <c r="G43" s="482"/>
      <c r="H43" s="474">
        <f t="shared" si="1"/>
        <v>0</v>
      </c>
    </row>
    <row r="44" spans="1:8" ht="15">
      <c r="A44" s="454" t="s">
        <v>7</v>
      </c>
      <c r="B44" s="470"/>
      <c r="C44" s="470"/>
      <c r="D44" s="471"/>
      <c r="E44" s="471"/>
      <c r="F44" s="472"/>
      <c r="G44" s="482"/>
      <c r="H44" s="474">
        <f t="shared" si="1"/>
        <v>0</v>
      </c>
    </row>
    <row r="45" spans="1:8" ht="15">
      <c r="A45" s="454" t="s">
        <v>421</v>
      </c>
      <c r="B45" s="470"/>
      <c r="C45" s="470"/>
      <c r="D45" s="471"/>
      <c r="E45" s="471"/>
      <c r="F45" s="472"/>
      <c r="G45" s="482"/>
      <c r="H45" s="474">
        <f t="shared" si="1"/>
        <v>0</v>
      </c>
    </row>
    <row r="46" spans="1:8" ht="15">
      <c r="A46" s="454" t="s">
        <v>421</v>
      </c>
      <c r="B46" s="470"/>
      <c r="C46" s="470"/>
      <c r="D46" s="471"/>
      <c r="E46" s="471"/>
      <c r="F46" s="472"/>
      <c r="G46" s="482"/>
      <c r="H46" s="474">
        <f t="shared" si="1"/>
        <v>0</v>
      </c>
    </row>
    <row r="47" spans="1:8" ht="15">
      <c r="A47" s="454" t="s">
        <v>421</v>
      </c>
      <c r="B47" s="470"/>
      <c r="C47" s="470"/>
      <c r="D47" s="471"/>
      <c r="E47" s="471"/>
      <c r="F47" s="472"/>
      <c r="G47" s="482"/>
      <c r="H47" s="474">
        <f t="shared" si="1"/>
        <v>0</v>
      </c>
    </row>
    <row r="48" spans="1:8" ht="15">
      <c r="A48" s="454" t="s">
        <v>5</v>
      </c>
      <c r="B48" s="470"/>
      <c r="C48" s="470"/>
      <c r="D48" s="471"/>
      <c r="E48" s="471"/>
      <c r="F48" s="472"/>
      <c r="G48" s="482"/>
      <c r="H48" s="474">
        <f t="shared" si="1"/>
        <v>0</v>
      </c>
    </row>
    <row r="49" spans="1:8" ht="15">
      <c r="A49" s="454" t="s">
        <v>20</v>
      </c>
      <c r="B49" s="470"/>
      <c r="C49" s="470"/>
      <c r="D49" s="471"/>
      <c r="E49" s="471"/>
      <c r="F49" s="472"/>
      <c r="G49" s="482"/>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ageMargins left="0.7" right="0.7" top="0.75" bottom="0.75" header="0.3" footer="0.3"/>
  <pageSetup scale="59" orientation="portrait" horizontalDpi="1200" verticalDpi="1200" r:id="rId1"/>
</worksheet>
</file>

<file path=xl/worksheets/sheet176.xml><?xml version="1.0" encoding="utf-8"?>
<worksheet xmlns="http://schemas.openxmlformats.org/spreadsheetml/2006/main" xmlns:r="http://schemas.openxmlformats.org/officeDocument/2006/relationships">
  <dimension ref="A1:L81"/>
  <sheetViews>
    <sheetView zoomScale="75" zoomScaleNormal="75" workbookViewId="0">
      <selection activeCell="D6" sqref="D6"/>
    </sheetView>
  </sheetViews>
  <sheetFormatPr defaultRowHeight="12.75"/>
  <cols>
    <col min="1" max="1" width="1.85546875" customWidth="1"/>
    <col min="3" max="3" width="24.140625" customWidth="1"/>
    <col min="4" max="4" width="35" customWidth="1"/>
    <col min="5" max="5" width="39.85546875" bestFit="1" customWidth="1"/>
    <col min="6" max="6" width="10.42578125" customWidth="1"/>
    <col min="9" max="9" width="13.140625" customWidth="1"/>
    <col min="10" max="10" width="10.85546875" customWidth="1"/>
    <col min="11" max="11" width="12"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574</v>
      </c>
      <c r="C6" s="7" t="str">
        <f>+E12</f>
        <v>EQIP</v>
      </c>
      <c r="D6" s="110" t="s">
        <v>2319</v>
      </c>
      <c r="E6" s="110" t="s">
        <v>2320</v>
      </c>
      <c r="F6" s="7" t="s">
        <v>712</v>
      </c>
      <c r="G6" s="85">
        <f>+I25</f>
        <v>1178.0980349999998</v>
      </c>
    </row>
    <row r="7" spans="1:12" ht="25.5">
      <c r="A7" s="2"/>
      <c r="B7" s="54">
        <f>+B6</f>
        <v>574</v>
      </c>
      <c r="C7" s="7" t="str">
        <f>+C6</f>
        <v>EQIP</v>
      </c>
      <c r="D7" s="110" t="s">
        <v>2319</v>
      </c>
      <c r="E7" s="110" t="str">
        <f>CONCATENATE(E6, "-HU")</f>
        <v>Spring Development - with concrete cutoff wall-HU</v>
      </c>
      <c r="F7" s="7" t="str">
        <f>+F6</f>
        <v>Each</v>
      </c>
      <c r="G7" s="85">
        <f>+J25</f>
        <v>1413.7176419999998</v>
      </c>
    </row>
    <row r="8" spans="1:12">
      <c r="A8" s="2"/>
      <c r="B8" s="54">
        <v>574</v>
      </c>
      <c r="C8" s="7" t="str">
        <f>+G12</f>
        <v>WHIP</v>
      </c>
      <c r="D8" s="110" t="s">
        <v>2319</v>
      </c>
      <c r="E8" s="110" t="s">
        <v>2320</v>
      </c>
      <c r="F8" s="7" t="s">
        <v>712</v>
      </c>
      <c r="G8" s="85">
        <f>+K25</f>
        <v>1178.0980349999998</v>
      </c>
    </row>
    <row r="9" spans="1:12" ht="25.5">
      <c r="A9" s="2"/>
      <c r="B9" s="8">
        <f>+B8</f>
        <v>574</v>
      </c>
      <c r="C9" s="10" t="str">
        <f>+C8</f>
        <v>WHIP</v>
      </c>
      <c r="D9" s="111" t="s">
        <v>2319</v>
      </c>
      <c r="E9" s="111" t="str">
        <f>CONCATENATE(E6, "-HU")</f>
        <v>Spring Development - with concrete cutoff wall-HU</v>
      </c>
      <c r="F9" s="10" t="str">
        <f>+F8</f>
        <v>Each</v>
      </c>
      <c r="G9" s="86">
        <f>+L25</f>
        <v>1413.7176419999998</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0</v>
      </c>
      <c r="E16" s="160">
        <f>+'[10]Payment Factors'!D34</f>
        <v>0.75</v>
      </c>
      <c r="F16" s="160">
        <f>+'[10]Payment Factors'!E34</f>
        <v>0.9</v>
      </c>
      <c r="G16" s="160">
        <f>+'[10]Payment Factors'!F34</f>
        <v>0.75</v>
      </c>
      <c r="H16" s="160">
        <f>+'[10]Payment Factors'!G34</f>
        <v>0.9</v>
      </c>
      <c r="I16" s="1154">
        <f t="shared" ref="I16:L24" si="0">+$D16*E16</f>
        <v>0</v>
      </c>
      <c r="J16" s="1154">
        <f t="shared" si="0"/>
        <v>0</v>
      </c>
      <c r="K16" s="1154">
        <f t="shared" si="0"/>
        <v>0</v>
      </c>
      <c r="L16" s="1155">
        <f t="shared" si="0"/>
        <v>0</v>
      </c>
    </row>
    <row r="17" spans="1:12">
      <c r="A17" s="2"/>
      <c r="B17" s="15" t="s">
        <v>2</v>
      </c>
      <c r="C17" s="16"/>
      <c r="D17" s="24">
        <f>+I43</f>
        <v>1296.2890999999997</v>
      </c>
      <c r="E17" s="160">
        <f t="shared" ref="E17:H19" si="1">+E16</f>
        <v>0.75</v>
      </c>
      <c r="F17" s="160">
        <f t="shared" si="1"/>
        <v>0.9</v>
      </c>
      <c r="G17" s="160">
        <f t="shared" si="1"/>
        <v>0.75</v>
      </c>
      <c r="H17" s="160">
        <f t="shared" si="1"/>
        <v>0.9</v>
      </c>
      <c r="I17" s="1154">
        <f t="shared" si="0"/>
        <v>972.21682499999974</v>
      </c>
      <c r="J17" s="1154">
        <f t="shared" si="0"/>
        <v>1166.6601899999998</v>
      </c>
      <c r="K17" s="1154">
        <f t="shared" si="0"/>
        <v>972.21682499999974</v>
      </c>
      <c r="L17" s="1155">
        <f t="shared" si="0"/>
        <v>1166.6601899999998</v>
      </c>
    </row>
    <row r="18" spans="1:12">
      <c r="A18" s="2"/>
      <c r="B18" s="15" t="s">
        <v>3</v>
      </c>
      <c r="C18" s="16"/>
      <c r="D18" s="24">
        <f>+I55</f>
        <v>228.75689999999997</v>
      </c>
      <c r="E18" s="160">
        <f t="shared" si="1"/>
        <v>0.75</v>
      </c>
      <c r="F18" s="160">
        <f t="shared" si="1"/>
        <v>0.9</v>
      </c>
      <c r="G18" s="160">
        <f t="shared" si="1"/>
        <v>0.75</v>
      </c>
      <c r="H18" s="160">
        <f t="shared" si="1"/>
        <v>0.9</v>
      </c>
      <c r="I18" s="1154">
        <f t="shared" si="0"/>
        <v>171.56767499999998</v>
      </c>
      <c r="J18" s="1154">
        <f t="shared" si="0"/>
        <v>205.88120999999998</v>
      </c>
      <c r="K18" s="1154">
        <f t="shared" si="0"/>
        <v>171.56767499999998</v>
      </c>
      <c r="L18" s="1155">
        <f t="shared" si="0"/>
        <v>205.88120999999998</v>
      </c>
    </row>
    <row r="19" spans="1:12">
      <c r="A19" s="2"/>
      <c r="B19" s="15" t="s">
        <v>4</v>
      </c>
      <c r="C19" s="16"/>
      <c r="D19" s="24">
        <f>+I59</f>
        <v>45.75137999999999</v>
      </c>
      <c r="E19" s="160">
        <f t="shared" si="1"/>
        <v>0.75</v>
      </c>
      <c r="F19" s="160">
        <f t="shared" si="1"/>
        <v>0.9</v>
      </c>
      <c r="G19" s="160">
        <f t="shared" si="1"/>
        <v>0.75</v>
      </c>
      <c r="H19" s="160">
        <f t="shared" si="1"/>
        <v>0.9</v>
      </c>
      <c r="I19" s="1154">
        <f t="shared" si="0"/>
        <v>34.313534999999995</v>
      </c>
      <c r="J19" s="1154">
        <f t="shared" si="0"/>
        <v>41.176241999999995</v>
      </c>
      <c r="K19" s="1154">
        <f t="shared" si="0"/>
        <v>34.313534999999995</v>
      </c>
      <c r="L19" s="1155">
        <f t="shared" si="0"/>
        <v>41.176241999999995</v>
      </c>
    </row>
    <row r="20" spans="1:12">
      <c r="A20" s="2"/>
      <c r="B20" s="15" t="s">
        <v>26</v>
      </c>
      <c r="C20" s="16"/>
      <c r="D20" s="24">
        <f>+I62</f>
        <v>15.250459999999999</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+I65</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+I68</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+I72</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+I75</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1586.0478399999997</v>
      </c>
      <c r="E25" s="1158"/>
      <c r="F25" s="1158"/>
      <c r="G25" s="28"/>
      <c r="H25" s="28"/>
      <c r="I25" s="1159">
        <f>SUM(I16:I24)</f>
        <v>1178.0980349999998</v>
      </c>
      <c r="J25" s="1159">
        <f>SUM(J16:J24)</f>
        <v>1413.7176419999998</v>
      </c>
      <c r="K25" s="1159">
        <f>SUM(K16:K24)</f>
        <v>1178.0980349999998</v>
      </c>
      <c r="L25" s="1160">
        <f>SUM(L16:L24)</f>
        <v>1413.7176419999998</v>
      </c>
    </row>
    <row r="27" spans="1:12" ht="15.75">
      <c r="A27" s="2"/>
      <c r="B27" s="50" t="s">
        <v>28</v>
      </c>
      <c r="C27" s="2"/>
      <c r="D27" s="2"/>
      <c r="E27" s="2"/>
      <c r="F27" s="2"/>
      <c r="G27" s="2"/>
      <c r="H27" s="2"/>
      <c r="I27" s="5"/>
    </row>
    <row r="28" spans="1:12">
      <c r="A28" s="2"/>
      <c r="B28" s="29" t="s">
        <v>2321</v>
      </c>
      <c r="C28" s="30"/>
      <c r="D28" s="30"/>
      <c r="E28" s="31"/>
      <c r="F28" s="31"/>
      <c r="G28" s="31"/>
      <c r="H28" s="31"/>
      <c r="I28" s="32"/>
    </row>
    <row r="29" spans="1:12">
      <c r="A29" s="2"/>
      <c r="B29" s="40" t="s">
        <v>2322</v>
      </c>
      <c r="C29" s="34"/>
      <c r="D29" s="34"/>
      <c r="E29" s="35"/>
      <c r="F29" s="35"/>
      <c r="G29" s="35"/>
      <c r="H29" s="35"/>
      <c r="I29" s="36"/>
    </row>
    <row r="30" spans="1:12">
      <c r="A30" s="2"/>
      <c r="B30" s="142" t="s">
        <v>2323</v>
      </c>
      <c r="C30" s="34"/>
      <c r="D30" s="34"/>
      <c r="E30" s="1162"/>
      <c r="F30" s="1163"/>
      <c r="G30" s="35"/>
      <c r="H30" s="35"/>
      <c r="I30" s="36"/>
    </row>
    <row r="31" spans="1:12">
      <c r="A31" s="2"/>
      <c r="B31" s="33"/>
      <c r="C31" s="34"/>
      <c r="D31" s="34"/>
      <c r="E31" s="35"/>
      <c r="F31" s="35"/>
      <c r="G31" s="35"/>
      <c r="H31" s="35"/>
      <c r="I31" s="36"/>
    </row>
    <row r="32" spans="1:12">
      <c r="A32" s="2"/>
      <c r="B32" s="3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v>0</v>
      </c>
    </row>
    <row r="41" spans="1:9">
      <c r="A41" s="2"/>
      <c r="B41" s="33" t="s">
        <v>104</v>
      </c>
      <c r="C41" s="35"/>
      <c r="D41" s="1167"/>
      <c r="E41" s="1167"/>
      <c r="F41" s="1167"/>
      <c r="G41" s="1167"/>
      <c r="H41" s="35"/>
      <c r="I41" s="46"/>
    </row>
    <row r="42" spans="1:9">
      <c r="A42" s="2"/>
      <c r="B42" s="1172"/>
      <c r="C42" s="6"/>
      <c r="D42" s="1173"/>
      <c r="E42" s="35"/>
      <c r="F42" s="35"/>
      <c r="G42" s="35"/>
      <c r="H42" s="35"/>
      <c r="I42" s="36"/>
    </row>
    <row r="43" spans="1:9" ht="12.75" customHeight="1">
      <c r="A43" s="2"/>
      <c r="B43" s="42" t="s">
        <v>2</v>
      </c>
      <c r="C43" s="35"/>
      <c r="D43" s="35"/>
      <c r="E43" s="2003" t="s">
        <v>459</v>
      </c>
      <c r="F43" s="2003"/>
      <c r="G43" s="2003"/>
      <c r="H43" s="2003"/>
      <c r="I43" s="1166">
        <f>(SUM(G45:G51)*0.85)</f>
        <v>1296.2890999999997</v>
      </c>
    </row>
    <row r="44" spans="1:9">
      <c r="A44" s="2"/>
      <c r="B44" s="1174"/>
      <c r="C44" s="35"/>
      <c r="D44" s="1167" t="s">
        <v>447</v>
      </c>
      <c r="E44" s="1167" t="s">
        <v>448</v>
      </c>
      <c r="F44" s="1167" t="s">
        <v>449</v>
      </c>
      <c r="G44" s="1167" t="s">
        <v>450</v>
      </c>
      <c r="H44" s="35"/>
      <c r="I44" s="46"/>
    </row>
    <row r="45" spans="1:9">
      <c r="A45" s="2"/>
      <c r="B45" s="1374" t="str">
        <f>+'[33]Core Rates'!A195</f>
        <v>Interception Trench Excavation</v>
      </c>
      <c r="C45" s="6"/>
      <c r="D45" s="1189" t="str">
        <f>+'[33]Core Rates'!B195</f>
        <v>Cu Yd</v>
      </c>
      <c r="E45" s="1169">
        <f>+'[33]Core Rates'!C195</f>
        <v>17.5</v>
      </c>
      <c r="F45" s="1170">
        <v>18.8</v>
      </c>
      <c r="G45" s="1171">
        <f t="shared" ref="G45:G51" si="2">+F45*E45</f>
        <v>329</v>
      </c>
      <c r="H45" s="35"/>
      <c r="I45" s="47"/>
    </row>
    <row r="46" spans="1:9">
      <c r="A46" s="2"/>
      <c r="B46" s="1374" t="str">
        <f>+'[33]Core Rates'!A40</f>
        <v>Concrete (Walls in Place, includes steel reinforcement)</v>
      </c>
      <c r="C46" s="6"/>
      <c r="D46" s="1169" t="str">
        <f>+'[33]Core Rates'!B40</f>
        <v>Cu Yd</v>
      </c>
      <c r="E46" s="1169">
        <f>+'[33]Core Rates'!C40</f>
        <v>202.23000000000002</v>
      </c>
      <c r="F46" s="1170">
        <v>2</v>
      </c>
      <c r="G46" s="1171">
        <f t="shared" si="2"/>
        <v>404.46000000000004</v>
      </c>
      <c r="H46" s="35"/>
      <c r="I46" s="47"/>
    </row>
    <row r="47" spans="1:9" ht="18" customHeight="1">
      <c r="A47" s="2"/>
      <c r="B47" s="1374" t="str">
        <f>+'[33]Core Rates'!A49</f>
        <v>Concrete Manhole-Spring Collection/storage - 4'x4' (installed)</v>
      </c>
      <c r="C47" s="35"/>
      <c r="D47" s="1169" t="str">
        <f>+'[33]Core Rates'!B49</f>
        <v>Ea</v>
      </c>
      <c r="E47" s="1169">
        <f>+'[33]Core Rates'!C49</f>
        <v>505.57500000000005</v>
      </c>
      <c r="F47" s="1170">
        <v>1</v>
      </c>
      <c r="G47" s="1171">
        <f t="shared" si="2"/>
        <v>505.57500000000005</v>
      </c>
      <c r="H47" s="35"/>
      <c r="I47" s="47"/>
    </row>
    <row r="48" spans="1:9">
      <c r="A48" s="2"/>
      <c r="B48" s="1374" t="str">
        <f>+'[33]Core Rates'!A77</f>
        <v>Corrugated Plastic Pipe: 4" (Installed)</v>
      </c>
      <c r="C48" s="6"/>
      <c r="D48" s="1169" t="str">
        <f>+'[33]Core Rates'!B77</f>
        <v>Lin Ft</v>
      </c>
      <c r="E48" s="1169">
        <f>+'[33]Core Rates'!C77</f>
        <v>1.0914000000000001</v>
      </c>
      <c r="F48" s="1170">
        <v>50</v>
      </c>
      <c r="G48" s="1171">
        <f t="shared" si="2"/>
        <v>54.570000000000007</v>
      </c>
      <c r="H48" s="35"/>
      <c r="I48" s="47"/>
    </row>
    <row r="49" spans="1:9">
      <c r="A49" s="2"/>
      <c r="B49" s="1374" t="str">
        <f>+'[33]Core Rates'!A278</f>
        <v>Schd 40 PVC Pipe: 4" (installed)</v>
      </c>
      <c r="C49" s="6"/>
      <c r="D49" s="1169" t="str">
        <f>+'[33]Core Rates'!B278</f>
        <v>Lin Ft</v>
      </c>
      <c r="E49" s="1169">
        <f>+'[33]Core Rates'!C278</f>
        <v>4.797345</v>
      </c>
      <c r="F49" s="1170">
        <v>20</v>
      </c>
      <c r="G49" s="1171">
        <f t="shared" si="2"/>
        <v>95.946899999999999</v>
      </c>
      <c r="H49" s="35"/>
      <c r="I49" s="47"/>
    </row>
    <row r="50" spans="1:9">
      <c r="A50" s="2"/>
      <c r="B50" s="1386" t="str">
        <f>+'[33]Core Rates'!A267</f>
        <v>Rock: #610, 57, 4,3,2 DGA, Class I Sand (Installed)</v>
      </c>
      <c r="C50" s="6"/>
      <c r="D50" s="1169" t="str">
        <f>+'[33]Core Rates'!B267</f>
        <v>Ton</v>
      </c>
      <c r="E50" s="1169">
        <f>+'[33]Core Rates'!C267</f>
        <v>20.222999999999999</v>
      </c>
      <c r="F50" s="1170">
        <v>6.7</v>
      </c>
      <c r="G50" s="1171">
        <f t="shared" si="2"/>
        <v>135.4941</v>
      </c>
      <c r="H50" s="35"/>
      <c r="I50" s="47"/>
    </row>
    <row r="51" spans="1:9">
      <c r="A51" s="2"/>
      <c r="B51" s="1386"/>
      <c r="C51" s="6"/>
      <c r="D51" s="1169"/>
      <c r="E51" s="1169"/>
      <c r="F51" s="150"/>
      <c r="G51" s="1169">
        <f t="shared" si="2"/>
        <v>0</v>
      </c>
      <c r="H51" s="35"/>
      <c r="I51" s="47"/>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1177"/>
      <c r="C54" s="1178"/>
      <c r="D54" s="1178"/>
      <c r="E54" s="1178"/>
      <c r="F54" s="1178"/>
      <c r="G54" s="1178"/>
      <c r="H54" s="1178"/>
      <c r="I54" s="1179"/>
    </row>
    <row r="55" spans="1:9">
      <c r="A55" s="2"/>
      <c r="B55" s="42" t="s">
        <v>3</v>
      </c>
      <c r="C55" s="35"/>
      <c r="D55" s="35"/>
      <c r="E55" s="35"/>
      <c r="F55" s="39"/>
      <c r="G55" s="35"/>
      <c r="H55" s="35"/>
      <c r="I55" s="1182">
        <f>E57</f>
        <v>228.75689999999997</v>
      </c>
    </row>
    <row r="56" spans="1:9">
      <c r="A56" s="2"/>
      <c r="B56" s="2007" t="s">
        <v>465</v>
      </c>
      <c r="C56" s="2008"/>
      <c r="D56" s="35"/>
      <c r="E56" s="35"/>
      <c r="F56" s="35"/>
      <c r="G56" s="35"/>
      <c r="H56" s="35"/>
      <c r="I56" s="48"/>
    </row>
    <row r="57" spans="1:9">
      <c r="A57" s="2"/>
      <c r="B57" s="37" t="s">
        <v>466</v>
      </c>
      <c r="C57" s="39"/>
      <c r="D57" s="39"/>
      <c r="E57" s="153">
        <f>SUM(G45:G50)*0.15</f>
        <v>228.75689999999997</v>
      </c>
      <c r="F57" s="35"/>
      <c r="G57" s="35"/>
      <c r="H57" s="35"/>
      <c r="I57" s="46"/>
    </row>
    <row r="58" spans="1:9">
      <c r="A58" s="2"/>
      <c r="B58" s="33"/>
      <c r="C58" s="35"/>
      <c r="D58" s="35"/>
      <c r="E58" s="35"/>
      <c r="F58" s="35"/>
      <c r="G58" s="35"/>
      <c r="H58" s="35"/>
      <c r="I58" s="36"/>
    </row>
    <row r="59" spans="1:9">
      <c r="A59" s="2"/>
      <c r="B59" s="42" t="s">
        <v>4</v>
      </c>
      <c r="C59" s="35"/>
      <c r="D59" s="35"/>
      <c r="E59" s="35"/>
      <c r="F59" s="35"/>
      <c r="G59" s="35"/>
      <c r="H59" s="35"/>
      <c r="I59" s="1182">
        <f>0.03*(I40+I43+I55)</f>
        <v>45.75137999999999</v>
      </c>
    </row>
    <row r="60" spans="1:9">
      <c r="A60" s="2"/>
      <c r="B60" s="33" t="s">
        <v>467</v>
      </c>
      <c r="C60" s="35"/>
      <c r="D60" s="35"/>
      <c r="E60" s="35"/>
      <c r="F60" s="35"/>
      <c r="G60" s="35"/>
      <c r="H60" s="35"/>
      <c r="I60" s="36"/>
    </row>
    <row r="61" spans="1:9">
      <c r="A61" s="2"/>
      <c r="B61" s="37"/>
      <c r="C61" s="35"/>
      <c r="D61" s="35"/>
      <c r="E61" s="35"/>
      <c r="F61" s="35"/>
      <c r="G61" s="35"/>
      <c r="H61" s="35"/>
      <c r="I61" s="36"/>
    </row>
    <row r="62" spans="1:9">
      <c r="A62" s="2"/>
      <c r="B62" s="42" t="s">
        <v>468</v>
      </c>
      <c r="C62" s="35"/>
      <c r="D62" s="35"/>
      <c r="E62" s="35"/>
      <c r="F62" s="35"/>
      <c r="G62" s="35"/>
      <c r="H62" s="35"/>
      <c r="I62" s="1182">
        <f>0.01*(I40+I43+I55)</f>
        <v>15.250459999999999</v>
      </c>
    </row>
    <row r="63" spans="1:9">
      <c r="A63" s="2"/>
      <c r="B63" s="33" t="s">
        <v>749</v>
      </c>
      <c r="C63" s="35"/>
      <c r="D63" s="35"/>
      <c r="E63" s="35"/>
      <c r="F63" s="35"/>
      <c r="G63" s="35"/>
      <c r="H63" s="35"/>
      <c r="I63" s="36"/>
    </row>
    <row r="64" spans="1:9">
      <c r="A64" s="2"/>
      <c r="B64" s="37"/>
      <c r="C64" s="35"/>
      <c r="D64" s="35"/>
      <c r="E64" s="35"/>
      <c r="F64" s="35"/>
      <c r="G64" s="35"/>
      <c r="H64" s="35"/>
      <c r="I64" s="36"/>
    </row>
    <row r="65" spans="1:9">
      <c r="A65" s="2"/>
      <c r="B65" s="42" t="s">
        <v>7</v>
      </c>
      <c r="C65" s="35"/>
      <c r="D65" s="35"/>
      <c r="E65" s="35"/>
      <c r="F65" s="35"/>
      <c r="G65" s="35"/>
      <c r="H65" s="35"/>
      <c r="I65" s="1166">
        <v>0</v>
      </c>
    </row>
    <row r="66" spans="1:9">
      <c r="A66" s="2"/>
      <c r="B66" s="33" t="s">
        <v>104</v>
      </c>
      <c r="C66" s="35"/>
      <c r="D66" s="35"/>
      <c r="E66" s="35"/>
      <c r="F66" s="35"/>
      <c r="G66" s="35"/>
      <c r="H66" s="35"/>
      <c r="I66" s="36"/>
    </row>
    <row r="67" spans="1:9">
      <c r="A67" s="2"/>
      <c r="B67" s="37"/>
      <c r="C67" s="35"/>
      <c r="D67" s="35"/>
      <c r="E67" s="35"/>
      <c r="F67" s="35"/>
      <c r="G67" s="35"/>
      <c r="H67" s="35"/>
      <c r="I67" s="36"/>
    </row>
    <row r="68" spans="1:9">
      <c r="A68" s="2"/>
      <c r="B68" s="42" t="s">
        <v>471</v>
      </c>
      <c r="C68" s="35"/>
      <c r="D68" s="35"/>
      <c r="E68" s="35"/>
      <c r="F68" s="39"/>
      <c r="G68" s="35"/>
      <c r="H68" s="35"/>
      <c r="I68" s="1166">
        <v>0</v>
      </c>
    </row>
    <row r="69" spans="1:9">
      <c r="A69" s="2"/>
      <c r="B69" s="756" t="s">
        <v>104</v>
      </c>
      <c r="C69" s="35"/>
      <c r="D69" s="35"/>
      <c r="E69" s="35"/>
      <c r="F69" s="35"/>
      <c r="G69" s="35"/>
      <c r="H69" s="35"/>
      <c r="I69" s="47"/>
    </row>
    <row r="70" spans="1:9">
      <c r="A70" s="2"/>
      <c r="B70" s="756"/>
      <c r="C70" s="35"/>
      <c r="D70" s="35"/>
      <c r="E70" s="35"/>
      <c r="F70" s="35"/>
      <c r="G70" s="35"/>
      <c r="H70" s="35"/>
      <c r="I70" s="47"/>
    </row>
    <row r="71" spans="1:9">
      <c r="A71" s="2"/>
      <c r="B71" s="37"/>
      <c r="C71" s="35"/>
      <c r="D71" s="35"/>
      <c r="E71" s="35"/>
      <c r="F71" s="35"/>
      <c r="G71" s="35"/>
      <c r="H71" s="35"/>
      <c r="I71" s="36"/>
    </row>
    <row r="72" spans="1:9">
      <c r="A72" s="2"/>
      <c r="B72" s="42" t="s">
        <v>5</v>
      </c>
      <c r="C72" s="35"/>
      <c r="D72" s="35"/>
      <c r="E72" s="35"/>
      <c r="F72" s="35"/>
      <c r="G72" s="35"/>
      <c r="H72" s="35"/>
      <c r="I72" s="1166">
        <v>0</v>
      </c>
    </row>
    <row r="73" spans="1:9">
      <c r="A73" s="2"/>
      <c r="B73" s="33" t="s">
        <v>104</v>
      </c>
      <c r="C73" s="35"/>
      <c r="D73" s="35"/>
      <c r="E73" s="35"/>
      <c r="F73" s="35"/>
      <c r="G73" s="35"/>
      <c r="H73" s="35"/>
      <c r="I73" s="47"/>
    </row>
    <row r="74" spans="1:9">
      <c r="A74" s="2"/>
      <c r="B74" s="37"/>
      <c r="C74" s="35"/>
      <c r="D74" s="35"/>
      <c r="E74" s="35"/>
      <c r="F74" s="35"/>
      <c r="G74" s="35"/>
      <c r="H74" s="35"/>
      <c r="I74" s="36"/>
    </row>
    <row r="75" spans="1:9">
      <c r="A75" s="2"/>
      <c r="B75" s="42" t="s">
        <v>20</v>
      </c>
      <c r="C75" s="35"/>
      <c r="D75" s="35"/>
      <c r="E75" s="35"/>
      <c r="F75" s="35"/>
      <c r="G75" s="35"/>
      <c r="H75" s="35"/>
      <c r="I75" s="1166">
        <v>0</v>
      </c>
    </row>
    <row r="76" spans="1:9">
      <c r="A76" s="2"/>
      <c r="B76" s="33" t="s">
        <v>104</v>
      </c>
      <c r="C76" s="35"/>
      <c r="D76" s="35"/>
      <c r="E76" s="35"/>
      <c r="F76" s="35"/>
      <c r="G76" s="35"/>
      <c r="H76" s="35"/>
      <c r="I76" s="36"/>
    </row>
    <row r="77" spans="1:9">
      <c r="A77" s="2"/>
      <c r="B77" s="40"/>
      <c r="C77" s="35"/>
      <c r="D77" s="35"/>
      <c r="E77" s="35"/>
      <c r="F77" s="35"/>
      <c r="G77" s="35"/>
      <c r="H77" s="35"/>
      <c r="I77" s="36"/>
    </row>
    <row r="78" spans="1:9">
      <c r="A78" s="2"/>
      <c r="B78" s="42" t="s">
        <v>473</v>
      </c>
      <c r="C78" s="35"/>
      <c r="D78" s="35"/>
      <c r="E78" s="35"/>
      <c r="F78" s="35"/>
      <c r="G78" s="35"/>
      <c r="H78" s="35"/>
      <c r="I78" s="1183">
        <f>+I40+I43+I55+I59+I65+I75</f>
        <v>1570.7973799999997</v>
      </c>
    </row>
    <row r="79" spans="1:9" ht="15.75">
      <c r="A79" s="2"/>
      <c r="B79" s="33" t="s">
        <v>474</v>
      </c>
      <c r="C79" s="35"/>
      <c r="D79" s="35"/>
      <c r="E79" s="35"/>
      <c r="F79" s="35"/>
      <c r="G79" s="35"/>
      <c r="H79" s="35"/>
      <c r="I79" s="36"/>
    </row>
    <row r="80" spans="1:9">
      <c r="A80" s="2"/>
      <c r="B80" s="40"/>
      <c r="C80" s="35"/>
      <c r="D80" s="35"/>
      <c r="E80" s="35"/>
      <c r="F80" s="35"/>
      <c r="G80" s="35"/>
      <c r="H80" s="35"/>
      <c r="I80" s="36"/>
    </row>
    <row r="81" spans="1:9">
      <c r="A81" s="2"/>
      <c r="B81" s="43" t="s">
        <v>11</v>
      </c>
      <c r="C81" s="44"/>
      <c r="D81" s="44"/>
      <c r="E81" s="44"/>
      <c r="F81" s="44"/>
      <c r="G81" s="44"/>
      <c r="H81" s="44"/>
      <c r="I81" s="621">
        <f>SUM(I39:I75)</f>
        <v>1586.0478399999997</v>
      </c>
    </row>
  </sheetData>
  <mergeCells count="3">
    <mergeCell ref="B1:D1"/>
    <mergeCell ref="E43:H43"/>
    <mergeCell ref="B56:C56"/>
  </mergeCells>
  <pageMargins left="0.7" right="0.7" top="0.75" bottom="0.75" header="0.3" footer="0.3"/>
  <pageSetup paperSize="262" orientation="landscape" horizontalDpi="4294967293" r:id="rId1"/>
</worksheet>
</file>

<file path=xl/worksheets/sheet177.xml><?xml version="1.0" encoding="utf-8"?>
<worksheet xmlns="http://schemas.openxmlformats.org/spreadsheetml/2006/main" xmlns:r="http://schemas.openxmlformats.org/officeDocument/2006/relationships">
  <sheetPr>
    <pageSetUpPr fitToPage="1"/>
  </sheetPr>
  <dimension ref="A1:L81"/>
  <sheetViews>
    <sheetView zoomScale="75" zoomScaleNormal="75" workbookViewId="0">
      <selection activeCell="D6" sqref="D6"/>
    </sheetView>
  </sheetViews>
  <sheetFormatPr defaultRowHeight="12.75"/>
  <cols>
    <col min="1" max="1" width="1.85546875" customWidth="1"/>
    <col min="3" max="3" width="24.140625" customWidth="1"/>
    <col min="4" max="4" width="35" customWidth="1"/>
    <col min="5" max="5" width="39.85546875" bestFit="1" customWidth="1"/>
    <col min="6" max="6" width="10.42578125" customWidth="1"/>
    <col min="9" max="9" width="13.140625" customWidth="1"/>
    <col min="10" max="10" width="10.85546875" customWidth="1"/>
    <col min="11" max="11" width="12"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574</v>
      </c>
      <c r="C6" s="7" t="str">
        <f>+E12</f>
        <v>EQIP</v>
      </c>
      <c r="D6" s="110" t="s">
        <v>2319</v>
      </c>
      <c r="E6" s="110" t="s">
        <v>2324</v>
      </c>
      <c r="F6" s="7" t="s">
        <v>712</v>
      </c>
      <c r="G6" s="85">
        <f>+I25</f>
        <v>1569.0886743749998</v>
      </c>
    </row>
    <row r="7" spans="1:12">
      <c r="A7" s="2"/>
      <c r="B7" s="54">
        <f>+B6</f>
        <v>574</v>
      </c>
      <c r="C7" s="7" t="str">
        <f>+C6</f>
        <v>EQIP</v>
      </c>
      <c r="D7" s="110" t="s">
        <v>2319</v>
      </c>
      <c r="E7" s="110" t="str">
        <f>CONCATENATE(E6, "-HU")</f>
        <v>Spring Development - with storage-HU</v>
      </c>
      <c r="F7" s="7" t="str">
        <f>+F6</f>
        <v>Each</v>
      </c>
      <c r="G7" s="85">
        <f>+J25</f>
        <v>1882.9064092499996</v>
      </c>
    </row>
    <row r="8" spans="1:12">
      <c r="A8" s="2"/>
      <c r="B8" s="54">
        <v>574</v>
      </c>
      <c r="C8" s="7" t="str">
        <f>+G12</f>
        <v>WHIP</v>
      </c>
      <c r="D8" s="110" t="s">
        <v>2319</v>
      </c>
      <c r="E8" s="110" t="s">
        <v>2324</v>
      </c>
      <c r="F8" s="7" t="s">
        <v>712</v>
      </c>
      <c r="G8" s="85">
        <f>+K25</f>
        <v>1569.0886743749998</v>
      </c>
    </row>
    <row r="9" spans="1:12">
      <c r="A9" s="2"/>
      <c r="B9" s="8">
        <f>+B8</f>
        <v>574</v>
      </c>
      <c r="C9" s="10" t="str">
        <f>+C8</f>
        <v>WHIP</v>
      </c>
      <c r="D9" s="111" t="s">
        <v>2319</v>
      </c>
      <c r="E9" s="111" t="str">
        <f>CONCATENATE(E6, "-HU")</f>
        <v>Spring Development - with storage-HU</v>
      </c>
      <c r="F9" s="10" t="str">
        <f>+F8</f>
        <v>Each</v>
      </c>
      <c r="G9" s="86">
        <f>+L25</f>
        <v>1882.9064092499996</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0</v>
      </c>
      <c r="E16" s="160">
        <f>+'[10]Payment Factors'!D34</f>
        <v>0.75</v>
      </c>
      <c r="F16" s="160">
        <f>+'[10]Payment Factors'!E34</f>
        <v>0.9</v>
      </c>
      <c r="G16" s="160">
        <f>+'[10]Payment Factors'!F34</f>
        <v>0.75</v>
      </c>
      <c r="H16" s="160">
        <f>+'[10]Payment Factors'!G34</f>
        <v>0.9</v>
      </c>
      <c r="I16" s="1154">
        <f t="shared" ref="I16:L24" si="0">+$D16*E16</f>
        <v>0</v>
      </c>
      <c r="J16" s="1154">
        <f t="shared" si="0"/>
        <v>0</v>
      </c>
      <c r="K16" s="1154">
        <f t="shared" si="0"/>
        <v>0</v>
      </c>
      <c r="L16" s="1155">
        <f t="shared" si="0"/>
        <v>0</v>
      </c>
    </row>
    <row r="17" spans="1:12">
      <c r="A17" s="2"/>
      <c r="B17" s="15" t="s">
        <v>2</v>
      </c>
      <c r="C17" s="16"/>
      <c r="D17" s="24">
        <f>+I43</f>
        <v>1802.4258499999996</v>
      </c>
      <c r="E17" s="160">
        <f t="shared" ref="E17:H19" si="1">+E16</f>
        <v>0.75</v>
      </c>
      <c r="F17" s="160">
        <f t="shared" si="1"/>
        <v>0.9</v>
      </c>
      <c r="G17" s="160">
        <f t="shared" si="1"/>
        <v>0.75</v>
      </c>
      <c r="H17" s="160">
        <f t="shared" si="1"/>
        <v>0.9</v>
      </c>
      <c r="I17" s="1154">
        <f t="shared" si="0"/>
        <v>1351.8193874999997</v>
      </c>
      <c r="J17" s="1154">
        <f t="shared" si="0"/>
        <v>1622.1832649999997</v>
      </c>
      <c r="K17" s="1154">
        <f t="shared" si="0"/>
        <v>1351.8193874999997</v>
      </c>
      <c r="L17" s="1155">
        <f t="shared" si="0"/>
        <v>1622.1832649999997</v>
      </c>
    </row>
    <row r="18" spans="1:12">
      <c r="A18" s="2"/>
      <c r="B18" s="15" t="s">
        <v>3</v>
      </c>
      <c r="C18" s="16"/>
      <c r="D18" s="24">
        <f>+I55</f>
        <v>228.75689999999997</v>
      </c>
      <c r="E18" s="160">
        <f t="shared" si="1"/>
        <v>0.75</v>
      </c>
      <c r="F18" s="160">
        <f t="shared" si="1"/>
        <v>0.9</v>
      </c>
      <c r="G18" s="160">
        <f t="shared" si="1"/>
        <v>0.75</v>
      </c>
      <c r="H18" s="160">
        <f t="shared" si="1"/>
        <v>0.9</v>
      </c>
      <c r="I18" s="1154">
        <f t="shared" si="0"/>
        <v>171.56767499999998</v>
      </c>
      <c r="J18" s="1154">
        <f t="shared" si="0"/>
        <v>205.88120999999998</v>
      </c>
      <c r="K18" s="1154">
        <f t="shared" si="0"/>
        <v>171.56767499999998</v>
      </c>
      <c r="L18" s="1155">
        <f t="shared" si="0"/>
        <v>205.88120999999998</v>
      </c>
    </row>
    <row r="19" spans="1:12">
      <c r="A19" s="2"/>
      <c r="B19" s="15" t="s">
        <v>4</v>
      </c>
      <c r="C19" s="16"/>
      <c r="D19" s="24">
        <f>+I59</f>
        <v>60.935482499999985</v>
      </c>
      <c r="E19" s="160">
        <f t="shared" si="1"/>
        <v>0.75</v>
      </c>
      <c r="F19" s="160">
        <f t="shared" si="1"/>
        <v>0.9</v>
      </c>
      <c r="G19" s="160">
        <f t="shared" si="1"/>
        <v>0.75</v>
      </c>
      <c r="H19" s="160">
        <f t="shared" si="1"/>
        <v>0.9</v>
      </c>
      <c r="I19" s="1154">
        <f t="shared" si="0"/>
        <v>45.70161187499999</v>
      </c>
      <c r="J19" s="1154">
        <f t="shared" si="0"/>
        <v>54.841934249999987</v>
      </c>
      <c r="K19" s="1154">
        <f t="shared" si="0"/>
        <v>45.70161187499999</v>
      </c>
      <c r="L19" s="1155">
        <f t="shared" si="0"/>
        <v>54.841934249999987</v>
      </c>
    </row>
    <row r="20" spans="1:12">
      <c r="A20" s="2"/>
      <c r="B20" s="15" t="s">
        <v>26</v>
      </c>
      <c r="C20" s="16"/>
      <c r="D20" s="24">
        <f>+I62</f>
        <v>20.311827499999996</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+I65</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+I68</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+I72</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+I75</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2112.4300599999997</v>
      </c>
      <c r="E25" s="1158"/>
      <c r="F25" s="1158"/>
      <c r="G25" s="28"/>
      <c r="H25" s="28"/>
      <c r="I25" s="1159">
        <f>SUM(I16:I24)</f>
        <v>1569.0886743749998</v>
      </c>
      <c r="J25" s="1159">
        <f>SUM(J16:J24)</f>
        <v>1882.9064092499996</v>
      </c>
      <c r="K25" s="1159">
        <f>SUM(K16:K24)</f>
        <v>1569.0886743749998</v>
      </c>
      <c r="L25" s="1160">
        <f>SUM(L16:L24)</f>
        <v>1882.9064092499996</v>
      </c>
    </row>
    <row r="27" spans="1:12" ht="15.75">
      <c r="A27" s="2"/>
      <c r="B27" s="50" t="s">
        <v>28</v>
      </c>
      <c r="C27" s="2"/>
      <c r="D27" s="2"/>
      <c r="E27" s="2"/>
      <c r="F27" s="2"/>
      <c r="G27" s="2"/>
      <c r="H27" s="2"/>
      <c r="I27" s="5"/>
    </row>
    <row r="28" spans="1:12">
      <c r="A28" s="2"/>
      <c r="B28" s="29" t="s">
        <v>2321</v>
      </c>
      <c r="C28" s="30"/>
      <c r="D28" s="30"/>
      <c r="E28" s="31"/>
      <c r="F28" s="31"/>
      <c r="G28" s="31"/>
      <c r="H28" s="31"/>
      <c r="I28" s="32"/>
    </row>
    <row r="29" spans="1:12">
      <c r="A29" s="2"/>
      <c r="B29" s="40" t="s">
        <v>2325</v>
      </c>
      <c r="C29" s="34"/>
      <c r="D29" s="34"/>
      <c r="E29" s="35"/>
      <c r="F29" s="35"/>
      <c r="G29" s="35"/>
      <c r="H29" s="35"/>
      <c r="I29" s="36"/>
    </row>
    <row r="30" spans="1:12">
      <c r="A30" s="2"/>
      <c r="B30" s="40" t="s">
        <v>2323</v>
      </c>
      <c r="C30" s="34"/>
      <c r="D30" s="34"/>
      <c r="E30" s="1162"/>
      <c r="F30" s="1163"/>
      <c r="G30" s="35"/>
      <c r="H30" s="35"/>
      <c r="I30" s="36"/>
    </row>
    <row r="31" spans="1:12">
      <c r="A31" s="2"/>
      <c r="B31" s="33"/>
      <c r="C31" s="34"/>
      <c r="D31" s="34"/>
      <c r="E31" s="35"/>
      <c r="F31" s="35"/>
      <c r="G31" s="35"/>
      <c r="H31" s="35"/>
      <c r="I31" s="36"/>
    </row>
    <row r="32" spans="1:12">
      <c r="A32" s="2"/>
      <c r="B32" s="3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v>0</v>
      </c>
    </row>
    <row r="41" spans="1:9">
      <c r="A41" s="2"/>
      <c r="B41" s="33" t="s">
        <v>104</v>
      </c>
      <c r="C41" s="35"/>
      <c r="D41" s="1167"/>
      <c r="E41" s="1167"/>
      <c r="F41" s="1167"/>
      <c r="G41" s="1167"/>
      <c r="H41" s="35"/>
      <c r="I41" s="46"/>
    </row>
    <row r="42" spans="1:9">
      <c r="A42" s="2"/>
      <c r="B42" s="1172"/>
      <c r="C42" s="6"/>
      <c r="D42" s="1173"/>
      <c r="E42" s="35"/>
      <c r="F42" s="35"/>
      <c r="G42" s="35"/>
      <c r="H42" s="35"/>
      <c r="I42" s="36"/>
    </row>
    <row r="43" spans="1:9">
      <c r="A43" s="2"/>
      <c r="B43" s="42" t="s">
        <v>2</v>
      </c>
      <c r="C43" s="35"/>
      <c r="D43" s="35"/>
      <c r="E43" s="2003" t="s">
        <v>459</v>
      </c>
      <c r="F43" s="2003"/>
      <c r="G43" s="2003"/>
      <c r="H43" s="2003"/>
      <c r="I43" s="1166">
        <f>(SUM(G45:G51)*0.85)</f>
        <v>1802.4258499999996</v>
      </c>
    </row>
    <row r="44" spans="1:9">
      <c r="A44" s="2"/>
      <c r="B44" s="1174"/>
      <c r="C44" s="35"/>
      <c r="D44" s="1167" t="s">
        <v>447</v>
      </c>
      <c r="E44" s="1167" t="s">
        <v>448</v>
      </c>
      <c r="F44" s="1167" t="s">
        <v>449</v>
      </c>
      <c r="G44" s="1167" t="s">
        <v>450</v>
      </c>
      <c r="H44" s="35"/>
      <c r="I44" s="46"/>
    </row>
    <row r="45" spans="1:9">
      <c r="A45" s="2"/>
      <c r="B45" s="1374" t="str">
        <f>+'[33]Core Rates'!A195</f>
        <v>Interception Trench Excavation</v>
      </c>
      <c r="C45" s="6"/>
      <c r="D45" s="1189" t="str">
        <f>+'[33]Core Rates'!B195</f>
        <v>Cu Yd</v>
      </c>
      <c r="E45" s="1169">
        <f>+'[33]Core Rates'!C195</f>
        <v>17.5</v>
      </c>
      <c r="F45" s="1170">
        <v>18.8</v>
      </c>
      <c r="G45" s="1171">
        <f t="shared" ref="G45:G51" si="2">+F45*E45</f>
        <v>329</v>
      </c>
      <c r="H45" s="35"/>
      <c r="I45" s="47"/>
    </row>
    <row r="46" spans="1:9">
      <c r="A46" s="2"/>
      <c r="B46" s="1175" t="str">
        <f>+'[33]Core Rates'!A40</f>
        <v>Concrete (Walls in Place, includes steel reinforcement)</v>
      </c>
      <c r="C46" s="6"/>
      <c r="D46" s="1169" t="str">
        <f>+'[33]Core Rates'!B40</f>
        <v>Cu Yd</v>
      </c>
      <c r="E46" s="1169">
        <f>+'[33]Core Rates'!C40</f>
        <v>202.23000000000002</v>
      </c>
      <c r="F46" s="1170">
        <v>2</v>
      </c>
      <c r="G46" s="1171">
        <f t="shared" si="2"/>
        <v>404.46000000000004</v>
      </c>
      <c r="H46" s="35"/>
      <c r="I46" s="47"/>
    </row>
    <row r="47" spans="1:9">
      <c r="A47" s="2"/>
      <c r="B47" s="1175" t="str">
        <f>+'[33]Core Rates'!A49</f>
        <v>Concrete Manhole-Spring Collection/storage - 4'x4' (installed)</v>
      </c>
      <c r="C47" s="35"/>
      <c r="D47" s="1169" t="str">
        <f>+'[33]Core Rates'!B49</f>
        <v>Ea</v>
      </c>
      <c r="E47" s="1169">
        <f>+'[33]Core Rates'!C49</f>
        <v>505.57500000000005</v>
      </c>
      <c r="F47" s="1170">
        <v>1</v>
      </c>
      <c r="G47" s="1171">
        <f t="shared" si="2"/>
        <v>505.57500000000005</v>
      </c>
      <c r="H47" s="35"/>
      <c r="I47" s="47"/>
    </row>
    <row r="48" spans="1:9">
      <c r="A48" s="2"/>
      <c r="B48" s="1374" t="str">
        <f>+'[33]Core Rates'!A77</f>
        <v>Corrugated Plastic Pipe: 4" (Installed)</v>
      </c>
      <c r="C48" s="6"/>
      <c r="D48" s="1169" t="str">
        <f>+'[33]Core Rates'!B77</f>
        <v>Lin Ft</v>
      </c>
      <c r="E48" s="1169">
        <f>+'[33]Core Rates'!C77</f>
        <v>1.0914000000000001</v>
      </c>
      <c r="F48" s="1170">
        <v>50</v>
      </c>
      <c r="G48" s="1171">
        <f t="shared" si="2"/>
        <v>54.570000000000007</v>
      </c>
      <c r="H48" s="35"/>
      <c r="I48" s="47"/>
    </row>
    <row r="49" spans="1:9">
      <c r="A49" s="2"/>
      <c r="B49" s="1374" t="str">
        <f>+'[33]Core Rates'!A278</f>
        <v>Schd 40 PVC Pipe: 4" (installed)</v>
      </c>
      <c r="C49" s="6"/>
      <c r="D49" s="1169" t="str">
        <f>+'[33]Core Rates'!B278</f>
        <v>Lin Ft</v>
      </c>
      <c r="E49" s="1169">
        <f>+'[33]Core Rates'!C278</f>
        <v>4.797345</v>
      </c>
      <c r="F49" s="1170">
        <v>20</v>
      </c>
      <c r="G49" s="1171">
        <f t="shared" si="2"/>
        <v>95.946899999999999</v>
      </c>
      <c r="H49" s="35"/>
      <c r="I49" s="47"/>
    </row>
    <row r="50" spans="1:9">
      <c r="A50" s="2"/>
      <c r="B50" s="1386" t="str">
        <f>+'[33]Core Rates'!A267</f>
        <v>Rock: #610, 57, 4,3,2 DGA, Class I Sand (Installed)</v>
      </c>
      <c r="C50" s="6"/>
      <c r="D50" s="1169" t="str">
        <f>+'[33]Core Rates'!B267</f>
        <v>Ton</v>
      </c>
      <c r="E50" s="1169">
        <f>+'[33]Core Rates'!C267</f>
        <v>20.222999999999999</v>
      </c>
      <c r="F50" s="1170">
        <v>6.7</v>
      </c>
      <c r="G50" s="1171">
        <f t="shared" si="2"/>
        <v>135.4941</v>
      </c>
      <c r="H50" s="35"/>
      <c r="I50" s="47"/>
    </row>
    <row r="51" spans="1:9">
      <c r="A51" s="2"/>
      <c r="B51" s="1386" t="str">
        <f>+'[33]Core Rates'!A333</f>
        <v>Storage Basin - (1000 gal.) Installed</v>
      </c>
      <c r="C51" s="6"/>
      <c r="D51" s="1169" t="str">
        <f>+'[33]Core Rates'!B333</f>
        <v>Ea</v>
      </c>
      <c r="E51" s="1169">
        <f>+'[33]Core Rates'!C333</f>
        <v>595.45500000000004</v>
      </c>
      <c r="F51" s="150">
        <v>1</v>
      </c>
      <c r="G51" s="1169">
        <f t="shared" si="2"/>
        <v>595.45500000000004</v>
      </c>
      <c r="H51" s="35"/>
      <c r="I51" s="47"/>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1177"/>
      <c r="C54" s="1178"/>
      <c r="D54" s="1178"/>
      <c r="E54" s="1178"/>
      <c r="F54" s="1178"/>
      <c r="G54" s="1178"/>
      <c r="H54" s="1178"/>
      <c r="I54" s="1179"/>
    </row>
    <row r="55" spans="1:9">
      <c r="A55" s="2"/>
      <c r="B55" s="42" t="s">
        <v>3</v>
      </c>
      <c r="C55" s="35"/>
      <c r="D55" s="35"/>
      <c r="E55" s="35"/>
      <c r="F55" s="39"/>
      <c r="G55" s="35"/>
      <c r="H55" s="35"/>
      <c r="I55" s="1182">
        <f>E57</f>
        <v>228.75689999999997</v>
      </c>
    </row>
    <row r="56" spans="1:9">
      <c r="A56" s="2"/>
      <c r="B56" s="2007" t="s">
        <v>465</v>
      </c>
      <c r="C56" s="2008"/>
      <c r="D56" s="35"/>
      <c r="E56" s="35"/>
      <c r="F56" s="35"/>
      <c r="G56" s="35"/>
      <c r="H56" s="35"/>
      <c r="I56" s="48"/>
    </row>
    <row r="57" spans="1:9">
      <c r="A57" s="2"/>
      <c r="B57" s="37" t="s">
        <v>466</v>
      </c>
      <c r="C57" s="39"/>
      <c r="D57" s="39"/>
      <c r="E57" s="153">
        <f>SUM(G45:G50)*0.15</f>
        <v>228.75689999999997</v>
      </c>
      <c r="F57" s="35"/>
      <c r="G57" s="35"/>
      <c r="H57" s="35"/>
      <c r="I57" s="46"/>
    </row>
    <row r="58" spans="1:9">
      <c r="A58" s="2"/>
      <c r="B58" s="33"/>
      <c r="C58" s="35"/>
      <c r="D58" s="35"/>
      <c r="E58" s="35"/>
      <c r="F58" s="35"/>
      <c r="G58" s="35"/>
      <c r="H58" s="35"/>
      <c r="I58" s="36"/>
    </row>
    <row r="59" spans="1:9">
      <c r="A59" s="2"/>
      <c r="B59" s="42" t="s">
        <v>4</v>
      </c>
      <c r="C59" s="35"/>
      <c r="D59" s="35"/>
      <c r="E59" s="35"/>
      <c r="F59" s="35"/>
      <c r="G59" s="35"/>
      <c r="H59" s="35"/>
      <c r="I59" s="1182">
        <f>0.03*(I40+I43+I55)</f>
        <v>60.935482499999985</v>
      </c>
    </row>
    <row r="60" spans="1:9">
      <c r="A60" s="2"/>
      <c r="B60" s="33" t="s">
        <v>467</v>
      </c>
      <c r="C60" s="35"/>
      <c r="D60" s="35"/>
      <c r="E60" s="35"/>
      <c r="F60" s="35"/>
      <c r="G60" s="35"/>
      <c r="H60" s="35"/>
      <c r="I60" s="36"/>
    </row>
    <row r="61" spans="1:9">
      <c r="A61" s="2"/>
      <c r="B61" s="37"/>
      <c r="C61" s="35"/>
      <c r="D61" s="35"/>
      <c r="E61" s="35"/>
      <c r="F61" s="35"/>
      <c r="G61" s="35"/>
      <c r="H61" s="35"/>
      <c r="I61" s="36"/>
    </row>
    <row r="62" spans="1:9">
      <c r="A62" s="2"/>
      <c r="B62" s="42" t="s">
        <v>468</v>
      </c>
      <c r="C62" s="35"/>
      <c r="D62" s="35"/>
      <c r="E62" s="35"/>
      <c r="F62" s="35"/>
      <c r="G62" s="35"/>
      <c r="H62" s="35"/>
      <c r="I62" s="1182">
        <f>0.01*(I40+I43+I55)</f>
        <v>20.311827499999996</v>
      </c>
    </row>
    <row r="63" spans="1:9">
      <c r="A63" s="2"/>
      <c r="B63" s="33" t="s">
        <v>749</v>
      </c>
      <c r="C63" s="35"/>
      <c r="D63" s="35"/>
      <c r="E63" s="35"/>
      <c r="F63" s="35"/>
      <c r="G63" s="35"/>
      <c r="H63" s="35"/>
      <c r="I63" s="36"/>
    </row>
    <row r="64" spans="1:9">
      <c r="A64" s="2"/>
      <c r="B64" s="37"/>
      <c r="C64" s="35"/>
      <c r="D64" s="35"/>
      <c r="E64" s="35"/>
      <c r="F64" s="35"/>
      <c r="G64" s="35"/>
      <c r="H64" s="35"/>
      <c r="I64" s="36"/>
    </row>
    <row r="65" spans="1:9">
      <c r="A65" s="2"/>
      <c r="B65" s="42" t="s">
        <v>7</v>
      </c>
      <c r="C65" s="35"/>
      <c r="D65" s="35"/>
      <c r="E65" s="35"/>
      <c r="F65" s="35"/>
      <c r="G65" s="35"/>
      <c r="H65" s="35"/>
      <c r="I65" s="1166">
        <v>0</v>
      </c>
    </row>
    <row r="66" spans="1:9">
      <c r="A66" s="2"/>
      <c r="B66" s="33" t="s">
        <v>104</v>
      </c>
      <c r="C66" s="35"/>
      <c r="D66" s="35"/>
      <c r="E66" s="35"/>
      <c r="F66" s="35"/>
      <c r="G66" s="35"/>
      <c r="H66" s="35"/>
      <c r="I66" s="36"/>
    </row>
    <row r="67" spans="1:9">
      <c r="A67" s="2"/>
      <c r="B67" s="37"/>
      <c r="C67" s="35"/>
      <c r="D67" s="35"/>
      <c r="E67" s="35"/>
      <c r="F67" s="35"/>
      <c r="G67" s="35"/>
      <c r="H67" s="35"/>
      <c r="I67" s="36"/>
    </row>
    <row r="68" spans="1:9">
      <c r="A68" s="2"/>
      <c r="B68" s="42" t="s">
        <v>471</v>
      </c>
      <c r="C68" s="35"/>
      <c r="D68" s="35"/>
      <c r="E68" s="35"/>
      <c r="F68" s="39"/>
      <c r="G68" s="35"/>
      <c r="H68" s="35"/>
      <c r="I68" s="1166">
        <v>0</v>
      </c>
    </row>
    <row r="69" spans="1:9">
      <c r="A69" s="2"/>
      <c r="B69" s="756" t="s">
        <v>104</v>
      </c>
      <c r="C69" s="35"/>
      <c r="D69" s="35"/>
      <c r="E69" s="35"/>
      <c r="F69" s="35"/>
      <c r="G69" s="35"/>
      <c r="H69" s="35"/>
      <c r="I69" s="47"/>
    </row>
    <row r="70" spans="1:9">
      <c r="A70" s="2"/>
      <c r="B70" s="756"/>
      <c r="C70" s="35"/>
      <c r="D70" s="35"/>
      <c r="E70" s="35"/>
      <c r="F70" s="35"/>
      <c r="G70" s="35"/>
      <c r="H70" s="35"/>
      <c r="I70" s="47"/>
    </row>
    <row r="71" spans="1:9">
      <c r="A71" s="2"/>
      <c r="B71" s="37"/>
      <c r="C71" s="35"/>
      <c r="D71" s="35"/>
      <c r="E71" s="35"/>
      <c r="F71" s="35"/>
      <c r="G71" s="35"/>
      <c r="H71" s="35"/>
      <c r="I71" s="36"/>
    </row>
    <row r="72" spans="1:9">
      <c r="A72" s="2"/>
      <c r="B72" s="42" t="s">
        <v>5</v>
      </c>
      <c r="C72" s="35"/>
      <c r="D72" s="35"/>
      <c r="E72" s="35"/>
      <c r="F72" s="35"/>
      <c r="G72" s="35"/>
      <c r="H72" s="35"/>
      <c r="I72" s="1166">
        <v>0</v>
      </c>
    </row>
    <row r="73" spans="1:9">
      <c r="A73" s="2"/>
      <c r="B73" s="33" t="s">
        <v>104</v>
      </c>
      <c r="C73" s="35"/>
      <c r="D73" s="35"/>
      <c r="E73" s="35"/>
      <c r="F73" s="35"/>
      <c r="G73" s="35"/>
      <c r="H73" s="35"/>
      <c r="I73" s="47"/>
    </row>
    <row r="74" spans="1:9">
      <c r="A74" s="2"/>
      <c r="B74" s="37"/>
      <c r="C74" s="35"/>
      <c r="D74" s="35"/>
      <c r="E74" s="35"/>
      <c r="F74" s="35"/>
      <c r="G74" s="35"/>
      <c r="H74" s="35"/>
      <c r="I74" s="36"/>
    </row>
    <row r="75" spans="1:9">
      <c r="A75" s="2"/>
      <c r="B75" s="42" t="s">
        <v>20</v>
      </c>
      <c r="C75" s="35"/>
      <c r="D75" s="35"/>
      <c r="E75" s="35"/>
      <c r="F75" s="35"/>
      <c r="G75" s="35"/>
      <c r="H75" s="35"/>
      <c r="I75" s="1166">
        <v>0</v>
      </c>
    </row>
    <row r="76" spans="1:9">
      <c r="A76" s="2"/>
      <c r="B76" s="33" t="s">
        <v>104</v>
      </c>
      <c r="C76" s="35"/>
      <c r="D76" s="35"/>
      <c r="E76" s="35"/>
      <c r="F76" s="35"/>
      <c r="G76" s="35"/>
      <c r="H76" s="35"/>
      <c r="I76" s="36"/>
    </row>
    <row r="77" spans="1:9">
      <c r="A77" s="2"/>
      <c r="B77" s="40"/>
      <c r="C77" s="35"/>
      <c r="D77" s="35"/>
      <c r="E77" s="35"/>
      <c r="F77" s="35"/>
      <c r="G77" s="35"/>
      <c r="H77" s="35"/>
      <c r="I77" s="36"/>
    </row>
    <row r="78" spans="1:9">
      <c r="A78" s="2"/>
      <c r="B78" s="42" t="s">
        <v>473</v>
      </c>
      <c r="C78" s="35"/>
      <c r="D78" s="35"/>
      <c r="E78" s="35"/>
      <c r="F78" s="35"/>
      <c r="G78" s="35"/>
      <c r="H78" s="35"/>
      <c r="I78" s="1183">
        <f>+I40+I43+I55+I59+I65+I75</f>
        <v>2092.1182324999995</v>
      </c>
    </row>
    <row r="79" spans="1:9" ht="15.75">
      <c r="A79" s="2"/>
      <c r="B79" s="33" t="s">
        <v>474</v>
      </c>
      <c r="C79" s="35"/>
      <c r="D79" s="35"/>
      <c r="E79" s="35"/>
      <c r="F79" s="35"/>
      <c r="G79" s="35"/>
      <c r="H79" s="35"/>
      <c r="I79" s="36"/>
    </row>
    <row r="80" spans="1:9">
      <c r="A80" s="2"/>
      <c r="B80" s="40"/>
      <c r="C80" s="35"/>
      <c r="D80" s="35"/>
      <c r="E80" s="35"/>
      <c r="F80" s="35"/>
      <c r="G80" s="35"/>
      <c r="H80" s="35"/>
      <c r="I80" s="36"/>
    </row>
    <row r="81" spans="1:9">
      <c r="A81" s="2"/>
      <c r="B81" s="43" t="s">
        <v>11</v>
      </c>
      <c r="C81" s="44"/>
      <c r="D81" s="44"/>
      <c r="E81" s="44"/>
      <c r="F81" s="44"/>
      <c r="G81" s="44"/>
      <c r="H81" s="44"/>
      <c r="I81" s="621">
        <f>SUM(I39:I75)</f>
        <v>2112.4300599999997</v>
      </c>
    </row>
  </sheetData>
  <mergeCells count="3">
    <mergeCell ref="B1:D1"/>
    <mergeCell ref="E43:H43"/>
    <mergeCell ref="B56:C56"/>
  </mergeCells>
  <pageMargins left="0.75" right="0.75" top="1" bottom="1" header="0.5" footer="0.5"/>
  <pageSetup scale="46" orientation="landscape" r:id="rId1"/>
  <headerFooter alignWithMargins="0"/>
</worksheet>
</file>

<file path=xl/worksheets/sheet178.xml><?xml version="1.0" encoding="utf-8"?>
<worksheet xmlns="http://schemas.openxmlformats.org/spreadsheetml/2006/main" xmlns:r="http://schemas.openxmlformats.org/officeDocument/2006/relationships">
  <sheetPr>
    <pageSetUpPr fitToPage="1"/>
  </sheetPr>
  <dimension ref="A1:L76"/>
  <sheetViews>
    <sheetView zoomScale="75" zoomScaleNormal="75" workbookViewId="0">
      <selection activeCell="A2" sqref="A2:XFD27"/>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575</v>
      </c>
      <c r="C6" s="7" t="str">
        <f>+E12</f>
        <v>EQIP</v>
      </c>
      <c r="D6" s="110" t="s">
        <v>2326</v>
      </c>
      <c r="E6" s="110" t="s">
        <v>2327</v>
      </c>
      <c r="F6" s="7" t="s">
        <v>2328</v>
      </c>
      <c r="G6" s="85">
        <f>+I25</f>
        <v>1.0414844999999997</v>
      </c>
    </row>
    <row r="7" spans="1:12">
      <c r="A7" s="2"/>
      <c r="B7" s="54">
        <f>+B6</f>
        <v>575</v>
      </c>
      <c r="C7" s="7" t="str">
        <f>+C6</f>
        <v>EQIP</v>
      </c>
      <c r="D7" s="110" t="s">
        <v>2326</v>
      </c>
      <c r="E7" s="110" t="str">
        <f>CONCATENATE(E6, "-HU")</f>
        <v>Animal Trails and Walkways - Rock/Geotextile Installation-HU</v>
      </c>
      <c r="F7" s="7" t="str">
        <f>+F6</f>
        <v>Square Foot</v>
      </c>
      <c r="G7" s="85">
        <f>+J25</f>
        <v>1.2497813999999998</v>
      </c>
    </row>
    <row r="8" spans="1:12">
      <c r="A8" s="2"/>
      <c r="B8" s="54">
        <v>575</v>
      </c>
      <c r="C8" s="7" t="str">
        <f>+G12</f>
        <v>WHIP</v>
      </c>
      <c r="D8" s="110" t="s">
        <v>2326</v>
      </c>
      <c r="E8" s="110" t="s">
        <v>2327</v>
      </c>
      <c r="F8" s="7" t="s">
        <v>2328</v>
      </c>
      <c r="G8" s="85">
        <f>+K25</f>
        <v>0</v>
      </c>
    </row>
    <row r="9" spans="1:12">
      <c r="A9" s="2"/>
      <c r="B9" s="8">
        <f>+B8</f>
        <v>575</v>
      </c>
      <c r="C9" s="10" t="str">
        <f>+C8</f>
        <v>WHIP</v>
      </c>
      <c r="D9" s="111" t="s">
        <v>2326</v>
      </c>
      <c r="E9" s="111" t="str">
        <f>CONCATENATE(E6, "-HU")</f>
        <v>Animal Trails and Walkways - Rock/Geotextile Installation-HU</v>
      </c>
      <c r="F9" s="10" t="str">
        <f>+F8</f>
        <v>Square Foot</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0</v>
      </c>
      <c r="E16" s="160">
        <f>+'[10]Payment Factors'!D6</f>
        <v>0.75</v>
      </c>
      <c r="F16" s="160">
        <f>+'[10]Payment Factors'!E6</f>
        <v>0.9</v>
      </c>
      <c r="G16" s="160">
        <f>+'[10]Payment Factors'!F6</f>
        <v>0</v>
      </c>
      <c r="H16" s="160">
        <f>+'[10]Payment Factors'!G6</f>
        <v>0</v>
      </c>
      <c r="I16" s="1154">
        <f t="shared" ref="I16:L24" si="0">+$D16*E16</f>
        <v>0</v>
      </c>
      <c r="J16" s="1154">
        <f t="shared" si="0"/>
        <v>0</v>
      </c>
      <c r="K16" s="1154">
        <f t="shared" si="0"/>
        <v>0</v>
      </c>
      <c r="L16" s="1155">
        <f t="shared" si="0"/>
        <v>0</v>
      </c>
    </row>
    <row r="17" spans="1:12">
      <c r="A17" s="2"/>
      <c r="B17" s="15" t="s">
        <v>2</v>
      </c>
      <c r="C17" s="16"/>
      <c r="D17" s="24">
        <f>+I43</f>
        <v>1.1459699999999999</v>
      </c>
      <c r="E17" s="160">
        <f t="shared" ref="E17:H19" si="1">+E16</f>
        <v>0.75</v>
      </c>
      <c r="F17" s="160">
        <f t="shared" si="1"/>
        <v>0.9</v>
      </c>
      <c r="G17" s="160">
        <f t="shared" si="1"/>
        <v>0</v>
      </c>
      <c r="H17" s="160">
        <f t="shared" si="1"/>
        <v>0</v>
      </c>
      <c r="I17" s="1154">
        <f t="shared" si="0"/>
        <v>0.85947749999999989</v>
      </c>
      <c r="J17" s="1154">
        <f t="shared" si="0"/>
        <v>1.0313729999999999</v>
      </c>
      <c r="K17" s="1154">
        <f t="shared" si="0"/>
        <v>0</v>
      </c>
      <c r="L17" s="1155">
        <f t="shared" si="0"/>
        <v>0</v>
      </c>
    </row>
    <row r="18" spans="1:12">
      <c r="A18" s="2"/>
      <c r="B18" s="15" t="s">
        <v>3</v>
      </c>
      <c r="C18" s="16"/>
      <c r="D18" s="24">
        <f>+I50</f>
        <v>0.20222999999999999</v>
      </c>
      <c r="E18" s="160">
        <f t="shared" si="1"/>
        <v>0.75</v>
      </c>
      <c r="F18" s="160">
        <f t="shared" si="1"/>
        <v>0.9</v>
      </c>
      <c r="G18" s="160">
        <f t="shared" si="1"/>
        <v>0</v>
      </c>
      <c r="H18" s="160">
        <f t="shared" si="1"/>
        <v>0</v>
      </c>
      <c r="I18" s="1154">
        <f t="shared" si="0"/>
        <v>0.15167249999999999</v>
      </c>
      <c r="J18" s="1154">
        <f t="shared" si="0"/>
        <v>0.182007</v>
      </c>
      <c r="K18" s="1154">
        <f t="shared" si="0"/>
        <v>0</v>
      </c>
      <c r="L18" s="1155">
        <f t="shared" si="0"/>
        <v>0</v>
      </c>
    </row>
    <row r="19" spans="1:12">
      <c r="A19" s="2"/>
      <c r="B19" s="15" t="s">
        <v>4</v>
      </c>
      <c r="C19" s="16"/>
      <c r="D19" s="24">
        <f>+I54</f>
        <v>4.0445999999999996E-2</v>
      </c>
      <c r="E19" s="160">
        <f t="shared" si="1"/>
        <v>0.75</v>
      </c>
      <c r="F19" s="160">
        <f t="shared" si="1"/>
        <v>0.9</v>
      </c>
      <c r="G19" s="160">
        <f t="shared" si="1"/>
        <v>0</v>
      </c>
      <c r="H19" s="160">
        <f t="shared" si="1"/>
        <v>0</v>
      </c>
      <c r="I19" s="1154">
        <f t="shared" si="0"/>
        <v>3.0334499999999997E-2</v>
      </c>
      <c r="J19" s="1154">
        <f t="shared" si="0"/>
        <v>3.64014E-2</v>
      </c>
      <c r="K19" s="1154">
        <f t="shared" si="0"/>
        <v>0</v>
      </c>
      <c r="L19" s="1155">
        <f t="shared" si="0"/>
        <v>0</v>
      </c>
    </row>
    <row r="20" spans="1:12">
      <c r="A20" s="2"/>
      <c r="B20" s="15" t="s">
        <v>26</v>
      </c>
      <c r="C20" s="16"/>
      <c r="D20" s="24">
        <f>+I57</f>
        <v>1.3481999999999999E-2</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+I67</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+I70</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1.4021279999999998</v>
      </c>
      <c r="E25" s="1158"/>
      <c r="F25" s="1158"/>
      <c r="G25" s="28"/>
      <c r="H25" s="28"/>
      <c r="I25" s="1159">
        <f>SUM(I16:I24)</f>
        <v>1.0414844999999997</v>
      </c>
      <c r="J25" s="1159">
        <f>SUM(J16:J24)</f>
        <v>1.2497813999999998</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2329</v>
      </c>
      <c r="C29" s="34"/>
      <c r="D29" s="34"/>
      <c r="E29" s="35"/>
      <c r="F29" s="35"/>
      <c r="G29" s="35"/>
      <c r="H29" s="35"/>
      <c r="I29" s="36"/>
    </row>
    <row r="30" spans="1:12">
      <c r="A30" s="2"/>
      <c r="B30" s="37" t="s">
        <v>2330</v>
      </c>
      <c r="C30" s="34"/>
      <c r="D30" s="34"/>
      <c r="E30" s="1162"/>
      <c r="F30" s="1163"/>
      <c r="G30" s="35"/>
      <c r="H30" s="35"/>
      <c r="I30" s="36"/>
    </row>
    <row r="31" spans="1:12">
      <c r="A31" s="2"/>
      <c r="B31" s="37" t="s">
        <v>2331</v>
      </c>
      <c r="C31" s="34"/>
      <c r="D31" s="34"/>
      <c r="E31" s="35"/>
      <c r="F31" s="35"/>
      <c r="G31" s="35"/>
      <c r="H31" s="35"/>
      <c r="I31" s="36"/>
    </row>
    <row r="32" spans="1:12">
      <c r="A32" s="2"/>
      <c r="B32" s="3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2328</v>
      </c>
      <c r="E36" s="6"/>
      <c r="F36" s="35"/>
      <c r="G36" s="35"/>
      <c r="H36" s="35"/>
      <c r="I36" s="36"/>
    </row>
    <row r="37" spans="1:9">
      <c r="A37" s="2"/>
      <c r="B37" s="38" t="s">
        <v>9</v>
      </c>
      <c r="C37" s="34"/>
      <c r="D37" s="1164">
        <f>+'[10]Payment Factors'!C6</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v>0</v>
      </c>
    </row>
    <row r="41" spans="1:9">
      <c r="A41" s="2"/>
      <c r="B41" s="33" t="s">
        <v>104</v>
      </c>
      <c r="C41" s="35"/>
      <c r="D41" s="1167"/>
      <c r="E41" s="1167"/>
      <c r="F41" s="1167"/>
      <c r="G41" s="1167"/>
      <c r="H41" s="35"/>
      <c r="I41" s="46"/>
    </row>
    <row r="42" spans="1:9">
      <c r="A42" s="2"/>
      <c r="B42" s="1172"/>
      <c r="C42" s="6"/>
      <c r="D42" s="1173"/>
      <c r="E42" s="35"/>
      <c r="F42" s="35"/>
      <c r="G42" s="35"/>
      <c r="H42" s="35"/>
      <c r="I42" s="36"/>
    </row>
    <row r="43" spans="1:9">
      <c r="A43" s="2"/>
      <c r="B43" s="42" t="s">
        <v>2</v>
      </c>
      <c r="C43" s="35"/>
      <c r="D43" s="35"/>
      <c r="E43" s="2003" t="s">
        <v>459</v>
      </c>
      <c r="F43" s="2003"/>
      <c r="G43" s="2003"/>
      <c r="H43" s="2003"/>
      <c r="I43" s="1166">
        <f>(SUM(G45:G45)*0.85)</f>
        <v>1.1459699999999999</v>
      </c>
    </row>
    <row r="44" spans="1:9">
      <c r="A44" s="2"/>
      <c r="B44" s="1174"/>
      <c r="C44" s="35"/>
      <c r="D44" s="1167" t="s">
        <v>447</v>
      </c>
      <c r="E44" s="1167" t="s">
        <v>448</v>
      </c>
      <c r="F44" s="1167" t="s">
        <v>449</v>
      </c>
      <c r="G44" s="1167" t="s">
        <v>450</v>
      </c>
      <c r="H44" s="35"/>
      <c r="I44" s="46"/>
    </row>
    <row r="45" spans="1:9">
      <c r="A45" s="2"/>
      <c r="B45" s="1374" t="str">
        <f>+'[34]Core Rates'!A266</f>
        <v>Rock/Geo-Textile (Installed)</v>
      </c>
      <c r="C45" s="6"/>
      <c r="D45" s="1189" t="str">
        <f>+'[34]Core Rates'!B36</f>
        <v>Sq Ft</v>
      </c>
      <c r="E45" s="1169">
        <f>+'[34]Core Rates'!C266</f>
        <v>1.3482000000000001</v>
      </c>
      <c r="F45" s="1170">
        <v>1</v>
      </c>
      <c r="G45" s="1171">
        <f>+F45*E45</f>
        <v>1.3482000000000001</v>
      </c>
      <c r="H45" s="35"/>
      <c r="I45" s="47"/>
    </row>
    <row r="46" spans="1:9">
      <c r="A46" s="2"/>
      <c r="B46" s="40"/>
      <c r="C46" s="6"/>
      <c r="D46" s="63"/>
      <c r="E46" s="150"/>
      <c r="F46" s="150"/>
      <c r="G46" s="1169"/>
      <c r="H46" s="35"/>
      <c r="I46" s="47"/>
    </row>
    <row r="47" spans="1:9">
      <c r="A47" s="2"/>
      <c r="B47" s="37" t="s">
        <v>43</v>
      </c>
      <c r="C47" s="6"/>
      <c r="D47" s="1173"/>
      <c r="E47" s="35"/>
      <c r="F47" s="35"/>
      <c r="G47" s="35"/>
      <c r="H47" s="35"/>
      <c r="I47" s="36"/>
    </row>
    <row r="48" spans="1:9">
      <c r="A48" s="2"/>
      <c r="B48" s="40" t="s">
        <v>457</v>
      </c>
      <c r="C48" s="6"/>
      <c r="D48" s="1173"/>
      <c r="E48" s="35"/>
      <c r="F48" s="35"/>
      <c r="G48" s="35"/>
      <c r="H48" s="35"/>
      <c r="I48" s="36"/>
    </row>
    <row r="49" spans="1:9">
      <c r="A49" s="2"/>
      <c r="B49" s="1177"/>
      <c r="C49" s="1178"/>
      <c r="D49" s="1178"/>
      <c r="E49" s="1178"/>
      <c r="F49" s="1178"/>
      <c r="G49" s="1178"/>
      <c r="H49" s="1178"/>
      <c r="I49" s="1179"/>
    </row>
    <row r="50" spans="1:9">
      <c r="A50" s="2"/>
      <c r="B50" s="42" t="s">
        <v>3</v>
      </c>
      <c r="C50" s="35"/>
      <c r="D50" s="35"/>
      <c r="E50" s="35"/>
      <c r="F50" s="39"/>
      <c r="G50" s="35"/>
      <c r="H50" s="35"/>
      <c r="I50" s="1182">
        <f>E52</f>
        <v>0.20222999999999999</v>
      </c>
    </row>
    <row r="51" spans="1:9">
      <c r="A51" s="2"/>
      <c r="B51" s="2007" t="s">
        <v>465</v>
      </c>
      <c r="C51" s="2008"/>
      <c r="D51" s="35"/>
      <c r="E51" s="35"/>
      <c r="F51" s="35"/>
      <c r="G51" s="35"/>
      <c r="H51" s="35"/>
      <c r="I51" s="48"/>
    </row>
    <row r="52" spans="1:9">
      <c r="A52" s="2"/>
      <c r="B52" s="37" t="s">
        <v>466</v>
      </c>
      <c r="C52" s="39"/>
      <c r="D52" s="39"/>
      <c r="E52" s="153">
        <f>SUM(G45:G45)*0.15</f>
        <v>0.20222999999999999</v>
      </c>
      <c r="F52" s="35"/>
      <c r="G52" s="35"/>
      <c r="H52" s="35"/>
      <c r="I52" s="46"/>
    </row>
    <row r="53" spans="1:9">
      <c r="A53" s="2"/>
      <c r="B53" s="33"/>
      <c r="C53" s="35"/>
      <c r="D53" s="35"/>
      <c r="E53" s="35"/>
      <c r="F53" s="35"/>
      <c r="G53" s="35"/>
      <c r="H53" s="35"/>
      <c r="I53" s="36"/>
    </row>
    <row r="54" spans="1:9">
      <c r="A54" s="2"/>
      <c r="B54" s="42" t="s">
        <v>4</v>
      </c>
      <c r="C54" s="35"/>
      <c r="D54" s="35"/>
      <c r="E54" s="35"/>
      <c r="F54" s="35"/>
      <c r="G54" s="35"/>
      <c r="H54" s="35"/>
      <c r="I54" s="1182">
        <f>0.03*(I40+I43+I50)</f>
        <v>4.0445999999999996E-2</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f>0.01*(I40+I43+I50)</f>
        <v>1.3481999999999999E-2</v>
      </c>
    </row>
    <row r="58" spans="1:9">
      <c r="A58" s="2"/>
      <c r="B58" s="33" t="s">
        <v>749</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756" t="s">
        <v>104</v>
      </c>
      <c r="C64" s="35"/>
      <c r="D64" s="35"/>
      <c r="E64" s="35"/>
      <c r="F64" s="35"/>
      <c r="G64" s="35"/>
      <c r="H64" s="35"/>
      <c r="I64" s="47"/>
    </row>
    <row r="65" spans="1:9">
      <c r="A65" s="2"/>
      <c r="B65" s="756"/>
      <c r="C65" s="35"/>
      <c r="D65" s="35"/>
      <c r="E65" s="35"/>
      <c r="F65" s="35"/>
      <c r="G65" s="35"/>
      <c r="H65" s="35"/>
      <c r="I65" s="47"/>
    </row>
    <row r="66" spans="1:9">
      <c r="A66" s="2"/>
      <c r="B66" s="37"/>
      <c r="C66" s="35"/>
      <c r="D66" s="35"/>
      <c r="E66" s="35"/>
      <c r="F66" s="35"/>
      <c r="G66" s="35"/>
      <c r="H66" s="35"/>
      <c r="I66" s="36"/>
    </row>
    <row r="67" spans="1:9">
      <c r="A67" s="2"/>
      <c r="B67" s="42" t="s">
        <v>5</v>
      </c>
      <c r="C67" s="35"/>
      <c r="D67" s="35"/>
      <c r="E67" s="35"/>
      <c r="F67" s="35"/>
      <c r="G67" s="35"/>
      <c r="H67" s="35"/>
      <c r="I67" s="1166">
        <v>0</v>
      </c>
    </row>
    <row r="68" spans="1:9">
      <c r="A68" s="2"/>
      <c r="B68" s="33" t="s">
        <v>104</v>
      </c>
      <c r="C68" s="35"/>
      <c r="D68" s="35"/>
      <c r="E68" s="35"/>
      <c r="F68" s="35"/>
      <c r="G68" s="35"/>
      <c r="H68" s="35"/>
      <c r="I68" s="47"/>
    </row>
    <row r="69" spans="1:9">
      <c r="A69" s="2"/>
      <c r="B69" s="37"/>
      <c r="C69" s="35"/>
      <c r="D69" s="35"/>
      <c r="E69" s="35"/>
      <c r="F69" s="35"/>
      <c r="G69" s="35"/>
      <c r="H69" s="35"/>
      <c r="I69" s="36"/>
    </row>
    <row r="70" spans="1:9">
      <c r="A70" s="2"/>
      <c r="B70" s="42" t="s">
        <v>20</v>
      </c>
      <c r="C70" s="35"/>
      <c r="D70" s="35"/>
      <c r="E70" s="35"/>
      <c r="F70" s="35"/>
      <c r="G70" s="35"/>
      <c r="H70" s="35"/>
      <c r="I70" s="1166">
        <v>0</v>
      </c>
    </row>
    <row r="71" spans="1:9">
      <c r="A71" s="2"/>
      <c r="B71" s="33" t="s">
        <v>104</v>
      </c>
      <c r="C71" s="35"/>
      <c r="D71" s="35"/>
      <c r="E71" s="35"/>
      <c r="F71" s="35"/>
      <c r="G71" s="35"/>
      <c r="H71" s="35"/>
      <c r="I71" s="36"/>
    </row>
    <row r="72" spans="1:9">
      <c r="A72" s="2"/>
      <c r="B72" s="40"/>
      <c r="C72" s="35"/>
      <c r="D72" s="35"/>
      <c r="E72" s="35"/>
      <c r="F72" s="35"/>
      <c r="G72" s="35"/>
      <c r="H72" s="35"/>
      <c r="I72" s="36"/>
    </row>
    <row r="73" spans="1:9">
      <c r="A73" s="2"/>
      <c r="B73" s="42" t="s">
        <v>473</v>
      </c>
      <c r="C73" s="35"/>
      <c r="D73" s="35"/>
      <c r="E73" s="35"/>
      <c r="F73" s="35"/>
      <c r="G73" s="35"/>
      <c r="H73" s="35"/>
      <c r="I73" s="1183">
        <f>+I40+I43+I50+I54+I60+I70</f>
        <v>1.3886459999999998</v>
      </c>
    </row>
    <row r="74" spans="1:9" ht="15.75">
      <c r="A74" s="2"/>
      <c r="B74" s="33" t="s">
        <v>474</v>
      </c>
      <c r="C74" s="35"/>
      <c r="D74" s="35"/>
      <c r="E74" s="35"/>
      <c r="F74" s="35"/>
      <c r="G74" s="35"/>
      <c r="H74" s="35"/>
      <c r="I74" s="36"/>
    </row>
    <row r="75" spans="1:9">
      <c r="A75" s="2"/>
      <c r="B75" s="40"/>
      <c r="C75" s="35"/>
      <c r="D75" s="35"/>
      <c r="E75" s="35"/>
      <c r="F75" s="35"/>
      <c r="G75" s="35"/>
      <c r="H75" s="35"/>
      <c r="I75" s="36"/>
    </row>
    <row r="76" spans="1:9">
      <c r="A76" s="2"/>
      <c r="B76" s="43" t="s">
        <v>11</v>
      </c>
      <c r="C76" s="44"/>
      <c r="D76" s="44"/>
      <c r="E76" s="44"/>
      <c r="F76" s="44"/>
      <c r="G76" s="44"/>
      <c r="H76" s="44"/>
      <c r="I76" s="621">
        <f>SUM(I38:I70)</f>
        <v>1.4021279999999998</v>
      </c>
    </row>
  </sheetData>
  <mergeCells count="3">
    <mergeCell ref="B1:D1"/>
    <mergeCell ref="E43:H43"/>
    <mergeCell ref="B51:C51"/>
  </mergeCells>
  <pageMargins left="0.75" right="0.75" top="1" bottom="1" header="0.5" footer="0.5"/>
  <pageSetup scale="46" orientation="portrait" r:id="rId1"/>
  <headerFooter alignWithMargins="0"/>
</worksheet>
</file>

<file path=xl/worksheets/sheet179.xml><?xml version="1.0" encoding="utf-8"?>
<worksheet xmlns="http://schemas.openxmlformats.org/spreadsheetml/2006/main" xmlns:r="http://schemas.openxmlformats.org/officeDocument/2006/relationships">
  <sheetPr>
    <pageSetUpPr fitToPage="1"/>
  </sheetPr>
  <dimension ref="A1:L85"/>
  <sheetViews>
    <sheetView zoomScale="75" zoomScaleNormal="75" workbookViewId="0">
      <selection activeCell="E42" sqref="E42"/>
    </sheetView>
  </sheetViews>
  <sheetFormatPr defaultRowHeight="12.75"/>
  <cols>
    <col min="1" max="1" width="1.85546875" customWidth="1"/>
    <col min="2" max="2" width="9.28515625" bestFit="1" customWidth="1"/>
    <col min="3" max="3" width="24.140625" customWidth="1"/>
    <col min="4" max="4" width="35" customWidth="1"/>
    <col min="5" max="5" width="40" bestFit="1" customWidth="1"/>
    <col min="6" max="6" width="10.42578125" customWidth="1"/>
    <col min="7" max="8" width="9.28515625" bestFit="1" customWidth="1"/>
    <col min="9" max="9" width="10.28515625" bestFit="1" customWidth="1"/>
    <col min="10" max="10" width="11" bestFit="1" customWidth="1"/>
    <col min="11" max="11" width="10.28515625" bestFit="1" customWidth="1"/>
    <col min="12" max="12" width="11" bestFit="1"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578</v>
      </c>
      <c r="C6" s="7" t="str">
        <f>+E12</f>
        <v>EQIP</v>
      </c>
      <c r="D6" s="110" t="s">
        <v>2332</v>
      </c>
      <c r="E6" s="110" t="s">
        <v>2333</v>
      </c>
      <c r="F6" s="7" t="s">
        <v>712</v>
      </c>
      <c r="G6" s="85">
        <f>+I25</f>
        <v>1731.6500904000004</v>
      </c>
    </row>
    <row r="7" spans="1:12">
      <c r="A7" s="2"/>
      <c r="B7" s="54">
        <f>+B6</f>
        <v>578</v>
      </c>
      <c r="C7" s="7" t="str">
        <f>+C6</f>
        <v>EQIP</v>
      </c>
      <c r="D7" s="110" t="s">
        <v>2332</v>
      </c>
      <c r="E7" s="110" t="str">
        <f>CONCATENATE(E6, "-HU")</f>
        <v>Stream Crossing - 6 Foot Deep Stream-HU</v>
      </c>
      <c r="F7" s="7" t="str">
        <f>+F6</f>
        <v>Each</v>
      </c>
      <c r="G7" s="85">
        <f>+J25</f>
        <v>2077.9801084800006</v>
      </c>
    </row>
    <row r="8" spans="1:12">
      <c r="A8" s="2"/>
      <c r="B8" s="54">
        <v>578</v>
      </c>
      <c r="C8" s="7" t="str">
        <f>+G12</f>
        <v>WHIP</v>
      </c>
      <c r="D8" s="110" t="s">
        <v>2332</v>
      </c>
      <c r="E8" s="110" t="s">
        <v>2333</v>
      </c>
      <c r="F8" s="7" t="s">
        <v>712</v>
      </c>
      <c r="G8" s="85">
        <f>+K25</f>
        <v>1731.6500904000004</v>
      </c>
    </row>
    <row r="9" spans="1:12">
      <c r="A9" s="2"/>
      <c r="B9" s="8">
        <f>+B8</f>
        <v>578</v>
      </c>
      <c r="C9" s="10" t="str">
        <f>+C8</f>
        <v>WHIP</v>
      </c>
      <c r="D9" s="111" t="s">
        <v>2332</v>
      </c>
      <c r="E9" s="111" t="str">
        <f>CONCATENATE(E6, "-HU")</f>
        <v>Stream Crossing - 6 Foot Deep Stream-HU</v>
      </c>
      <c r="F9" s="10" t="str">
        <f>+F8</f>
        <v>Each</v>
      </c>
      <c r="G9" s="86">
        <f>+L25</f>
        <v>2077.9801084800006</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23.449999999999996</v>
      </c>
      <c r="E16" s="160">
        <f>+'[10]Payment Factors'!D35</f>
        <v>0.75</v>
      </c>
      <c r="F16" s="160">
        <f>+'[10]Payment Factors'!E35</f>
        <v>0.9</v>
      </c>
      <c r="G16" s="160">
        <f>+'[10]Payment Factors'!F35</f>
        <v>0.75</v>
      </c>
      <c r="H16" s="160">
        <f>+'[10]Payment Factors'!G35</f>
        <v>0.9</v>
      </c>
      <c r="I16" s="1154">
        <f t="shared" ref="I16:L24" si="0">+$D16*E16</f>
        <v>17.587499999999999</v>
      </c>
      <c r="J16" s="1154">
        <f t="shared" si="0"/>
        <v>21.104999999999997</v>
      </c>
      <c r="K16" s="1154">
        <f t="shared" si="0"/>
        <v>17.587499999999999</v>
      </c>
      <c r="L16" s="1155">
        <f t="shared" si="0"/>
        <v>21.104999999999997</v>
      </c>
    </row>
    <row r="17" spans="1:12">
      <c r="A17" s="2"/>
      <c r="B17" s="15" t="s">
        <v>2</v>
      </c>
      <c r="C17" s="16"/>
      <c r="D17" s="24">
        <f>+I47</f>
        <v>1885.4430040000002</v>
      </c>
      <c r="E17" s="160">
        <f t="shared" ref="E17:H19" si="1">+E16</f>
        <v>0.75</v>
      </c>
      <c r="F17" s="160">
        <f t="shared" si="1"/>
        <v>0.9</v>
      </c>
      <c r="G17" s="160">
        <f t="shared" si="1"/>
        <v>0.75</v>
      </c>
      <c r="H17" s="160">
        <f t="shared" si="1"/>
        <v>0.9</v>
      </c>
      <c r="I17" s="1154">
        <f t="shared" si="0"/>
        <v>1414.082253</v>
      </c>
      <c r="J17" s="1154">
        <f t="shared" si="0"/>
        <v>1696.8987036000003</v>
      </c>
      <c r="K17" s="1154">
        <f t="shared" si="0"/>
        <v>1414.082253</v>
      </c>
      <c r="L17" s="1155">
        <f t="shared" si="0"/>
        <v>1696.8987036000003</v>
      </c>
    </row>
    <row r="18" spans="1:12">
      <c r="A18" s="2"/>
      <c r="B18" s="15" t="s">
        <v>3</v>
      </c>
      <c r="C18" s="16"/>
      <c r="D18" s="24">
        <f>+I58</f>
        <v>332.72523600000005</v>
      </c>
      <c r="E18" s="160">
        <f t="shared" si="1"/>
        <v>0.75</v>
      </c>
      <c r="F18" s="160">
        <f t="shared" si="1"/>
        <v>0.9</v>
      </c>
      <c r="G18" s="160">
        <f t="shared" si="1"/>
        <v>0.75</v>
      </c>
      <c r="H18" s="160">
        <f t="shared" si="1"/>
        <v>0.9</v>
      </c>
      <c r="I18" s="1154">
        <f t="shared" si="0"/>
        <v>249.54392700000005</v>
      </c>
      <c r="J18" s="1154">
        <f t="shared" si="0"/>
        <v>299.45271240000005</v>
      </c>
      <c r="K18" s="1154">
        <f t="shared" si="0"/>
        <v>249.54392700000005</v>
      </c>
      <c r="L18" s="1155">
        <f t="shared" si="0"/>
        <v>299.45271240000005</v>
      </c>
    </row>
    <row r="19" spans="1:12">
      <c r="A19" s="2"/>
      <c r="B19" s="15" t="s">
        <v>4</v>
      </c>
      <c r="C19" s="16"/>
      <c r="D19" s="24">
        <f>+I64</f>
        <v>67.248547200000004</v>
      </c>
      <c r="E19" s="160">
        <f t="shared" si="1"/>
        <v>0.75</v>
      </c>
      <c r="F19" s="160">
        <f t="shared" si="1"/>
        <v>0.9</v>
      </c>
      <c r="G19" s="160">
        <f t="shared" si="1"/>
        <v>0.75</v>
      </c>
      <c r="H19" s="160">
        <f t="shared" si="1"/>
        <v>0.9</v>
      </c>
      <c r="I19" s="1154">
        <f t="shared" si="0"/>
        <v>50.4364104</v>
      </c>
      <c r="J19" s="1154">
        <f t="shared" si="0"/>
        <v>60.523692480000008</v>
      </c>
      <c r="K19" s="1154">
        <f t="shared" si="0"/>
        <v>50.4364104</v>
      </c>
      <c r="L19" s="1155">
        <f t="shared" si="0"/>
        <v>60.523692480000008</v>
      </c>
    </row>
    <row r="20" spans="1:12">
      <c r="A20" s="2"/>
      <c r="B20" s="15" t="s">
        <v>26</v>
      </c>
      <c r="C20" s="16"/>
      <c r="D20" s="24">
        <f>+I67</f>
        <v>22.416182400000004</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+I70</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+I73</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+I76</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+I79</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2331.2829695999999</v>
      </c>
      <c r="E25" s="1158"/>
      <c r="F25" s="1158"/>
      <c r="G25" s="28"/>
      <c r="H25" s="28"/>
      <c r="I25" s="1159">
        <f>SUM(I16:I24)</f>
        <v>1731.6500904000004</v>
      </c>
      <c r="J25" s="1159">
        <f>SUM(J16:J24)</f>
        <v>2077.9801084800006</v>
      </c>
      <c r="K25" s="1159">
        <f>SUM(K16:K24)</f>
        <v>1731.6500904000004</v>
      </c>
      <c r="L25" s="1160">
        <f>SUM(L16:L24)</f>
        <v>2077.9801084800006</v>
      </c>
    </row>
    <row r="27" spans="1:12" ht="15.75">
      <c r="A27" s="2"/>
      <c r="B27" s="50" t="s">
        <v>28</v>
      </c>
      <c r="C27" s="2"/>
      <c r="D27" s="2"/>
      <c r="E27" s="2"/>
      <c r="F27" s="2"/>
      <c r="G27" s="2"/>
      <c r="H27" s="2"/>
      <c r="I27" s="5"/>
    </row>
    <row r="28" spans="1:12">
      <c r="A28" s="2"/>
      <c r="B28" s="29" t="s">
        <v>2321</v>
      </c>
      <c r="C28" s="30"/>
      <c r="D28" s="30"/>
      <c r="E28" s="31"/>
      <c r="F28" s="31"/>
      <c r="G28" s="31"/>
      <c r="H28" s="31"/>
      <c r="I28" s="32"/>
    </row>
    <row r="29" spans="1:12">
      <c r="A29" s="2"/>
      <c r="B29" s="142" t="s">
        <v>2334</v>
      </c>
      <c r="C29" s="34"/>
      <c r="D29" s="34"/>
      <c r="E29" s="35"/>
      <c r="F29" s="35"/>
      <c r="G29" s="35"/>
      <c r="H29" s="35"/>
      <c r="I29" s="36"/>
    </row>
    <row r="30" spans="1:12">
      <c r="A30" s="2"/>
      <c r="B30" s="142"/>
      <c r="C30" s="34"/>
      <c r="D30" s="34"/>
      <c r="E30" s="1162"/>
      <c r="F30" s="1163"/>
      <c r="G30" s="35"/>
      <c r="H30" s="35"/>
      <c r="I30" s="36"/>
    </row>
    <row r="31" spans="1:12">
      <c r="A31" s="2"/>
      <c r="B31" s="37" t="s">
        <v>2335</v>
      </c>
      <c r="C31" s="34"/>
      <c r="D31" s="34"/>
      <c r="E31" s="35"/>
      <c r="F31" s="35"/>
      <c r="G31" s="35"/>
      <c r="H31" s="35"/>
      <c r="I31" s="36"/>
    </row>
    <row r="32" spans="1:12">
      <c r="A32" s="2"/>
      <c r="B32" s="3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Factors'!C35</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23.449999999999996</v>
      </c>
    </row>
    <row r="41" spans="1:9">
      <c r="A41" s="2"/>
      <c r="B41" s="1174"/>
      <c r="C41" s="35"/>
      <c r="D41" s="1167" t="s">
        <v>447</v>
      </c>
      <c r="E41" s="1167" t="s">
        <v>448</v>
      </c>
      <c r="F41" s="1167" t="s">
        <v>449</v>
      </c>
      <c r="G41" s="1167" t="s">
        <v>450</v>
      </c>
      <c r="H41" s="35"/>
      <c r="I41" s="46"/>
    </row>
    <row r="42" spans="1:9">
      <c r="A42" s="2"/>
      <c r="B42" s="1186" t="str">
        <f>+'[35]Core Rates'!A313</f>
        <v>Seed (Tall Fescue KY-31)</v>
      </c>
      <c r="C42" s="1187"/>
      <c r="D42" s="1169" t="str">
        <f>+'[35]Core Rates'!B313</f>
        <v>Lbs</v>
      </c>
      <c r="E42" s="1169">
        <f>+'[35]Core Rates'!C313</f>
        <v>2.3449999999999998</v>
      </c>
      <c r="F42" s="1170">
        <f>50*0.2</f>
        <v>10</v>
      </c>
      <c r="G42" s="1171">
        <f>+F42*E42</f>
        <v>23.449999999999996</v>
      </c>
      <c r="H42" s="35"/>
      <c r="I42" s="36"/>
    </row>
    <row r="43" spans="1:9">
      <c r="A43" s="2"/>
      <c r="B43" s="1172"/>
      <c r="C43" s="6"/>
      <c r="D43" s="1173"/>
      <c r="E43" s="35"/>
      <c r="F43" s="35"/>
      <c r="G43" s="35"/>
      <c r="H43" s="35"/>
      <c r="I43" s="36"/>
    </row>
    <row r="44" spans="1:9">
      <c r="A44" s="2"/>
      <c r="B44" s="37" t="s">
        <v>43</v>
      </c>
      <c r="C44" s="35"/>
      <c r="D44" s="35"/>
      <c r="E44" s="60"/>
      <c r="F44" s="60"/>
      <c r="G44" s="60"/>
      <c r="H44" s="35"/>
      <c r="I44" s="46"/>
    </row>
    <row r="45" spans="1:9">
      <c r="A45" s="2"/>
      <c r="B45" s="40" t="s">
        <v>457</v>
      </c>
      <c r="C45" s="6"/>
      <c r="D45" s="1173"/>
      <c r="E45" s="35"/>
      <c r="F45" s="35"/>
      <c r="G45" s="35"/>
      <c r="H45" s="35"/>
      <c r="I45" s="36"/>
    </row>
    <row r="46" spans="1:9">
      <c r="A46" s="2"/>
      <c r="B46" s="1177"/>
      <c r="C46" s="1178"/>
      <c r="D46" s="1178"/>
      <c r="E46" s="1178"/>
      <c r="F46" s="1178"/>
      <c r="G46" s="1178"/>
      <c r="H46" s="1178"/>
      <c r="I46" s="1179"/>
    </row>
    <row r="47" spans="1:9">
      <c r="A47" s="2"/>
      <c r="B47" s="42" t="s">
        <v>2</v>
      </c>
      <c r="C47" s="35"/>
      <c r="D47" s="35"/>
      <c r="E47" s="2003" t="s">
        <v>459</v>
      </c>
      <c r="F47" s="2003"/>
      <c r="G47" s="2003"/>
      <c r="H47" s="2003"/>
      <c r="I47" s="1166">
        <f>(SUM(G49:G53)*0.85)</f>
        <v>1885.4430040000002</v>
      </c>
    </row>
    <row r="48" spans="1:9">
      <c r="A48" s="2"/>
      <c r="B48" s="1174"/>
      <c r="C48" s="35"/>
      <c r="D48" s="1167" t="s">
        <v>447</v>
      </c>
      <c r="E48" s="1167" t="s">
        <v>448</v>
      </c>
      <c r="F48" s="1167" t="s">
        <v>449</v>
      </c>
      <c r="G48" s="1167" t="s">
        <v>450</v>
      </c>
      <c r="H48" s="35"/>
      <c r="I48" s="46"/>
    </row>
    <row r="49" spans="1:9">
      <c r="A49" s="2"/>
      <c r="B49" s="1374" t="str">
        <f>+'[35]Core Rates'!A56</f>
        <v>Construction Site Prep - Medium</v>
      </c>
      <c r="C49" s="6"/>
      <c r="D49" s="1169" t="str">
        <f>+'[35]Core Rates'!B56</f>
        <v>Ac</v>
      </c>
      <c r="E49" s="1169">
        <f>+'[35]Core Rates'!C56</f>
        <v>573.81119999999999</v>
      </c>
      <c r="F49" s="1170">
        <v>0.2</v>
      </c>
      <c r="G49" s="1171">
        <f>+F49*E49</f>
        <v>114.76224000000001</v>
      </c>
      <c r="H49" s="35"/>
      <c r="I49" s="47"/>
    </row>
    <row r="50" spans="1:9">
      <c r="A50" s="2"/>
      <c r="B50" s="1374" t="str">
        <f>+'[35]Core Rates'!A262</f>
        <v>Riprap (In Place)</v>
      </c>
      <c r="C50" s="6"/>
      <c r="D50" s="1169" t="str">
        <f>+'[35]Core Rates'!B262</f>
        <v>Ton</v>
      </c>
      <c r="E50" s="1169">
        <f>+'[35]Core Rates'!C262</f>
        <v>23.540000000000003</v>
      </c>
      <c r="F50" s="1170">
        <v>32</v>
      </c>
      <c r="G50" s="1171">
        <f>+F50*E50</f>
        <v>753.28000000000009</v>
      </c>
      <c r="H50" s="35"/>
      <c r="I50" s="47"/>
    </row>
    <row r="51" spans="1:9">
      <c r="A51" s="2"/>
      <c r="B51" s="1374" t="str">
        <f>+'[35]Core Rates'!A266</f>
        <v>Rock/Geo-Textile (Installed)</v>
      </c>
      <c r="C51" s="6"/>
      <c r="D51" s="1169" t="str">
        <f>+'[35]Core Rates'!B266</f>
        <v>Sq Ft</v>
      </c>
      <c r="E51" s="1169">
        <f>+'[35]Core Rates'!C266</f>
        <v>1.3482000000000001</v>
      </c>
      <c r="F51" s="1170">
        <v>930</v>
      </c>
      <c r="G51" s="1171">
        <f>+F51*E51</f>
        <v>1253.826</v>
      </c>
      <c r="H51" s="35"/>
      <c r="I51" s="47"/>
    </row>
    <row r="52" spans="1:9">
      <c r="A52" s="2"/>
      <c r="B52" s="1374" t="str">
        <f>+'[35]Core Rates'!A37</f>
        <v xml:space="preserve">Broadcasting Seed </v>
      </c>
      <c r="C52" s="6"/>
      <c r="D52" s="1169" t="str">
        <f>+'[35]Core Rates'!B37</f>
        <v>Ac</v>
      </c>
      <c r="E52" s="1169">
        <f>+'[35]Core Rates'!C37</f>
        <v>9</v>
      </c>
      <c r="F52" s="1170">
        <v>0.2</v>
      </c>
      <c r="G52" s="1171">
        <f>+F52*E52</f>
        <v>1.8</v>
      </c>
      <c r="H52" s="35"/>
      <c r="I52" s="47"/>
    </row>
    <row r="53" spans="1:9">
      <c r="A53" s="2"/>
      <c r="B53" s="1386" t="str">
        <f>+'[35]Core Rates'!A217</f>
        <v>Mulching (2 tons/ac applied)</v>
      </c>
      <c r="C53" s="6"/>
      <c r="D53" s="1169" t="str">
        <f>+'[35]Core Rates'!B217</f>
        <v>Ac</v>
      </c>
      <c r="E53" s="1169">
        <f>+'[35]Core Rates'!C217</f>
        <v>472.5</v>
      </c>
      <c r="F53" s="1170">
        <v>0.2</v>
      </c>
      <c r="G53" s="1171">
        <f>+F53*E53</f>
        <v>94.5</v>
      </c>
      <c r="H53" s="35"/>
      <c r="I53" s="47"/>
    </row>
    <row r="54" spans="1:9">
      <c r="A54" s="2"/>
      <c r="B54" s="40"/>
      <c r="C54" s="6"/>
      <c r="D54" s="63"/>
      <c r="E54" s="150"/>
      <c r="F54" s="150"/>
      <c r="G54" s="1169"/>
      <c r="H54" s="35"/>
      <c r="I54" s="47"/>
    </row>
    <row r="55" spans="1:9">
      <c r="A55" s="2"/>
      <c r="B55" s="37" t="s">
        <v>43</v>
      </c>
      <c r="C55" s="35"/>
      <c r="D55" s="35"/>
      <c r="E55" s="60"/>
      <c r="F55" s="60"/>
      <c r="G55" s="60"/>
      <c r="H55" s="35"/>
      <c r="I55" s="46"/>
    </row>
    <row r="56" spans="1:9">
      <c r="A56" s="2"/>
      <c r="B56" s="40" t="s">
        <v>457</v>
      </c>
      <c r="C56" s="6"/>
      <c r="D56" s="1173"/>
      <c r="E56" s="35"/>
      <c r="F56" s="35"/>
      <c r="G56" s="35"/>
      <c r="H56" s="35"/>
      <c r="I56" s="36"/>
    </row>
    <row r="57" spans="1:9">
      <c r="A57" s="2"/>
      <c r="B57" s="1177"/>
      <c r="C57" s="1178"/>
      <c r="D57" s="1178"/>
      <c r="E57" s="1178"/>
      <c r="F57" s="1178"/>
      <c r="G57" s="1178"/>
      <c r="H57" s="1178"/>
      <c r="I57" s="1179"/>
    </row>
    <row r="58" spans="1:9">
      <c r="A58" s="2"/>
      <c r="B58" s="42" t="s">
        <v>3</v>
      </c>
      <c r="C58" s="35"/>
      <c r="D58" s="35"/>
      <c r="E58" s="35"/>
      <c r="F58" s="39"/>
      <c r="G58" s="35"/>
      <c r="H58" s="35"/>
      <c r="I58" s="1182">
        <f>E60</f>
        <v>332.72523600000005</v>
      </c>
    </row>
    <row r="59" spans="1:9">
      <c r="A59" s="2"/>
      <c r="B59" s="2007" t="s">
        <v>465</v>
      </c>
      <c r="C59" s="2008"/>
      <c r="D59" s="35"/>
      <c r="E59" s="35"/>
      <c r="F59" s="35"/>
      <c r="G59" s="35"/>
      <c r="H59" s="35"/>
      <c r="I59" s="48"/>
    </row>
    <row r="60" spans="1:9">
      <c r="A60" s="2"/>
      <c r="B60" s="37" t="s">
        <v>466</v>
      </c>
      <c r="C60" s="39"/>
      <c r="D60" s="39"/>
      <c r="E60" s="153">
        <f>SUM(G49:G53)*0.15</f>
        <v>332.72523600000005</v>
      </c>
      <c r="F60" s="35"/>
      <c r="G60" s="35"/>
      <c r="H60" s="35"/>
      <c r="I60" s="46"/>
    </row>
    <row r="61" spans="1:9">
      <c r="A61" s="2"/>
      <c r="B61" s="37"/>
      <c r="C61" s="39"/>
      <c r="D61" s="1180"/>
      <c r="E61" s="153"/>
      <c r="F61" s="35"/>
      <c r="G61" s="35"/>
      <c r="H61" s="35"/>
      <c r="I61" s="46"/>
    </row>
    <row r="62" spans="1:9">
      <c r="A62" s="2"/>
      <c r="B62" s="37"/>
      <c r="C62" s="39"/>
      <c r="D62" s="1181"/>
      <c r="E62" s="153"/>
      <c r="F62" s="35"/>
      <c r="G62" s="35"/>
      <c r="H62" s="35"/>
      <c r="I62" s="46"/>
    </row>
    <row r="63" spans="1:9">
      <c r="A63" s="2"/>
      <c r="B63" s="33"/>
      <c r="C63" s="35"/>
      <c r="D63" s="35"/>
      <c r="E63" s="35"/>
      <c r="F63" s="35"/>
      <c r="G63" s="35"/>
      <c r="H63" s="35"/>
      <c r="I63" s="36"/>
    </row>
    <row r="64" spans="1:9">
      <c r="A64" s="2"/>
      <c r="B64" s="42" t="s">
        <v>4</v>
      </c>
      <c r="C64" s="35"/>
      <c r="D64" s="35"/>
      <c r="E64" s="35"/>
      <c r="F64" s="35"/>
      <c r="G64" s="35"/>
      <c r="H64" s="35"/>
      <c r="I64" s="1182">
        <f>0.03*(I40+I47+I58)</f>
        <v>67.248547200000004</v>
      </c>
    </row>
    <row r="65" spans="1:9">
      <c r="A65" s="2"/>
      <c r="B65" s="33" t="s">
        <v>467</v>
      </c>
      <c r="C65" s="35"/>
      <c r="D65" s="35"/>
      <c r="E65" s="35"/>
      <c r="F65" s="35"/>
      <c r="G65" s="35"/>
      <c r="H65" s="35"/>
      <c r="I65" s="36"/>
    </row>
    <row r="66" spans="1:9">
      <c r="A66" s="2"/>
      <c r="B66" s="37"/>
      <c r="C66" s="35"/>
      <c r="D66" s="35"/>
      <c r="E66" s="35"/>
      <c r="F66" s="35"/>
      <c r="G66" s="35"/>
      <c r="H66" s="35"/>
      <c r="I66" s="36"/>
    </row>
    <row r="67" spans="1:9">
      <c r="A67" s="2"/>
      <c r="B67" s="42" t="s">
        <v>468</v>
      </c>
      <c r="C67" s="35"/>
      <c r="D67" s="35"/>
      <c r="E67" s="35"/>
      <c r="F67" s="35"/>
      <c r="G67" s="35"/>
      <c r="H67" s="35"/>
      <c r="I67" s="1182">
        <f>0.01*(I40+I47+I58)</f>
        <v>22.416182400000004</v>
      </c>
    </row>
    <row r="68" spans="1:9">
      <c r="A68" s="2"/>
      <c r="B68" s="33" t="s">
        <v>749</v>
      </c>
      <c r="C68" s="35"/>
      <c r="D68" s="35"/>
      <c r="E68" s="35"/>
      <c r="F68" s="35"/>
      <c r="G68" s="35"/>
      <c r="H68" s="35"/>
      <c r="I68" s="36"/>
    </row>
    <row r="69" spans="1:9">
      <c r="A69" s="2"/>
      <c r="B69" s="37"/>
      <c r="C69" s="35"/>
      <c r="D69" s="35"/>
      <c r="E69" s="35"/>
      <c r="F69" s="35"/>
      <c r="G69" s="35"/>
      <c r="H69" s="35"/>
      <c r="I69" s="36"/>
    </row>
    <row r="70" spans="1:9">
      <c r="A70" s="2"/>
      <c r="B70" s="42" t="s">
        <v>7</v>
      </c>
      <c r="C70" s="35"/>
      <c r="D70" s="35"/>
      <c r="E70" s="35"/>
      <c r="F70" s="35"/>
      <c r="G70" s="35"/>
      <c r="H70" s="35"/>
      <c r="I70" s="1166">
        <v>0</v>
      </c>
    </row>
    <row r="71" spans="1:9">
      <c r="A71" s="2"/>
      <c r="B71" s="33" t="s">
        <v>104</v>
      </c>
      <c r="C71" s="35"/>
      <c r="D71" s="35"/>
      <c r="E71" s="35"/>
      <c r="F71" s="35"/>
      <c r="G71" s="35"/>
      <c r="H71" s="35"/>
      <c r="I71" s="36"/>
    </row>
    <row r="72" spans="1:9">
      <c r="A72" s="2"/>
      <c r="B72" s="37"/>
      <c r="C72" s="35"/>
      <c r="D72" s="35"/>
      <c r="E72" s="35"/>
      <c r="F72" s="35"/>
      <c r="G72" s="35"/>
      <c r="H72" s="35"/>
      <c r="I72" s="36"/>
    </row>
    <row r="73" spans="1:9">
      <c r="A73" s="2"/>
      <c r="B73" s="42" t="s">
        <v>471</v>
      </c>
      <c r="C73" s="35"/>
      <c r="D73" s="35"/>
      <c r="E73" s="35"/>
      <c r="F73" s="39"/>
      <c r="G73" s="35"/>
      <c r="H73" s="35"/>
      <c r="I73" s="1166">
        <v>0</v>
      </c>
    </row>
    <row r="74" spans="1:9">
      <c r="A74" s="2"/>
      <c r="B74" s="756" t="s">
        <v>104</v>
      </c>
      <c r="C74" s="35"/>
      <c r="D74" s="35"/>
      <c r="E74" s="35"/>
      <c r="F74" s="35"/>
      <c r="G74" s="35"/>
      <c r="H74" s="35"/>
      <c r="I74" s="47"/>
    </row>
    <row r="75" spans="1:9">
      <c r="A75" s="2"/>
      <c r="B75" s="37"/>
      <c r="C75" s="35"/>
      <c r="D75" s="35"/>
      <c r="E75" s="35"/>
      <c r="F75" s="35"/>
      <c r="G75" s="35"/>
      <c r="H75" s="35"/>
      <c r="I75" s="36"/>
    </row>
    <row r="76" spans="1:9">
      <c r="A76" s="2"/>
      <c r="B76" s="42" t="s">
        <v>5</v>
      </c>
      <c r="C76" s="35"/>
      <c r="D76" s="35"/>
      <c r="E76" s="35"/>
      <c r="F76" s="35"/>
      <c r="G76" s="35"/>
      <c r="H76" s="35"/>
      <c r="I76" s="1166">
        <v>0</v>
      </c>
    </row>
    <row r="77" spans="1:9">
      <c r="A77" s="2"/>
      <c r="B77" s="33" t="s">
        <v>104</v>
      </c>
      <c r="C77" s="35"/>
      <c r="D77" s="35"/>
      <c r="E77" s="35"/>
      <c r="F77" s="35"/>
      <c r="G77" s="35"/>
      <c r="H77" s="35"/>
      <c r="I77" s="47"/>
    </row>
    <row r="78" spans="1:9">
      <c r="A78" s="2"/>
      <c r="B78" s="37"/>
      <c r="C78" s="35"/>
      <c r="D78" s="35"/>
      <c r="E78" s="35"/>
      <c r="F78" s="35"/>
      <c r="G78" s="35"/>
      <c r="H78" s="35"/>
      <c r="I78" s="36"/>
    </row>
    <row r="79" spans="1:9">
      <c r="A79" s="2"/>
      <c r="B79" s="42" t="s">
        <v>20</v>
      </c>
      <c r="C79" s="35"/>
      <c r="D79" s="35"/>
      <c r="E79" s="35"/>
      <c r="F79" s="35"/>
      <c r="G79" s="35"/>
      <c r="H79" s="35"/>
      <c r="I79" s="1166">
        <v>0</v>
      </c>
    </row>
    <row r="80" spans="1:9">
      <c r="A80" s="2"/>
      <c r="B80" s="33" t="s">
        <v>104</v>
      </c>
      <c r="C80" s="35"/>
      <c r="D80" s="35"/>
      <c r="E80" s="35"/>
      <c r="F80" s="35"/>
      <c r="G80" s="35"/>
      <c r="H80" s="35"/>
      <c r="I80" s="36"/>
    </row>
    <row r="81" spans="1:9">
      <c r="A81" s="2"/>
      <c r="B81" s="40"/>
      <c r="C81" s="35"/>
      <c r="D81" s="35"/>
      <c r="E81" s="35"/>
      <c r="F81" s="35"/>
      <c r="G81" s="35"/>
      <c r="H81" s="35"/>
      <c r="I81" s="36"/>
    </row>
    <row r="82" spans="1:9">
      <c r="A82" s="2"/>
      <c r="B82" s="42" t="s">
        <v>473</v>
      </c>
      <c r="C82" s="35"/>
      <c r="D82" s="35"/>
      <c r="E82" s="35"/>
      <c r="F82" s="35"/>
      <c r="G82" s="35"/>
      <c r="H82" s="35"/>
      <c r="I82" s="1183">
        <f>+I40+I47+I58+I64+I70+I79</f>
        <v>2308.8667872000001</v>
      </c>
    </row>
    <row r="83" spans="1:9" ht="15.75">
      <c r="A83" s="2"/>
      <c r="B83" s="33" t="s">
        <v>474</v>
      </c>
      <c r="C83" s="35"/>
      <c r="D83" s="35"/>
      <c r="E83" s="35"/>
      <c r="F83" s="35"/>
      <c r="G83" s="35"/>
      <c r="H83" s="35"/>
      <c r="I83" s="36"/>
    </row>
    <row r="84" spans="1:9">
      <c r="A84" s="2"/>
      <c r="B84" s="40"/>
      <c r="C84" s="35"/>
      <c r="D84" s="35"/>
      <c r="E84" s="35"/>
      <c r="F84" s="35"/>
      <c r="G84" s="35"/>
      <c r="H84" s="35"/>
      <c r="I84" s="36"/>
    </row>
    <row r="85" spans="1:9">
      <c r="A85" s="2"/>
      <c r="B85" s="43" t="s">
        <v>11</v>
      </c>
      <c r="C85" s="44"/>
      <c r="D85" s="44"/>
      <c r="E85" s="44"/>
      <c r="F85" s="44"/>
      <c r="G85" s="44"/>
      <c r="H85" s="44"/>
      <c r="I85" s="621">
        <f>SUM(I40:I79)</f>
        <v>2331.2829695999999</v>
      </c>
    </row>
  </sheetData>
  <mergeCells count="3">
    <mergeCell ref="B1:D1"/>
    <mergeCell ref="E47:H47"/>
    <mergeCell ref="B59:C59"/>
  </mergeCells>
  <pageMargins left="0.75" right="0.75" top="1" bottom="1" header="0.5" footer="0.5"/>
  <pageSetup scale="51" orientation="portrait" r:id="rId1"/>
  <headerFooter alignWithMargins="0"/>
</worksheet>
</file>

<file path=xl/worksheets/sheet18.xml><?xml version="1.0" encoding="utf-8"?>
<worksheet xmlns="http://schemas.openxmlformats.org/spreadsheetml/2006/main" xmlns:r="http://schemas.openxmlformats.org/officeDocument/2006/relationships">
  <dimension ref="B1:P105"/>
  <sheetViews>
    <sheetView zoomScaleNormal="100" workbookViewId="0">
      <selection activeCell="L15" sqref="L15"/>
    </sheetView>
  </sheetViews>
  <sheetFormatPr defaultRowHeight="12.75"/>
  <cols>
    <col min="1" max="1" width="2.85546875" style="2" customWidth="1"/>
    <col min="2" max="2" width="11.5703125" style="2" customWidth="1"/>
    <col min="3" max="3" width="18.7109375" style="2" customWidth="1"/>
    <col min="4" max="4" width="27.5703125" style="2" customWidth="1"/>
    <col min="5" max="5" width="23.85546875" style="2" customWidth="1"/>
    <col min="6" max="6" width="11.42578125" style="2" customWidth="1"/>
    <col min="7" max="7" width="10.42578125" style="2" customWidth="1"/>
    <col min="8" max="8" width="10.5703125" style="2" customWidth="1"/>
    <col min="9" max="9" width="10.140625" style="2" customWidth="1"/>
    <col min="10" max="10" width="8.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c r="B2" s="163" t="s">
        <v>129</v>
      </c>
      <c r="C2" s="79">
        <v>106</v>
      </c>
      <c r="D2" s="79" t="s">
        <v>130</v>
      </c>
      <c r="E2" s="79" t="s">
        <v>160</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c r="B6" s="54">
        <v>106</v>
      </c>
      <c r="C6" s="7" t="str">
        <f>+E10</f>
        <v>EQIP</v>
      </c>
      <c r="D6" s="53" t="s">
        <v>130</v>
      </c>
      <c r="E6" s="53" t="s">
        <v>160</v>
      </c>
      <c r="F6" s="7" t="s">
        <v>47</v>
      </c>
      <c r="G6" s="85">
        <f>G23</f>
        <v>3512.25</v>
      </c>
      <c r="H6" s="89"/>
      <c r="I6" s="89"/>
      <c r="J6"/>
    </row>
    <row r="7" spans="2:10">
      <c r="B7" s="8">
        <v>106</v>
      </c>
      <c r="C7" s="10" t="s">
        <v>15</v>
      </c>
      <c r="D7" s="9" t="s">
        <v>130</v>
      </c>
      <c r="E7" s="9" t="s">
        <v>161</v>
      </c>
      <c r="F7" s="10" t="s">
        <v>47</v>
      </c>
      <c r="G7" s="86">
        <f>$H$23</f>
        <v>4214.7</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4683</v>
      </c>
      <c r="E16" s="160">
        <v>0.75</v>
      </c>
      <c r="F16" s="160">
        <v>0.9</v>
      </c>
      <c r="G16" s="73">
        <f t="shared" si="0"/>
        <v>3512.25</v>
      </c>
      <c r="H16" s="74">
        <f t="shared" si="0"/>
        <v>4214.7</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I58</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4683</v>
      </c>
      <c r="E23" s="28"/>
      <c r="F23" s="28"/>
      <c r="G23" s="51">
        <f t="shared" ref="G23:H23" si="1">SUM(G14:G22)</f>
        <v>3512.25</v>
      </c>
      <c r="H23" s="77">
        <f t="shared" si="1"/>
        <v>4214.7</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134</v>
      </c>
      <c r="E28" s="1955"/>
      <c r="F28" s="1955"/>
      <c r="G28" s="1955"/>
      <c r="H28" s="1955"/>
      <c r="I28" s="36"/>
    </row>
    <row r="29" spans="2:16">
      <c r="B29" s="42"/>
      <c r="C29" s="34"/>
      <c r="D29" s="115"/>
      <c r="E29" s="97"/>
      <c r="F29" s="97"/>
      <c r="G29" s="97"/>
      <c r="H29" s="97"/>
      <c r="I29" s="36"/>
    </row>
    <row r="30" spans="2:16" ht="15" customHeight="1">
      <c r="B30" s="37" t="s">
        <v>41</v>
      </c>
      <c r="C30" s="34"/>
      <c r="D30" s="1956" t="s">
        <v>135</v>
      </c>
      <c r="E30" s="1957"/>
      <c r="F30" s="1957"/>
      <c r="G30" s="1957"/>
      <c r="H30" s="1957"/>
      <c r="I30" s="36"/>
    </row>
    <row r="31" spans="2:16" ht="29.25" customHeight="1">
      <c r="B31" s="91" t="s">
        <v>40</v>
      </c>
      <c r="C31" s="34"/>
      <c r="D31" s="1956" t="s">
        <v>162</v>
      </c>
      <c r="E31" s="1957"/>
      <c r="F31" s="1957"/>
      <c r="G31" s="1957"/>
      <c r="H31" s="1957"/>
      <c r="I31" s="36"/>
    </row>
    <row r="32" spans="2:16" ht="50.25" customHeight="1">
      <c r="B32" s="91" t="s">
        <v>33</v>
      </c>
      <c r="C32" s="90"/>
      <c r="D32" s="1956" t="s">
        <v>137</v>
      </c>
      <c r="E32" s="1957"/>
      <c r="F32" s="1957"/>
      <c r="G32" s="1957"/>
      <c r="H32" s="1957"/>
      <c r="I32" s="36"/>
    </row>
    <row r="33" spans="2:15" ht="62.25" customHeight="1">
      <c r="B33" s="91" t="s">
        <v>35</v>
      </c>
      <c r="C33" s="90"/>
      <c r="D33" s="1956" t="s">
        <v>138</v>
      </c>
      <c r="E33" s="1957"/>
      <c r="F33" s="1957"/>
      <c r="G33" s="1957"/>
      <c r="H33" s="1957"/>
      <c r="I33" s="36"/>
    </row>
    <row r="34" spans="2:15" ht="13.5" customHeight="1">
      <c r="B34" s="91" t="s">
        <v>34</v>
      </c>
      <c r="C34" s="90"/>
      <c r="D34" s="1956" t="s">
        <v>139</v>
      </c>
      <c r="E34" s="1957"/>
      <c r="F34" s="1957"/>
      <c r="G34" s="1957"/>
      <c r="H34" s="1957"/>
      <c r="I34" s="36"/>
    </row>
    <row r="35" spans="2:15">
      <c r="B35" s="37"/>
      <c r="C35" s="34"/>
      <c r="D35" s="34"/>
      <c r="E35" s="35"/>
      <c r="F35" s="35"/>
      <c r="G35" s="35"/>
      <c r="H35" s="35"/>
      <c r="I35" s="36"/>
    </row>
    <row r="36" spans="2:15">
      <c r="B36" s="38" t="s">
        <v>25</v>
      </c>
      <c r="C36" s="34"/>
      <c r="D36" s="1958" t="s">
        <v>129</v>
      </c>
      <c r="E36" s="1952"/>
      <c r="F36" s="1952"/>
      <c r="G36" s="1952"/>
      <c r="H36" s="1952"/>
      <c r="I36" s="36"/>
      <c r="J36" s="49"/>
    </row>
    <row r="37" spans="2:15">
      <c r="B37" s="37"/>
      <c r="C37" s="34"/>
      <c r="D37" s="35"/>
      <c r="E37" s="35"/>
      <c r="F37" s="35"/>
      <c r="G37" s="35"/>
      <c r="H37" s="35"/>
      <c r="I37" s="36"/>
    </row>
    <row r="38" spans="2:15">
      <c r="B38" s="38" t="s">
        <v>8</v>
      </c>
      <c r="C38" s="34"/>
      <c r="D38" s="39" t="s">
        <v>38</v>
      </c>
      <c r="E38" s="35"/>
      <c r="F38" s="35"/>
      <c r="G38" s="35"/>
      <c r="H38" s="35"/>
      <c r="I38" s="36"/>
    </row>
    <row r="39" spans="2:15">
      <c r="B39" s="38" t="s">
        <v>9</v>
      </c>
      <c r="C39" s="34"/>
      <c r="D39" s="92">
        <v>1</v>
      </c>
      <c r="E39" s="35"/>
      <c r="F39" s="35"/>
      <c r="G39" s="35"/>
      <c r="H39" s="35"/>
      <c r="I39" s="36"/>
    </row>
    <row r="40" spans="2:15">
      <c r="B40" s="38" t="s">
        <v>10</v>
      </c>
      <c r="C40" s="35"/>
      <c r="D40" s="93">
        <v>0</v>
      </c>
      <c r="E40" s="35"/>
      <c r="F40" s="35"/>
      <c r="G40" s="35"/>
      <c r="H40" s="35"/>
      <c r="I40" s="96" t="s">
        <v>6</v>
      </c>
    </row>
    <row r="41" spans="2:15">
      <c r="B41" s="40"/>
      <c r="C41" s="35"/>
      <c r="D41" s="35"/>
      <c r="E41" s="41"/>
      <c r="F41" s="35"/>
      <c r="G41" s="35"/>
      <c r="H41" s="35"/>
      <c r="I41" s="149"/>
      <c r="L41" s="64"/>
      <c r="M41" s="64"/>
      <c r="N41" s="61"/>
      <c r="O41" s="61"/>
    </row>
    <row r="42" spans="2:15">
      <c r="B42" s="42" t="s">
        <v>0</v>
      </c>
      <c r="C42" s="35"/>
      <c r="D42" s="35"/>
      <c r="E42" s="35"/>
      <c r="F42" s="35"/>
      <c r="G42" s="35"/>
      <c r="H42" s="35"/>
      <c r="I42" s="46">
        <v>0</v>
      </c>
      <c r="L42" s="64"/>
      <c r="M42" s="64"/>
      <c r="N42" s="61"/>
      <c r="O42" s="61"/>
    </row>
    <row r="43" spans="2:15" ht="14.25" customHeight="1">
      <c r="B43" s="37" t="s">
        <v>39</v>
      </c>
      <c r="C43" s="35"/>
      <c r="D43" s="166"/>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0</v>
      </c>
      <c r="L45" s="64"/>
      <c r="M45" s="61"/>
    </row>
    <row r="46" spans="2:15" ht="12.75" customHeight="1">
      <c r="B46" s="1959" t="s">
        <v>39</v>
      </c>
      <c r="C46" s="1955"/>
      <c r="D46" s="1955"/>
      <c r="E46" s="1955"/>
      <c r="F46" s="1955"/>
      <c r="G46" s="1955"/>
      <c r="H46" s="1955"/>
      <c r="I46" s="46"/>
      <c r="L46" s="64"/>
      <c r="M46" s="61"/>
    </row>
    <row r="47" spans="2:15" ht="12.75" customHeight="1">
      <c r="B47" s="117"/>
      <c r="C47" s="97"/>
      <c r="D47" s="97"/>
      <c r="E47" s="97"/>
      <c r="F47" s="97"/>
      <c r="G47" s="97"/>
      <c r="H47" s="97"/>
      <c r="I47" s="46"/>
      <c r="L47" s="64"/>
      <c r="M47" s="61"/>
    </row>
    <row r="48" spans="2:15">
      <c r="B48" s="42" t="s">
        <v>3</v>
      </c>
      <c r="C48" s="167"/>
      <c r="D48" s="167"/>
      <c r="E48" s="167"/>
      <c r="F48" s="167"/>
      <c r="G48" s="167"/>
      <c r="H48" s="167"/>
      <c r="I48" s="46">
        <v>4683</v>
      </c>
      <c r="L48" s="64"/>
      <c r="M48" s="61"/>
    </row>
    <row r="49" spans="2:15" ht="15.75" customHeight="1">
      <c r="B49" s="1959" t="s">
        <v>153</v>
      </c>
      <c r="C49" s="1955"/>
      <c r="D49" s="1955"/>
      <c r="E49" s="1955"/>
      <c r="F49" s="1955"/>
      <c r="G49" s="1955"/>
      <c r="H49" s="1955"/>
      <c r="I49" s="46"/>
      <c r="L49" s="64"/>
      <c r="M49" s="61"/>
    </row>
    <row r="50" spans="2:15" ht="7.5" customHeight="1">
      <c r="B50" s="33"/>
      <c r="C50" s="35"/>
      <c r="D50" s="35"/>
      <c r="E50" s="35"/>
      <c r="F50" s="35"/>
      <c r="G50" s="35"/>
      <c r="H50" s="35"/>
      <c r="I50" s="48"/>
      <c r="L50" s="64"/>
      <c r="M50" s="61"/>
    </row>
    <row r="51" spans="2:15">
      <c r="B51" s="42" t="s">
        <v>4</v>
      </c>
      <c r="C51" s="35"/>
      <c r="D51" s="35"/>
      <c r="E51" s="35"/>
      <c r="F51" s="35"/>
      <c r="G51" s="35"/>
      <c r="H51" s="35"/>
      <c r="I51" s="48">
        <v>0</v>
      </c>
      <c r="L51" s="64"/>
      <c r="M51" s="61"/>
    </row>
    <row r="52" spans="2:15" ht="12" customHeight="1">
      <c r="B52" s="37" t="s">
        <v>39</v>
      </c>
      <c r="C52" s="35"/>
      <c r="D52" s="35"/>
      <c r="E52" s="35"/>
      <c r="F52" s="35"/>
      <c r="G52" s="35"/>
      <c r="H52" s="35"/>
      <c r="I52" s="36"/>
      <c r="L52" s="64"/>
      <c r="M52" s="61"/>
    </row>
    <row r="53" spans="2:15" ht="5.25" customHeight="1">
      <c r="B53" s="37"/>
      <c r="C53" s="35"/>
      <c r="D53" s="35"/>
      <c r="E53" s="35"/>
      <c r="F53" s="35"/>
      <c r="G53" s="35"/>
      <c r="H53" s="35"/>
      <c r="I53" s="36"/>
      <c r="L53" s="64"/>
      <c r="M53" s="61"/>
    </row>
    <row r="54" spans="2:15">
      <c r="B54" s="42" t="s">
        <v>26</v>
      </c>
      <c r="C54" s="35"/>
      <c r="D54" s="35"/>
      <c r="E54" s="35"/>
      <c r="F54" s="35"/>
      <c r="G54" s="35"/>
      <c r="H54" s="35"/>
      <c r="I54" s="46">
        <v>0</v>
      </c>
      <c r="L54" s="64"/>
      <c r="M54" s="61"/>
    </row>
    <row r="55" spans="2:15" ht="14.25" customHeight="1">
      <c r="B55" s="1959" t="s">
        <v>39</v>
      </c>
      <c r="C55" s="1955"/>
      <c r="D55" s="1955"/>
      <c r="E55" s="1955"/>
      <c r="F55" s="1955"/>
      <c r="G55" s="1955"/>
      <c r="H55" s="1955"/>
      <c r="I55" s="48"/>
      <c r="L55" s="64"/>
      <c r="M55" s="61"/>
    </row>
    <row r="56" spans="2:15" ht="8.25" customHeight="1">
      <c r="B56" s="1943"/>
      <c r="C56" s="1944"/>
      <c r="D56" s="1944"/>
      <c r="E56" s="1944"/>
      <c r="F56" s="1944"/>
      <c r="G56" s="1944"/>
      <c r="H56" s="35"/>
      <c r="I56" s="48"/>
      <c r="L56" s="64"/>
      <c r="M56" s="61"/>
    </row>
    <row r="57" spans="2:15" ht="5.25" customHeight="1">
      <c r="B57" s="37"/>
      <c r="C57" s="35"/>
      <c r="D57" s="35"/>
      <c r="E57" s="35"/>
      <c r="F57" s="35"/>
      <c r="G57" s="35"/>
      <c r="H57" s="35"/>
      <c r="I57" s="36"/>
      <c r="L57" s="64"/>
      <c r="M57" s="64"/>
    </row>
    <row r="58" spans="2:15">
      <c r="B58" s="42" t="s">
        <v>7</v>
      </c>
      <c r="C58" s="35"/>
      <c r="D58" s="35"/>
      <c r="E58" s="35"/>
      <c r="F58" s="35"/>
      <c r="G58" s="35"/>
      <c r="H58" s="35"/>
      <c r="I58" s="46">
        <v>0</v>
      </c>
      <c r="L58" s="64"/>
      <c r="M58" s="64"/>
      <c r="N58" s="64"/>
      <c r="O58" s="64"/>
    </row>
    <row r="59" spans="2:15" ht="12" customHeight="1">
      <c r="B59" s="37" t="s">
        <v>141</v>
      </c>
      <c r="C59" s="35"/>
      <c r="D59" s="35"/>
      <c r="E59" s="35"/>
      <c r="F59" s="35"/>
      <c r="G59" s="35"/>
      <c r="H59" s="35"/>
      <c r="I59" s="36"/>
      <c r="L59" s="64"/>
      <c r="M59" s="64"/>
      <c r="N59" s="61"/>
      <c r="O59" s="61"/>
    </row>
    <row r="60" spans="2:15" ht="6" customHeight="1">
      <c r="B60" s="37"/>
      <c r="C60" s="35"/>
      <c r="D60" s="35"/>
      <c r="E60" s="35"/>
      <c r="F60" s="35"/>
      <c r="G60" s="35"/>
      <c r="H60" s="35"/>
      <c r="I60" s="36"/>
      <c r="L60" s="64"/>
      <c r="M60" s="64"/>
      <c r="N60" s="65"/>
      <c r="O60" s="65"/>
    </row>
    <row r="61" spans="2:15">
      <c r="B61" s="42" t="s">
        <v>27</v>
      </c>
      <c r="C61" s="35"/>
      <c r="D61" s="35"/>
      <c r="E61" s="35"/>
      <c r="F61" s="35"/>
      <c r="G61" s="35"/>
      <c r="H61" s="35"/>
      <c r="I61" s="46">
        <v>0</v>
      </c>
      <c r="L61" s="64"/>
      <c r="M61" s="64"/>
      <c r="N61" s="61"/>
      <c r="O61" s="61"/>
    </row>
    <row r="62" spans="2:15" ht="13.5" customHeight="1">
      <c r="B62" s="37" t="s">
        <v>39</v>
      </c>
      <c r="C62" s="35"/>
      <c r="D62" s="35"/>
      <c r="E62" s="35"/>
      <c r="F62" s="35"/>
      <c r="G62" s="35"/>
      <c r="H62" s="35"/>
      <c r="I62" s="47"/>
      <c r="L62" s="64"/>
      <c r="M62" s="64"/>
      <c r="N62" s="65"/>
      <c r="O62" s="65"/>
    </row>
    <row r="63" spans="2:15" ht="3.75" customHeight="1">
      <c r="B63" s="37"/>
      <c r="C63" s="35"/>
      <c r="D63" s="35"/>
      <c r="E63" s="35"/>
      <c r="F63" s="35"/>
      <c r="G63" s="35"/>
      <c r="H63" s="35"/>
      <c r="I63" s="36"/>
      <c r="L63" s="64"/>
      <c r="M63" s="64"/>
      <c r="N63" s="61"/>
      <c r="O63" s="61"/>
    </row>
    <row r="64" spans="2:15">
      <c r="B64" s="42" t="s">
        <v>5</v>
      </c>
      <c r="C64" s="35"/>
      <c r="D64" s="35"/>
      <c r="E64" s="35"/>
      <c r="F64" s="35"/>
      <c r="G64" s="35"/>
      <c r="H64" s="35"/>
      <c r="I64" s="46">
        <v>0</v>
      </c>
      <c r="L64" s="64"/>
      <c r="M64" s="64"/>
      <c r="N64" s="61"/>
      <c r="O64" s="61"/>
    </row>
    <row r="65" spans="2:15" ht="11.25" customHeight="1">
      <c r="B65" s="37" t="s">
        <v>39</v>
      </c>
      <c r="C65" s="35"/>
      <c r="D65" s="35"/>
      <c r="E65" s="35"/>
      <c r="F65" s="35"/>
      <c r="G65" s="35"/>
      <c r="H65" s="35"/>
      <c r="I65" s="47"/>
      <c r="L65" s="64"/>
      <c r="M65" s="64"/>
      <c r="N65" s="64"/>
      <c r="O65" s="64"/>
    </row>
    <row r="66" spans="2:15" ht="4.5" customHeight="1">
      <c r="B66" s="37"/>
      <c r="C66" s="35"/>
      <c r="D66" s="35"/>
      <c r="E66" s="35"/>
      <c r="F66" s="35"/>
      <c r="G66" s="35"/>
      <c r="H66" s="35"/>
      <c r="I66" s="36"/>
      <c r="L66" s="64"/>
      <c r="M66" s="64"/>
      <c r="N66" s="64"/>
      <c r="O66" s="64"/>
    </row>
    <row r="67" spans="2:15">
      <c r="B67" s="42" t="s">
        <v>20</v>
      </c>
      <c r="C67" s="35"/>
      <c r="D67" s="35"/>
      <c r="E67" s="35"/>
      <c r="F67" s="35"/>
      <c r="G67" s="35"/>
      <c r="H67" s="35"/>
      <c r="I67" s="46">
        <v>0</v>
      </c>
      <c r="L67" s="64"/>
      <c r="M67" s="64"/>
      <c r="N67" s="61"/>
      <c r="O67" s="61"/>
    </row>
    <row r="68" spans="2:15" ht="12" customHeight="1">
      <c r="B68" s="37" t="s">
        <v>39</v>
      </c>
      <c r="C68" s="35"/>
      <c r="D68" s="35"/>
      <c r="E68" s="35"/>
      <c r="F68" s="35"/>
      <c r="G68" s="35"/>
      <c r="H68" s="35"/>
      <c r="I68" s="46"/>
      <c r="L68" s="64"/>
      <c r="M68" s="64"/>
      <c r="N68" s="61"/>
      <c r="O68" s="61"/>
    </row>
    <row r="69" spans="2:15" ht="6.75" customHeight="1">
      <c r="B69" s="42"/>
      <c r="C69" s="35"/>
      <c r="D69" s="35"/>
      <c r="E69" s="35"/>
      <c r="F69" s="35"/>
      <c r="G69" s="35"/>
      <c r="H69" s="35"/>
      <c r="I69" s="46"/>
      <c r="L69" s="64"/>
      <c r="M69" s="64"/>
      <c r="N69" s="61"/>
      <c r="O69" s="61"/>
    </row>
    <row r="70" spans="2:15" ht="5.25" customHeight="1">
      <c r="B70" s="40"/>
      <c r="C70" s="35"/>
      <c r="D70" s="35"/>
      <c r="E70" s="35"/>
      <c r="F70" s="35"/>
      <c r="G70" s="35"/>
      <c r="H70" s="35"/>
      <c r="I70" s="36"/>
      <c r="L70" s="64"/>
      <c r="M70" s="64"/>
      <c r="N70" s="64"/>
      <c r="O70" s="64"/>
    </row>
    <row r="71" spans="2:15">
      <c r="B71" s="43" t="s">
        <v>11</v>
      </c>
      <c r="C71" s="44"/>
      <c r="D71" s="44"/>
      <c r="E71" s="44"/>
      <c r="F71" s="44"/>
      <c r="G71" s="44"/>
      <c r="H71" s="44"/>
      <c r="I71" s="52">
        <f>+I67+I64+I61+I58+I54+I51+I48+I45+I42</f>
        <v>4683</v>
      </c>
      <c r="L71" s="64"/>
      <c r="M71" s="64"/>
      <c r="N71" s="64"/>
      <c r="O71" s="64"/>
    </row>
    <row r="73" spans="2:15">
      <c r="B73" s="168" t="s">
        <v>142</v>
      </c>
      <c r="C73" s="169"/>
      <c r="D73" s="169"/>
      <c r="E73" s="169"/>
      <c r="F73" s="169"/>
      <c r="G73" s="169"/>
      <c r="H73" s="169"/>
      <c r="I73" s="170"/>
    </row>
    <row r="74" spans="2:15">
      <c r="B74" s="1961" t="s">
        <v>143</v>
      </c>
      <c r="C74" s="1962"/>
      <c r="D74" s="1962"/>
      <c r="E74" s="1962"/>
      <c r="F74" s="1962"/>
      <c r="G74" s="1962"/>
      <c r="H74" s="1962"/>
      <c r="I74" s="1963"/>
    </row>
    <row r="75" spans="2:15">
      <c r="B75" s="141" t="s">
        <v>144</v>
      </c>
      <c r="C75" s="173"/>
      <c r="D75" s="173"/>
      <c r="E75" s="173"/>
      <c r="F75" s="173"/>
      <c r="G75" s="173"/>
      <c r="H75" s="173"/>
      <c r="I75" s="174"/>
    </row>
    <row r="76" spans="2:15">
      <c r="B76" s="175" t="s">
        <v>145</v>
      </c>
      <c r="C76" s="119"/>
      <c r="D76" s="119"/>
      <c r="E76" s="119"/>
      <c r="F76" s="119"/>
      <c r="G76" s="119"/>
      <c r="H76" s="119"/>
      <c r="I76" s="176"/>
    </row>
    <row r="94" spans="5:5">
      <c r="E94" s="57"/>
    </row>
    <row r="95" spans="5:5">
      <c r="E95" s="57"/>
    </row>
    <row r="96" spans="5:5">
      <c r="E96" s="57"/>
    </row>
    <row r="97" spans="5:5">
      <c r="E97" s="57"/>
    </row>
    <row r="98" spans="5:5">
      <c r="E98" s="57"/>
    </row>
    <row r="99" spans="5:5">
      <c r="E99" s="57"/>
    </row>
    <row r="101" spans="5:5">
      <c r="E101" s="57"/>
    </row>
    <row r="103" spans="5:5">
      <c r="E103" s="56"/>
    </row>
    <row r="105" spans="5:5">
      <c r="E105" s="57"/>
    </row>
  </sheetData>
  <mergeCells count="12">
    <mergeCell ref="B74:I74"/>
    <mergeCell ref="D28:H28"/>
    <mergeCell ref="D30:H30"/>
    <mergeCell ref="D31:H31"/>
    <mergeCell ref="D32:H32"/>
    <mergeCell ref="D33:H33"/>
    <mergeCell ref="D34:H34"/>
    <mergeCell ref="D36:H36"/>
    <mergeCell ref="B46:H46"/>
    <mergeCell ref="B49:H49"/>
    <mergeCell ref="B55:H55"/>
    <mergeCell ref="B56:G56"/>
  </mergeCells>
  <pageMargins left="0.36" right="0.3" top="0.43" bottom="0.64" header="0.28000000000000003" footer="0.36"/>
  <pageSetup scale="71" orientation="portrait" r:id="rId1"/>
  <headerFooter alignWithMargins="0"/>
</worksheet>
</file>

<file path=xl/worksheets/sheet180.xml><?xml version="1.0" encoding="utf-8"?>
<worksheet xmlns="http://schemas.openxmlformats.org/spreadsheetml/2006/main" xmlns:r="http://schemas.openxmlformats.org/officeDocument/2006/relationships">
  <sheetPr>
    <pageSetUpPr fitToPage="1"/>
  </sheetPr>
  <dimension ref="A1:L83"/>
  <sheetViews>
    <sheetView workbookViewId="0">
      <selection activeCell="E42" sqref="E42"/>
    </sheetView>
  </sheetViews>
  <sheetFormatPr defaultRowHeight="12.75"/>
  <cols>
    <col min="1" max="1" width="1.85546875" customWidth="1"/>
    <col min="3" max="3" width="24.140625" customWidth="1"/>
    <col min="4" max="4" width="35" customWidth="1"/>
    <col min="5" max="5" width="39.85546875" bestFit="1" customWidth="1"/>
    <col min="6" max="6" width="10.42578125" customWidth="1"/>
    <col min="9" max="9" width="10.140625" bestFit="1"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578</v>
      </c>
      <c r="C6" s="7" t="str">
        <f>+E12</f>
        <v>EQIP</v>
      </c>
      <c r="D6" s="110" t="s">
        <v>2332</v>
      </c>
      <c r="E6" s="110" t="s">
        <v>2336</v>
      </c>
      <c r="F6" s="7" t="s">
        <v>712</v>
      </c>
      <c r="G6" s="85">
        <f>+I25</f>
        <v>2504.3324004000006</v>
      </c>
    </row>
    <row r="7" spans="1:12" hidden="1">
      <c r="A7" s="2"/>
      <c r="B7" s="54">
        <f>+B6</f>
        <v>578</v>
      </c>
      <c r="C7" s="7" t="str">
        <f>+C6</f>
        <v>EQIP</v>
      </c>
      <c r="D7" s="110" t="s">
        <v>2332</v>
      </c>
      <c r="E7" s="110" t="str">
        <f>CONCATENATE(E6, "-HU")</f>
        <v>Stream Crossing - 10 Foot Deep Stream-HU</v>
      </c>
      <c r="F7" s="7" t="str">
        <f>+F6</f>
        <v>Each</v>
      </c>
      <c r="G7" s="85">
        <f>+J25</f>
        <v>3005.1988804800003</v>
      </c>
    </row>
    <row r="8" spans="1:12" hidden="1">
      <c r="A8" s="2"/>
      <c r="B8" s="54">
        <v>578</v>
      </c>
      <c r="C8" s="7" t="str">
        <f>+G12</f>
        <v>WHIP</v>
      </c>
      <c r="D8" s="110" t="s">
        <v>2332</v>
      </c>
      <c r="E8" s="110" t="s">
        <v>2336</v>
      </c>
      <c r="F8" s="7" t="s">
        <v>712</v>
      </c>
      <c r="G8" s="85">
        <f>+K25</f>
        <v>2504.3324004000006</v>
      </c>
    </row>
    <row r="9" spans="1:12" hidden="1">
      <c r="A9" s="2"/>
      <c r="B9" s="8">
        <f>+B8</f>
        <v>578</v>
      </c>
      <c r="C9" s="10" t="str">
        <f>+C8</f>
        <v>WHIP</v>
      </c>
      <c r="D9" s="111" t="s">
        <v>2332</v>
      </c>
      <c r="E9" s="111" t="str">
        <f>CONCATENATE(E6, "-HU")</f>
        <v>Stream Crossing - 10 Foot Deep Stream-HU</v>
      </c>
      <c r="F9" s="10" t="str">
        <f>+F8</f>
        <v>Each</v>
      </c>
      <c r="G9" s="86">
        <f>+L25</f>
        <v>3005.1988804800003</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23.449999999999996</v>
      </c>
      <c r="E16" s="160">
        <f>+'[10]Payment Factors'!D35</f>
        <v>0.75</v>
      </c>
      <c r="F16" s="160">
        <f>+'[10]Payment Factors'!E35</f>
        <v>0.9</v>
      </c>
      <c r="G16" s="160">
        <f>+'[10]Payment Factors'!F35</f>
        <v>0.75</v>
      </c>
      <c r="H16" s="160">
        <f>+'[10]Payment Factors'!G35</f>
        <v>0.9</v>
      </c>
      <c r="I16" s="1154">
        <f t="shared" ref="I16:L24" si="0">+$D16*E16</f>
        <v>17.587499999999999</v>
      </c>
      <c r="J16" s="1154">
        <f t="shared" si="0"/>
        <v>21.104999999999997</v>
      </c>
      <c r="K16" s="1154">
        <f t="shared" si="0"/>
        <v>17.587499999999999</v>
      </c>
      <c r="L16" s="1155">
        <f t="shared" si="0"/>
        <v>21.104999999999997</v>
      </c>
    </row>
    <row r="17" spans="1:12" hidden="1">
      <c r="A17" s="2"/>
      <c r="B17" s="15" t="s">
        <v>2</v>
      </c>
      <c r="C17" s="16"/>
      <c r="D17" s="24">
        <f>+I47</f>
        <v>2735.6436040000003</v>
      </c>
      <c r="E17" s="160">
        <f t="shared" ref="E17:H19" si="1">+E16</f>
        <v>0.75</v>
      </c>
      <c r="F17" s="160">
        <f t="shared" si="1"/>
        <v>0.9</v>
      </c>
      <c r="G17" s="160">
        <f t="shared" si="1"/>
        <v>0.75</v>
      </c>
      <c r="H17" s="160">
        <f t="shared" si="1"/>
        <v>0.9</v>
      </c>
      <c r="I17" s="1154">
        <f t="shared" si="0"/>
        <v>2051.7327030000001</v>
      </c>
      <c r="J17" s="1154">
        <f t="shared" si="0"/>
        <v>2462.0792436000002</v>
      </c>
      <c r="K17" s="1154">
        <f t="shared" si="0"/>
        <v>2051.7327030000001</v>
      </c>
      <c r="L17" s="1155">
        <f t="shared" si="0"/>
        <v>2462.0792436000002</v>
      </c>
    </row>
    <row r="18" spans="1:12" hidden="1">
      <c r="A18" s="2"/>
      <c r="B18" s="15" t="s">
        <v>3</v>
      </c>
      <c r="C18" s="16"/>
      <c r="D18" s="24">
        <f>+I58</f>
        <v>482.76063600000003</v>
      </c>
      <c r="E18" s="160">
        <f t="shared" si="1"/>
        <v>0.75</v>
      </c>
      <c r="F18" s="160">
        <f t="shared" si="1"/>
        <v>0.9</v>
      </c>
      <c r="G18" s="160">
        <f t="shared" si="1"/>
        <v>0.75</v>
      </c>
      <c r="H18" s="160">
        <f t="shared" si="1"/>
        <v>0.9</v>
      </c>
      <c r="I18" s="1154">
        <f t="shared" si="0"/>
        <v>362.07047700000004</v>
      </c>
      <c r="J18" s="1154">
        <f t="shared" si="0"/>
        <v>434.48457240000005</v>
      </c>
      <c r="K18" s="1154">
        <f t="shared" si="0"/>
        <v>362.07047700000004</v>
      </c>
      <c r="L18" s="1155">
        <f t="shared" si="0"/>
        <v>434.48457240000005</v>
      </c>
    </row>
    <row r="19" spans="1:12" hidden="1">
      <c r="A19" s="2"/>
      <c r="B19" s="15" t="s">
        <v>4</v>
      </c>
      <c r="C19" s="16"/>
      <c r="D19" s="24">
        <f>+I62</f>
        <v>97.255627200000006</v>
      </c>
      <c r="E19" s="160">
        <f t="shared" si="1"/>
        <v>0.75</v>
      </c>
      <c r="F19" s="160">
        <f t="shared" si="1"/>
        <v>0.9</v>
      </c>
      <c r="G19" s="160">
        <f t="shared" si="1"/>
        <v>0.75</v>
      </c>
      <c r="H19" s="160">
        <f t="shared" si="1"/>
        <v>0.9</v>
      </c>
      <c r="I19" s="1154">
        <f t="shared" si="0"/>
        <v>72.941720400000008</v>
      </c>
      <c r="J19" s="1154">
        <f t="shared" si="0"/>
        <v>87.530064480000007</v>
      </c>
      <c r="K19" s="1154">
        <f t="shared" si="0"/>
        <v>72.941720400000008</v>
      </c>
      <c r="L19" s="1155">
        <f t="shared" si="0"/>
        <v>87.530064480000007</v>
      </c>
    </row>
    <row r="20" spans="1:12" hidden="1">
      <c r="A20" s="2"/>
      <c r="B20" s="15" t="s">
        <v>26</v>
      </c>
      <c r="C20" s="16"/>
      <c r="D20" s="24">
        <f>+I65</f>
        <v>32.4185424</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+I68</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+I71</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+I74</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+I77</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3371.5284096000005</v>
      </c>
      <c r="E25" s="1158"/>
      <c r="F25" s="1158"/>
      <c r="G25" s="28"/>
      <c r="H25" s="28"/>
      <c r="I25" s="1159">
        <f>SUM(I16:I24)</f>
        <v>2504.3324004000006</v>
      </c>
      <c r="J25" s="1159">
        <f>SUM(J16:J24)</f>
        <v>3005.1988804800003</v>
      </c>
      <c r="K25" s="1159">
        <f>SUM(K16:K24)</f>
        <v>2504.3324004000006</v>
      </c>
      <c r="L25" s="1160">
        <f>SUM(L16:L24)</f>
        <v>3005.1988804800003</v>
      </c>
    </row>
    <row r="26" spans="1:12" hidden="1"/>
    <row r="27" spans="1:12" ht="15.75">
      <c r="A27" s="2"/>
      <c r="B27" s="50" t="s">
        <v>28</v>
      </c>
      <c r="C27" s="2"/>
      <c r="D27" s="2"/>
      <c r="E27" s="2"/>
      <c r="F27" s="2"/>
      <c r="G27" s="2"/>
      <c r="H27" s="2"/>
      <c r="I27" s="5"/>
    </row>
    <row r="28" spans="1:12">
      <c r="A28" s="2"/>
      <c r="B28" s="29" t="s">
        <v>2321</v>
      </c>
      <c r="C28" s="30"/>
      <c r="D28" s="30"/>
      <c r="E28" s="31"/>
      <c r="F28" s="31"/>
      <c r="G28" s="31"/>
      <c r="H28" s="31"/>
      <c r="I28" s="32"/>
    </row>
    <row r="29" spans="1:12">
      <c r="A29" s="2"/>
      <c r="B29" s="142" t="s">
        <v>2337</v>
      </c>
      <c r="C29" s="34"/>
      <c r="D29" s="34"/>
      <c r="E29" s="35"/>
      <c r="F29" s="35"/>
      <c r="G29" s="35"/>
      <c r="H29" s="35"/>
      <c r="I29" s="36"/>
    </row>
    <row r="30" spans="1:12">
      <c r="A30" s="2"/>
      <c r="B30" s="142"/>
      <c r="C30" s="34"/>
      <c r="D30" s="34"/>
      <c r="E30" s="1162"/>
      <c r="F30" s="1163"/>
      <c r="G30" s="35"/>
      <c r="H30" s="35"/>
      <c r="I30" s="36"/>
    </row>
    <row r="31" spans="1:12">
      <c r="A31" s="2"/>
      <c r="B31" s="37" t="s">
        <v>2335</v>
      </c>
      <c r="C31" s="34"/>
      <c r="D31" s="34"/>
      <c r="E31" s="35"/>
      <c r="F31" s="35"/>
      <c r="G31" s="35"/>
      <c r="H31" s="35"/>
      <c r="I31" s="36"/>
    </row>
    <row r="32" spans="1:12">
      <c r="A32" s="2"/>
      <c r="B32" s="3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Factors'!C35</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23.449999999999996</v>
      </c>
    </row>
    <row r="41" spans="1:9">
      <c r="A41" s="2"/>
      <c r="B41" s="1174"/>
      <c r="C41" s="35"/>
      <c r="D41" s="1167" t="s">
        <v>447</v>
      </c>
      <c r="E41" s="1167" t="s">
        <v>448</v>
      </c>
      <c r="F41" s="1167" t="s">
        <v>449</v>
      </c>
      <c r="G41" s="1167" t="s">
        <v>450</v>
      </c>
      <c r="H41" s="35"/>
      <c r="I41" s="46"/>
    </row>
    <row r="42" spans="1:9">
      <c r="A42" s="2"/>
      <c r="B42" s="1186" t="str">
        <f>+'[35]Core Rates'!A313</f>
        <v>Seed (Tall Fescue KY-31)</v>
      </c>
      <c r="C42" s="1187"/>
      <c r="D42" s="1169" t="str">
        <f>+'[35]Core Rates'!B313</f>
        <v>Lbs</v>
      </c>
      <c r="E42" s="1169">
        <f>+'[35]Core Rates'!C313</f>
        <v>2.3449999999999998</v>
      </c>
      <c r="F42" s="1170">
        <f>50*0.2</f>
        <v>10</v>
      </c>
      <c r="G42" s="1171">
        <f>+F42*E42</f>
        <v>23.449999999999996</v>
      </c>
      <c r="H42" s="35"/>
      <c r="I42" s="36"/>
    </row>
    <row r="43" spans="1:9">
      <c r="A43" s="2"/>
      <c r="B43" s="1186"/>
      <c r="C43" s="1187"/>
      <c r="D43" s="1169"/>
      <c r="E43" s="1169"/>
      <c r="F43" s="1170"/>
      <c r="G43" s="1171"/>
      <c r="H43" s="35"/>
      <c r="I43" s="36"/>
    </row>
    <row r="44" spans="1:9">
      <c r="A44" s="2"/>
      <c r="B44" s="37" t="s">
        <v>43</v>
      </c>
      <c r="C44" s="35"/>
      <c r="D44" s="35"/>
      <c r="E44" s="60"/>
      <c r="F44" s="60"/>
      <c r="G44" s="60"/>
      <c r="H44" s="35"/>
      <c r="I44" s="46"/>
    </row>
    <row r="45" spans="1:9">
      <c r="A45" s="2"/>
      <c r="B45" s="40" t="s">
        <v>457</v>
      </c>
      <c r="C45" s="6"/>
      <c r="D45" s="1173"/>
      <c r="E45" s="35"/>
      <c r="F45" s="35"/>
      <c r="G45" s="35"/>
      <c r="H45" s="35"/>
      <c r="I45" s="36"/>
    </row>
    <row r="46" spans="1:9">
      <c r="A46" s="2"/>
      <c r="B46" s="1172"/>
      <c r="C46" s="6"/>
      <c r="D46" s="1173"/>
      <c r="E46" s="35"/>
      <c r="F46" s="35"/>
      <c r="G46" s="35"/>
      <c r="H46" s="35"/>
      <c r="I46" s="36"/>
    </row>
    <row r="47" spans="1:9">
      <c r="A47" s="2"/>
      <c r="B47" s="42" t="s">
        <v>2</v>
      </c>
      <c r="C47" s="35"/>
      <c r="D47" s="35"/>
      <c r="E47" s="2003" t="s">
        <v>459</v>
      </c>
      <c r="F47" s="2003"/>
      <c r="G47" s="2003"/>
      <c r="H47" s="2003"/>
      <c r="I47" s="1166">
        <f>(SUM(G49:G53)*0.85)</f>
        <v>2735.6436040000003</v>
      </c>
    </row>
    <row r="48" spans="1:9">
      <c r="A48" s="2"/>
      <c r="B48" s="1174"/>
      <c r="C48" s="35"/>
      <c r="D48" s="1167" t="s">
        <v>447</v>
      </c>
      <c r="E48" s="1167" t="s">
        <v>448</v>
      </c>
      <c r="F48" s="1167" t="s">
        <v>449</v>
      </c>
      <c r="G48" s="1167" t="s">
        <v>450</v>
      </c>
      <c r="H48" s="35"/>
      <c r="I48" s="46"/>
    </row>
    <row r="49" spans="1:9">
      <c r="A49" s="2"/>
      <c r="B49" s="1374" t="str">
        <f>+'[35]Core Rates'!A56</f>
        <v>Construction Site Prep - Medium</v>
      </c>
      <c r="C49" s="6"/>
      <c r="D49" s="1169" t="str">
        <f>+'[35]Core Rates'!B56</f>
        <v>Ac</v>
      </c>
      <c r="E49" s="1169">
        <f>+'[35]Core Rates'!C56</f>
        <v>573.81119999999999</v>
      </c>
      <c r="F49" s="1170">
        <v>0.2</v>
      </c>
      <c r="G49" s="1171">
        <f>+F49*E49</f>
        <v>114.76224000000001</v>
      </c>
      <c r="H49" s="35"/>
      <c r="I49" s="47"/>
    </row>
    <row r="50" spans="1:9">
      <c r="A50" s="2"/>
      <c r="B50" s="1374" t="str">
        <f>+'[35]Core Rates'!A262</f>
        <v>Riprap (In Place)</v>
      </c>
      <c r="C50" s="6"/>
      <c r="D50" s="1169" t="str">
        <f>+'[35]Core Rates'!B262</f>
        <v>Ton</v>
      </c>
      <c r="E50" s="1169">
        <f>+'[35]Core Rates'!C262</f>
        <v>23.540000000000003</v>
      </c>
      <c r="F50" s="1170">
        <v>47</v>
      </c>
      <c r="G50" s="1171">
        <f>+F50*E50</f>
        <v>1106.3800000000001</v>
      </c>
      <c r="H50" s="35"/>
      <c r="I50" s="47"/>
    </row>
    <row r="51" spans="1:9">
      <c r="A51" s="2"/>
      <c r="B51" s="1374" t="str">
        <f>+'[35]Core Rates'!A266</f>
        <v>Rock/Geo-Textile (Installed)</v>
      </c>
      <c r="C51" s="6"/>
      <c r="D51" s="1169" t="str">
        <f>+'[35]Core Rates'!B266</f>
        <v>Sq Ft</v>
      </c>
      <c r="E51" s="1169">
        <f>+'[35]Core Rates'!C266</f>
        <v>1.3482000000000001</v>
      </c>
      <c r="F51" s="1170">
        <v>1410</v>
      </c>
      <c r="G51" s="1171">
        <f>+F51*E51</f>
        <v>1900.962</v>
      </c>
      <c r="H51" s="35"/>
      <c r="I51" s="47"/>
    </row>
    <row r="52" spans="1:9">
      <c r="A52" s="2"/>
      <c r="B52" s="1374" t="str">
        <f>+'[35]Core Rates'!A37</f>
        <v xml:space="preserve">Broadcasting Seed </v>
      </c>
      <c r="C52" s="6"/>
      <c r="D52" s="1169" t="str">
        <f>+'[35]Core Rates'!B37</f>
        <v>Ac</v>
      </c>
      <c r="E52" s="1169">
        <f>+'[35]Core Rates'!C37</f>
        <v>9</v>
      </c>
      <c r="F52" s="1170">
        <v>0.2</v>
      </c>
      <c r="G52" s="1171">
        <f>+F52*E52</f>
        <v>1.8</v>
      </c>
      <c r="H52" s="35"/>
      <c r="I52" s="47"/>
    </row>
    <row r="53" spans="1:9">
      <c r="A53" s="2"/>
      <c r="B53" s="1386" t="str">
        <f>+'[35]Core Rates'!A217</f>
        <v>Mulching (2 tons/ac applied)</v>
      </c>
      <c r="C53" s="6"/>
      <c r="D53" s="1169" t="str">
        <f>+'[35]Core Rates'!B217</f>
        <v>Ac</v>
      </c>
      <c r="E53" s="1169">
        <f>+'[35]Core Rates'!C217</f>
        <v>472.5</v>
      </c>
      <c r="F53" s="1170">
        <v>0.2</v>
      </c>
      <c r="G53" s="1171">
        <f>+F53*E53</f>
        <v>94.5</v>
      </c>
      <c r="H53" s="35"/>
      <c r="I53" s="47"/>
    </row>
    <row r="54" spans="1:9">
      <c r="A54" s="2"/>
      <c r="B54" s="40"/>
      <c r="C54" s="6"/>
      <c r="D54" s="63"/>
      <c r="E54" s="150"/>
      <c r="F54" s="150"/>
      <c r="G54" s="1169"/>
      <c r="H54" s="35"/>
      <c r="I54" s="47"/>
    </row>
    <row r="55" spans="1:9">
      <c r="A55" s="2"/>
      <c r="B55" s="37" t="s">
        <v>43</v>
      </c>
      <c r="C55" s="35"/>
      <c r="D55" s="35"/>
      <c r="E55" s="60"/>
      <c r="F55" s="60"/>
      <c r="G55" s="60"/>
      <c r="H55" s="35"/>
      <c r="I55" s="46"/>
    </row>
    <row r="56" spans="1:9">
      <c r="A56" s="2"/>
      <c r="B56" s="40" t="s">
        <v>457</v>
      </c>
      <c r="C56" s="6"/>
      <c r="D56" s="1173"/>
      <c r="E56" s="35"/>
      <c r="F56" s="35"/>
      <c r="G56" s="35"/>
      <c r="H56" s="35"/>
      <c r="I56" s="36"/>
    </row>
    <row r="57" spans="1:9">
      <c r="A57" s="2"/>
      <c r="B57" s="1177"/>
      <c r="C57" s="1178"/>
      <c r="D57" s="1178"/>
      <c r="E57" s="1178"/>
      <c r="F57" s="1178"/>
      <c r="G57" s="1178"/>
      <c r="H57" s="1178"/>
      <c r="I57" s="1179"/>
    </row>
    <row r="58" spans="1:9">
      <c r="A58" s="2"/>
      <c r="B58" s="42" t="s">
        <v>3</v>
      </c>
      <c r="C58" s="35"/>
      <c r="D58" s="35"/>
      <c r="E58" s="35"/>
      <c r="F58" s="39"/>
      <c r="G58" s="35"/>
      <c r="H58" s="35"/>
      <c r="I58" s="1182">
        <f>E60</f>
        <v>482.76063600000003</v>
      </c>
    </row>
    <row r="59" spans="1:9">
      <c r="A59" s="2"/>
      <c r="B59" s="2007" t="s">
        <v>465</v>
      </c>
      <c r="C59" s="2008"/>
      <c r="D59" s="35"/>
      <c r="E59" s="35"/>
      <c r="F59" s="35"/>
      <c r="G59" s="35"/>
      <c r="H59" s="35"/>
      <c r="I59" s="48"/>
    </row>
    <row r="60" spans="1:9">
      <c r="A60" s="2"/>
      <c r="B60" s="37" t="s">
        <v>466</v>
      </c>
      <c r="C60" s="39"/>
      <c r="D60" s="39"/>
      <c r="E60" s="153">
        <f>SUM(G49:G53)*0.15</f>
        <v>482.76063600000003</v>
      </c>
      <c r="F60" s="35"/>
      <c r="G60" s="35"/>
      <c r="H60" s="35"/>
      <c r="I60" s="46"/>
    </row>
    <row r="61" spans="1:9">
      <c r="A61" s="2"/>
      <c r="B61" s="33"/>
      <c r="C61" s="35"/>
      <c r="D61" s="35"/>
      <c r="E61" s="35"/>
      <c r="F61" s="35"/>
      <c r="G61" s="35"/>
      <c r="H61" s="35"/>
      <c r="I61" s="36"/>
    </row>
    <row r="62" spans="1:9">
      <c r="A62" s="2"/>
      <c r="B62" s="42" t="s">
        <v>4</v>
      </c>
      <c r="C62" s="35"/>
      <c r="D62" s="35"/>
      <c r="E62" s="35"/>
      <c r="F62" s="35"/>
      <c r="G62" s="35"/>
      <c r="H62" s="35"/>
      <c r="I62" s="1182">
        <f>0.03*(I40+I47+I58)</f>
        <v>97.255627200000006</v>
      </c>
    </row>
    <row r="63" spans="1:9">
      <c r="A63" s="2"/>
      <c r="B63" s="33" t="s">
        <v>467</v>
      </c>
      <c r="C63" s="35"/>
      <c r="D63" s="35"/>
      <c r="E63" s="35"/>
      <c r="F63" s="35"/>
      <c r="G63" s="35"/>
      <c r="H63" s="35"/>
      <c r="I63" s="36"/>
    </row>
    <row r="64" spans="1:9">
      <c r="A64" s="2"/>
      <c r="B64" s="37"/>
      <c r="C64" s="35"/>
      <c r="D64" s="35"/>
      <c r="E64" s="35"/>
      <c r="F64" s="35"/>
      <c r="G64" s="35"/>
      <c r="H64" s="35"/>
      <c r="I64" s="36"/>
    </row>
    <row r="65" spans="1:9">
      <c r="A65" s="2"/>
      <c r="B65" s="42" t="s">
        <v>468</v>
      </c>
      <c r="C65" s="35"/>
      <c r="D65" s="35"/>
      <c r="E65" s="35"/>
      <c r="F65" s="35"/>
      <c r="G65" s="35"/>
      <c r="H65" s="35"/>
      <c r="I65" s="1182">
        <f>0.01*(I40+I47+I58)</f>
        <v>32.4185424</v>
      </c>
    </row>
    <row r="66" spans="1:9">
      <c r="A66" s="2"/>
      <c r="B66" s="33" t="s">
        <v>749</v>
      </c>
      <c r="C66" s="35"/>
      <c r="D66" s="35"/>
      <c r="E66" s="35"/>
      <c r="F66" s="35"/>
      <c r="G66" s="35"/>
      <c r="H66" s="35"/>
      <c r="I66" s="36"/>
    </row>
    <row r="67" spans="1:9">
      <c r="A67" s="2"/>
      <c r="B67" s="37"/>
      <c r="C67" s="35"/>
      <c r="D67" s="35"/>
      <c r="E67" s="35"/>
      <c r="F67" s="35"/>
      <c r="G67" s="35"/>
      <c r="H67" s="35"/>
      <c r="I67" s="36"/>
    </row>
    <row r="68" spans="1:9">
      <c r="A68" s="2"/>
      <c r="B68" s="42" t="s">
        <v>7</v>
      </c>
      <c r="C68" s="35"/>
      <c r="D68" s="35"/>
      <c r="E68" s="35"/>
      <c r="F68" s="35"/>
      <c r="G68" s="35"/>
      <c r="H68" s="35"/>
      <c r="I68" s="1166">
        <v>0</v>
      </c>
    </row>
    <row r="69" spans="1:9">
      <c r="A69" s="2"/>
      <c r="B69" s="33" t="s">
        <v>104</v>
      </c>
      <c r="C69" s="35"/>
      <c r="D69" s="35"/>
      <c r="E69" s="35"/>
      <c r="F69" s="35"/>
      <c r="G69" s="35"/>
      <c r="H69" s="35"/>
      <c r="I69" s="36"/>
    </row>
    <row r="70" spans="1:9">
      <c r="A70" s="2"/>
      <c r="B70" s="37"/>
      <c r="C70" s="35"/>
      <c r="D70" s="35"/>
      <c r="E70" s="35"/>
      <c r="F70" s="35"/>
      <c r="G70" s="35"/>
      <c r="H70" s="35"/>
      <c r="I70" s="36"/>
    </row>
    <row r="71" spans="1:9">
      <c r="A71" s="2"/>
      <c r="B71" s="42" t="s">
        <v>471</v>
      </c>
      <c r="C71" s="35"/>
      <c r="D71" s="35"/>
      <c r="E71" s="35"/>
      <c r="F71" s="39"/>
      <c r="G71" s="35"/>
      <c r="H71" s="35"/>
      <c r="I71" s="1166">
        <v>0</v>
      </c>
    </row>
    <row r="72" spans="1:9">
      <c r="A72" s="2"/>
      <c r="B72" s="756" t="s">
        <v>104</v>
      </c>
      <c r="C72" s="35"/>
      <c r="D72" s="35"/>
      <c r="E72" s="35"/>
      <c r="F72" s="35"/>
      <c r="G72" s="35"/>
      <c r="H72" s="35"/>
      <c r="I72" s="47"/>
    </row>
    <row r="73" spans="1:9">
      <c r="A73" s="2"/>
      <c r="B73" s="37"/>
      <c r="C73" s="35"/>
      <c r="D73" s="35"/>
      <c r="E73" s="35"/>
      <c r="F73" s="35"/>
      <c r="G73" s="35"/>
      <c r="H73" s="35"/>
      <c r="I73" s="36"/>
    </row>
    <row r="74" spans="1:9">
      <c r="A74" s="2"/>
      <c r="B74" s="42" t="s">
        <v>5</v>
      </c>
      <c r="C74" s="35"/>
      <c r="D74" s="35"/>
      <c r="E74" s="35"/>
      <c r="F74" s="35"/>
      <c r="G74" s="35"/>
      <c r="H74" s="35"/>
      <c r="I74" s="1166">
        <v>0</v>
      </c>
    </row>
    <row r="75" spans="1:9">
      <c r="A75" s="2"/>
      <c r="B75" s="33" t="s">
        <v>104</v>
      </c>
      <c r="C75" s="35"/>
      <c r="D75" s="35"/>
      <c r="E75" s="35"/>
      <c r="F75" s="35"/>
      <c r="G75" s="35"/>
      <c r="H75" s="35"/>
      <c r="I75" s="47"/>
    </row>
    <row r="76" spans="1:9">
      <c r="A76" s="2"/>
      <c r="B76" s="37"/>
      <c r="C76" s="35"/>
      <c r="D76" s="35"/>
      <c r="E76" s="35"/>
      <c r="F76" s="35"/>
      <c r="G76" s="35"/>
      <c r="H76" s="35"/>
      <c r="I76" s="36"/>
    </row>
    <row r="77" spans="1:9">
      <c r="A77" s="2"/>
      <c r="B77" s="42" t="s">
        <v>20</v>
      </c>
      <c r="C77" s="35"/>
      <c r="D77" s="35"/>
      <c r="E77" s="35"/>
      <c r="F77" s="35"/>
      <c r="G77" s="35"/>
      <c r="H77" s="35"/>
      <c r="I77" s="1166">
        <v>0</v>
      </c>
    </row>
    <row r="78" spans="1:9">
      <c r="A78" s="2"/>
      <c r="B78" s="33" t="s">
        <v>104</v>
      </c>
      <c r="C78" s="35"/>
      <c r="D78" s="35"/>
      <c r="E78" s="35"/>
      <c r="F78" s="35"/>
      <c r="G78" s="35"/>
      <c r="H78" s="35"/>
      <c r="I78" s="36"/>
    </row>
    <row r="79" spans="1:9">
      <c r="A79" s="2"/>
      <c r="B79" s="40"/>
      <c r="C79" s="35"/>
      <c r="D79" s="35"/>
      <c r="E79" s="35"/>
      <c r="F79" s="35"/>
      <c r="G79" s="35"/>
      <c r="H79" s="35"/>
      <c r="I79" s="36"/>
    </row>
    <row r="80" spans="1:9">
      <c r="A80" s="2"/>
      <c r="B80" s="42" t="s">
        <v>473</v>
      </c>
      <c r="C80" s="35"/>
      <c r="D80" s="35"/>
      <c r="E80" s="35"/>
      <c r="F80" s="35"/>
      <c r="G80" s="35"/>
      <c r="H80" s="35"/>
      <c r="I80" s="1183">
        <f>+I40+I47+I58+I62+I68+I77</f>
        <v>3339.1098672000003</v>
      </c>
    </row>
    <row r="81" spans="1:9" ht="15.75">
      <c r="A81" s="2"/>
      <c r="B81" s="33" t="s">
        <v>474</v>
      </c>
      <c r="C81" s="35"/>
      <c r="D81" s="35"/>
      <c r="E81" s="35"/>
      <c r="F81" s="35"/>
      <c r="G81" s="35"/>
      <c r="H81" s="35"/>
      <c r="I81" s="36"/>
    </row>
    <row r="82" spans="1:9">
      <c r="A82" s="2"/>
      <c r="B82" s="40"/>
      <c r="C82" s="35"/>
      <c r="D82" s="35"/>
      <c r="E82" s="35"/>
      <c r="F82" s="35"/>
      <c r="G82" s="35"/>
      <c r="H82" s="35"/>
      <c r="I82" s="36"/>
    </row>
    <row r="83" spans="1:9">
      <c r="A83" s="2"/>
      <c r="B83" s="43" t="s">
        <v>11</v>
      </c>
      <c r="C83" s="44"/>
      <c r="D83" s="44"/>
      <c r="E83" s="44"/>
      <c r="F83" s="44"/>
      <c r="G83" s="44"/>
      <c r="H83" s="44"/>
      <c r="I83" s="621">
        <f>SUM(I40:I77)</f>
        <v>3371.5284096000005</v>
      </c>
    </row>
  </sheetData>
  <mergeCells count="3">
    <mergeCell ref="B1:D1"/>
    <mergeCell ref="E47:H47"/>
    <mergeCell ref="B59:C59"/>
  </mergeCells>
  <pageMargins left="0.75" right="0.75" top="1" bottom="1" header="0.5" footer="0.5"/>
  <pageSetup scale="61" orientation="portrait" r:id="rId1"/>
  <headerFooter alignWithMargins="0"/>
</worksheet>
</file>

<file path=xl/worksheets/sheet181.xml><?xml version="1.0" encoding="utf-8"?>
<worksheet xmlns="http://schemas.openxmlformats.org/spreadsheetml/2006/main" xmlns:r="http://schemas.openxmlformats.org/officeDocument/2006/relationships">
  <sheetPr>
    <pageSetUpPr fitToPage="1"/>
  </sheetPr>
  <dimension ref="A1:L83"/>
  <sheetViews>
    <sheetView workbookViewId="0">
      <selection activeCell="E42" sqref="E42"/>
    </sheetView>
  </sheetViews>
  <sheetFormatPr defaultRowHeight="12.75"/>
  <cols>
    <col min="1" max="1" width="1.85546875" customWidth="1"/>
    <col min="3" max="3" width="24.140625" customWidth="1"/>
    <col min="4" max="4" width="35" customWidth="1"/>
    <col min="5" max="5" width="39.85546875" bestFit="1" customWidth="1"/>
    <col min="6" max="6" width="10.42578125" customWidth="1"/>
    <col min="9" max="9" width="10.140625" bestFit="1"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578</v>
      </c>
      <c r="C6" s="7" t="str">
        <f>+E12</f>
        <v>EQIP</v>
      </c>
      <c r="D6" s="110" t="s">
        <v>2332</v>
      </c>
      <c r="E6" s="110" t="s">
        <v>2338</v>
      </c>
      <c r="F6" s="7" t="s">
        <v>712</v>
      </c>
      <c r="G6" s="85">
        <f>+I25</f>
        <v>3474.7314504000001</v>
      </c>
    </row>
    <row r="7" spans="1:12" hidden="1">
      <c r="A7" s="2"/>
      <c r="B7" s="54">
        <f>+B6</f>
        <v>578</v>
      </c>
      <c r="C7" s="7" t="str">
        <f>+C6</f>
        <v>EQIP</v>
      </c>
      <c r="D7" s="110" t="s">
        <v>2332</v>
      </c>
      <c r="E7" s="110" t="str">
        <f>CONCATENATE(E6, "-HU")</f>
        <v>Stream Crossing - 15 Foot Deep Stream-HU</v>
      </c>
      <c r="F7" s="7" t="str">
        <f>+F6</f>
        <v>Each</v>
      </c>
      <c r="G7" s="85">
        <f>+J25</f>
        <v>4169.6777404800005</v>
      </c>
    </row>
    <row r="8" spans="1:12" hidden="1">
      <c r="A8" s="2"/>
      <c r="B8" s="54">
        <v>578</v>
      </c>
      <c r="C8" s="7" t="str">
        <f>+G12</f>
        <v>WHIP</v>
      </c>
      <c r="D8" s="110" t="s">
        <v>2332</v>
      </c>
      <c r="E8" s="110" t="s">
        <v>2338</v>
      </c>
      <c r="F8" s="7" t="s">
        <v>712</v>
      </c>
      <c r="G8" s="85">
        <f>+K25</f>
        <v>3474.7314504000001</v>
      </c>
    </row>
    <row r="9" spans="1:12" hidden="1">
      <c r="A9" s="2"/>
      <c r="B9" s="8">
        <f>+B8</f>
        <v>578</v>
      </c>
      <c r="C9" s="10" t="str">
        <f>+C8</f>
        <v>WHIP</v>
      </c>
      <c r="D9" s="111" t="s">
        <v>2332</v>
      </c>
      <c r="E9" s="111" t="str">
        <f>CONCATENATE(E6, "-HU")</f>
        <v>Stream Crossing - 15 Foot Deep Stream-HU</v>
      </c>
      <c r="F9" s="10" t="str">
        <f>+F8</f>
        <v>Each</v>
      </c>
      <c r="G9" s="86">
        <f>+L25</f>
        <v>4169.6777404800005</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23.449999999999996</v>
      </c>
      <c r="E16" s="160">
        <f>+'[10]Payment Factors'!D35</f>
        <v>0.75</v>
      </c>
      <c r="F16" s="160">
        <f>+'[10]Payment Factors'!E35</f>
        <v>0.9</v>
      </c>
      <c r="G16" s="160">
        <f>+'[10]Payment Factors'!F35</f>
        <v>0.75</v>
      </c>
      <c r="H16" s="160">
        <f>+'[10]Payment Factors'!G35</f>
        <v>0.9</v>
      </c>
      <c r="I16" s="1154">
        <f t="shared" ref="I16:L24" si="0">+$D16*E16</f>
        <v>17.587499999999999</v>
      </c>
      <c r="J16" s="1154">
        <f t="shared" si="0"/>
        <v>21.104999999999997</v>
      </c>
      <c r="K16" s="1154">
        <f t="shared" si="0"/>
        <v>17.587499999999999</v>
      </c>
      <c r="L16" s="1155">
        <f t="shared" si="0"/>
        <v>21.104999999999997</v>
      </c>
    </row>
    <row r="17" spans="1:12" hidden="1">
      <c r="A17" s="2"/>
      <c r="B17" s="15" t="s">
        <v>2</v>
      </c>
      <c r="C17" s="16"/>
      <c r="D17" s="24">
        <f>+I47</f>
        <v>3803.396604</v>
      </c>
      <c r="E17" s="160">
        <f t="shared" ref="E17:H19" si="1">+E16</f>
        <v>0.75</v>
      </c>
      <c r="F17" s="160">
        <f t="shared" si="1"/>
        <v>0.9</v>
      </c>
      <c r="G17" s="160">
        <f t="shared" si="1"/>
        <v>0.75</v>
      </c>
      <c r="H17" s="160">
        <f t="shared" si="1"/>
        <v>0.9</v>
      </c>
      <c r="I17" s="1154">
        <f t="shared" si="0"/>
        <v>2852.5474530000001</v>
      </c>
      <c r="J17" s="1154">
        <f t="shared" si="0"/>
        <v>3423.0569436000001</v>
      </c>
      <c r="K17" s="1154">
        <f t="shared" si="0"/>
        <v>2852.5474530000001</v>
      </c>
      <c r="L17" s="1155">
        <f t="shared" si="0"/>
        <v>3423.0569436000001</v>
      </c>
    </row>
    <row r="18" spans="1:12" hidden="1">
      <c r="A18" s="2"/>
      <c r="B18" s="15" t="s">
        <v>3</v>
      </c>
      <c r="C18" s="16"/>
      <c r="D18" s="24">
        <f>+I58</f>
        <v>671.187636</v>
      </c>
      <c r="E18" s="160">
        <f t="shared" si="1"/>
        <v>0.75</v>
      </c>
      <c r="F18" s="160">
        <f t="shared" si="1"/>
        <v>0.9</v>
      </c>
      <c r="G18" s="160">
        <f t="shared" si="1"/>
        <v>0.75</v>
      </c>
      <c r="H18" s="160">
        <f t="shared" si="1"/>
        <v>0.9</v>
      </c>
      <c r="I18" s="1154">
        <f t="shared" si="0"/>
        <v>503.39072699999997</v>
      </c>
      <c r="J18" s="1154">
        <f t="shared" si="0"/>
        <v>604.06887240000003</v>
      </c>
      <c r="K18" s="1154">
        <f t="shared" si="0"/>
        <v>503.39072699999997</v>
      </c>
      <c r="L18" s="1155">
        <f t="shared" si="0"/>
        <v>604.06887240000003</v>
      </c>
    </row>
    <row r="19" spans="1:12" hidden="1">
      <c r="A19" s="2"/>
      <c r="B19" s="15" t="s">
        <v>4</v>
      </c>
      <c r="C19" s="16"/>
      <c r="D19" s="24">
        <f>+I62</f>
        <v>134.94102720000001</v>
      </c>
      <c r="E19" s="160">
        <f t="shared" si="1"/>
        <v>0.75</v>
      </c>
      <c r="F19" s="160">
        <f t="shared" si="1"/>
        <v>0.9</v>
      </c>
      <c r="G19" s="160">
        <f t="shared" si="1"/>
        <v>0.75</v>
      </c>
      <c r="H19" s="160">
        <f t="shared" si="1"/>
        <v>0.9</v>
      </c>
      <c r="I19" s="1154">
        <f t="shared" si="0"/>
        <v>101.20577040000001</v>
      </c>
      <c r="J19" s="1154">
        <f t="shared" si="0"/>
        <v>121.44692448000001</v>
      </c>
      <c r="K19" s="1154">
        <f t="shared" si="0"/>
        <v>101.20577040000001</v>
      </c>
      <c r="L19" s="1155">
        <f t="shared" si="0"/>
        <v>121.44692448000001</v>
      </c>
    </row>
    <row r="20" spans="1:12" hidden="1">
      <c r="A20" s="2"/>
      <c r="B20" s="15" t="s">
        <v>26</v>
      </c>
      <c r="C20" s="16"/>
      <c r="D20" s="24">
        <f>+I65</f>
        <v>44.980342399999998</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+I68</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+I71</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+I74</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+I77</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4677.9556095999997</v>
      </c>
      <c r="E25" s="1158"/>
      <c r="F25" s="1158"/>
      <c r="G25" s="28"/>
      <c r="H25" s="28"/>
      <c r="I25" s="1159">
        <f>SUM(I16:I24)</f>
        <v>3474.7314504000001</v>
      </c>
      <c r="J25" s="1159">
        <f>SUM(J16:J24)</f>
        <v>4169.6777404800005</v>
      </c>
      <c r="K25" s="1159">
        <f>SUM(K16:K24)</f>
        <v>3474.7314504000001</v>
      </c>
      <c r="L25" s="1160">
        <f>SUM(L16:L24)</f>
        <v>4169.6777404800005</v>
      </c>
    </row>
    <row r="26" spans="1:12" hidden="1"/>
    <row r="27" spans="1:12" ht="15.75">
      <c r="A27" s="2"/>
      <c r="B27" s="50" t="s">
        <v>28</v>
      </c>
      <c r="C27" s="2"/>
      <c r="D27" s="2"/>
      <c r="E27" s="2"/>
      <c r="F27" s="2"/>
      <c r="G27" s="2"/>
      <c r="H27" s="2"/>
      <c r="I27" s="5"/>
    </row>
    <row r="28" spans="1:12">
      <c r="A28" s="2"/>
      <c r="B28" s="29" t="s">
        <v>2321</v>
      </c>
      <c r="C28" s="30"/>
      <c r="D28" s="30"/>
      <c r="E28" s="31"/>
      <c r="F28" s="31"/>
      <c r="G28" s="31"/>
      <c r="H28" s="31"/>
      <c r="I28" s="32"/>
    </row>
    <row r="29" spans="1:12">
      <c r="A29" s="2"/>
      <c r="B29" s="142" t="s">
        <v>2339</v>
      </c>
      <c r="C29" s="34"/>
      <c r="D29" s="34"/>
      <c r="E29" s="35"/>
      <c r="F29" s="35"/>
      <c r="G29" s="35"/>
      <c r="H29" s="35"/>
      <c r="I29" s="36"/>
    </row>
    <row r="30" spans="1:12">
      <c r="A30" s="2"/>
      <c r="B30" s="142"/>
      <c r="C30" s="34"/>
      <c r="D30" s="34"/>
      <c r="E30" s="1162"/>
      <c r="F30" s="1163"/>
      <c r="G30" s="35"/>
      <c r="H30" s="35"/>
      <c r="I30" s="36"/>
    </row>
    <row r="31" spans="1:12">
      <c r="A31" s="2"/>
      <c r="B31" s="37" t="s">
        <v>2335</v>
      </c>
      <c r="C31" s="34"/>
      <c r="D31" s="34"/>
      <c r="E31" s="35"/>
      <c r="F31" s="35"/>
      <c r="G31" s="35"/>
      <c r="H31" s="35"/>
      <c r="I31" s="36"/>
    </row>
    <row r="32" spans="1:12">
      <c r="A32" s="2"/>
      <c r="B32" s="3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Factors'!C35</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23.449999999999996</v>
      </c>
    </row>
    <row r="41" spans="1:9">
      <c r="A41" s="2"/>
      <c r="B41" s="1174"/>
      <c r="C41" s="35"/>
      <c r="D41" s="1167" t="s">
        <v>447</v>
      </c>
      <c r="E41" s="1167" t="s">
        <v>448</v>
      </c>
      <c r="F41" s="1167" t="s">
        <v>449</v>
      </c>
      <c r="G41" s="1167" t="s">
        <v>450</v>
      </c>
      <c r="H41" s="35"/>
      <c r="I41" s="46"/>
    </row>
    <row r="42" spans="1:9">
      <c r="A42" s="2"/>
      <c r="B42" s="1186" t="str">
        <f>+'[35]Core Rates'!A313</f>
        <v>Seed (Tall Fescue KY-31)</v>
      </c>
      <c r="C42" s="1187"/>
      <c r="D42" s="1169" t="str">
        <f>+'[35]Core Rates'!B313</f>
        <v>Lbs</v>
      </c>
      <c r="E42" s="1169">
        <f>+'[35]Core Rates'!C313</f>
        <v>2.3449999999999998</v>
      </c>
      <c r="F42" s="1170">
        <f>50*0.2</f>
        <v>10</v>
      </c>
      <c r="G42" s="1171">
        <f>+F42*E42</f>
        <v>23.449999999999996</v>
      </c>
      <c r="H42" s="35"/>
      <c r="I42" s="36"/>
    </row>
    <row r="43" spans="1:9">
      <c r="A43" s="2"/>
      <c r="B43" s="1186"/>
      <c r="C43" s="1187"/>
      <c r="D43" s="1169"/>
      <c r="E43" s="1169"/>
      <c r="F43" s="1170"/>
      <c r="G43" s="1171"/>
      <c r="H43" s="35"/>
      <c r="I43" s="36"/>
    </row>
    <row r="44" spans="1:9">
      <c r="A44" s="2"/>
      <c r="B44" s="37" t="s">
        <v>43</v>
      </c>
      <c r="C44" s="35"/>
      <c r="D44" s="35"/>
      <c r="E44" s="60"/>
      <c r="F44" s="60"/>
      <c r="G44" s="60"/>
      <c r="H44" s="35"/>
      <c r="I44" s="46"/>
    </row>
    <row r="45" spans="1:9">
      <c r="A45" s="2"/>
      <c r="B45" s="40" t="s">
        <v>457</v>
      </c>
      <c r="C45" s="6"/>
      <c r="D45" s="1173"/>
      <c r="E45" s="35"/>
      <c r="F45" s="35"/>
      <c r="G45" s="35"/>
      <c r="H45" s="35"/>
      <c r="I45" s="36"/>
    </row>
    <row r="46" spans="1:9">
      <c r="A46" s="2"/>
      <c r="B46" s="1172"/>
      <c r="C46" s="6"/>
      <c r="D46" s="1173"/>
      <c r="E46" s="35"/>
      <c r="F46" s="35"/>
      <c r="G46" s="35"/>
      <c r="H46" s="35"/>
      <c r="I46" s="36"/>
    </row>
    <row r="47" spans="1:9">
      <c r="A47" s="2"/>
      <c r="B47" s="42" t="s">
        <v>2</v>
      </c>
      <c r="C47" s="35"/>
      <c r="D47" s="35"/>
      <c r="E47" s="2003" t="s">
        <v>459</v>
      </c>
      <c r="F47" s="2003"/>
      <c r="G47" s="2003"/>
      <c r="H47" s="2003"/>
      <c r="I47" s="1166">
        <f>(SUM(G49:G53)*0.85)</f>
        <v>3803.396604</v>
      </c>
    </row>
    <row r="48" spans="1:9">
      <c r="A48" s="2"/>
      <c r="B48" s="1174"/>
      <c r="C48" s="35"/>
      <c r="D48" s="1167" t="s">
        <v>447</v>
      </c>
      <c r="E48" s="1167" t="s">
        <v>448</v>
      </c>
      <c r="F48" s="1167" t="s">
        <v>449</v>
      </c>
      <c r="G48" s="1167" t="s">
        <v>450</v>
      </c>
      <c r="H48" s="35"/>
      <c r="I48" s="46"/>
    </row>
    <row r="49" spans="1:9">
      <c r="A49" s="2"/>
      <c r="B49" s="1374" t="str">
        <f>+'[35]Core Rates'!A56</f>
        <v>Construction Site Prep - Medium</v>
      </c>
      <c r="C49" s="6"/>
      <c r="D49" s="1169" t="str">
        <f>+'[35]Core Rates'!B56</f>
        <v>Ac</v>
      </c>
      <c r="E49" s="1169">
        <f>+'[35]Core Rates'!C56</f>
        <v>573.81119999999999</v>
      </c>
      <c r="F49" s="1170">
        <v>0.2</v>
      </c>
      <c r="G49" s="1171">
        <f>+F49*E49</f>
        <v>114.76224000000001</v>
      </c>
      <c r="H49" s="35"/>
      <c r="I49" s="47"/>
    </row>
    <row r="50" spans="1:9">
      <c r="A50" s="2"/>
      <c r="B50" s="1374" t="str">
        <f>+'[35]Core Rates'!A262</f>
        <v>Riprap (In Place)</v>
      </c>
      <c r="C50" s="6"/>
      <c r="D50" s="1169" t="str">
        <f>+'[35]Core Rates'!B262</f>
        <v>Ton</v>
      </c>
      <c r="E50" s="1169">
        <f>+'[35]Core Rates'!C262</f>
        <v>23.540000000000003</v>
      </c>
      <c r="F50" s="1170">
        <v>66</v>
      </c>
      <c r="G50" s="1171">
        <f>+F50*E50</f>
        <v>1553.64</v>
      </c>
      <c r="H50" s="35"/>
      <c r="I50" s="47"/>
    </row>
    <row r="51" spans="1:9">
      <c r="A51" s="2"/>
      <c r="B51" s="1374" t="str">
        <f>+'[35]Core Rates'!A266</f>
        <v>Rock/Geo-Textile (Installed)</v>
      </c>
      <c r="C51" s="6"/>
      <c r="D51" s="1169" t="str">
        <f>+'[35]Core Rates'!B266</f>
        <v>Sq Ft</v>
      </c>
      <c r="E51" s="1169">
        <f>+'[35]Core Rates'!C266</f>
        <v>1.3482000000000001</v>
      </c>
      <c r="F51" s="1170">
        <v>2010</v>
      </c>
      <c r="G51" s="1171">
        <f>+F51*E51</f>
        <v>2709.8820000000001</v>
      </c>
      <c r="H51" s="35"/>
      <c r="I51" s="47"/>
    </row>
    <row r="52" spans="1:9">
      <c r="A52" s="2"/>
      <c r="B52" s="1374" t="str">
        <f>+'[35]Core Rates'!A37</f>
        <v xml:space="preserve">Broadcasting Seed </v>
      </c>
      <c r="C52" s="6"/>
      <c r="D52" s="1169" t="str">
        <f>+'[35]Core Rates'!B37</f>
        <v>Ac</v>
      </c>
      <c r="E52" s="1169">
        <f>+'[35]Core Rates'!C37</f>
        <v>9</v>
      </c>
      <c r="F52" s="1170">
        <v>0.2</v>
      </c>
      <c r="G52" s="1171">
        <f>+F52*E52</f>
        <v>1.8</v>
      </c>
      <c r="H52" s="35"/>
      <c r="I52" s="47"/>
    </row>
    <row r="53" spans="1:9">
      <c r="A53" s="2"/>
      <c r="B53" s="1386" t="str">
        <f>+'[35]Core Rates'!A217</f>
        <v>Mulching (2 tons/ac applied)</v>
      </c>
      <c r="C53" s="6"/>
      <c r="D53" s="1169" t="str">
        <f>+'[35]Core Rates'!B217</f>
        <v>Ac</v>
      </c>
      <c r="E53" s="1169">
        <f>+'[35]Core Rates'!C217</f>
        <v>472.5</v>
      </c>
      <c r="F53" s="1170">
        <v>0.2</v>
      </c>
      <c r="G53" s="1171">
        <f>+F53*E53</f>
        <v>94.5</v>
      </c>
      <c r="H53" s="35"/>
      <c r="I53" s="47"/>
    </row>
    <row r="54" spans="1:9">
      <c r="A54" s="2"/>
      <c r="B54" s="40"/>
      <c r="C54" s="6"/>
      <c r="D54" s="63"/>
      <c r="E54" s="150"/>
      <c r="F54" s="150"/>
      <c r="G54" s="1169"/>
      <c r="H54" s="35"/>
      <c r="I54" s="47"/>
    </row>
    <row r="55" spans="1:9">
      <c r="A55" s="2"/>
      <c r="B55" s="37" t="s">
        <v>43</v>
      </c>
      <c r="C55" s="35"/>
      <c r="D55" s="35"/>
      <c r="E55" s="60"/>
      <c r="F55" s="60"/>
      <c r="G55" s="60"/>
      <c r="H55" s="35"/>
      <c r="I55" s="46"/>
    </row>
    <row r="56" spans="1:9">
      <c r="A56" s="2"/>
      <c r="B56" s="40" t="s">
        <v>457</v>
      </c>
      <c r="C56" s="6"/>
      <c r="D56" s="1173"/>
      <c r="E56" s="35"/>
      <c r="F56" s="35"/>
      <c r="G56" s="35"/>
      <c r="H56" s="35"/>
      <c r="I56" s="36"/>
    </row>
    <row r="57" spans="1:9">
      <c r="A57" s="2"/>
      <c r="B57" s="1177"/>
      <c r="C57" s="1178"/>
      <c r="D57" s="1178"/>
      <c r="E57" s="1178"/>
      <c r="F57" s="1178"/>
      <c r="G57" s="1178"/>
      <c r="H57" s="1178"/>
      <c r="I57" s="1179"/>
    </row>
    <row r="58" spans="1:9">
      <c r="A58" s="2"/>
      <c r="B58" s="42" t="s">
        <v>3</v>
      </c>
      <c r="C58" s="35"/>
      <c r="D58" s="35"/>
      <c r="E58" s="35"/>
      <c r="F58" s="39"/>
      <c r="G58" s="35"/>
      <c r="H58" s="35"/>
      <c r="I58" s="1182">
        <f>E60</f>
        <v>671.187636</v>
      </c>
    </row>
    <row r="59" spans="1:9">
      <c r="A59" s="2"/>
      <c r="B59" s="2007" t="s">
        <v>465</v>
      </c>
      <c r="C59" s="2008"/>
      <c r="D59" s="35"/>
      <c r="E59" s="35"/>
      <c r="F59" s="35"/>
      <c r="G59" s="35"/>
      <c r="H59" s="35"/>
      <c r="I59" s="48"/>
    </row>
    <row r="60" spans="1:9">
      <c r="A60" s="2"/>
      <c r="B60" s="37" t="s">
        <v>466</v>
      </c>
      <c r="C60" s="39"/>
      <c r="D60" s="39"/>
      <c r="E60" s="153">
        <f>SUM(G49:G53)*0.15</f>
        <v>671.187636</v>
      </c>
      <c r="F60" s="35"/>
      <c r="G60" s="35"/>
      <c r="H60" s="35"/>
      <c r="I60" s="46"/>
    </row>
    <row r="61" spans="1:9">
      <c r="A61" s="2"/>
      <c r="B61" s="33"/>
      <c r="C61" s="35"/>
      <c r="D61" s="35"/>
      <c r="E61" s="35"/>
      <c r="F61" s="35"/>
      <c r="G61" s="35"/>
      <c r="H61" s="35"/>
      <c r="I61" s="36"/>
    </row>
    <row r="62" spans="1:9">
      <c r="A62" s="2"/>
      <c r="B62" s="42" t="s">
        <v>4</v>
      </c>
      <c r="C62" s="35"/>
      <c r="D62" s="35"/>
      <c r="E62" s="35"/>
      <c r="F62" s="35"/>
      <c r="G62" s="35"/>
      <c r="H62" s="35"/>
      <c r="I62" s="1182">
        <f>0.03*(I40+I47+I58)</f>
        <v>134.94102720000001</v>
      </c>
    </row>
    <row r="63" spans="1:9">
      <c r="A63" s="2"/>
      <c r="B63" s="33" t="s">
        <v>467</v>
      </c>
      <c r="C63" s="35"/>
      <c r="D63" s="35"/>
      <c r="E63" s="35"/>
      <c r="F63" s="35"/>
      <c r="G63" s="35"/>
      <c r="H63" s="35"/>
      <c r="I63" s="36"/>
    </row>
    <row r="64" spans="1:9">
      <c r="A64" s="2"/>
      <c r="B64" s="37"/>
      <c r="C64" s="35"/>
      <c r="D64" s="35"/>
      <c r="E64" s="35"/>
      <c r="F64" s="35"/>
      <c r="G64" s="35"/>
      <c r="H64" s="35"/>
      <c r="I64" s="36"/>
    </row>
    <row r="65" spans="1:9">
      <c r="A65" s="2"/>
      <c r="B65" s="42" t="s">
        <v>468</v>
      </c>
      <c r="C65" s="35"/>
      <c r="D65" s="35"/>
      <c r="E65" s="35"/>
      <c r="F65" s="35"/>
      <c r="G65" s="35"/>
      <c r="H65" s="35"/>
      <c r="I65" s="1182">
        <f>0.01*(I40+I47+I58)</f>
        <v>44.980342399999998</v>
      </c>
    </row>
    <row r="66" spans="1:9">
      <c r="A66" s="2"/>
      <c r="B66" s="33" t="s">
        <v>749</v>
      </c>
      <c r="C66" s="35"/>
      <c r="D66" s="35"/>
      <c r="E66" s="35"/>
      <c r="F66" s="35"/>
      <c r="G66" s="35"/>
      <c r="H66" s="35"/>
      <c r="I66" s="36"/>
    </row>
    <row r="67" spans="1:9">
      <c r="A67" s="2"/>
      <c r="B67" s="37"/>
      <c r="C67" s="35"/>
      <c r="D67" s="35"/>
      <c r="E67" s="35"/>
      <c r="F67" s="35"/>
      <c r="G67" s="35"/>
      <c r="H67" s="35"/>
      <c r="I67" s="36"/>
    </row>
    <row r="68" spans="1:9">
      <c r="A68" s="2"/>
      <c r="B68" s="42" t="s">
        <v>7</v>
      </c>
      <c r="C68" s="35"/>
      <c r="D68" s="35"/>
      <c r="E68" s="35"/>
      <c r="F68" s="35"/>
      <c r="G68" s="35"/>
      <c r="H68" s="35"/>
      <c r="I68" s="1166">
        <v>0</v>
      </c>
    </row>
    <row r="69" spans="1:9">
      <c r="A69" s="2"/>
      <c r="B69" s="33" t="s">
        <v>104</v>
      </c>
      <c r="C69" s="35"/>
      <c r="D69" s="35"/>
      <c r="E69" s="35"/>
      <c r="F69" s="35"/>
      <c r="G69" s="35"/>
      <c r="H69" s="35"/>
      <c r="I69" s="36"/>
    </row>
    <row r="70" spans="1:9">
      <c r="A70" s="2"/>
      <c r="B70" s="37"/>
      <c r="C70" s="35"/>
      <c r="D70" s="35"/>
      <c r="E70" s="35"/>
      <c r="F70" s="35"/>
      <c r="G70" s="35"/>
      <c r="H70" s="35"/>
      <c r="I70" s="36"/>
    </row>
    <row r="71" spans="1:9">
      <c r="A71" s="2"/>
      <c r="B71" s="42" t="s">
        <v>471</v>
      </c>
      <c r="C71" s="35"/>
      <c r="D71" s="35"/>
      <c r="E71" s="35"/>
      <c r="F71" s="39"/>
      <c r="G71" s="35"/>
      <c r="H71" s="35"/>
      <c r="I71" s="1166">
        <v>0</v>
      </c>
    </row>
    <row r="72" spans="1:9">
      <c r="A72" s="2"/>
      <c r="B72" s="756" t="s">
        <v>104</v>
      </c>
      <c r="C72" s="35"/>
      <c r="D72" s="35"/>
      <c r="E72" s="35"/>
      <c r="F72" s="35"/>
      <c r="G72" s="35"/>
      <c r="H72" s="35"/>
      <c r="I72" s="47"/>
    </row>
    <row r="73" spans="1:9">
      <c r="A73" s="2"/>
      <c r="B73" s="37"/>
      <c r="C73" s="35"/>
      <c r="D73" s="35"/>
      <c r="E73" s="35"/>
      <c r="F73" s="35"/>
      <c r="G73" s="35"/>
      <c r="H73" s="35"/>
      <c r="I73" s="36"/>
    </row>
    <row r="74" spans="1:9">
      <c r="A74" s="2"/>
      <c r="B74" s="42" t="s">
        <v>5</v>
      </c>
      <c r="C74" s="35"/>
      <c r="D74" s="35"/>
      <c r="E74" s="35"/>
      <c r="F74" s="35"/>
      <c r="G74" s="35"/>
      <c r="H74" s="35"/>
      <c r="I74" s="1166">
        <v>0</v>
      </c>
    </row>
    <row r="75" spans="1:9">
      <c r="A75" s="2"/>
      <c r="B75" s="33" t="s">
        <v>104</v>
      </c>
      <c r="C75" s="35"/>
      <c r="D75" s="35"/>
      <c r="E75" s="35"/>
      <c r="F75" s="35"/>
      <c r="G75" s="35"/>
      <c r="H75" s="35"/>
      <c r="I75" s="47"/>
    </row>
    <row r="76" spans="1:9">
      <c r="A76" s="2"/>
      <c r="B76" s="37"/>
      <c r="C76" s="35"/>
      <c r="D76" s="35"/>
      <c r="E76" s="35"/>
      <c r="F76" s="35"/>
      <c r="G76" s="35"/>
      <c r="H76" s="35"/>
      <c r="I76" s="36"/>
    </row>
    <row r="77" spans="1:9">
      <c r="A77" s="2"/>
      <c r="B77" s="42" t="s">
        <v>20</v>
      </c>
      <c r="C77" s="35"/>
      <c r="D77" s="35"/>
      <c r="E77" s="35"/>
      <c r="F77" s="35"/>
      <c r="G77" s="35"/>
      <c r="H77" s="35"/>
      <c r="I77" s="1166">
        <v>0</v>
      </c>
    </row>
    <row r="78" spans="1:9">
      <c r="A78" s="2"/>
      <c r="B78" s="33" t="s">
        <v>104</v>
      </c>
      <c r="C78" s="35"/>
      <c r="D78" s="35"/>
      <c r="E78" s="35"/>
      <c r="F78" s="35"/>
      <c r="G78" s="35"/>
      <c r="H78" s="35"/>
      <c r="I78" s="36"/>
    </row>
    <row r="79" spans="1:9">
      <c r="A79" s="2"/>
      <c r="B79" s="40"/>
      <c r="C79" s="35"/>
      <c r="D79" s="35"/>
      <c r="E79" s="35"/>
      <c r="F79" s="35"/>
      <c r="G79" s="35"/>
      <c r="H79" s="35"/>
      <c r="I79" s="36"/>
    </row>
    <row r="80" spans="1:9">
      <c r="A80" s="2"/>
      <c r="B80" s="42" t="s">
        <v>473</v>
      </c>
      <c r="C80" s="35"/>
      <c r="D80" s="35"/>
      <c r="E80" s="35"/>
      <c r="F80" s="35"/>
      <c r="G80" s="35"/>
      <c r="H80" s="35"/>
      <c r="I80" s="1183">
        <f>+I40+I47+I58+I62+I68+I77</f>
        <v>4632.9752671999995</v>
      </c>
    </row>
    <row r="81" spans="1:9" ht="15.75">
      <c r="A81" s="2"/>
      <c r="B81" s="33" t="s">
        <v>474</v>
      </c>
      <c r="C81" s="35"/>
      <c r="D81" s="35"/>
      <c r="E81" s="35"/>
      <c r="F81" s="35"/>
      <c r="G81" s="35"/>
      <c r="H81" s="35"/>
      <c r="I81" s="36"/>
    </row>
    <row r="82" spans="1:9">
      <c r="A82" s="2"/>
      <c r="B82" s="40"/>
      <c r="C82" s="35"/>
      <c r="D82" s="35"/>
      <c r="E82" s="35"/>
      <c r="F82" s="35"/>
      <c r="G82" s="35"/>
      <c r="H82" s="35"/>
      <c r="I82" s="36"/>
    </row>
    <row r="83" spans="1:9">
      <c r="A83" s="2"/>
      <c r="B83" s="43" t="s">
        <v>11</v>
      </c>
      <c r="C83" s="44"/>
      <c r="D83" s="44"/>
      <c r="E83" s="44"/>
      <c r="F83" s="44"/>
      <c r="G83" s="44"/>
      <c r="H83" s="44"/>
      <c r="I83" s="621">
        <f>SUM(I40:I77)</f>
        <v>4677.9556095999997</v>
      </c>
    </row>
  </sheetData>
  <mergeCells count="3">
    <mergeCell ref="B1:D1"/>
    <mergeCell ref="E47:H47"/>
    <mergeCell ref="B59:C59"/>
  </mergeCells>
  <pageMargins left="0.75" right="0.75" top="1" bottom="1" header="0.5" footer="0.5"/>
  <pageSetup scale="61" orientation="portrait" r:id="rId1"/>
  <headerFooter alignWithMargins="0"/>
</worksheet>
</file>

<file path=xl/worksheets/sheet182.xml><?xml version="1.0" encoding="utf-8"?>
<worksheet xmlns="http://schemas.openxmlformats.org/spreadsheetml/2006/main" xmlns:r="http://schemas.openxmlformats.org/officeDocument/2006/relationships">
  <sheetPr>
    <pageSetUpPr fitToPage="1"/>
  </sheetPr>
  <dimension ref="A1:L75"/>
  <sheetViews>
    <sheetView zoomScale="75" zoomScaleNormal="75" workbookViewId="0">
      <selection activeCell="A2" sqref="A2:XFD27"/>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38.25">
      <c r="A6" s="2"/>
      <c r="B6" s="54">
        <v>580</v>
      </c>
      <c r="C6" s="7" t="str">
        <f>+E12</f>
        <v>EQIP</v>
      </c>
      <c r="D6" s="110" t="s">
        <v>2340</v>
      </c>
      <c r="E6" s="110" t="s">
        <v>2341</v>
      </c>
      <c r="F6" s="7" t="s">
        <v>756</v>
      </c>
      <c r="G6" s="85">
        <f>+I25</f>
        <v>39.297075000000007</v>
      </c>
    </row>
    <row r="7" spans="1:12" ht="38.25">
      <c r="A7" s="2"/>
      <c r="B7" s="54">
        <f>+B6</f>
        <v>580</v>
      </c>
      <c r="C7" s="7" t="str">
        <f>+C6</f>
        <v>EQIP</v>
      </c>
      <c r="D7" s="110" t="s">
        <v>2340</v>
      </c>
      <c r="E7" s="110" t="str">
        <f>CONCATENATE(E6, "-HU")</f>
        <v>Streambank and Shoreline Protection -Conventional, Bio-Engineering, or Natural Stream Restoration Streambank Treatments from 2' up to 4' Bank Height Protection-HU</v>
      </c>
      <c r="F7" s="7" t="str">
        <f>+F6</f>
        <v>Feet</v>
      </c>
      <c r="G7" s="85">
        <f>+J25</f>
        <v>47.156489999999998</v>
      </c>
    </row>
    <row r="8" spans="1:12" ht="38.25">
      <c r="A8" s="2"/>
      <c r="B8" s="54">
        <v>580</v>
      </c>
      <c r="C8" s="7" t="str">
        <f>+G12</f>
        <v>WHIP</v>
      </c>
      <c r="D8" s="110" t="s">
        <v>2340</v>
      </c>
      <c r="E8" s="110" t="str">
        <f>+E6</f>
        <v>Streambank and Shoreline Protection -Conventional, Bio-Engineering, or Natural Stream Restoration Streambank Treatments from 2' up to 4' Bank Height Protection</v>
      </c>
      <c r="F8" s="7" t="s">
        <v>756</v>
      </c>
      <c r="G8" s="85">
        <f>+K25</f>
        <v>0</v>
      </c>
    </row>
    <row r="9" spans="1:12" ht="38.25">
      <c r="A9" s="2"/>
      <c r="B9" s="8">
        <f>+B8</f>
        <v>580</v>
      </c>
      <c r="C9" s="10" t="str">
        <f>+C8</f>
        <v>WHIP</v>
      </c>
      <c r="D9" s="111" t="s">
        <v>2340</v>
      </c>
      <c r="E9" s="111" t="str">
        <f>CONCATENATE(E6, "-HU")</f>
        <v>Streambank and Shoreline Protection -Conventional, Bio-Engineering, or Natural Stream Restoration Streambank Treatments from 2' up to 4' Bank Height Protection-HU</v>
      </c>
      <c r="F9" s="10" t="str">
        <f>+F8</f>
        <v>Feet</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0</v>
      </c>
      <c r="E16" s="160">
        <f>+'[10]Payment Factors'!D36</f>
        <v>0.75</v>
      </c>
      <c r="F16" s="160">
        <f>+'[10]Payment Factors'!E36</f>
        <v>0.9</v>
      </c>
      <c r="G16" s="160">
        <f>+'[10]Payment Factors'!F36</f>
        <v>0</v>
      </c>
      <c r="H16" s="160">
        <f>+'[10]Payment Factors'!G36</f>
        <v>0</v>
      </c>
      <c r="I16" s="1154">
        <f t="shared" ref="I16:L24" si="0">+$D16*E16</f>
        <v>0</v>
      </c>
      <c r="J16" s="1154">
        <f t="shared" si="0"/>
        <v>0</v>
      </c>
      <c r="K16" s="1154">
        <f t="shared" si="0"/>
        <v>0</v>
      </c>
      <c r="L16" s="1155">
        <f t="shared" si="0"/>
        <v>0</v>
      </c>
    </row>
    <row r="17" spans="1:12">
      <c r="A17" s="2"/>
      <c r="B17" s="15" t="s">
        <v>2</v>
      </c>
      <c r="C17" s="16"/>
      <c r="D17" s="24">
        <f>+I43</f>
        <v>43.2395</v>
      </c>
      <c r="E17" s="160">
        <f>+E16</f>
        <v>0.75</v>
      </c>
      <c r="F17" s="160">
        <f>+F16</f>
        <v>0.9</v>
      </c>
      <c r="G17" s="160">
        <f>+G16</f>
        <v>0</v>
      </c>
      <c r="H17" s="160">
        <f>+H16</f>
        <v>0</v>
      </c>
      <c r="I17" s="1154">
        <f t="shared" si="0"/>
        <v>32.429625000000001</v>
      </c>
      <c r="J17" s="1154">
        <f t="shared" si="0"/>
        <v>38.915550000000003</v>
      </c>
      <c r="K17" s="1154">
        <f t="shared" si="0"/>
        <v>0</v>
      </c>
      <c r="L17" s="1155">
        <f t="shared" si="0"/>
        <v>0</v>
      </c>
    </row>
    <row r="18" spans="1:12">
      <c r="A18" s="2"/>
      <c r="B18" s="15" t="s">
        <v>3</v>
      </c>
      <c r="C18" s="16"/>
      <c r="D18" s="24">
        <f>+I50</f>
        <v>7.6304999999999996</v>
      </c>
      <c r="E18" s="160">
        <f>+E16</f>
        <v>0.75</v>
      </c>
      <c r="F18" s="160">
        <f>+F16</f>
        <v>0.9</v>
      </c>
      <c r="G18" s="160">
        <f>+G16</f>
        <v>0</v>
      </c>
      <c r="H18" s="160">
        <f>+H16</f>
        <v>0</v>
      </c>
      <c r="I18" s="1154">
        <f t="shared" si="0"/>
        <v>5.7228750000000002</v>
      </c>
      <c r="J18" s="1154">
        <f t="shared" si="0"/>
        <v>6.8674499999999998</v>
      </c>
      <c r="K18" s="1154">
        <f t="shared" si="0"/>
        <v>0</v>
      </c>
      <c r="L18" s="1155">
        <f t="shared" si="0"/>
        <v>0</v>
      </c>
    </row>
    <row r="19" spans="1:12">
      <c r="A19" s="2"/>
      <c r="B19" s="15" t="s">
        <v>4</v>
      </c>
      <c r="C19" s="16"/>
      <c r="D19" s="24">
        <f>+I54</f>
        <v>1.5260999999999998</v>
      </c>
      <c r="E19" s="160">
        <f>+E16</f>
        <v>0.75</v>
      </c>
      <c r="F19" s="160">
        <f>+F16</f>
        <v>0.9</v>
      </c>
      <c r="G19" s="160">
        <f>+G16</f>
        <v>0</v>
      </c>
      <c r="H19" s="160">
        <f>+H16</f>
        <v>0</v>
      </c>
      <c r="I19" s="1154">
        <f t="shared" si="0"/>
        <v>1.1445749999999999</v>
      </c>
      <c r="J19" s="1154">
        <f t="shared" si="0"/>
        <v>1.3734899999999999</v>
      </c>
      <c r="K19" s="1154">
        <f t="shared" si="0"/>
        <v>0</v>
      </c>
      <c r="L19" s="1155">
        <f t="shared" si="0"/>
        <v>0</v>
      </c>
    </row>
    <row r="20" spans="1:12">
      <c r="A20" s="2"/>
      <c r="B20" s="15" t="s">
        <v>26</v>
      </c>
      <c r="C20" s="16"/>
      <c r="D20" s="24">
        <f>+I57</f>
        <v>0.50869999999999993</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+I66</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+I69</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52.904799999999994</v>
      </c>
      <c r="E25" s="1158"/>
      <c r="F25" s="1158"/>
      <c r="G25" s="28"/>
      <c r="H25" s="28"/>
      <c r="I25" s="1159">
        <f>SUM(I16:I24)</f>
        <v>39.297075000000007</v>
      </c>
      <c r="J25" s="1159">
        <f>SUM(J16:J24)</f>
        <v>47.156489999999998</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2342</v>
      </c>
      <c r="C29" s="34"/>
      <c r="D29" s="34"/>
      <c r="E29" s="35"/>
      <c r="F29" s="35"/>
      <c r="G29" s="35"/>
      <c r="H29" s="35"/>
      <c r="I29" s="36"/>
    </row>
    <row r="30" spans="1:12">
      <c r="A30" s="2"/>
      <c r="B30" s="37" t="s">
        <v>2343</v>
      </c>
      <c r="C30" s="34"/>
      <c r="D30" s="34"/>
      <c r="E30" s="1162"/>
      <c r="F30" s="1163"/>
      <c r="G30" s="35"/>
      <c r="H30" s="35"/>
      <c r="I30" s="36"/>
    </row>
    <row r="31" spans="1:12">
      <c r="A31" s="2"/>
      <c r="B31" s="37" t="s">
        <v>1490</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Factors'!C36</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104</v>
      </c>
      <c r="C41" s="35"/>
      <c r="D41" s="1167"/>
      <c r="E41" s="1167"/>
      <c r="F41" s="1167"/>
      <c r="G41" s="1167"/>
      <c r="H41" s="35"/>
      <c r="I41" s="46"/>
    </row>
    <row r="42" spans="1:9">
      <c r="A42" s="2"/>
      <c r="B42" s="40"/>
      <c r="C42" s="6"/>
      <c r="D42" s="1168"/>
      <c r="E42" s="1169"/>
      <c r="F42" s="1170"/>
      <c r="G42" s="1171"/>
      <c r="H42" s="35"/>
      <c r="I42" s="47"/>
    </row>
    <row r="43" spans="1:9">
      <c r="A43" s="2"/>
      <c r="B43" s="42" t="s">
        <v>2</v>
      </c>
      <c r="C43" s="35"/>
      <c r="D43" s="35"/>
      <c r="E43" s="2003" t="s">
        <v>459</v>
      </c>
      <c r="F43" s="2003"/>
      <c r="G43" s="2003"/>
      <c r="H43" s="2003"/>
      <c r="I43" s="1166">
        <f>(SUM(G45:G45)*0.85)</f>
        <v>43.2395</v>
      </c>
    </row>
    <row r="44" spans="1:9">
      <c r="A44" s="2"/>
      <c r="B44" s="1174"/>
      <c r="C44" s="35"/>
      <c r="D44" s="1167" t="s">
        <v>447</v>
      </c>
      <c r="E44" s="1167" t="s">
        <v>448</v>
      </c>
      <c r="F44" s="1167" t="s">
        <v>449</v>
      </c>
      <c r="G44" s="1167" t="s">
        <v>450</v>
      </c>
      <c r="H44" s="35"/>
      <c r="I44" s="46"/>
    </row>
    <row r="45" spans="1:9">
      <c r="A45" s="2"/>
      <c r="B45" s="1374" t="str">
        <f>+'[36]Core Rates'!A22</f>
        <v>2.0' to 4.0' Bank Height Protected</v>
      </c>
      <c r="C45" s="143"/>
      <c r="D45" s="1169" t="str">
        <f>+'[36]Core Rates'!B22</f>
        <v>Lin Ft</v>
      </c>
      <c r="E45" s="1169">
        <f>+'[36]Core Rates'!C22</f>
        <v>50.87</v>
      </c>
      <c r="F45" s="1169">
        <v>1</v>
      </c>
      <c r="G45" s="1171">
        <f>+F45*E45</f>
        <v>50.87</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40" t="s">
        <v>457</v>
      </c>
      <c r="C48" s="1178"/>
      <c r="D48" s="1178"/>
      <c r="E48" s="1178"/>
      <c r="F48" s="1178"/>
      <c r="G48" s="1178"/>
      <c r="H48" s="1178"/>
      <c r="I48" s="1179"/>
    </row>
    <row r="49" spans="1:9">
      <c r="A49" s="2"/>
      <c r="B49" s="40"/>
      <c r="C49" s="1178"/>
      <c r="D49" s="1178"/>
      <c r="E49" s="1178"/>
      <c r="F49" s="1178"/>
      <c r="G49" s="1178"/>
      <c r="H49" s="1178"/>
      <c r="I49" s="1179"/>
    </row>
    <row r="50" spans="1:9">
      <c r="A50" s="2"/>
      <c r="B50" s="42" t="s">
        <v>3</v>
      </c>
      <c r="C50" s="35"/>
      <c r="D50" s="35"/>
      <c r="E50" s="35"/>
      <c r="F50" s="39"/>
      <c r="G50" s="35"/>
      <c r="H50" s="35"/>
      <c r="I50" s="1182">
        <f>E52</f>
        <v>7.6304999999999996</v>
      </c>
    </row>
    <row r="51" spans="1:9">
      <c r="A51" s="2"/>
      <c r="B51" s="2007" t="s">
        <v>465</v>
      </c>
      <c r="C51" s="2008"/>
      <c r="D51" s="35"/>
      <c r="E51" s="35"/>
      <c r="F51" s="35"/>
      <c r="G51" s="35"/>
      <c r="H51" s="35"/>
      <c r="I51" s="48"/>
    </row>
    <row r="52" spans="1:9">
      <c r="A52" s="2"/>
      <c r="B52" s="37" t="s">
        <v>466</v>
      </c>
      <c r="C52" s="39"/>
      <c r="D52" s="39"/>
      <c r="E52" s="153">
        <f>SUM(G45:G45)*0.15</f>
        <v>7.6304999999999996</v>
      </c>
      <c r="F52" s="35"/>
      <c r="G52" s="35"/>
      <c r="H52" s="35"/>
      <c r="I52" s="46"/>
    </row>
    <row r="53" spans="1:9">
      <c r="A53" s="2"/>
      <c r="B53" s="33"/>
      <c r="C53" s="35"/>
      <c r="D53" s="35"/>
      <c r="E53" s="35"/>
      <c r="F53" s="35"/>
      <c r="G53" s="35"/>
      <c r="H53" s="35"/>
      <c r="I53" s="36"/>
    </row>
    <row r="54" spans="1:9">
      <c r="A54" s="2"/>
      <c r="B54" s="42" t="s">
        <v>4</v>
      </c>
      <c r="C54" s="35"/>
      <c r="D54" s="35"/>
      <c r="E54" s="35"/>
      <c r="F54" s="35"/>
      <c r="G54" s="35"/>
      <c r="H54" s="35"/>
      <c r="I54" s="1182">
        <f>0.03*(I40+I43+I50)</f>
        <v>1.5260999999999998</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f>0.01*(I43+I40+I50)</f>
        <v>0.50869999999999993</v>
      </c>
    </row>
    <row r="58" spans="1:9">
      <c r="A58" s="2"/>
      <c r="B58" s="33" t="s">
        <v>749</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756" t="s">
        <v>104</v>
      </c>
      <c r="C64" s="35"/>
      <c r="D64" s="35"/>
      <c r="E64" s="35"/>
      <c r="F64" s="35"/>
      <c r="G64" s="35"/>
      <c r="H64" s="35"/>
      <c r="I64" s="47"/>
    </row>
    <row r="65" spans="1:9">
      <c r="A65" s="2"/>
      <c r="B65" s="37"/>
      <c r="C65" s="35"/>
      <c r="D65" s="35"/>
      <c r="E65" s="35"/>
      <c r="F65" s="35"/>
      <c r="G65" s="35"/>
      <c r="H65" s="35"/>
      <c r="I65" s="36"/>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+I40+I43+I50+I54+I60+I69</f>
        <v>52.396099999999997</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SUM(I39:I69)</f>
        <v>52.904799999999994</v>
      </c>
    </row>
  </sheetData>
  <mergeCells count="3">
    <mergeCell ref="B1:D1"/>
    <mergeCell ref="E43:H43"/>
    <mergeCell ref="B51:C51"/>
  </mergeCells>
  <pageMargins left="0.75" right="0.75" top="1" bottom="1" header="0.5" footer="0.5"/>
  <pageSetup scale="54" orientation="portrait" r:id="rId1"/>
  <headerFooter alignWithMargins="0"/>
</worksheet>
</file>

<file path=xl/worksheets/sheet183.xml><?xml version="1.0" encoding="utf-8"?>
<worksheet xmlns="http://schemas.openxmlformats.org/spreadsheetml/2006/main" xmlns:r="http://schemas.openxmlformats.org/officeDocument/2006/relationships">
  <sheetPr>
    <pageSetUpPr fitToPage="1"/>
  </sheetPr>
  <dimension ref="A1:L75"/>
  <sheetViews>
    <sheetView workbookViewId="0">
      <selection activeCell="A2" sqref="A2:XFD27"/>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38.25" hidden="1">
      <c r="A6" s="2"/>
      <c r="B6" s="54">
        <v>580</v>
      </c>
      <c r="C6" s="7" t="str">
        <f>+E12</f>
        <v>EQIP</v>
      </c>
      <c r="D6" s="110" t="s">
        <v>2340</v>
      </c>
      <c r="E6" s="110" t="s">
        <v>2344</v>
      </c>
      <c r="F6" s="7" t="s">
        <v>756</v>
      </c>
      <c r="G6" s="85">
        <f>+I25</f>
        <v>52.078859999999999</v>
      </c>
    </row>
    <row r="7" spans="1:12" ht="38.25" hidden="1">
      <c r="A7" s="2"/>
      <c r="B7" s="54">
        <f>+B6</f>
        <v>580</v>
      </c>
      <c r="C7" s="7" t="str">
        <f>+C6</f>
        <v>EQIP</v>
      </c>
      <c r="D7" s="110" t="s">
        <v>2340</v>
      </c>
      <c r="E7" s="110" t="str">
        <f>CONCATENATE(E6, "-HU")</f>
        <v>Streambank and Shoreline Protection -Conventional, Bio-Engineering, or Natural Stream Restoration Streambank Treatments from 4' up to 6' Bank Height Protection-HU</v>
      </c>
      <c r="F7" s="7" t="str">
        <f>+F6</f>
        <v>Feet</v>
      </c>
      <c r="G7" s="85">
        <f>+J25</f>
        <v>62.494631999999996</v>
      </c>
    </row>
    <row r="8" spans="1:12" ht="38.25" hidden="1">
      <c r="A8" s="2"/>
      <c r="B8" s="54">
        <v>580</v>
      </c>
      <c r="C8" s="7" t="str">
        <f>+G12</f>
        <v>WHIP</v>
      </c>
      <c r="D8" s="110" t="s">
        <v>2340</v>
      </c>
      <c r="E8" s="110" t="str">
        <f>+E6</f>
        <v>Streambank and Shoreline Protection -Conventional, Bio-Engineering, or Natural Stream Restoration Streambank Treatments from 4' up to 6' Bank Height Protection</v>
      </c>
      <c r="F8" s="7" t="s">
        <v>756</v>
      </c>
      <c r="G8" s="85">
        <f>+K25</f>
        <v>0</v>
      </c>
    </row>
    <row r="9" spans="1:12" ht="38.25" hidden="1">
      <c r="A9" s="2"/>
      <c r="B9" s="8">
        <f>+B8</f>
        <v>580</v>
      </c>
      <c r="C9" s="10" t="str">
        <f>+C8</f>
        <v>WHIP</v>
      </c>
      <c r="D9" s="111" t="s">
        <v>2340</v>
      </c>
      <c r="E9" s="111" t="str">
        <f>CONCATENATE(E6, "-HU")</f>
        <v>Streambank and Shoreline Protection -Conventional, Bio-Engineering, or Natural Stream Restoration Streambank Treatments from 4' up to 6' Bank Height Protection-HU</v>
      </c>
      <c r="F9" s="10" t="str">
        <f>+F8</f>
        <v>Feet</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Factors'!D36</f>
        <v>0.75</v>
      </c>
      <c r="F16" s="160">
        <f>+'[10]Payment Factors'!E36</f>
        <v>0.9</v>
      </c>
      <c r="G16" s="160">
        <f>+'[10]Payment Factors'!F36</f>
        <v>0</v>
      </c>
      <c r="H16" s="160">
        <f>+'[10]Payment Factors'!G36</f>
        <v>0</v>
      </c>
      <c r="I16" s="1154">
        <f t="shared" ref="I16:L24" si="0">+$D16*E16</f>
        <v>0</v>
      </c>
      <c r="J16" s="1154">
        <f t="shared" si="0"/>
        <v>0</v>
      </c>
      <c r="K16" s="1154">
        <f t="shared" si="0"/>
        <v>0</v>
      </c>
      <c r="L16" s="1155">
        <f t="shared" si="0"/>
        <v>0</v>
      </c>
    </row>
    <row r="17" spans="1:12" hidden="1">
      <c r="A17" s="2"/>
      <c r="B17" s="15" t="s">
        <v>2</v>
      </c>
      <c r="C17" s="16"/>
      <c r="D17" s="24">
        <f>+I43</f>
        <v>57.303599999999996</v>
      </c>
      <c r="E17" s="160">
        <f>+E16</f>
        <v>0.75</v>
      </c>
      <c r="F17" s="160">
        <f>+F16</f>
        <v>0.9</v>
      </c>
      <c r="G17" s="160">
        <f>+G16</f>
        <v>0</v>
      </c>
      <c r="H17" s="160">
        <f>+H16</f>
        <v>0</v>
      </c>
      <c r="I17" s="1154">
        <f t="shared" si="0"/>
        <v>42.977699999999999</v>
      </c>
      <c r="J17" s="1154">
        <f t="shared" si="0"/>
        <v>51.573239999999998</v>
      </c>
      <c r="K17" s="1154">
        <f t="shared" si="0"/>
        <v>0</v>
      </c>
      <c r="L17" s="1155">
        <f t="shared" si="0"/>
        <v>0</v>
      </c>
    </row>
    <row r="18" spans="1:12" hidden="1">
      <c r="A18" s="2"/>
      <c r="B18" s="15" t="s">
        <v>3</v>
      </c>
      <c r="C18" s="16"/>
      <c r="D18" s="24">
        <f>+I50</f>
        <v>10.112399999999999</v>
      </c>
      <c r="E18" s="160">
        <f>+E16</f>
        <v>0.75</v>
      </c>
      <c r="F18" s="160">
        <f>+F16</f>
        <v>0.9</v>
      </c>
      <c r="G18" s="160">
        <f>+G16</f>
        <v>0</v>
      </c>
      <c r="H18" s="160">
        <f>+H16</f>
        <v>0</v>
      </c>
      <c r="I18" s="1154">
        <f t="shared" si="0"/>
        <v>7.5842999999999989</v>
      </c>
      <c r="J18" s="1154">
        <f t="shared" si="0"/>
        <v>9.1011600000000001</v>
      </c>
      <c r="K18" s="1154">
        <f t="shared" si="0"/>
        <v>0</v>
      </c>
      <c r="L18" s="1155">
        <f t="shared" si="0"/>
        <v>0</v>
      </c>
    </row>
    <row r="19" spans="1:12" hidden="1">
      <c r="A19" s="2"/>
      <c r="B19" s="15" t="s">
        <v>4</v>
      </c>
      <c r="C19" s="16"/>
      <c r="D19" s="24">
        <f>+I54</f>
        <v>2.0224799999999998</v>
      </c>
      <c r="E19" s="160">
        <f>+E16</f>
        <v>0.75</v>
      </c>
      <c r="F19" s="160">
        <f>+F16</f>
        <v>0.9</v>
      </c>
      <c r="G19" s="160">
        <f>+G16</f>
        <v>0</v>
      </c>
      <c r="H19" s="160">
        <f>+H16</f>
        <v>0</v>
      </c>
      <c r="I19" s="1154">
        <f t="shared" si="0"/>
        <v>1.5168599999999999</v>
      </c>
      <c r="J19" s="1154">
        <f t="shared" si="0"/>
        <v>1.8202319999999999</v>
      </c>
      <c r="K19" s="1154">
        <f t="shared" si="0"/>
        <v>0</v>
      </c>
      <c r="L19" s="1155">
        <f t="shared" si="0"/>
        <v>0</v>
      </c>
    </row>
    <row r="20" spans="1:12" hidden="1">
      <c r="A20" s="2"/>
      <c r="B20" s="15" t="s">
        <v>26</v>
      </c>
      <c r="C20" s="16"/>
      <c r="D20" s="24">
        <f>+I57</f>
        <v>0.67415999999999998</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+I66</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+I69</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70.112639999999999</v>
      </c>
      <c r="E25" s="1158"/>
      <c r="F25" s="1158"/>
      <c r="G25" s="28"/>
      <c r="H25" s="28"/>
      <c r="I25" s="1159">
        <f>SUM(I16:I24)</f>
        <v>52.078859999999999</v>
      </c>
      <c r="J25" s="1159">
        <f>SUM(J16:J24)</f>
        <v>62.494631999999996</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2345</v>
      </c>
      <c r="C29" s="34"/>
      <c r="D29" s="34"/>
      <c r="E29" s="35"/>
      <c r="F29" s="35"/>
      <c r="G29" s="35"/>
      <c r="H29" s="35"/>
      <c r="I29" s="36"/>
    </row>
    <row r="30" spans="1:12">
      <c r="A30" s="2"/>
      <c r="B30" s="37" t="s">
        <v>2343</v>
      </c>
      <c r="C30" s="34"/>
      <c r="D30" s="34"/>
      <c r="E30" s="1162"/>
      <c r="F30" s="1163"/>
      <c r="G30" s="35"/>
      <c r="H30" s="35"/>
      <c r="I30" s="36"/>
    </row>
    <row r="31" spans="1:12">
      <c r="A31" s="2"/>
      <c r="B31" s="37" t="s">
        <v>1490</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Factors'!C36</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104</v>
      </c>
      <c r="C41" s="35"/>
      <c r="D41" s="1167"/>
      <c r="E41" s="1167"/>
      <c r="F41" s="1167"/>
      <c r="G41" s="1167"/>
      <c r="H41" s="35"/>
      <c r="I41" s="46"/>
    </row>
    <row r="42" spans="1:9">
      <c r="A42" s="2"/>
      <c r="B42" s="40"/>
      <c r="C42" s="6"/>
      <c r="D42" s="1168"/>
      <c r="E42" s="1169"/>
      <c r="F42" s="1170"/>
      <c r="G42" s="1171"/>
      <c r="H42" s="35"/>
      <c r="I42" s="47"/>
    </row>
    <row r="43" spans="1:9">
      <c r="A43" s="2"/>
      <c r="B43" s="42" t="s">
        <v>2</v>
      </c>
      <c r="C43" s="35"/>
      <c r="D43" s="35"/>
      <c r="E43" s="2003" t="s">
        <v>459</v>
      </c>
      <c r="F43" s="2003"/>
      <c r="G43" s="2003"/>
      <c r="H43" s="2003"/>
      <c r="I43" s="1166">
        <f>(SUM(G45:G45)*0.85)</f>
        <v>57.303599999999996</v>
      </c>
    </row>
    <row r="44" spans="1:9">
      <c r="A44" s="2"/>
      <c r="B44" s="1174"/>
      <c r="C44" s="35"/>
      <c r="D44" s="1167" t="s">
        <v>447</v>
      </c>
      <c r="E44" s="1167" t="s">
        <v>448</v>
      </c>
      <c r="F44" s="1167" t="s">
        <v>449</v>
      </c>
      <c r="G44" s="1167" t="s">
        <v>450</v>
      </c>
      <c r="H44" s="35"/>
      <c r="I44" s="46"/>
    </row>
    <row r="45" spans="1:9">
      <c r="A45" s="2"/>
      <c r="B45" s="1374" t="str">
        <f>+'[36]Core Rates'!A23</f>
        <v>4.1' to 6.0' Bank Height Protected</v>
      </c>
      <c r="C45" s="143"/>
      <c r="D45" s="1169" t="str">
        <f>+'[36]Core Rates'!B23</f>
        <v>Lin Ft</v>
      </c>
      <c r="E45" s="1169">
        <f>+'[36]Core Rates'!C23</f>
        <v>67.415999999999997</v>
      </c>
      <c r="F45" s="1169">
        <v>1</v>
      </c>
      <c r="G45" s="1171">
        <f>+F45*E45</f>
        <v>67.415999999999997</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40" t="s">
        <v>457</v>
      </c>
      <c r="C48" s="1178"/>
      <c r="D48" s="1178"/>
      <c r="E48" s="1178"/>
      <c r="F48" s="1178"/>
      <c r="G48" s="1178"/>
      <c r="H48" s="1178"/>
      <c r="I48" s="1179"/>
    </row>
    <row r="49" spans="1:9">
      <c r="A49" s="2"/>
      <c r="B49" s="1177"/>
      <c r="C49" s="1178"/>
      <c r="D49" s="1178"/>
      <c r="E49" s="1178"/>
      <c r="F49" s="1178"/>
      <c r="G49" s="1178"/>
      <c r="H49" s="1178"/>
      <c r="I49" s="1179"/>
    </row>
    <row r="50" spans="1:9">
      <c r="A50" s="2"/>
      <c r="B50" s="42" t="s">
        <v>3</v>
      </c>
      <c r="C50" s="35"/>
      <c r="D50" s="35"/>
      <c r="E50" s="35"/>
      <c r="F50" s="39"/>
      <c r="G50" s="35"/>
      <c r="H50" s="35"/>
      <c r="I50" s="1182">
        <f>E52</f>
        <v>10.112399999999999</v>
      </c>
    </row>
    <row r="51" spans="1:9">
      <c r="A51" s="2"/>
      <c r="B51" s="2007" t="s">
        <v>465</v>
      </c>
      <c r="C51" s="2008"/>
      <c r="D51" s="35"/>
      <c r="E51" s="35"/>
      <c r="F51" s="35"/>
      <c r="G51" s="35"/>
      <c r="H51" s="35"/>
      <c r="I51" s="48"/>
    </row>
    <row r="52" spans="1:9">
      <c r="A52" s="2"/>
      <c r="B52" s="37" t="s">
        <v>466</v>
      </c>
      <c r="C52" s="39"/>
      <c r="D52" s="39"/>
      <c r="E52" s="153">
        <f>SUM(G45:G45)*0.15</f>
        <v>10.112399999999999</v>
      </c>
      <c r="F52" s="35"/>
      <c r="G52" s="35"/>
      <c r="H52" s="35"/>
      <c r="I52" s="46"/>
    </row>
    <row r="53" spans="1:9">
      <c r="A53" s="2"/>
      <c r="B53" s="37"/>
      <c r="C53" s="39"/>
      <c r="D53" s="1180"/>
      <c r="E53" s="153"/>
      <c r="F53" s="35"/>
      <c r="G53" s="35"/>
      <c r="H53" s="35"/>
      <c r="I53" s="46"/>
    </row>
    <row r="54" spans="1:9">
      <c r="A54" s="2"/>
      <c r="B54" s="42" t="s">
        <v>4</v>
      </c>
      <c r="C54" s="35"/>
      <c r="D54" s="35"/>
      <c r="E54" s="35"/>
      <c r="F54" s="35"/>
      <c r="G54" s="35"/>
      <c r="H54" s="35"/>
      <c r="I54" s="1182">
        <f>0.03*(I40+I43+I50)</f>
        <v>2.0224799999999998</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f>0.01*(I43+I40+I50)</f>
        <v>0.67415999999999998</v>
      </c>
    </row>
    <row r="58" spans="1:9">
      <c r="A58" s="2"/>
      <c r="B58" s="33" t="s">
        <v>749</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756" t="s">
        <v>104</v>
      </c>
      <c r="C64" s="35"/>
      <c r="D64" s="35"/>
      <c r="E64" s="35"/>
      <c r="F64" s="35"/>
      <c r="G64" s="35"/>
      <c r="H64" s="35"/>
      <c r="I64" s="47"/>
    </row>
    <row r="65" spans="1:9">
      <c r="A65" s="2"/>
      <c r="B65" s="756"/>
      <c r="C65" s="35"/>
      <c r="D65" s="35"/>
      <c r="E65" s="35"/>
      <c r="F65" s="35"/>
      <c r="G65" s="35"/>
      <c r="H65" s="35"/>
      <c r="I65" s="47"/>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+I40+I43+I50+I54+I60+I69</f>
        <v>69.438479999999998</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SUM(I39:I69)</f>
        <v>70.112639999999999</v>
      </c>
    </row>
  </sheetData>
  <mergeCells count="3">
    <mergeCell ref="B1:D1"/>
    <mergeCell ref="E43:H43"/>
    <mergeCell ref="B51:C51"/>
  </mergeCells>
  <pageMargins left="0.75" right="0.75" top="1" bottom="1" header="0.5" footer="0.5"/>
  <pageSetup scale="54" orientation="portrait" r:id="rId1"/>
  <headerFooter alignWithMargins="0"/>
</worksheet>
</file>

<file path=xl/worksheets/sheet184.xml><?xml version="1.0" encoding="utf-8"?>
<worksheet xmlns="http://schemas.openxmlformats.org/spreadsheetml/2006/main" xmlns:r="http://schemas.openxmlformats.org/officeDocument/2006/relationships">
  <sheetPr>
    <pageSetUpPr fitToPage="1"/>
  </sheetPr>
  <dimension ref="A1:L75"/>
  <sheetViews>
    <sheetView workbookViewId="0">
      <selection activeCell="A2" sqref="A2:XFD27"/>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38.25" hidden="1">
      <c r="A6" s="2"/>
      <c r="B6" s="54">
        <v>580</v>
      </c>
      <c r="C6" s="7" t="str">
        <f>+E12</f>
        <v>EQIP</v>
      </c>
      <c r="D6" s="110" t="s">
        <v>2340</v>
      </c>
      <c r="E6" s="110" t="s">
        <v>2346</v>
      </c>
      <c r="F6" s="7" t="s">
        <v>756</v>
      </c>
      <c r="G6" s="85">
        <f>+I25</f>
        <v>65.529166499999988</v>
      </c>
    </row>
    <row r="7" spans="1:12" ht="38.25" hidden="1">
      <c r="A7" s="2"/>
      <c r="B7" s="54">
        <f>+B6</f>
        <v>580</v>
      </c>
      <c r="C7" s="7" t="str">
        <f>+C6</f>
        <v>EQIP</v>
      </c>
      <c r="D7" s="110" t="s">
        <v>2340</v>
      </c>
      <c r="E7" s="110" t="str">
        <f>CONCATENATE(E6, "-HU")</f>
        <v>Streambank and Shoreline Protection -Conventional, Bio-Engineering, or Natural Stream Restoration Streambank Treatments from 6' up to 8' Bank Height Protection-HU</v>
      </c>
      <c r="F7" s="7" t="str">
        <f>+F6</f>
        <v>Feet</v>
      </c>
      <c r="G7" s="85">
        <f>+J25</f>
        <v>78.634999800000003</v>
      </c>
    </row>
    <row r="8" spans="1:12" ht="38.25" hidden="1">
      <c r="A8" s="2"/>
      <c r="B8" s="54">
        <v>580</v>
      </c>
      <c r="C8" s="7" t="str">
        <f>+G12</f>
        <v>WHIP</v>
      </c>
      <c r="D8" s="110" t="s">
        <v>2340</v>
      </c>
      <c r="E8" s="110" t="s">
        <v>2346</v>
      </c>
      <c r="F8" s="7" t="s">
        <v>756</v>
      </c>
      <c r="G8" s="85">
        <f>+K25</f>
        <v>0</v>
      </c>
    </row>
    <row r="9" spans="1:12" ht="38.25" hidden="1">
      <c r="A9" s="2"/>
      <c r="B9" s="8">
        <f>+B8</f>
        <v>580</v>
      </c>
      <c r="C9" s="10" t="str">
        <f>+C8</f>
        <v>WHIP</v>
      </c>
      <c r="D9" s="111" t="s">
        <v>2340</v>
      </c>
      <c r="E9" s="111" t="str">
        <f>CONCATENATE(E6, "-HU")</f>
        <v>Streambank and Shoreline Protection -Conventional, Bio-Engineering, or Natural Stream Restoration Streambank Treatments from 6' up to 8' Bank Height Protection-HU</v>
      </c>
      <c r="F9" s="10" t="str">
        <f>+F8</f>
        <v>Feet</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Factors'!D36</f>
        <v>0.75</v>
      </c>
      <c r="F16" s="160">
        <f>+'[10]Payment Factors'!E36</f>
        <v>0.9</v>
      </c>
      <c r="G16" s="160">
        <f>+'[10]Payment Factors'!F36</f>
        <v>0</v>
      </c>
      <c r="H16" s="160">
        <f>+'[10]Payment Factors'!G36</f>
        <v>0</v>
      </c>
      <c r="I16" s="1154">
        <f t="shared" ref="I16:L24" si="0">+$D16*E16</f>
        <v>0</v>
      </c>
      <c r="J16" s="1154">
        <f t="shared" si="0"/>
        <v>0</v>
      </c>
      <c r="K16" s="1154">
        <f t="shared" si="0"/>
        <v>0</v>
      </c>
      <c r="L16" s="1155">
        <f t="shared" si="0"/>
        <v>0</v>
      </c>
    </row>
    <row r="17" spans="1:12" hidden="1">
      <c r="A17" s="2"/>
      <c r="B17" s="15" t="s">
        <v>2</v>
      </c>
      <c r="C17" s="16"/>
      <c r="D17" s="24">
        <f>+I43</f>
        <v>72.103290000000001</v>
      </c>
      <c r="E17" s="160">
        <f>+E16</f>
        <v>0.75</v>
      </c>
      <c r="F17" s="160">
        <f>+F16</f>
        <v>0.9</v>
      </c>
      <c r="G17" s="160">
        <f>+G16</f>
        <v>0</v>
      </c>
      <c r="H17" s="160">
        <f>+H16</f>
        <v>0</v>
      </c>
      <c r="I17" s="1154">
        <f t="shared" si="0"/>
        <v>54.077467499999997</v>
      </c>
      <c r="J17" s="1154">
        <f t="shared" si="0"/>
        <v>64.892961</v>
      </c>
      <c r="K17" s="1154">
        <f t="shared" si="0"/>
        <v>0</v>
      </c>
      <c r="L17" s="1155">
        <f t="shared" si="0"/>
        <v>0</v>
      </c>
    </row>
    <row r="18" spans="1:12" hidden="1">
      <c r="A18" s="2"/>
      <c r="B18" s="15" t="s">
        <v>3</v>
      </c>
      <c r="C18" s="16"/>
      <c r="D18" s="24">
        <f>+I50</f>
        <v>12.72411</v>
      </c>
      <c r="E18" s="160">
        <f>+E16</f>
        <v>0.75</v>
      </c>
      <c r="F18" s="160">
        <f>+F16</f>
        <v>0.9</v>
      </c>
      <c r="G18" s="160">
        <f>+G16</f>
        <v>0</v>
      </c>
      <c r="H18" s="160">
        <f>+H16</f>
        <v>0</v>
      </c>
      <c r="I18" s="1154">
        <f t="shared" si="0"/>
        <v>9.5430825000000006</v>
      </c>
      <c r="J18" s="1154">
        <f t="shared" si="0"/>
        <v>11.451699</v>
      </c>
      <c r="K18" s="1154">
        <f t="shared" si="0"/>
        <v>0</v>
      </c>
      <c r="L18" s="1155">
        <f t="shared" si="0"/>
        <v>0</v>
      </c>
    </row>
    <row r="19" spans="1:12" hidden="1">
      <c r="A19" s="2"/>
      <c r="B19" s="15" t="s">
        <v>4</v>
      </c>
      <c r="C19" s="16"/>
      <c r="D19" s="24">
        <f>+I54</f>
        <v>2.5448219999999999</v>
      </c>
      <c r="E19" s="160">
        <f>+E16</f>
        <v>0.75</v>
      </c>
      <c r="F19" s="160">
        <f>+F16</f>
        <v>0.9</v>
      </c>
      <c r="G19" s="160">
        <f>+G16</f>
        <v>0</v>
      </c>
      <c r="H19" s="160">
        <f>+H16</f>
        <v>0</v>
      </c>
      <c r="I19" s="1154">
        <f t="shared" si="0"/>
        <v>1.9086164999999999</v>
      </c>
      <c r="J19" s="1154">
        <f t="shared" si="0"/>
        <v>2.2903397999999999</v>
      </c>
      <c r="K19" s="1154">
        <f t="shared" si="0"/>
        <v>0</v>
      </c>
      <c r="L19" s="1155">
        <f t="shared" si="0"/>
        <v>0</v>
      </c>
    </row>
    <row r="20" spans="1:12" hidden="1">
      <c r="A20" s="2"/>
      <c r="B20" s="15" t="s">
        <v>26</v>
      </c>
      <c r="C20" s="16"/>
      <c r="D20" s="24">
        <f>+I57</f>
        <v>0.84827399999999997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+I66</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+I69</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88.220495999999997</v>
      </c>
      <c r="E25" s="1158"/>
      <c r="F25" s="1158"/>
      <c r="G25" s="28"/>
      <c r="H25" s="28"/>
      <c r="I25" s="1159">
        <f>SUM(I16:I24)</f>
        <v>65.529166499999988</v>
      </c>
      <c r="J25" s="1159">
        <f>SUM(J16:J24)</f>
        <v>78.634999800000003</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2347</v>
      </c>
      <c r="C29" s="34"/>
      <c r="D29" s="34"/>
      <c r="E29" s="35"/>
      <c r="F29" s="35"/>
      <c r="G29" s="35"/>
      <c r="H29" s="35"/>
      <c r="I29" s="36"/>
    </row>
    <row r="30" spans="1:12">
      <c r="A30" s="2"/>
      <c r="B30" s="37" t="s">
        <v>2343</v>
      </c>
      <c r="C30" s="34"/>
      <c r="D30" s="34"/>
      <c r="E30" s="1162"/>
      <c r="F30" s="1163"/>
      <c r="G30" s="35"/>
      <c r="H30" s="35"/>
      <c r="I30" s="36"/>
    </row>
    <row r="31" spans="1:12">
      <c r="A31" s="2"/>
      <c r="B31" s="37" t="s">
        <v>1490</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Factors'!C36</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104</v>
      </c>
      <c r="C41" s="35"/>
      <c r="D41" s="1167"/>
      <c r="E41" s="1167"/>
      <c r="F41" s="1167"/>
      <c r="G41" s="1167"/>
      <c r="H41" s="35"/>
      <c r="I41" s="46"/>
    </row>
    <row r="42" spans="1:9">
      <c r="A42" s="2"/>
      <c r="B42" s="40"/>
      <c r="C42" s="6"/>
      <c r="D42" s="1168"/>
      <c r="E42" s="1169"/>
      <c r="F42" s="1170"/>
      <c r="G42" s="1171"/>
      <c r="H42" s="35"/>
      <c r="I42" s="47"/>
    </row>
    <row r="43" spans="1:9">
      <c r="A43" s="2"/>
      <c r="B43" s="42" t="s">
        <v>2</v>
      </c>
      <c r="C43" s="35"/>
      <c r="D43" s="35"/>
      <c r="E43" s="2003" t="s">
        <v>459</v>
      </c>
      <c r="F43" s="2003"/>
      <c r="G43" s="2003"/>
      <c r="H43" s="2003"/>
      <c r="I43" s="1166">
        <f>(SUM(G45:G45)*0.85)</f>
        <v>72.103290000000001</v>
      </c>
    </row>
    <row r="44" spans="1:9">
      <c r="A44" s="2"/>
      <c r="B44" s="1174"/>
      <c r="C44" s="35"/>
      <c r="D44" s="1167" t="s">
        <v>447</v>
      </c>
      <c r="E44" s="1167" t="s">
        <v>448</v>
      </c>
      <c r="F44" s="1167" t="s">
        <v>449</v>
      </c>
      <c r="G44" s="1167" t="s">
        <v>450</v>
      </c>
      <c r="H44" s="35"/>
      <c r="I44" s="46"/>
    </row>
    <row r="45" spans="1:9">
      <c r="A45" s="2"/>
      <c r="B45" s="1374" t="str">
        <f>+'[36]Core Rates'!A25</f>
        <v>6.1' to 8.0' Bank Height Protected</v>
      </c>
      <c r="C45" s="143"/>
      <c r="D45" s="1169" t="str">
        <f>+'[36]Core Rates'!B25</f>
        <v>Lin Ft</v>
      </c>
      <c r="E45" s="1169">
        <f>+'[36]Core Rates'!C25</f>
        <v>84.827399999999997</v>
      </c>
      <c r="F45" s="1169">
        <v>1</v>
      </c>
      <c r="G45" s="1171">
        <f>+F45*E45</f>
        <v>84.827399999999997</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40" t="s">
        <v>457</v>
      </c>
      <c r="C48" s="1178"/>
      <c r="D48" s="1178"/>
      <c r="E48" s="1178"/>
      <c r="F48" s="1178"/>
      <c r="G48" s="1178"/>
      <c r="H48" s="1178"/>
      <c r="I48" s="1179"/>
    </row>
    <row r="49" spans="1:9">
      <c r="A49" s="2"/>
      <c r="B49" s="1177"/>
      <c r="C49" s="1178"/>
      <c r="D49" s="1178"/>
      <c r="E49" s="1178"/>
      <c r="F49" s="1178"/>
      <c r="G49" s="1178"/>
      <c r="H49" s="1178"/>
      <c r="I49" s="1179"/>
    </row>
    <row r="50" spans="1:9">
      <c r="A50" s="2"/>
      <c r="B50" s="42" t="s">
        <v>3</v>
      </c>
      <c r="C50" s="35"/>
      <c r="D50" s="35"/>
      <c r="E50" s="35"/>
      <c r="F50" s="39"/>
      <c r="G50" s="35"/>
      <c r="H50" s="35"/>
      <c r="I50" s="1182">
        <f>E52</f>
        <v>12.72411</v>
      </c>
    </row>
    <row r="51" spans="1:9">
      <c r="A51" s="2"/>
      <c r="B51" s="2007" t="s">
        <v>465</v>
      </c>
      <c r="C51" s="2008"/>
      <c r="D51" s="35"/>
      <c r="E51" s="35"/>
      <c r="F51" s="35"/>
      <c r="G51" s="35"/>
      <c r="H51" s="35"/>
      <c r="I51" s="48"/>
    </row>
    <row r="52" spans="1:9">
      <c r="A52" s="2"/>
      <c r="B52" s="37" t="s">
        <v>466</v>
      </c>
      <c r="C52" s="39"/>
      <c r="D52" s="39"/>
      <c r="E52" s="153">
        <f>SUM(G45:G45)*0.15</f>
        <v>12.72411</v>
      </c>
      <c r="F52" s="35"/>
      <c r="G52" s="35"/>
      <c r="H52" s="35"/>
      <c r="I52" s="46"/>
    </row>
    <row r="53" spans="1:9">
      <c r="A53" s="2"/>
      <c r="B53" s="37"/>
      <c r="C53" s="39"/>
      <c r="D53" s="1180"/>
      <c r="E53" s="153"/>
      <c r="F53" s="35"/>
      <c r="G53" s="35"/>
      <c r="H53" s="35"/>
      <c r="I53" s="46"/>
    </row>
    <row r="54" spans="1:9">
      <c r="A54" s="2"/>
      <c r="B54" s="42" t="s">
        <v>4</v>
      </c>
      <c r="C54" s="35"/>
      <c r="D54" s="35"/>
      <c r="E54" s="35"/>
      <c r="F54" s="35"/>
      <c r="G54" s="35"/>
      <c r="H54" s="35"/>
      <c r="I54" s="1182">
        <f>0.03*(I40+I43+I50)</f>
        <v>2.5448219999999999</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f>0.01*(I43+I40+I50)</f>
        <v>0.84827399999999997</v>
      </c>
    </row>
    <row r="58" spans="1:9">
      <c r="A58" s="2"/>
      <c r="B58" s="33" t="s">
        <v>749</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756" t="s">
        <v>104</v>
      </c>
      <c r="C64" s="35"/>
      <c r="D64" s="35"/>
      <c r="E64" s="35"/>
      <c r="F64" s="35"/>
      <c r="G64" s="35"/>
      <c r="H64" s="35"/>
      <c r="I64" s="47"/>
    </row>
    <row r="65" spans="1:9">
      <c r="A65" s="2"/>
      <c r="B65" s="756"/>
      <c r="C65" s="35"/>
      <c r="D65" s="35"/>
      <c r="E65" s="35"/>
      <c r="F65" s="35"/>
      <c r="G65" s="35"/>
      <c r="H65" s="35"/>
      <c r="I65" s="47"/>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+I40+I43+I50+I54+I60+I69</f>
        <v>87.372221999999994</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SUM(I39:I69)</f>
        <v>88.220495999999997</v>
      </c>
    </row>
  </sheetData>
  <mergeCells count="3">
    <mergeCell ref="B1:D1"/>
    <mergeCell ref="E43:H43"/>
    <mergeCell ref="B51:C51"/>
  </mergeCells>
  <pageMargins left="0.75" right="0.75" top="1" bottom="1" header="0.5" footer="0.5"/>
  <pageSetup scale="54" orientation="portrait" r:id="rId1"/>
  <headerFooter alignWithMargins="0"/>
</worksheet>
</file>

<file path=xl/worksheets/sheet185.xml><?xml version="1.0" encoding="utf-8"?>
<worksheet xmlns="http://schemas.openxmlformats.org/spreadsheetml/2006/main" xmlns:r="http://schemas.openxmlformats.org/officeDocument/2006/relationships">
  <sheetPr>
    <pageSetUpPr fitToPage="1"/>
  </sheetPr>
  <dimension ref="A1:L75"/>
  <sheetViews>
    <sheetView topLeftCell="A27" workbookViewId="0">
      <selection activeCell="A2" sqref="A2:XFD27"/>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38.25" hidden="1">
      <c r="A6" s="2"/>
      <c r="B6" s="54">
        <v>580</v>
      </c>
      <c r="C6" s="7" t="str">
        <f>+E12</f>
        <v>EQIP</v>
      </c>
      <c r="D6" s="110" t="s">
        <v>2340</v>
      </c>
      <c r="E6" s="110" t="s">
        <v>2348</v>
      </c>
      <c r="F6" s="7" t="s">
        <v>756</v>
      </c>
      <c r="G6" s="85">
        <f>+I25</f>
        <v>77.600328749999989</v>
      </c>
    </row>
    <row r="7" spans="1:12" ht="38.25" hidden="1">
      <c r="A7" s="2"/>
      <c r="B7" s="54">
        <f>+B6</f>
        <v>580</v>
      </c>
      <c r="C7" s="7" t="str">
        <f>+C6</f>
        <v>EQIP</v>
      </c>
      <c r="D7" s="110" t="s">
        <v>2340</v>
      </c>
      <c r="E7" s="110" t="str">
        <f>CONCATENATE(E6, "-HU")</f>
        <v>Streambank and Shoreline Protection -Conventional, Bio-Engineering, or Natural Stream Restoration Streambank Treatments from 8' up to 10' Bank Height Protection-HU</v>
      </c>
      <c r="F7" s="7" t="str">
        <f>+F6</f>
        <v>Feet</v>
      </c>
      <c r="G7" s="85">
        <f>+J25</f>
        <v>93.120394499999989</v>
      </c>
    </row>
    <row r="8" spans="1:12" ht="38.25" hidden="1">
      <c r="A8" s="2"/>
      <c r="B8" s="54">
        <v>580</v>
      </c>
      <c r="C8" s="7" t="str">
        <f>+G12</f>
        <v>WHIP</v>
      </c>
      <c r="D8" s="110" t="s">
        <v>2340</v>
      </c>
      <c r="E8" s="110" t="s">
        <v>2348</v>
      </c>
      <c r="F8" s="7" t="s">
        <v>756</v>
      </c>
      <c r="G8" s="85">
        <f>+K25</f>
        <v>0</v>
      </c>
    </row>
    <row r="9" spans="1:12" ht="38.25" hidden="1">
      <c r="A9" s="2"/>
      <c r="B9" s="8">
        <f>+B8</f>
        <v>580</v>
      </c>
      <c r="C9" s="10" t="str">
        <f>+C8</f>
        <v>WHIP</v>
      </c>
      <c r="D9" s="111" t="s">
        <v>2340</v>
      </c>
      <c r="E9" s="111" t="str">
        <f>CONCATENATE(E6, "-HU")</f>
        <v>Streambank and Shoreline Protection -Conventional, Bio-Engineering, or Natural Stream Restoration Streambank Treatments from 8' up to 10' Bank Height Protection-HU</v>
      </c>
      <c r="F9" s="10" t="str">
        <f>+F8</f>
        <v>Feet</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Factors'!D36</f>
        <v>0.75</v>
      </c>
      <c r="F16" s="160">
        <f>+'[10]Payment Factors'!E36</f>
        <v>0.9</v>
      </c>
      <c r="G16" s="160">
        <f>+'[10]Payment Factors'!F36</f>
        <v>0</v>
      </c>
      <c r="H16" s="160">
        <f>+'[10]Payment Factors'!G36</f>
        <v>0</v>
      </c>
      <c r="I16" s="1154">
        <f t="shared" ref="I16:L24" si="0">+$D16*E16</f>
        <v>0</v>
      </c>
      <c r="J16" s="1154">
        <f t="shared" si="0"/>
        <v>0</v>
      </c>
      <c r="K16" s="1154">
        <f t="shared" si="0"/>
        <v>0</v>
      </c>
      <c r="L16" s="1155">
        <f t="shared" si="0"/>
        <v>0</v>
      </c>
    </row>
    <row r="17" spans="1:12" hidden="1">
      <c r="A17" s="2"/>
      <c r="B17" s="15" t="s">
        <v>2</v>
      </c>
      <c r="C17" s="16"/>
      <c r="D17" s="24">
        <f>+I43</f>
        <v>85.385474999999985</v>
      </c>
      <c r="E17" s="160">
        <f>+E16</f>
        <v>0.75</v>
      </c>
      <c r="F17" s="160">
        <f>+F16</f>
        <v>0.9</v>
      </c>
      <c r="G17" s="160">
        <f>+G16</f>
        <v>0</v>
      </c>
      <c r="H17" s="160">
        <f>+H16</f>
        <v>0</v>
      </c>
      <c r="I17" s="1154">
        <f t="shared" si="0"/>
        <v>64.039106249999989</v>
      </c>
      <c r="J17" s="1154">
        <f t="shared" si="0"/>
        <v>76.846927499999993</v>
      </c>
      <c r="K17" s="1154">
        <f t="shared" si="0"/>
        <v>0</v>
      </c>
      <c r="L17" s="1155">
        <f t="shared" si="0"/>
        <v>0</v>
      </c>
    </row>
    <row r="18" spans="1:12" hidden="1">
      <c r="A18" s="2"/>
      <c r="B18" s="15" t="s">
        <v>3</v>
      </c>
      <c r="C18" s="16"/>
      <c r="D18" s="24">
        <f>+I50</f>
        <v>15.068024999999999</v>
      </c>
      <c r="E18" s="160">
        <f>+E16</f>
        <v>0.75</v>
      </c>
      <c r="F18" s="160">
        <f>+F16</f>
        <v>0.9</v>
      </c>
      <c r="G18" s="160">
        <f>+G16</f>
        <v>0</v>
      </c>
      <c r="H18" s="160">
        <f>+H16</f>
        <v>0</v>
      </c>
      <c r="I18" s="1154">
        <f t="shared" si="0"/>
        <v>11.301018749999999</v>
      </c>
      <c r="J18" s="1154">
        <f t="shared" si="0"/>
        <v>13.5612225</v>
      </c>
      <c r="K18" s="1154">
        <f t="shared" si="0"/>
        <v>0</v>
      </c>
      <c r="L18" s="1155">
        <f t="shared" si="0"/>
        <v>0</v>
      </c>
    </row>
    <row r="19" spans="1:12" hidden="1">
      <c r="A19" s="2"/>
      <c r="B19" s="15" t="s">
        <v>4</v>
      </c>
      <c r="C19" s="16"/>
      <c r="D19" s="24">
        <f>+I54</f>
        <v>3.0136049999999996</v>
      </c>
      <c r="E19" s="160">
        <f>+E16</f>
        <v>0.75</v>
      </c>
      <c r="F19" s="160">
        <f>+F16</f>
        <v>0.9</v>
      </c>
      <c r="G19" s="160">
        <f>+G16</f>
        <v>0</v>
      </c>
      <c r="H19" s="160">
        <f>+H16</f>
        <v>0</v>
      </c>
      <c r="I19" s="1154">
        <f t="shared" si="0"/>
        <v>2.2602037499999996</v>
      </c>
      <c r="J19" s="1154">
        <f t="shared" si="0"/>
        <v>2.7122444999999997</v>
      </c>
      <c r="K19" s="1154">
        <f t="shared" si="0"/>
        <v>0</v>
      </c>
      <c r="L19" s="1155">
        <f t="shared" si="0"/>
        <v>0</v>
      </c>
    </row>
    <row r="20" spans="1:12" hidden="1">
      <c r="A20" s="2"/>
      <c r="B20" s="15" t="s">
        <v>26</v>
      </c>
      <c r="C20" s="16"/>
      <c r="D20" s="24">
        <f>+I57</f>
        <v>1.004535</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+I66</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+I69</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104.47163999999999</v>
      </c>
      <c r="E25" s="1158"/>
      <c r="F25" s="1158"/>
      <c r="G25" s="28"/>
      <c r="H25" s="28"/>
      <c r="I25" s="1159">
        <f>SUM(I16:I24)</f>
        <v>77.600328749999989</v>
      </c>
      <c r="J25" s="1159">
        <f>SUM(J16:J24)</f>
        <v>93.120394499999989</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2349</v>
      </c>
      <c r="C29" s="34"/>
      <c r="D29" s="34"/>
      <c r="E29" s="35"/>
      <c r="F29" s="35"/>
      <c r="G29" s="35"/>
      <c r="H29" s="35"/>
      <c r="I29" s="36"/>
    </row>
    <row r="30" spans="1:12">
      <c r="A30" s="2"/>
      <c r="B30" s="37" t="s">
        <v>2343</v>
      </c>
      <c r="C30" s="34"/>
      <c r="D30" s="34"/>
      <c r="E30" s="1162"/>
      <c r="F30" s="1163"/>
      <c r="G30" s="35"/>
      <c r="H30" s="35"/>
      <c r="I30" s="36"/>
    </row>
    <row r="31" spans="1:12">
      <c r="A31" s="2"/>
      <c r="B31" s="37" t="s">
        <v>1490</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Factors'!C36</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104</v>
      </c>
      <c r="C41" s="35"/>
      <c r="D41" s="1167"/>
      <c r="E41" s="1167"/>
      <c r="F41" s="1167"/>
      <c r="G41" s="1167"/>
      <c r="H41" s="35"/>
      <c r="I41" s="46"/>
    </row>
    <row r="42" spans="1:9">
      <c r="A42" s="2"/>
      <c r="B42" s="40"/>
      <c r="C42" s="6"/>
      <c r="D42" s="1168"/>
      <c r="E42" s="1169"/>
      <c r="F42" s="1170"/>
      <c r="G42" s="1171"/>
      <c r="H42" s="35"/>
      <c r="I42" s="47"/>
    </row>
    <row r="43" spans="1:9">
      <c r="A43" s="2"/>
      <c r="B43" s="42" t="s">
        <v>2</v>
      </c>
      <c r="C43" s="35"/>
      <c r="D43" s="35"/>
      <c r="E43" s="2003" t="s">
        <v>459</v>
      </c>
      <c r="F43" s="2003"/>
      <c r="G43" s="2003"/>
      <c r="H43" s="2003"/>
      <c r="I43" s="1166">
        <f>(SUM(G45:G45)*0.85)</f>
        <v>85.385474999999985</v>
      </c>
    </row>
    <row r="44" spans="1:9">
      <c r="A44" s="2"/>
      <c r="B44" s="1174"/>
      <c r="C44" s="35"/>
      <c r="D44" s="1167" t="s">
        <v>447</v>
      </c>
      <c r="E44" s="1167" t="s">
        <v>448</v>
      </c>
      <c r="F44" s="1167" t="s">
        <v>449</v>
      </c>
      <c r="G44" s="1167" t="s">
        <v>450</v>
      </c>
      <c r="H44" s="35"/>
      <c r="I44" s="46"/>
    </row>
    <row r="45" spans="1:9">
      <c r="A45" s="2"/>
      <c r="B45" s="1374" t="str">
        <f>+'[36]Core Rates'!A26</f>
        <v>8.1' to 10.0' Bank Height Protected</v>
      </c>
      <c r="C45" s="143"/>
      <c r="D45" s="1169" t="str">
        <f>+'[36]Core Rates'!B26</f>
        <v>Lin Ft.</v>
      </c>
      <c r="E45" s="1169">
        <f>+'[36]Core Rates'!C26</f>
        <v>100.45349999999999</v>
      </c>
      <c r="F45" s="1169">
        <v>1</v>
      </c>
      <c r="G45" s="1171">
        <f>+F45*E45</f>
        <v>100.45349999999999</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40" t="s">
        <v>457</v>
      </c>
      <c r="C48" s="1178"/>
      <c r="D48" s="1178"/>
      <c r="E48" s="1178"/>
      <c r="F48" s="1178"/>
      <c r="G48" s="1178"/>
      <c r="H48" s="1178"/>
      <c r="I48" s="1179"/>
    </row>
    <row r="49" spans="1:9">
      <c r="A49" s="2"/>
      <c r="B49" s="1177"/>
      <c r="C49" s="1178"/>
      <c r="D49" s="1178"/>
      <c r="E49" s="1178"/>
      <c r="F49" s="1178"/>
      <c r="G49" s="1178"/>
      <c r="H49" s="1178"/>
      <c r="I49" s="1179"/>
    </row>
    <row r="50" spans="1:9">
      <c r="A50" s="2"/>
      <c r="B50" s="42" t="s">
        <v>3</v>
      </c>
      <c r="C50" s="35"/>
      <c r="D50" s="35"/>
      <c r="E50" s="35"/>
      <c r="F50" s="39"/>
      <c r="G50" s="35"/>
      <c r="H50" s="35"/>
      <c r="I50" s="1182">
        <f>E52</f>
        <v>15.068024999999999</v>
      </c>
    </row>
    <row r="51" spans="1:9">
      <c r="A51" s="2"/>
      <c r="B51" s="2007" t="s">
        <v>465</v>
      </c>
      <c r="C51" s="2008"/>
      <c r="D51" s="35"/>
      <c r="E51" s="35"/>
      <c r="F51" s="35"/>
      <c r="G51" s="35"/>
      <c r="H51" s="35"/>
      <c r="I51" s="48"/>
    </row>
    <row r="52" spans="1:9">
      <c r="A52" s="2"/>
      <c r="B52" s="37" t="s">
        <v>466</v>
      </c>
      <c r="C52" s="39"/>
      <c r="D52" s="39"/>
      <c r="E52" s="153">
        <f>SUM(G45:G45)*0.15</f>
        <v>15.068024999999999</v>
      </c>
      <c r="F52" s="35"/>
      <c r="G52" s="35"/>
      <c r="H52" s="35"/>
      <c r="I52" s="46"/>
    </row>
    <row r="53" spans="1:9">
      <c r="A53" s="2"/>
      <c r="B53" s="33"/>
      <c r="C53" s="35"/>
      <c r="D53" s="35"/>
      <c r="E53" s="35"/>
      <c r="F53" s="35"/>
      <c r="G53" s="35"/>
      <c r="H53" s="35"/>
      <c r="I53" s="36"/>
    </row>
    <row r="54" spans="1:9">
      <c r="A54" s="2"/>
      <c r="B54" s="42" t="s">
        <v>4</v>
      </c>
      <c r="C54" s="35"/>
      <c r="D54" s="35"/>
      <c r="E54" s="35"/>
      <c r="F54" s="35"/>
      <c r="G54" s="35"/>
      <c r="H54" s="35"/>
      <c r="I54" s="1182">
        <f>0.03*(I40+I43+I50)</f>
        <v>3.0136049999999996</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f>0.01*(I43+I40+I50)</f>
        <v>1.004535</v>
      </c>
    </row>
    <row r="58" spans="1:9">
      <c r="A58" s="2"/>
      <c r="B58" s="33" t="s">
        <v>749</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756" t="s">
        <v>104</v>
      </c>
      <c r="C64" s="35"/>
      <c r="D64" s="35"/>
      <c r="E64" s="35"/>
      <c r="F64" s="35"/>
      <c r="G64" s="35"/>
      <c r="H64" s="35"/>
      <c r="I64" s="47"/>
    </row>
    <row r="65" spans="1:9">
      <c r="A65" s="2"/>
      <c r="B65" s="37"/>
      <c r="C65" s="35"/>
      <c r="D65" s="35"/>
      <c r="E65" s="35"/>
      <c r="F65" s="35"/>
      <c r="G65" s="35"/>
      <c r="H65" s="35"/>
      <c r="I65" s="36"/>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+I40+I43+I50+I54+I60+I69</f>
        <v>103.46710499999999</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SUM(I39:I69)</f>
        <v>104.47163999999999</v>
      </c>
    </row>
  </sheetData>
  <mergeCells count="3">
    <mergeCell ref="B1:D1"/>
    <mergeCell ref="E43:H43"/>
    <mergeCell ref="B51:C51"/>
  </mergeCells>
  <pageMargins left="0.75" right="0.75" top="1" bottom="1" header="0.5" footer="0.5"/>
  <pageSetup scale="54" orientation="portrait" r:id="rId1"/>
  <headerFooter alignWithMargins="0"/>
</worksheet>
</file>

<file path=xl/worksheets/sheet186.xml><?xml version="1.0" encoding="utf-8"?>
<worksheet xmlns="http://schemas.openxmlformats.org/spreadsheetml/2006/main" xmlns:r="http://schemas.openxmlformats.org/officeDocument/2006/relationships">
  <sheetPr>
    <pageSetUpPr fitToPage="1"/>
  </sheetPr>
  <dimension ref="A1:L75"/>
  <sheetViews>
    <sheetView workbookViewId="0">
      <selection activeCell="A2" sqref="A2:XFD27"/>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38.25" hidden="1">
      <c r="A6" s="2"/>
      <c r="B6" s="54">
        <v>580</v>
      </c>
      <c r="C6" s="7" t="str">
        <f>+E12</f>
        <v>EQIP</v>
      </c>
      <c r="D6" s="110" t="s">
        <v>2340</v>
      </c>
      <c r="E6" s="110" t="s">
        <v>2350</v>
      </c>
      <c r="F6" s="7" t="s">
        <v>756</v>
      </c>
      <c r="G6" s="85">
        <f>+I25</f>
        <v>88.809265124999982</v>
      </c>
    </row>
    <row r="7" spans="1:12" ht="38.25" hidden="1">
      <c r="A7" s="2"/>
      <c r="B7" s="54">
        <f>+B6</f>
        <v>580</v>
      </c>
      <c r="C7" s="7" t="str">
        <f>+C6</f>
        <v>EQIP</v>
      </c>
      <c r="D7" s="110" t="s">
        <v>2340</v>
      </c>
      <c r="E7" s="110" t="str">
        <f>CONCATENATE(E6, "-HU")</f>
        <v>Streambank and Shoreline Protection -Conventional, Bio-Engineering, or Natural Stream Restoration Streambank Treatments from 10' up to 12' Bank Height Protection-HU</v>
      </c>
      <c r="F7" s="7" t="str">
        <f>+F6</f>
        <v>Feet</v>
      </c>
      <c r="G7" s="85">
        <f>+J25</f>
        <v>106.57111815</v>
      </c>
    </row>
    <row r="8" spans="1:12" ht="38.25" hidden="1">
      <c r="A8" s="2"/>
      <c r="B8" s="54">
        <v>580</v>
      </c>
      <c r="C8" s="7" t="str">
        <f>+G12</f>
        <v>WHIP</v>
      </c>
      <c r="D8" s="110" t="s">
        <v>2340</v>
      </c>
      <c r="E8" s="110" t="s">
        <v>2350</v>
      </c>
      <c r="F8" s="7" t="s">
        <v>756</v>
      </c>
      <c r="G8" s="85">
        <f>+K25</f>
        <v>0</v>
      </c>
    </row>
    <row r="9" spans="1:12" ht="38.25" hidden="1">
      <c r="A9" s="2"/>
      <c r="B9" s="8">
        <f>+B8</f>
        <v>580</v>
      </c>
      <c r="C9" s="10" t="str">
        <f>+C8</f>
        <v>WHIP</v>
      </c>
      <c r="D9" s="111" t="s">
        <v>2340</v>
      </c>
      <c r="E9" s="111" t="str">
        <f>CONCATENATE(E6, "-HU")</f>
        <v>Streambank and Shoreline Protection -Conventional, Bio-Engineering, or Natural Stream Restoration Streambank Treatments from 10' up to 12' Bank Height Protection-HU</v>
      </c>
      <c r="F9" s="10" t="str">
        <f>+F8</f>
        <v>Feet</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Factors'!D36</f>
        <v>0.75</v>
      </c>
      <c r="F16" s="160">
        <f>+'[10]Payment Factors'!E36</f>
        <v>0.9</v>
      </c>
      <c r="G16" s="160">
        <f>+'[10]Payment Factors'!F36</f>
        <v>0</v>
      </c>
      <c r="H16" s="160">
        <f>+'[10]Payment Factors'!G36</f>
        <v>0</v>
      </c>
      <c r="I16" s="1154">
        <f t="shared" ref="I16:L24" si="0">+$D16*E16</f>
        <v>0</v>
      </c>
      <c r="J16" s="1154">
        <f t="shared" si="0"/>
        <v>0</v>
      </c>
      <c r="K16" s="1154">
        <f t="shared" si="0"/>
        <v>0</v>
      </c>
      <c r="L16" s="1155">
        <f t="shared" si="0"/>
        <v>0</v>
      </c>
    </row>
    <row r="17" spans="1:12" hidden="1">
      <c r="A17" s="2"/>
      <c r="B17" s="15" t="s">
        <v>2</v>
      </c>
      <c r="C17" s="16"/>
      <c r="D17" s="24">
        <f>+I43</f>
        <v>97.718932499999994</v>
      </c>
      <c r="E17" s="160">
        <f>+E16</f>
        <v>0.75</v>
      </c>
      <c r="F17" s="160">
        <f>+F16</f>
        <v>0.9</v>
      </c>
      <c r="G17" s="160">
        <f>+G16</f>
        <v>0</v>
      </c>
      <c r="H17" s="160">
        <f>+H16</f>
        <v>0</v>
      </c>
      <c r="I17" s="1154">
        <f t="shared" si="0"/>
        <v>73.289199374999995</v>
      </c>
      <c r="J17" s="1154">
        <f t="shared" si="0"/>
        <v>87.947039250000003</v>
      </c>
      <c r="K17" s="1154">
        <f t="shared" si="0"/>
        <v>0</v>
      </c>
      <c r="L17" s="1155">
        <f t="shared" si="0"/>
        <v>0</v>
      </c>
    </row>
    <row r="18" spans="1:12" hidden="1">
      <c r="A18" s="2"/>
      <c r="B18" s="15" t="s">
        <v>3</v>
      </c>
      <c r="C18" s="16"/>
      <c r="D18" s="24">
        <f>+I50</f>
        <v>17.244517499999997</v>
      </c>
      <c r="E18" s="160">
        <f>+E16</f>
        <v>0.75</v>
      </c>
      <c r="F18" s="160">
        <f>+F16</f>
        <v>0.9</v>
      </c>
      <c r="G18" s="160">
        <f>+G16</f>
        <v>0</v>
      </c>
      <c r="H18" s="160">
        <f>+H16</f>
        <v>0</v>
      </c>
      <c r="I18" s="1154">
        <f t="shared" si="0"/>
        <v>12.933388124999997</v>
      </c>
      <c r="J18" s="1154">
        <f t="shared" si="0"/>
        <v>15.520065749999997</v>
      </c>
      <c r="K18" s="1154">
        <f t="shared" si="0"/>
        <v>0</v>
      </c>
      <c r="L18" s="1155">
        <f t="shared" si="0"/>
        <v>0</v>
      </c>
    </row>
    <row r="19" spans="1:12" hidden="1">
      <c r="A19" s="2"/>
      <c r="B19" s="15" t="s">
        <v>4</v>
      </c>
      <c r="C19" s="16"/>
      <c r="D19" s="24">
        <f>+I54</f>
        <v>3.4489034999999997</v>
      </c>
      <c r="E19" s="160">
        <f>+E16</f>
        <v>0.75</v>
      </c>
      <c r="F19" s="160">
        <f>+F16</f>
        <v>0.9</v>
      </c>
      <c r="G19" s="160">
        <f>+G16</f>
        <v>0</v>
      </c>
      <c r="H19" s="160">
        <f>+H16</f>
        <v>0</v>
      </c>
      <c r="I19" s="1154">
        <f t="shared" si="0"/>
        <v>2.5866776249999996</v>
      </c>
      <c r="J19" s="1154">
        <f t="shared" si="0"/>
        <v>3.1040131499999997</v>
      </c>
      <c r="K19" s="1154">
        <f t="shared" si="0"/>
        <v>0</v>
      </c>
      <c r="L19" s="1155">
        <f t="shared" si="0"/>
        <v>0</v>
      </c>
    </row>
    <row r="20" spans="1:12" hidden="1">
      <c r="A20" s="2"/>
      <c r="B20" s="15" t="s">
        <v>26</v>
      </c>
      <c r="C20" s="16"/>
      <c r="D20" s="24">
        <f>+I57</f>
        <v>1.1496344999999999</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+I66</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+I69</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119.561988</v>
      </c>
      <c r="E25" s="1158"/>
      <c r="F25" s="1158"/>
      <c r="G25" s="28"/>
      <c r="H25" s="28"/>
      <c r="I25" s="1159">
        <f>SUM(I16:I24)</f>
        <v>88.809265124999982</v>
      </c>
      <c r="J25" s="1159">
        <f>SUM(J16:J24)</f>
        <v>106.57111815</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2351</v>
      </c>
      <c r="C29" s="34"/>
      <c r="D29" s="34"/>
      <c r="E29" s="35"/>
      <c r="F29" s="35"/>
      <c r="G29" s="35"/>
      <c r="H29" s="35"/>
      <c r="I29" s="36"/>
    </row>
    <row r="30" spans="1:12">
      <c r="A30" s="2"/>
      <c r="B30" s="37" t="s">
        <v>2343</v>
      </c>
      <c r="C30" s="34"/>
      <c r="D30" s="34"/>
      <c r="E30" s="1162"/>
      <c r="F30" s="1163"/>
      <c r="G30" s="35"/>
      <c r="H30" s="35"/>
      <c r="I30" s="36"/>
    </row>
    <row r="31" spans="1:12">
      <c r="A31" s="2"/>
      <c r="B31" s="37" t="s">
        <v>1490</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Factors'!C36</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104</v>
      </c>
      <c r="C41" s="35"/>
      <c r="D41" s="1167"/>
      <c r="E41" s="1167"/>
      <c r="F41" s="1167"/>
      <c r="G41" s="1167"/>
      <c r="H41" s="35"/>
      <c r="I41" s="46"/>
    </row>
    <row r="42" spans="1:9">
      <c r="A42" s="2"/>
      <c r="B42" s="40"/>
      <c r="C42" s="6"/>
      <c r="D42" s="1168"/>
      <c r="E42" s="1169"/>
      <c r="F42" s="1170"/>
      <c r="G42" s="1171"/>
      <c r="H42" s="35"/>
      <c r="I42" s="47"/>
    </row>
    <row r="43" spans="1:9">
      <c r="A43" s="2"/>
      <c r="B43" s="42" t="s">
        <v>2</v>
      </c>
      <c r="C43" s="35"/>
      <c r="D43" s="35"/>
      <c r="E43" s="2003" t="s">
        <v>459</v>
      </c>
      <c r="F43" s="2003"/>
      <c r="G43" s="2003"/>
      <c r="H43" s="2003"/>
      <c r="I43" s="1166">
        <f>(SUM(G45:G45)*0.85)</f>
        <v>97.718932499999994</v>
      </c>
    </row>
    <row r="44" spans="1:9">
      <c r="A44" s="2"/>
      <c r="B44" s="1174"/>
      <c r="C44" s="35"/>
      <c r="D44" s="1167" t="s">
        <v>447</v>
      </c>
      <c r="E44" s="1167" t="s">
        <v>448</v>
      </c>
      <c r="F44" s="1167" t="s">
        <v>449</v>
      </c>
      <c r="G44" s="1167" t="s">
        <v>450</v>
      </c>
      <c r="H44" s="35"/>
      <c r="I44" s="46"/>
    </row>
    <row r="45" spans="1:9">
      <c r="A45" s="2"/>
      <c r="B45" s="1374" t="str">
        <f>+'[36]Core Rates'!A27</f>
        <v>10.1 to 12.0' Bank Height Protected</v>
      </c>
      <c r="C45" s="143"/>
      <c r="D45" s="1169" t="str">
        <f>+'[36]Core Rates'!B27</f>
        <v>Lin Ft</v>
      </c>
      <c r="E45" s="1169">
        <f>+'[36]Core Rates'!C27</f>
        <v>114.96344999999999</v>
      </c>
      <c r="F45" s="1169">
        <v>1</v>
      </c>
      <c r="G45" s="1171">
        <f>+F45*E45</f>
        <v>114.96344999999999</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40" t="s">
        <v>457</v>
      </c>
      <c r="C48" s="1178"/>
      <c r="D48" s="1178"/>
      <c r="E48" s="1178"/>
      <c r="F48" s="1178"/>
      <c r="G48" s="1178"/>
      <c r="H48" s="1178"/>
      <c r="I48" s="1179"/>
    </row>
    <row r="49" spans="1:9">
      <c r="A49" s="2"/>
      <c r="B49" s="1177"/>
      <c r="C49" s="1178"/>
      <c r="D49" s="1178"/>
      <c r="E49" s="1178"/>
      <c r="F49" s="1178"/>
      <c r="G49" s="1178"/>
      <c r="H49" s="1178"/>
      <c r="I49" s="1179"/>
    </row>
    <row r="50" spans="1:9">
      <c r="A50" s="2"/>
      <c r="B50" s="42" t="s">
        <v>3</v>
      </c>
      <c r="C50" s="35"/>
      <c r="D50" s="35"/>
      <c r="E50" s="35"/>
      <c r="F50" s="39"/>
      <c r="G50" s="35"/>
      <c r="H50" s="35"/>
      <c r="I50" s="1182">
        <f>E52</f>
        <v>17.244517499999997</v>
      </c>
    </row>
    <row r="51" spans="1:9">
      <c r="A51" s="2"/>
      <c r="B51" s="2007" t="s">
        <v>465</v>
      </c>
      <c r="C51" s="2008"/>
      <c r="D51" s="35"/>
      <c r="E51" s="35"/>
      <c r="F51" s="35"/>
      <c r="G51" s="35"/>
      <c r="H51" s="35"/>
      <c r="I51" s="48"/>
    </row>
    <row r="52" spans="1:9">
      <c r="A52" s="2"/>
      <c r="B52" s="37" t="s">
        <v>466</v>
      </c>
      <c r="C52" s="39"/>
      <c r="D52" s="39"/>
      <c r="E52" s="153">
        <f>SUM(G45:G45)*0.15</f>
        <v>17.244517499999997</v>
      </c>
      <c r="F52" s="35"/>
      <c r="G52" s="35"/>
      <c r="H52" s="35"/>
      <c r="I52" s="46"/>
    </row>
    <row r="53" spans="1:9">
      <c r="A53" s="2"/>
      <c r="B53" s="33"/>
      <c r="C53" s="35"/>
      <c r="D53" s="35"/>
      <c r="E53" s="35"/>
      <c r="F53" s="35"/>
      <c r="G53" s="35"/>
      <c r="H53" s="35"/>
      <c r="I53" s="36"/>
    </row>
    <row r="54" spans="1:9">
      <c r="A54" s="2"/>
      <c r="B54" s="42" t="s">
        <v>4</v>
      </c>
      <c r="C54" s="35"/>
      <c r="D54" s="35"/>
      <c r="E54" s="35"/>
      <c r="F54" s="35"/>
      <c r="G54" s="35"/>
      <c r="H54" s="35"/>
      <c r="I54" s="1182">
        <f>0.03*(I40+I43+I50)</f>
        <v>3.4489034999999997</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f>0.01*(I43+I40+I50)</f>
        <v>1.1496344999999999</v>
      </c>
    </row>
    <row r="58" spans="1:9">
      <c r="A58" s="2"/>
      <c r="B58" s="33" t="s">
        <v>749</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756" t="s">
        <v>104</v>
      </c>
      <c r="C64" s="35"/>
      <c r="D64" s="35"/>
      <c r="E64" s="35"/>
      <c r="F64" s="35"/>
      <c r="G64" s="35"/>
      <c r="H64" s="35"/>
      <c r="I64" s="47"/>
    </row>
    <row r="65" spans="1:9">
      <c r="A65" s="2"/>
      <c r="B65" s="37"/>
      <c r="C65" s="35"/>
      <c r="D65" s="35"/>
      <c r="E65" s="35"/>
      <c r="F65" s="35"/>
      <c r="G65" s="35"/>
      <c r="H65" s="35"/>
      <c r="I65" s="36"/>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+I40+I43+I50+I54+I60+I69</f>
        <v>118.41235349999999</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SUM(I39:I69)</f>
        <v>119.561988</v>
      </c>
    </row>
  </sheetData>
  <mergeCells count="3">
    <mergeCell ref="B1:D1"/>
    <mergeCell ref="E43:H43"/>
    <mergeCell ref="B51:C51"/>
  </mergeCells>
  <pageMargins left="0.75" right="0.75" top="1" bottom="1" header="0.5" footer="0.5"/>
  <pageSetup scale="54" orientation="portrait" r:id="rId1"/>
  <headerFooter alignWithMargins="0"/>
</worksheet>
</file>

<file path=xl/worksheets/sheet187.xml><?xml version="1.0" encoding="utf-8"?>
<worksheet xmlns="http://schemas.openxmlformats.org/spreadsheetml/2006/main" xmlns:r="http://schemas.openxmlformats.org/officeDocument/2006/relationships">
  <sheetPr>
    <pageSetUpPr fitToPage="1"/>
  </sheetPr>
  <dimension ref="A1:L75"/>
  <sheetViews>
    <sheetView workbookViewId="0">
      <selection activeCell="A2" sqref="A2:XFD27"/>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38.25" hidden="1">
      <c r="A6" s="2"/>
      <c r="B6" s="54">
        <v>580</v>
      </c>
      <c r="C6" s="7" t="str">
        <f>+E12</f>
        <v>EQIP</v>
      </c>
      <c r="D6" s="110" t="s">
        <v>2340</v>
      </c>
      <c r="E6" s="110" t="s">
        <v>2352</v>
      </c>
      <c r="F6" s="7" t="s">
        <v>756</v>
      </c>
      <c r="G6" s="85">
        <f>+I25</f>
        <v>112.08936375000002</v>
      </c>
    </row>
    <row r="7" spans="1:12" ht="38.25" hidden="1">
      <c r="A7" s="2"/>
      <c r="B7" s="54">
        <f>+B6</f>
        <v>580</v>
      </c>
      <c r="C7" s="7" t="str">
        <f>+C6</f>
        <v>EQIP</v>
      </c>
      <c r="D7" s="110" t="s">
        <v>2340</v>
      </c>
      <c r="E7" s="110" t="str">
        <f>CONCATENATE(E6, "-HU")</f>
        <v>Streambank and Shoreline Protection -Conventional, Bio-Engineering, or Natural Stream Restoration Streambank Treatments from 12' up to 16' Bank Height Protection-HU</v>
      </c>
      <c r="F7" s="7" t="str">
        <f>+F6</f>
        <v>Feet</v>
      </c>
      <c r="G7" s="85">
        <f>+J25</f>
        <v>134.5072365</v>
      </c>
    </row>
    <row r="8" spans="1:12" ht="38.25" hidden="1">
      <c r="A8" s="2"/>
      <c r="B8" s="54">
        <v>580</v>
      </c>
      <c r="C8" s="7" t="str">
        <f>+G12</f>
        <v>WHIP</v>
      </c>
      <c r="D8" s="110" t="s">
        <v>2340</v>
      </c>
      <c r="E8" s="110" t="s">
        <v>2352</v>
      </c>
      <c r="F8" s="7" t="s">
        <v>756</v>
      </c>
      <c r="G8" s="85">
        <f>+K25</f>
        <v>0</v>
      </c>
    </row>
    <row r="9" spans="1:12" ht="38.25" hidden="1">
      <c r="A9" s="2"/>
      <c r="B9" s="8">
        <f>+B8</f>
        <v>580</v>
      </c>
      <c r="C9" s="10" t="str">
        <f>+C8</f>
        <v>WHIP</v>
      </c>
      <c r="D9" s="111" t="s">
        <v>2340</v>
      </c>
      <c r="E9" s="111" t="str">
        <f>CONCATENATE(E6, "-HU")</f>
        <v>Streambank and Shoreline Protection -Conventional, Bio-Engineering, or Natural Stream Restoration Streambank Treatments from 12' up to 16' Bank Height Protection-HU</v>
      </c>
      <c r="F9" s="10" t="str">
        <f>+F8</f>
        <v>Feet</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Factors'!D36</f>
        <v>0.75</v>
      </c>
      <c r="F16" s="160">
        <f>+'[10]Payment Factors'!E36</f>
        <v>0.9</v>
      </c>
      <c r="G16" s="160">
        <f>+'[10]Payment Factors'!F36</f>
        <v>0</v>
      </c>
      <c r="H16" s="160">
        <f>+'[10]Payment Factors'!G36</f>
        <v>0</v>
      </c>
      <c r="I16" s="1154">
        <f t="shared" ref="I16:L24" si="0">+$D16*E16</f>
        <v>0</v>
      </c>
      <c r="J16" s="1154">
        <f t="shared" si="0"/>
        <v>0</v>
      </c>
      <c r="K16" s="1154">
        <f t="shared" si="0"/>
        <v>0</v>
      </c>
      <c r="L16" s="1155">
        <f t="shared" si="0"/>
        <v>0</v>
      </c>
    </row>
    <row r="17" spans="1:12" hidden="1">
      <c r="A17" s="2"/>
      <c r="B17" s="15" t="s">
        <v>2</v>
      </c>
      <c r="C17" s="16"/>
      <c r="D17" s="24">
        <f>+I43</f>
        <v>123.334575</v>
      </c>
      <c r="E17" s="160">
        <f>+E16</f>
        <v>0.75</v>
      </c>
      <c r="F17" s="160">
        <f>+F16</f>
        <v>0.9</v>
      </c>
      <c r="G17" s="160">
        <f>+G16</f>
        <v>0</v>
      </c>
      <c r="H17" s="160">
        <f>+H16</f>
        <v>0</v>
      </c>
      <c r="I17" s="1154">
        <f t="shared" si="0"/>
        <v>92.500931250000008</v>
      </c>
      <c r="J17" s="1154">
        <f t="shared" si="0"/>
        <v>111.00111750000001</v>
      </c>
      <c r="K17" s="1154">
        <f t="shared" si="0"/>
        <v>0</v>
      </c>
      <c r="L17" s="1155">
        <f t="shared" si="0"/>
        <v>0</v>
      </c>
    </row>
    <row r="18" spans="1:12" hidden="1">
      <c r="A18" s="2"/>
      <c r="B18" s="15" t="s">
        <v>3</v>
      </c>
      <c r="C18" s="16"/>
      <c r="D18" s="24">
        <f>+I50</f>
        <v>21.764925000000002</v>
      </c>
      <c r="E18" s="160">
        <f>+E16</f>
        <v>0.75</v>
      </c>
      <c r="F18" s="160">
        <f>+F16</f>
        <v>0.9</v>
      </c>
      <c r="G18" s="160">
        <f>+G16</f>
        <v>0</v>
      </c>
      <c r="H18" s="160">
        <f>+H16</f>
        <v>0</v>
      </c>
      <c r="I18" s="1154">
        <f t="shared" si="0"/>
        <v>16.32369375</v>
      </c>
      <c r="J18" s="1154">
        <f t="shared" si="0"/>
        <v>19.588432500000003</v>
      </c>
      <c r="K18" s="1154">
        <f t="shared" si="0"/>
        <v>0</v>
      </c>
      <c r="L18" s="1155">
        <f t="shared" si="0"/>
        <v>0</v>
      </c>
    </row>
    <row r="19" spans="1:12" hidden="1">
      <c r="A19" s="2"/>
      <c r="B19" s="15" t="s">
        <v>4</v>
      </c>
      <c r="C19" s="16"/>
      <c r="D19" s="24">
        <f>+I54</f>
        <v>4.3529850000000003</v>
      </c>
      <c r="E19" s="160">
        <f>+E16</f>
        <v>0.75</v>
      </c>
      <c r="F19" s="160">
        <f>+F16</f>
        <v>0.9</v>
      </c>
      <c r="G19" s="160">
        <f>+G16</f>
        <v>0</v>
      </c>
      <c r="H19" s="160">
        <f>+H16</f>
        <v>0</v>
      </c>
      <c r="I19" s="1154">
        <f t="shared" si="0"/>
        <v>3.2647387500000002</v>
      </c>
      <c r="J19" s="1154">
        <f t="shared" si="0"/>
        <v>3.9176865000000003</v>
      </c>
      <c r="K19" s="1154">
        <f t="shared" si="0"/>
        <v>0</v>
      </c>
      <c r="L19" s="1155">
        <f t="shared" si="0"/>
        <v>0</v>
      </c>
    </row>
    <row r="20" spans="1:12" hidden="1">
      <c r="A20" s="2"/>
      <c r="B20" s="15" t="s">
        <v>26</v>
      </c>
      <c r="C20" s="16"/>
      <c r="D20" s="24">
        <f>+I57</f>
        <v>1.450995</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+I66</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+I69</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150.90348</v>
      </c>
      <c r="E25" s="1158"/>
      <c r="F25" s="1158"/>
      <c r="G25" s="28"/>
      <c r="H25" s="28"/>
      <c r="I25" s="1159">
        <f>SUM(I16:I24)</f>
        <v>112.08936375000002</v>
      </c>
      <c r="J25" s="1159">
        <f>SUM(J16:J24)</f>
        <v>134.5072365</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2353</v>
      </c>
      <c r="C29" s="34"/>
      <c r="D29" s="34"/>
      <c r="E29" s="35"/>
      <c r="F29" s="35"/>
      <c r="G29" s="35"/>
      <c r="H29" s="35"/>
      <c r="I29" s="36"/>
    </row>
    <row r="30" spans="1:12">
      <c r="A30" s="2"/>
      <c r="B30" s="37" t="s">
        <v>2343</v>
      </c>
      <c r="C30" s="34"/>
      <c r="D30" s="34"/>
      <c r="E30" s="1162"/>
      <c r="F30" s="1163"/>
      <c r="G30" s="35"/>
      <c r="H30" s="35"/>
      <c r="I30" s="36"/>
    </row>
    <row r="31" spans="1:12">
      <c r="A31" s="2"/>
      <c r="B31" s="37" t="s">
        <v>1490</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Factors'!C36</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104</v>
      </c>
      <c r="C41" s="35"/>
      <c r="D41" s="1167"/>
      <c r="E41" s="1167"/>
      <c r="F41" s="1167"/>
      <c r="G41" s="1167"/>
      <c r="H41" s="35"/>
      <c r="I41" s="46"/>
    </row>
    <row r="42" spans="1:9">
      <c r="A42" s="2"/>
      <c r="B42" s="40"/>
      <c r="C42" s="6"/>
      <c r="D42" s="1168"/>
      <c r="E42" s="1169"/>
      <c r="F42" s="1170"/>
      <c r="G42" s="1171"/>
      <c r="H42" s="35"/>
      <c r="I42" s="47"/>
    </row>
    <row r="43" spans="1:9">
      <c r="A43" s="2"/>
      <c r="B43" s="42" t="s">
        <v>2</v>
      </c>
      <c r="C43" s="35"/>
      <c r="D43" s="35"/>
      <c r="E43" s="2003" t="s">
        <v>459</v>
      </c>
      <c r="F43" s="2003"/>
      <c r="G43" s="2003"/>
      <c r="H43" s="2003"/>
      <c r="I43" s="1166">
        <f>(SUM(G45:G45)*0.85)</f>
        <v>123.334575</v>
      </c>
    </row>
    <row r="44" spans="1:9">
      <c r="A44" s="2"/>
      <c r="B44" s="1174"/>
      <c r="C44" s="35"/>
      <c r="D44" s="1167" t="s">
        <v>447</v>
      </c>
      <c r="E44" s="1167" t="s">
        <v>448</v>
      </c>
      <c r="F44" s="1167" t="s">
        <v>449</v>
      </c>
      <c r="G44" s="1167" t="s">
        <v>450</v>
      </c>
      <c r="H44" s="35"/>
      <c r="I44" s="46"/>
    </row>
    <row r="45" spans="1:9">
      <c r="A45" s="2"/>
      <c r="B45" s="1374" t="str">
        <f>+'[36]Core Rates'!A28</f>
        <v>12.1' to 16.0' Bank Height Protected</v>
      </c>
      <c r="C45" s="143"/>
      <c r="D45" s="1169" t="str">
        <f>+'[36]Core Rates'!B28</f>
        <v>Lin Ft</v>
      </c>
      <c r="E45" s="1169">
        <f>+'[36]Core Rates'!C28</f>
        <v>145.09950000000001</v>
      </c>
      <c r="F45" s="1169">
        <v>1</v>
      </c>
      <c r="G45" s="1171">
        <f>+F45*E45</f>
        <v>145.09950000000001</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40" t="s">
        <v>457</v>
      </c>
      <c r="C48" s="1178"/>
      <c r="D48" s="1178"/>
      <c r="E48" s="1178"/>
      <c r="F48" s="1178"/>
      <c r="G48" s="1178"/>
      <c r="H48" s="1178"/>
      <c r="I48" s="1179"/>
    </row>
    <row r="49" spans="1:9">
      <c r="A49" s="2"/>
      <c r="B49" s="1177"/>
      <c r="C49" s="1178"/>
      <c r="D49" s="1178"/>
      <c r="E49" s="1178"/>
      <c r="F49" s="1178"/>
      <c r="G49" s="1178"/>
      <c r="H49" s="1178"/>
      <c r="I49" s="1179"/>
    </row>
    <row r="50" spans="1:9">
      <c r="A50" s="2"/>
      <c r="B50" s="42" t="s">
        <v>3</v>
      </c>
      <c r="C50" s="35"/>
      <c r="D50" s="35"/>
      <c r="E50" s="35"/>
      <c r="F50" s="39"/>
      <c r="G50" s="35"/>
      <c r="H50" s="35"/>
      <c r="I50" s="1182">
        <f>E52</f>
        <v>21.764925000000002</v>
      </c>
    </row>
    <row r="51" spans="1:9">
      <c r="A51" s="2"/>
      <c r="B51" s="2007" t="s">
        <v>465</v>
      </c>
      <c r="C51" s="2008"/>
      <c r="D51" s="35"/>
      <c r="E51" s="35"/>
      <c r="F51" s="35"/>
      <c r="G51" s="35"/>
      <c r="H51" s="35"/>
      <c r="I51" s="48"/>
    </row>
    <row r="52" spans="1:9">
      <c r="A52" s="2"/>
      <c r="B52" s="37" t="s">
        <v>466</v>
      </c>
      <c r="C52" s="39"/>
      <c r="D52" s="39"/>
      <c r="E52" s="153">
        <f>SUM(G45:G45)*0.15</f>
        <v>21.764925000000002</v>
      </c>
      <c r="F52" s="35"/>
      <c r="G52" s="35"/>
      <c r="H52" s="35"/>
      <c r="I52" s="46"/>
    </row>
    <row r="53" spans="1:9">
      <c r="A53" s="2"/>
      <c r="B53" s="33"/>
      <c r="C53" s="35"/>
      <c r="D53" s="35"/>
      <c r="E53" s="35"/>
      <c r="F53" s="35"/>
      <c r="G53" s="35"/>
      <c r="H53" s="35"/>
      <c r="I53" s="36"/>
    </row>
    <row r="54" spans="1:9">
      <c r="A54" s="2"/>
      <c r="B54" s="42" t="s">
        <v>4</v>
      </c>
      <c r="C54" s="35"/>
      <c r="D54" s="35"/>
      <c r="E54" s="35"/>
      <c r="F54" s="35"/>
      <c r="G54" s="35"/>
      <c r="H54" s="35"/>
      <c r="I54" s="1182">
        <f>0.03*(I40+I43+I50)</f>
        <v>4.3529850000000003</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f>0.01*(I43+I40+I50)</f>
        <v>1.450995</v>
      </c>
    </row>
    <row r="58" spans="1:9">
      <c r="A58" s="2"/>
      <c r="B58" s="33" t="s">
        <v>749</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756" t="s">
        <v>104</v>
      </c>
      <c r="C64" s="35"/>
      <c r="D64" s="35"/>
      <c r="E64" s="35"/>
      <c r="F64" s="35"/>
      <c r="G64" s="35"/>
      <c r="H64" s="35"/>
      <c r="I64" s="47"/>
    </row>
    <row r="65" spans="1:9">
      <c r="A65" s="2"/>
      <c r="B65" s="37"/>
      <c r="C65" s="35"/>
      <c r="D65" s="35"/>
      <c r="E65" s="35"/>
      <c r="F65" s="35"/>
      <c r="G65" s="35"/>
      <c r="H65" s="35"/>
      <c r="I65" s="36"/>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+I40+I43+I50+I54+I60+I69</f>
        <v>149.452485</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SUM(I39:I69)</f>
        <v>150.90348</v>
      </c>
    </row>
  </sheetData>
  <mergeCells count="3">
    <mergeCell ref="B1:D1"/>
    <mergeCell ref="E43:H43"/>
    <mergeCell ref="B51:C51"/>
  </mergeCells>
  <pageMargins left="0.75" right="0.75" top="1" bottom="1" header="0.5" footer="0.5"/>
  <pageSetup scale="54" orientation="portrait" r:id="rId1"/>
  <headerFooter alignWithMargins="0"/>
</worksheet>
</file>

<file path=xl/worksheets/sheet188.xml><?xml version="1.0" encoding="utf-8"?>
<worksheet xmlns="http://schemas.openxmlformats.org/spreadsheetml/2006/main" xmlns:r="http://schemas.openxmlformats.org/officeDocument/2006/relationships">
  <sheetPr>
    <pageSetUpPr fitToPage="1"/>
  </sheetPr>
  <dimension ref="A1:L75"/>
  <sheetViews>
    <sheetView topLeftCell="A40" workbookViewId="0">
      <selection activeCell="A2" sqref="A2:XFD27"/>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38.25" hidden="1">
      <c r="A6" s="2"/>
      <c r="B6" s="54">
        <v>580</v>
      </c>
      <c r="C6" s="7" t="str">
        <f>+E12</f>
        <v>EQIP</v>
      </c>
      <c r="D6" s="110" t="s">
        <v>2340</v>
      </c>
      <c r="E6" s="110" t="s">
        <v>2354</v>
      </c>
      <c r="F6" s="7" t="s">
        <v>756</v>
      </c>
      <c r="G6" s="85">
        <f>+I25</f>
        <v>127.6094295</v>
      </c>
    </row>
    <row r="7" spans="1:12" ht="38.25" hidden="1">
      <c r="A7" s="2"/>
      <c r="B7" s="54">
        <f>+B6</f>
        <v>580</v>
      </c>
      <c r="C7" s="7" t="str">
        <f>+C6</f>
        <v>EQIP</v>
      </c>
      <c r="D7" s="110" t="s">
        <v>2340</v>
      </c>
      <c r="E7" s="110" t="str">
        <f>CONCATENATE(E6, "-HU")</f>
        <v>Streambank and Shoreline Protection -Conventional, Bio-Engineering, or Natural Stream Restoration Streambank Treatments Greater Than 16' Bank Height Protection-HU</v>
      </c>
      <c r="F7" s="7" t="str">
        <f>+F6</f>
        <v>Feet</v>
      </c>
      <c r="G7" s="85">
        <f>+J25</f>
        <v>153.13131540000001</v>
      </c>
    </row>
    <row r="8" spans="1:12" ht="38.25" hidden="1">
      <c r="A8" s="2"/>
      <c r="B8" s="54">
        <v>580</v>
      </c>
      <c r="C8" s="7" t="str">
        <f>+G12</f>
        <v>WHIP</v>
      </c>
      <c r="D8" s="110" t="s">
        <v>2340</v>
      </c>
      <c r="E8" s="110" t="s">
        <v>2354</v>
      </c>
      <c r="F8" s="7" t="s">
        <v>756</v>
      </c>
      <c r="G8" s="85">
        <f>+K25</f>
        <v>0</v>
      </c>
    </row>
    <row r="9" spans="1:12" ht="38.25" hidden="1">
      <c r="A9" s="2"/>
      <c r="B9" s="8">
        <f>+B8</f>
        <v>580</v>
      </c>
      <c r="C9" s="10" t="str">
        <f>+C8</f>
        <v>WHIP</v>
      </c>
      <c r="D9" s="111" t="s">
        <v>2340</v>
      </c>
      <c r="E9" s="111" t="str">
        <f>CONCATENATE(E6, "-HU")</f>
        <v>Streambank and Shoreline Protection -Conventional, Bio-Engineering, or Natural Stream Restoration Streambank Treatments Greater Than 16' Bank Height Protection-HU</v>
      </c>
      <c r="F9" s="10" t="str">
        <f>+F8</f>
        <v>Feet</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Factors'!D36</f>
        <v>0.75</v>
      </c>
      <c r="F16" s="160">
        <f>+'[10]Payment Factors'!E36</f>
        <v>0.9</v>
      </c>
      <c r="G16" s="160">
        <f>+'[10]Payment Factors'!F36</f>
        <v>0</v>
      </c>
      <c r="H16" s="160">
        <f>+'[10]Payment Factors'!G36</f>
        <v>0</v>
      </c>
      <c r="I16" s="1154">
        <f t="shared" ref="I16:L24" si="0">+$D16*E16</f>
        <v>0</v>
      </c>
      <c r="J16" s="1154">
        <f t="shared" si="0"/>
        <v>0</v>
      </c>
      <c r="K16" s="1154">
        <f t="shared" si="0"/>
        <v>0</v>
      </c>
      <c r="L16" s="1155">
        <f t="shared" si="0"/>
        <v>0</v>
      </c>
    </row>
    <row r="17" spans="1:12" hidden="1">
      <c r="A17" s="2"/>
      <c r="B17" s="15" t="s">
        <v>2</v>
      </c>
      <c r="C17" s="16"/>
      <c r="D17" s="24">
        <f>+I43</f>
        <v>140.41166999999999</v>
      </c>
      <c r="E17" s="160">
        <f>+E16</f>
        <v>0.75</v>
      </c>
      <c r="F17" s="160">
        <f>+F16</f>
        <v>0.9</v>
      </c>
      <c r="G17" s="160">
        <f>+G16</f>
        <v>0</v>
      </c>
      <c r="H17" s="160">
        <f>+H16</f>
        <v>0</v>
      </c>
      <c r="I17" s="1154">
        <f t="shared" si="0"/>
        <v>105.3087525</v>
      </c>
      <c r="J17" s="1154">
        <f t="shared" si="0"/>
        <v>126.37050299999999</v>
      </c>
      <c r="K17" s="1154">
        <f t="shared" si="0"/>
        <v>0</v>
      </c>
      <c r="L17" s="1155">
        <f t="shared" si="0"/>
        <v>0</v>
      </c>
    </row>
    <row r="18" spans="1:12" hidden="1">
      <c r="A18" s="2"/>
      <c r="B18" s="15" t="s">
        <v>3</v>
      </c>
      <c r="C18" s="16"/>
      <c r="D18" s="24">
        <f>+I50</f>
        <v>24.77853</v>
      </c>
      <c r="E18" s="160">
        <f>+E16</f>
        <v>0.75</v>
      </c>
      <c r="F18" s="160">
        <f>+F16</f>
        <v>0.9</v>
      </c>
      <c r="G18" s="160">
        <f>+G16</f>
        <v>0</v>
      </c>
      <c r="H18" s="160">
        <f>+H16</f>
        <v>0</v>
      </c>
      <c r="I18" s="1154">
        <f t="shared" si="0"/>
        <v>18.583897499999999</v>
      </c>
      <c r="J18" s="1154">
        <f t="shared" si="0"/>
        <v>22.300677</v>
      </c>
      <c r="K18" s="1154">
        <f t="shared" si="0"/>
        <v>0</v>
      </c>
      <c r="L18" s="1155">
        <f t="shared" si="0"/>
        <v>0</v>
      </c>
    </row>
    <row r="19" spans="1:12" hidden="1">
      <c r="A19" s="2"/>
      <c r="B19" s="15" t="s">
        <v>4</v>
      </c>
      <c r="C19" s="16"/>
      <c r="D19" s="24">
        <f>+I54</f>
        <v>4.9557059999999993</v>
      </c>
      <c r="E19" s="160">
        <f>+E16</f>
        <v>0.75</v>
      </c>
      <c r="F19" s="160">
        <f>+F16</f>
        <v>0.9</v>
      </c>
      <c r="G19" s="160">
        <f>+G16</f>
        <v>0</v>
      </c>
      <c r="H19" s="160">
        <f>+H16</f>
        <v>0</v>
      </c>
      <c r="I19" s="1154">
        <f t="shared" si="0"/>
        <v>3.7167794999999995</v>
      </c>
      <c r="J19" s="1154">
        <f t="shared" si="0"/>
        <v>4.4601353999999995</v>
      </c>
      <c r="K19" s="1154">
        <f t="shared" si="0"/>
        <v>0</v>
      </c>
      <c r="L19" s="1155">
        <f t="shared" si="0"/>
        <v>0</v>
      </c>
    </row>
    <row r="20" spans="1:12" hidden="1">
      <c r="A20" s="2"/>
      <c r="B20" s="15" t="s">
        <v>26</v>
      </c>
      <c r="C20" s="16"/>
      <c r="D20" s="24">
        <f>+I57</f>
        <v>1.6519019999999998</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+I66</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+I69</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171.79780799999997</v>
      </c>
      <c r="E25" s="1158"/>
      <c r="F25" s="1158"/>
      <c r="G25" s="28"/>
      <c r="H25" s="28"/>
      <c r="I25" s="1159">
        <f>SUM(I16:I24)</f>
        <v>127.6094295</v>
      </c>
      <c r="J25" s="1159">
        <f>SUM(J16:J24)</f>
        <v>153.13131540000001</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2355</v>
      </c>
      <c r="C29" s="34"/>
      <c r="D29" s="34"/>
      <c r="E29" s="35"/>
      <c r="F29" s="35"/>
      <c r="G29" s="35"/>
      <c r="H29" s="35"/>
      <c r="I29" s="36"/>
    </row>
    <row r="30" spans="1:12">
      <c r="A30" s="2"/>
      <c r="B30" s="37" t="s">
        <v>2343</v>
      </c>
      <c r="C30" s="34"/>
      <c r="D30" s="34"/>
      <c r="E30" s="1162"/>
      <c r="F30" s="1163"/>
      <c r="G30" s="35"/>
      <c r="H30" s="35"/>
      <c r="I30" s="36"/>
    </row>
    <row r="31" spans="1:12">
      <c r="A31" s="2"/>
      <c r="B31" s="37" t="s">
        <v>1490</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Factors'!C36</f>
        <v>20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0</v>
      </c>
    </row>
    <row r="41" spans="1:9">
      <c r="A41" s="2"/>
      <c r="B41" s="33" t="s">
        <v>104</v>
      </c>
      <c r="C41" s="35"/>
      <c r="D41" s="1167"/>
      <c r="E41" s="1167"/>
      <c r="F41" s="1167"/>
      <c r="G41" s="1167"/>
      <c r="H41" s="35"/>
      <c r="I41" s="46"/>
    </row>
    <row r="42" spans="1:9">
      <c r="A42" s="2"/>
      <c r="B42" s="40"/>
      <c r="C42" s="6"/>
      <c r="D42" s="1168"/>
      <c r="E42" s="1169"/>
      <c r="F42" s="1170"/>
      <c r="G42" s="1171"/>
      <c r="H42" s="35"/>
      <c r="I42" s="47"/>
    </row>
    <row r="43" spans="1:9">
      <c r="A43" s="2"/>
      <c r="B43" s="42" t="s">
        <v>2</v>
      </c>
      <c r="C43" s="35"/>
      <c r="D43" s="35"/>
      <c r="E43" s="2003" t="s">
        <v>459</v>
      </c>
      <c r="F43" s="2003"/>
      <c r="G43" s="2003"/>
      <c r="H43" s="2003"/>
      <c r="I43" s="1166">
        <f>(SUM(G45:G45)*0.85)</f>
        <v>140.41166999999999</v>
      </c>
    </row>
    <row r="44" spans="1:9">
      <c r="A44" s="2"/>
      <c r="B44" s="1174"/>
      <c r="C44" s="35"/>
      <c r="D44" s="1167" t="s">
        <v>447</v>
      </c>
      <c r="E44" s="1167" t="s">
        <v>448</v>
      </c>
      <c r="F44" s="1167" t="s">
        <v>449</v>
      </c>
      <c r="G44" s="1167" t="s">
        <v>450</v>
      </c>
      <c r="H44" s="35"/>
      <c r="I44" s="46"/>
    </row>
    <row r="45" spans="1:9">
      <c r="A45" s="2"/>
      <c r="B45" s="1374" t="str">
        <f>+'[36]Core Rates'!A29</f>
        <v>Over 16.0' Bank Height Protected</v>
      </c>
      <c r="C45" s="143"/>
      <c r="D45" s="1169" t="str">
        <f>+'[36]Core Rates'!B29</f>
        <v>Lin Ft</v>
      </c>
      <c r="E45" s="1169">
        <f>+'[36]Core Rates'!C29</f>
        <v>165.1902</v>
      </c>
      <c r="F45" s="1169">
        <v>1</v>
      </c>
      <c r="G45" s="1171">
        <f>+F45*E45</f>
        <v>165.1902</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40" t="s">
        <v>457</v>
      </c>
      <c r="C48" s="1178"/>
      <c r="D48" s="1178"/>
      <c r="E48" s="1178"/>
      <c r="F48" s="1178"/>
      <c r="G48" s="1178"/>
      <c r="H48" s="1178"/>
      <c r="I48" s="1179"/>
    </row>
    <row r="49" spans="1:9">
      <c r="A49" s="2"/>
      <c r="B49" s="1177"/>
      <c r="C49" s="1178"/>
      <c r="D49" s="1178"/>
      <c r="E49" s="1178"/>
      <c r="F49" s="1178"/>
      <c r="G49" s="1178"/>
      <c r="H49" s="1178"/>
      <c r="I49" s="1179"/>
    </row>
    <row r="50" spans="1:9">
      <c r="A50" s="2"/>
      <c r="B50" s="42" t="s">
        <v>3</v>
      </c>
      <c r="C50" s="35"/>
      <c r="D50" s="35"/>
      <c r="E50" s="35"/>
      <c r="F50" s="39"/>
      <c r="G50" s="35"/>
      <c r="H50" s="35"/>
      <c r="I50" s="1182">
        <f>E52</f>
        <v>24.77853</v>
      </c>
    </row>
    <row r="51" spans="1:9">
      <c r="A51" s="2"/>
      <c r="B51" s="2007" t="s">
        <v>465</v>
      </c>
      <c r="C51" s="2008"/>
      <c r="D51" s="35"/>
      <c r="E51" s="35"/>
      <c r="F51" s="35"/>
      <c r="G51" s="35"/>
      <c r="H51" s="35"/>
      <c r="I51" s="48"/>
    </row>
    <row r="52" spans="1:9">
      <c r="A52" s="2"/>
      <c r="B52" s="37" t="s">
        <v>466</v>
      </c>
      <c r="C52" s="39"/>
      <c r="D52" s="39"/>
      <c r="E52" s="153">
        <f>SUM(G45:G45)*0.15</f>
        <v>24.77853</v>
      </c>
      <c r="F52" s="35"/>
      <c r="G52" s="35"/>
      <c r="H52" s="35"/>
      <c r="I52" s="46"/>
    </row>
    <row r="53" spans="1:9">
      <c r="A53" s="2"/>
      <c r="B53" s="33"/>
      <c r="C53" s="35"/>
      <c r="D53" s="35"/>
      <c r="E53" s="35"/>
      <c r="F53" s="35"/>
      <c r="G53" s="35"/>
      <c r="H53" s="35"/>
      <c r="I53" s="36"/>
    </row>
    <row r="54" spans="1:9">
      <c r="A54" s="2"/>
      <c r="B54" s="42" t="s">
        <v>4</v>
      </c>
      <c r="C54" s="35"/>
      <c r="D54" s="35"/>
      <c r="E54" s="35"/>
      <c r="F54" s="35"/>
      <c r="G54" s="35"/>
      <c r="H54" s="35"/>
      <c r="I54" s="1182">
        <f>0.03*(I40+I43+I50)</f>
        <v>4.9557059999999993</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f>0.01*(I43+I40+I50)</f>
        <v>1.6519019999999998</v>
      </c>
    </row>
    <row r="58" spans="1:9">
      <c r="A58" s="2"/>
      <c r="B58" s="33" t="s">
        <v>749</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756" t="s">
        <v>104</v>
      </c>
      <c r="C64" s="35"/>
      <c r="D64" s="35"/>
      <c r="E64" s="35"/>
      <c r="F64" s="35"/>
      <c r="G64" s="35"/>
      <c r="H64" s="35"/>
      <c r="I64" s="47"/>
    </row>
    <row r="65" spans="1:9">
      <c r="A65" s="2"/>
      <c r="B65" s="37"/>
      <c r="C65" s="35"/>
      <c r="D65" s="35"/>
      <c r="E65" s="35"/>
      <c r="F65" s="35"/>
      <c r="G65" s="35"/>
      <c r="H65" s="35"/>
      <c r="I65" s="36"/>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+I40+I43+I50+I54+I60+I69</f>
        <v>170.14590599999997</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SUM(I39:I69)</f>
        <v>171.79780799999997</v>
      </c>
    </row>
  </sheetData>
  <mergeCells count="3">
    <mergeCell ref="B1:D1"/>
    <mergeCell ref="E43:H43"/>
    <mergeCell ref="B51:C51"/>
  </mergeCells>
  <pageMargins left="0.75" right="0.75" top="1" bottom="1" header="0.5" footer="0.5"/>
  <pageSetup scale="54" orientation="portrait" r:id="rId1"/>
  <headerFooter alignWithMargins="0"/>
</worksheet>
</file>

<file path=xl/worksheets/sheet189.xml><?xml version="1.0" encoding="utf-8"?>
<worksheet xmlns="http://schemas.openxmlformats.org/spreadsheetml/2006/main" xmlns:r="http://schemas.openxmlformats.org/officeDocument/2006/relationships">
  <sheetPr>
    <pageSetUpPr fitToPage="1"/>
  </sheetPr>
  <dimension ref="A1:H106"/>
  <sheetViews>
    <sheetView zoomScale="90" zoomScaleNormal="90" workbookViewId="0">
      <selection activeCell="D15" sqref="D15"/>
    </sheetView>
  </sheetViews>
  <sheetFormatPr defaultRowHeight="12.75"/>
  <cols>
    <col min="1" max="1" width="34.5703125" style="2" customWidth="1"/>
    <col min="2" max="2" width="25.42578125" style="2" customWidth="1"/>
    <col min="3" max="3" width="39.42578125" style="2" customWidth="1"/>
    <col min="4" max="4" width="17.5703125" style="2" customWidth="1"/>
    <col min="5" max="5" width="15.140625" style="2" customWidth="1"/>
    <col min="6" max="6" width="11" style="2" customWidth="1"/>
    <col min="7" max="7" width="10.7109375" style="2" bestFit="1" customWidth="1"/>
    <col min="8" max="8" width="11.8554687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989</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990</v>
      </c>
      <c r="D8" s="461"/>
      <c r="E8" s="457"/>
      <c r="F8" s="457"/>
      <c r="G8" s="461"/>
    </row>
    <row r="9" spans="1:7" ht="119.25" customHeight="1">
      <c r="A9" s="454" t="s">
        <v>382</v>
      </c>
      <c r="B9" s="454" t="s">
        <v>385</v>
      </c>
      <c r="C9" s="2009" t="s">
        <v>991</v>
      </c>
      <c r="D9" s="2010"/>
      <c r="E9" s="2010"/>
      <c r="F9" s="2010"/>
      <c r="G9" s="2011"/>
    </row>
    <row r="10" spans="1:7" ht="72" customHeight="1">
      <c r="A10" s="454" t="s">
        <v>382</v>
      </c>
      <c r="B10" s="454" t="s">
        <v>387</v>
      </c>
      <c r="C10" s="2009" t="s">
        <v>992</v>
      </c>
      <c r="D10" s="2010"/>
      <c r="E10" s="2010"/>
      <c r="F10" s="2010"/>
      <c r="G10" s="2011"/>
    </row>
    <row r="11" spans="1:7" ht="67.5" customHeight="1">
      <c r="A11" s="454" t="s">
        <v>382</v>
      </c>
      <c r="B11" s="454" t="s">
        <v>389</v>
      </c>
      <c r="C11" s="2009" t="s">
        <v>993</v>
      </c>
      <c r="D11" s="2010"/>
      <c r="E11" s="2010"/>
      <c r="F11" s="2010"/>
      <c r="G11" s="2011"/>
    </row>
    <row r="12" spans="1:7" ht="51.75" customHeight="1">
      <c r="A12" s="454" t="s">
        <v>382</v>
      </c>
      <c r="B12" s="454" t="s">
        <v>391</v>
      </c>
      <c r="C12" s="2009" t="s">
        <v>994</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100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0</v>
      </c>
      <c r="C18" s="466">
        <f>B18/C$14</f>
        <v>0</v>
      </c>
      <c r="D18" s="49"/>
      <c r="E18" s="89"/>
      <c r="F18" s="89"/>
      <c r="G18" s="49"/>
    </row>
    <row r="19" spans="1:8" ht="15">
      <c r="A19" s="454" t="s">
        <v>2</v>
      </c>
      <c r="B19" s="465">
        <f>SUM(H34:H36)</f>
        <v>546.4</v>
      </c>
      <c r="C19" s="466">
        <f t="shared" ref="C19:C27" si="0">B19/C$14</f>
        <v>5.4639999999999995</v>
      </c>
      <c r="D19" s="49"/>
      <c r="E19" s="89"/>
      <c r="F19" s="89"/>
      <c r="G19" s="49"/>
    </row>
    <row r="20" spans="1:8" ht="15">
      <c r="A20" s="454" t="s">
        <v>3</v>
      </c>
      <c r="B20" s="465">
        <f>SUM(H37:H39)</f>
        <v>1085.24</v>
      </c>
      <c r="C20" s="466">
        <f t="shared" si="0"/>
        <v>10.852399999999999</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1631.6399999999999</v>
      </c>
      <c r="C27" s="466">
        <f t="shared" si="0"/>
        <v>16.316399999999998</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c r="C31" s="470"/>
      <c r="D31" s="471"/>
      <c r="E31" s="471"/>
      <c r="F31" s="472"/>
      <c r="G31" s="486"/>
      <c r="H31" s="474">
        <f>IF(G31&lt;=0, 0, F31*G31)</f>
        <v>0</v>
      </c>
    </row>
    <row r="32" spans="1:8" ht="15">
      <c r="A32" s="454" t="s">
        <v>0</v>
      </c>
      <c r="B32" s="470"/>
      <c r="C32" s="470"/>
      <c r="D32" s="471"/>
      <c r="E32" s="471"/>
      <c r="F32" s="472"/>
      <c r="G32" s="486"/>
      <c r="H32" s="474">
        <f t="shared" ref="H32:H49" si="1">IF(G32&lt;=0, 0, F32*G32)</f>
        <v>0</v>
      </c>
    </row>
    <row r="33" spans="1:8" ht="15">
      <c r="A33" s="454" t="s">
        <v>0</v>
      </c>
      <c r="B33" s="470"/>
      <c r="C33" s="470"/>
      <c r="D33" s="471"/>
      <c r="E33" s="471"/>
      <c r="F33" s="472"/>
      <c r="G33" s="486"/>
      <c r="H33" s="474">
        <f t="shared" si="1"/>
        <v>0</v>
      </c>
    </row>
    <row r="34" spans="1:8" ht="15">
      <c r="A34" s="454" t="s">
        <v>2</v>
      </c>
      <c r="B34" s="1284">
        <v>299</v>
      </c>
      <c r="C34" s="1284" t="s">
        <v>995</v>
      </c>
      <c r="D34" s="1285" t="s">
        <v>996</v>
      </c>
      <c r="E34" s="1286" t="s">
        <v>778</v>
      </c>
      <c r="F34" s="1287">
        <v>8.5500000000000007</v>
      </c>
      <c r="G34" s="1288">
        <v>8</v>
      </c>
      <c r="H34" s="474">
        <f t="shared" si="1"/>
        <v>68.400000000000006</v>
      </c>
    </row>
    <row r="35" spans="1:8" ht="15">
      <c r="A35" s="454" t="s">
        <v>2</v>
      </c>
      <c r="B35" s="1284">
        <v>950</v>
      </c>
      <c r="C35" s="1284" t="s">
        <v>875</v>
      </c>
      <c r="D35" s="1289" t="s">
        <v>997</v>
      </c>
      <c r="E35" s="1289" t="s">
        <v>408</v>
      </c>
      <c r="F35" s="1287">
        <v>4.78</v>
      </c>
      <c r="G35" s="1288">
        <v>100</v>
      </c>
      <c r="H35" s="474">
        <f t="shared" si="1"/>
        <v>478</v>
      </c>
    </row>
    <row r="36" spans="1:8" ht="15">
      <c r="A36" s="454" t="s">
        <v>2</v>
      </c>
      <c r="B36" s="1284"/>
      <c r="C36" s="1284"/>
      <c r="D36" s="1289"/>
      <c r="E36" s="1289"/>
      <c r="F36" s="1287"/>
      <c r="G36" s="1288"/>
      <c r="H36" s="474">
        <f t="shared" si="1"/>
        <v>0</v>
      </c>
    </row>
    <row r="37" spans="1:8" ht="15">
      <c r="A37" s="454" t="s">
        <v>3</v>
      </c>
      <c r="B37" s="1284">
        <v>230</v>
      </c>
      <c r="C37" s="1284" t="s">
        <v>414</v>
      </c>
      <c r="D37" s="1289" t="s">
        <v>998</v>
      </c>
      <c r="E37" s="1289" t="s">
        <v>411</v>
      </c>
      <c r="F37" s="1287">
        <v>28.54</v>
      </c>
      <c r="G37" s="1288">
        <v>8</v>
      </c>
      <c r="H37" s="474">
        <f t="shared" si="1"/>
        <v>228.32</v>
      </c>
    </row>
    <row r="38" spans="1:8" ht="15">
      <c r="A38" s="454" t="s">
        <v>3</v>
      </c>
      <c r="B38" s="1284">
        <v>235</v>
      </c>
      <c r="C38" s="1284" t="s">
        <v>999</v>
      </c>
      <c r="D38" s="1289" t="s">
        <v>1000</v>
      </c>
      <c r="E38" s="1289" t="s">
        <v>411</v>
      </c>
      <c r="F38" s="1287">
        <v>71.41</v>
      </c>
      <c r="G38" s="1288">
        <v>12</v>
      </c>
      <c r="H38" s="474">
        <f t="shared" si="1"/>
        <v>856.92</v>
      </c>
    </row>
    <row r="39" spans="1:8" ht="15">
      <c r="A39" s="454" t="s">
        <v>3</v>
      </c>
      <c r="B39" s="470"/>
      <c r="C39" s="470"/>
      <c r="D39" s="471"/>
      <c r="E39" s="471"/>
      <c r="F39" s="472"/>
      <c r="G39" s="486"/>
      <c r="H39" s="474">
        <f t="shared" si="1"/>
        <v>0</v>
      </c>
    </row>
    <row r="40" spans="1:8" ht="15">
      <c r="A40" s="454" t="s">
        <v>4</v>
      </c>
      <c r="B40" s="470"/>
      <c r="C40" s="470"/>
      <c r="D40" s="471"/>
      <c r="E40" s="471"/>
      <c r="F40" s="481"/>
      <c r="G40" s="486"/>
      <c r="H40" s="474">
        <f t="shared" si="1"/>
        <v>0</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7" orientation="portrait" r:id="rId1"/>
  <headerFooter alignWithMargins="0"/>
</worksheet>
</file>

<file path=xl/worksheets/sheet19.xml><?xml version="1.0" encoding="utf-8"?>
<worksheet xmlns="http://schemas.openxmlformats.org/spreadsheetml/2006/main" xmlns:r="http://schemas.openxmlformats.org/officeDocument/2006/relationships">
  <dimension ref="B1:P107"/>
  <sheetViews>
    <sheetView zoomScaleNormal="100" workbookViewId="0">
      <selection activeCell="L28" sqref="L28"/>
    </sheetView>
  </sheetViews>
  <sheetFormatPr defaultRowHeight="12.75"/>
  <cols>
    <col min="1" max="1" width="1.85546875" style="2" customWidth="1"/>
    <col min="2" max="2" width="11.5703125" style="2" customWidth="1"/>
    <col min="3" max="3" width="18.7109375" style="2" customWidth="1"/>
    <col min="4" max="4" width="23.5703125" style="2" customWidth="1"/>
    <col min="5" max="5" width="21.5703125" style="2" customWidth="1"/>
    <col min="6" max="6" width="10.85546875" style="2" customWidth="1"/>
    <col min="7" max="7" width="10.42578125" style="2" customWidth="1"/>
    <col min="8" max="8" width="9.140625" style="2" bestFit="1" customWidth="1"/>
    <col min="9" max="9" width="11" style="2" customWidth="1"/>
    <col min="10" max="10" width="1.4257812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5.5">
      <c r="B2" s="177" t="s">
        <v>42</v>
      </c>
      <c r="C2" s="79">
        <v>110</v>
      </c>
      <c r="D2" s="107" t="s">
        <v>163</v>
      </c>
      <c r="E2" s="107" t="s">
        <v>164</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25.5">
      <c r="B6" s="54">
        <v>110</v>
      </c>
      <c r="C6" s="7" t="str">
        <f>+E10</f>
        <v>EQIP</v>
      </c>
      <c r="D6" s="110" t="s">
        <v>163</v>
      </c>
      <c r="E6" s="110" t="s">
        <v>164</v>
      </c>
      <c r="F6" s="7" t="s">
        <v>38</v>
      </c>
      <c r="G6" s="85">
        <f>G23</f>
        <v>672</v>
      </c>
      <c r="H6" s="89"/>
      <c r="I6" s="89"/>
      <c r="J6"/>
    </row>
    <row r="7" spans="2:10" ht="25.5" customHeight="1">
      <c r="B7" s="8">
        <v>110</v>
      </c>
      <c r="C7" s="10" t="s">
        <v>15</v>
      </c>
      <c r="D7" s="111" t="s">
        <v>163</v>
      </c>
      <c r="E7" s="111" t="s">
        <v>165</v>
      </c>
      <c r="F7" s="10" t="s">
        <v>38</v>
      </c>
      <c r="G7" s="86">
        <f>$H$23</f>
        <v>806.4</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896</v>
      </c>
      <c r="E16" s="160">
        <v>0.75</v>
      </c>
      <c r="F16" s="160">
        <v>0.9</v>
      </c>
      <c r="G16" s="73">
        <f t="shared" si="0"/>
        <v>672</v>
      </c>
      <c r="H16" s="74">
        <f t="shared" si="0"/>
        <v>806.4</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I60</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896</v>
      </c>
      <c r="E23" s="28"/>
      <c r="F23" s="28"/>
      <c r="G23" s="51">
        <f>SUM(G14:G22)</f>
        <v>672</v>
      </c>
      <c r="H23" s="77">
        <f>SUM(H14:H22)</f>
        <v>806.4</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166</v>
      </c>
      <c r="E28" s="1955"/>
      <c r="F28" s="1955"/>
      <c r="G28" s="1955"/>
      <c r="H28" s="1955"/>
      <c r="I28" s="36"/>
    </row>
    <row r="29" spans="2:16">
      <c r="B29" s="42"/>
      <c r="C29" s="34"/>
      <c r="D29" s="115"/>
      <c r="E29" s="97"/>
      <c r="F29" s="97"/>
      <c r="G29" s="97"/>
      <c r="H29" s="97"/>
      <c r="I29" s="36"/>
    </row>
    <row r="30" spans="2:16">
      <c r="B30" s="37" t="s">
        <v>41</v>
      </c>
      <c r="C30" s="34"/>
      <c r="D30" s="1956" t="s">
        <v>167</v>
      </c>
      <c r="E30" s="1957"/>
      <c r="F30" s="1957"/>
      <c r="G30" s="1957"/>
      <c r="H30" s="1957"/>
      <c r="I30" s="36"/>
    </row>
    <row r="31" spans="2:16">
      <c r="B31" s="91" t="s">
        <v>40</v>
      </c>
      <c r="C31" s="34"/>
      <c r="D31" s="1956" t="s">
        <v>168</v>
      </c>
      <c r="E31" s="1957"/>
      <c r="F31" s="1957"/>
      <c r="G31" s="1957"/>
      <c r="H31" s="1957"/>
      <c r="I31" s="36"/>
    </row>
    <row r="32" spans="2:16" ht="56.25" customHeight="1">
      <c r="B32" s="91" t="s">
        <v>33</v>
      </c>
      <c r="C32" s="90"/>
      <c r="D32" s="1956" t="s">
        <v>169</v>
      </c>
      <c r="E32" s="1957"/>
      <c r="F32" s="1957"/>
      <c r="G32" s="1957"/>
      <c r="H32" s="1957"/>
      <c r="I32" s="36"/>
    </row>
    <row r="33" spans="2:15" ht="87.75" customHeight="1">
      <c r="B33" s="91" t="s">
        <v>35</v>
      </c>
      <c r="C33" s="90"/>
      <c r="D33" s="1956" t="s">
        <v>170</v>
      </c>
      <c r="E33" s="1957"/>
      <c r="F33" s="1957"/>
      <c r="G33" s="1957"/>
      <c r="H33" s="1957"/>
      <c r="I33" s="36"/>
    </row>
    <row r="34" spans="2:15" ht="45" customHeight="1">
      <c r="B34" s="91" t="s">
        <v>34</v>
      </c>
      <c r="C34" s="90"/>
      <c r="D34" s="1956" t="s">
        <v>171</v>
      </c>
      <c r="E34" s="1957"/>
      <c r="F34" s="1957"/>
      <c r="G34" s="1957"/>
      <c r="H34" s="1957"/>
      <c r="I34" s="36"/>
    </row>
    <row r="35" spans="2:15" ht="6" customHeight="1">
      <c r="B35" s="37"/>
      <c r="C35" s="34"/>
      <c r="D35" s="34"/>
      <c r="E35" s="35"/>
      <c r="F35" s="35"/>
      <c r="G35" s="35"/>
      <c r="H35" s="35"/>
      <c r="I35" s="36"/>
    </row>
    <row r="36" spans="2:15">
      <c r="B36" s="38" t="s">
        <v>25</v>
      </c>
      <c r="C36" s="34"/>
      <c r="D36" s="1958" t="s">
        <v>42</v>
      </c>
      <c r="E36" s="1952"/>
      <c r="F36" s="1952"/>
      <c r="G36" s="1952"/>
      <c r="H36" s="1952"/>
      <c r="I36" s="36"/>
      <c r="J36" s="49"/>
    </row>
    <row r="37" spans="2:15">
      <c r="B37" s="38" t="s">
        <v>8</v>
      </c>
      <c r="C37" s="34"/>
      <c r="D37" s="39" t="s">
        <v>38</v>
      </c>
      <c r="E37" s="35"/>
      <c r="F37" s="35"/>
      <c r="G37" s="35"/>
      <c r="H37" s="35"/>
      <c r="I37" s="36"/>
    </row>
    <row r="38" spans="2:15">
      <c r="B38" s="38" t="s">
        <v>9</v>
      </c>
      <c r="C38" s="34"/>
      <c r="D38" s="92">
        <v>1</v>
      </c>
      <c r="E38" s="35"/>
      <c r="F38" s="35"/>
      <c r="G38" s="35"/>
      <c r="H38" s="35"/>
      <c r="I38" s="36"/>
    </row>
    <row r="39" spans="2:15">
      <c r="B39" s="38" t="s">
        <v>10</v>
      </c>
      <c r="C39" s="35"/>
      <c r="D39" s="93">
        <v>0</v>
      </c>
      <c r="E39" s="35"/>
      <c r="F39" s="35"/>
      <c r="G39" s="35"/>
      <c r="H39" s="35"/>
      <c r="I39" s="96" t="s">
        <v>6</v>
      </c>
    </row>
    <row r="40" spans="2:15">
      <c r="B40" s="40"/>
      <c r="C40" s="35"/>
      <c r="D40" s="35"/>
      <c r="E40" s="41"/>
      <c r="F40" s="35"/>
      <c r="G40" s="35"/>
      <c r="H40" s="35"/>
      <c r="I40" s="149"/>
      <c r="L40" s="64"/>
      <c r="M40" s="64"/>
      <c r="N40" s="61"/>
      <c r="O40" s="61"/>
    </row>
    <row r="41" spans="2:15">
      <c r="B41" s="42" t="s">
        <v>0</v>
      </c>
      <c r="C41" s="35"/>
      <c r="D41" s="35"/>
      <c r="E41" s="35"/>
      <c r="F41" s="35"/>
      <c r="G41" s="35"/>
      <c r="H41" s="35"/>
      <c r="I41" s="46">
        <v>0</v>
      </c>
      <c r="L41" s="64"/>
      <c r="M41" s="64"/>
      <c r="N41" s="61"/>
      <c r="O41" s="61"/>
    </row>
    <row r="42" spans="2:15" ht="14.25" customHeight="1">
      <c r="B42" s="37" t="s">
        <v>39</v>
      </c>
      <c r="C42" s="35"/>
      <c r="D42" s="166"/>
      <c r="E42" s="35"/>
      <c r="F42" s="35"/>
      <c r="G42" s="35"/>
      <c r="H42" s="35"/>
      <c r="I42" s="46"/>
      <c r="L42" s="64"/>
      <c r="M42" s="61"/>
    </row>
    <row r="43" spans="2:15" ht="6" customHeight="1">
      <c r="B43" s="62"/>
      <c r="C43" s="6"/>
      <c r="D43" s="63"/>
      <c r="E43" s="35"/>
      <c r="F43" s="35"/>
      <c r="G43" s="35"/>
      <c r="H43" s="35"/>
      <c r="I43" s="46"/>
      <c r="L43" s="64"/>
      <c r="M43" s="61"/>
    </row>
    <row r="44" spans="2:15">
      <c r="B44" s="42" t="s">
        <v>2</v>
      </c>
      <c r="C44" s="35"/>
      <c r="D44" s="66"/>
      <c r="E44" s="35"/>
      <c r="F44" s="35"/>
      <c r="G44" s="35"/>
      <c r="H44" s="35"/>
      <c r="I44" s="46">
        <v>0</v>
      </c>
      <c r="L44" s="64"/>
      <c r="M44" s="61"/>
    </row>
    <row r="45" spans="2:15" ht="12.75" customHeight="1">
      <c r="B45" s="1959" t="s">
        <v>39</v>
      </c>
      <c r="C45" s="1955"/>
      <c r="D45" s="1955"/>
      <c r="E45" s="1955"/>
      <c r="F45" s="1955"/>
      <c r="G45" s="1955"/>
      <c r="H45" s="1955"/>
      <c r="I45" s="46"/>
      <c r="L45" s="64"/>
      <c r="M45" s="61"/>
    </row>
    <row r="46" spans="2:15" ht="6" customHeight="1">
      <c r="B46" s="33"/>
      <c r="C46" s="35"/>
      <c r="D46" s="35"/>
      <c r="E46" s="60"/>
      <c r="F46" s="60"/>
      <c r="G46" s="60"/>
      <c r="H46" s="35"/>
      <c r="I46" s="46"/>
      <c r="L46" s="64"/>
      <c r="M46" s="61"/>
    </row>
    <row r="47" spans="2:15" ht="4.5" customHeight="1">
      <c r="B47" s="42"/>
      <c r="C47" s="35"/>
      <c r="D47" s="35"/>
      <c r="E47" s="35"/>
      <c r="F47" s="35"/>
      <c r="G47" s="58"/>
      <c r="H47" s="59"/>
      <c r="I47" s="46"/>
      <c r="L47" s="64"/>
      <c r="M47" s="61"/>
    </row>
    <row r="48" spans="2:15">
      <c r="B48" s="42" t="s">
        <v>3</v>
      </c>
      <c r="C48" s="35"/>
      <c r="D48" s="35"/>
      <c r="E48" s="35"/>
      <c r="F48" s="35"/>
      <c r="G48" s="35"/>
      <c r="H48" s="35"/>
      <c r="I48" s="46">
        <f>$H$51</f>
        <v>896</v>
      </c>
      <c r="L48" s="64"/>
      <c r="M48" s="61"/>
    </row>
    <row r="49" spans="2:15" ht="12.75" customHeight="1">
      <c r="B49" s="1959" t="s">
        <v>44</v>
      </c>
      <c r="C49" s="1955"/>
      <c r="D49" s="1955"/>
      <c r="E49" s="1955"/>
      <c r="F49" s="1955"/>
      <c r="G49" s="1955"/>
      <c r="H49" s="1955"/>
      <c r="I49" s="46"/>
      <c r="L49" s="64"/>
      <c r="M49" s="61"/>
    </row>
    <row r="50" spans="2:15" ht="12.75" customHeight="1">
      <c r="B50" s="101"/>
      <c r="C50" s="102"/>
      <c r="D50" s="103" t="s">
        <v>45</v>
      </c>
      <c r="E50" s="104" t="s">
        <v>46</v>
      </c>
      <c r="F50" s="104" t="s">
        <v>6</v>
      </c>
      <c r="G50" s="104" t="s">
        <v>47</v>
      </c>
      <c r="H50" s="104" t="s">
        <v>48</v>
      </c>
      <c r="I50" s="46"/>
      <c r="L50" s="64"/>
      <c r="M50" s="61"/>
    </row>
    <row r="51" spans="2:15" ht="12.75" customHeight="1">
      <c r="B51" s="101"/>
      <c r="C51" s="97"/>
      <c r="D51" s="97" t="s">
        <v>3</v>
      </c>
      <c r="E51" s="105" t="s">
        <v>49</v>
      </c>
      <c r="F51" s="106">
        <v>56</v>
      </c>
      <c r="G51" s="97">
        <v>16</v>
      </c>
      <c r="H51" s="106">
        <f>F51*G51</f>
        <v>896</v>
      </c>
      <c r="I51" s="46"/>
      <c r="L51" s="64"/>
      <c r="M51" s="61"/>
    </row>
    <row r="52" spans="2:15" ht="11.25" customHeight="1">
      <c r="B52" s="33"/>
      <c r="C52" s="35"/>
      <c r="D52" s="35"/>
      <c r="E52" s="35"/>
      <c r="F52" s="35"/>
      <c r="G52" s="35"/>
      <c r="H52" s="35"/>
      <c r="I52" s="48"/>
      <c r="L52" s="64"/>
      <c r="M52" s="61"/>
    </row>
    <row r="53" spans="2:15">
      <c r="B53" s="42" t="s">
        <v>4</v>
      </c>
      <c r="C53" s="35"/>
      <c r="D53" s="35"/>
      <c r="E53" s="35"/>
      <c r="F53" s="35"/>
      <c r="G53" s="35"/>
      <c r="H53" s="35"/>
      <c r="I53" s="48">
        <v>0</v>
      </c>
      <c r="L53" s="64"/>
      <c r="M53" s="61"/>
    </row>
    <row r="54" spans="2:15" ht="12" customHeight="1">
      <c r="B54" s="37" t="s">
        <v>39</v>
      </c>
      <c r="C54" s="35"/>
      <c r="D54" s="35"/>
      <c r="E54" s="35"/>
      <c r="F54" s="35"/>
      <c r="G54" s="35"/>
      <c r="H54" s="35"/>
      <c r="I54" s="36"/>
      <c r="L54" s="64"/>
      <c r="M54" s="61"/>
    </row>
    <row r="55" spans="2:15" ht="5.25" customHeight="1">
      <c r="B55" s="37"/>
      <c r="C55" s="35"/>
      <c r="D55" s="35"/>
      <c r="E55" s="35"/>
      <c r="F55" s="35"/>
      <c r="G55" s="35"/>
      <c r="H55" s="35"/>
      <c r="I55" s="36"/>
      <c r="L55" s="64"/>
      <c r="M55" s="61"/>
    </row>
    <row r="56" spans="2:15">
      <c r="B56" s="42" t="s">
        <v>26</v>
      </c>
      <c r="C56" s="35"/>
      <c r="D56" s="35"/>
      <c r="E56" s="35"/>
      <c r="F56" s="35"/>
      <c r="G56" s="35"/>
      <c r="H56" s="35"/>
      <c r="I56" s="46">
        <v>0</v>
      </c>
      <c r="L56" s="64"/>
      <c r="M56" s="61"/>
    </row>
    <row r="57" spans="2:15" ht="14.25" customHeight="1">
      <c r="B57" s="1959" t="s">
        <v>39</v>
      </c>
      <c r="C57" s="1960"/>
      <c r="D57" s="1960"/>
      <c r="E57" s="1960"/>
      <c r="F57" s="1960"/>
      <c r="G57" s="1960"/>
      <c r="H57" s="1960"/>
      <c r="I57" s="48"/>
      <c r="L57" s="64"/>
      <c r="M57" s="61"/>
    </row>
    <row r="58" spans="2:15" ht="12" customHeight="1">
      <c r="B58" s="1943"/>
      <c r="C58" s="1944"/>
      <c r="D58" s="1944"/>
      <c r="E58" s="1944"/>
      <c r="F58" s="1944"/>
      <c r="G58" s="1944"/>
      <c r="H58" s="35"/>
      <c r="I58" s="48"/>
      <c r="L58" s="64"/>
      <c r="M58" s="61"/>
    </row>
    <row r="59" spans="2:15" ht="9.75" customHeight="1">
      <c r="B59" s="37"/>
      <c r="C59" s="35"/>
      <c r="D59" s="35"/>
      <c r="E59" s="35"/>
      <c r="F59" s="35"/>
      <c r="G59" s="35"/>
      <c r="H59" s="35"/>
      <c r="I59" s="36"/>
      <c r="L59" s="64"/>
      <c r="M59" s="64"/>
    </row>
    <row r="60" spans="2:15">
      <c r="B60" s="42" t="s">
        <v>7</v>
      </c>
      <c r="C60" s="35"/>
      <c r="D60" s="35"/>
      <c r="E60" s="35"/>
      <c r="F60" s="35"/>
      <c r="G60" s="35"/>
      <c r="H60" s="35"/>
      <c r="I60" s="46">
        <v>0</v>
      </c>
      <c r="L60" s="64"/>
      <c r="M60" s="64"/>
      <c r="N60" s="64"/>
      <c r="O60" s="64"/>
    </row>
    <row r="61" spans="2:15" ht="12" customHeight="1">
      <c r="B61" s="33"/>
      <c r="C61" s="35"/>
      <c r="D61" s="35"/>
      <c r="E61" s="35"/>
      <c r="F61" s="35"/>
      <c r="G61" s="35"/>
      <c r="H61" s="35"/>
      <c r="I61" s="36"/>
      <c r="L61" s="64"/>
      <c r="M61" s="64"/>
      <c r="N61" s="61"/>
      <c r="O61" s="61"/>
    </row>
    <row r="62" spans="2:15" ht="6" customHeight="1">
      <c r="B62" s="37"/>
      <c r="C62" s="35"/>
      <c r="D62" s="35"/>
      <c r="E62" s="35"/>
      <c r="F62" s="35"/>
      <c r="G62" s="35"/>
      <c r="H62" s="35"/>
      <c r="I62" s="36"/>
      <c r="L62" s="64"/>
      <c r="M62" s="64"/>
      <c r="N62" s="65"/>
      <c r="O62" s="65"/>
    </row>
    <row r="63" spans="2:15">
      <c r="B63" s="42" t="s">
        <v>27</v>
      </c>
      <c r="C63" s="35"/>
      <c r="D63" s="35"/>
      <c r="E63" s="35"/>
      <c r="F63" s="35"/>
      <c r="G63" s="35"/>
      <c r="H63" s="35"/>
      <c r="I63" s="46">
        <v>0</v>
      </c>
      <c r="L63" s="64"/>
      <c r="M63" s="64"/>
      <c r="N63" s="61"/>
      <c r="O63" s="61"/>
    </row>
    <row r="64" spans="2:15" ht="13.5" customHeight="1">
      <c r="B64" s="37" t="s">
        <v>39</v>
      </c>
      <c r="C64" s="35"/>
      <c r="D64" s="35"/>
      <c r="E64" s="35"/>
      <c r="F64" s="35"/>
      <c r="G64" s="35"/>
      <c r="H64" s="35"/>
      <c r="I64" s="47"/>
      <c r="L64" s="64"/>
      <c r="M64" s="64"/>
      <c r="N64" s="65"/>
      <c r="O64" s="65"/>
    </row>
    <row r="65" spans="2:15" ht="3.75" customHeight="1">
      <c r="B65" s="37"/>
      <c r="C65" s="35"/>
      <c r="D65" s="35"/>
      <c r="E65" s="35"/>
      <c r="F65" s="35"/>
      <c r="G65" s="35"/>
      <c r="H65" s="35"/>
      <c r="I65" s="36"/>
      <c r="L65" s="64"/>
      <c r="M65" s="64"/>
      <c r="N65" s="61"/>
      <c r="O65" s="61"/>
    </row>
    <row r="66" spans="2:15">
      <c r="B66" s="42" t="s">
        <v>5</v>
      </c>
      <c r="C66" s="35"/>
      <c r="D66" s="35"/>
      <c r="E66" s="35"/>
      <c r="F66" s="35"/>
      <c r="G66" s="35"/>
      <c r="H66" s="35"/>
      <c r="I66" s="46">
        <v>0</v>
      </c>
      <c r="L66" s="64"/>
      <c r="M66" s="64"/>
      <c r="N66" s="61"/>
      <c r="O66" s="61"/>
    </row>
    <row r="67" spans="2:15" ht="11.25" customHeight="1">
      <c r="B67" s="37" t="s">
        <v>39</v>
      </c>
      <c r="C67" s="35"/>
      <c r="D67" s="35"/>
      <c r="E67" s="35"/>
      <c r="F67" s="35"/>
      <c r="G67" s="35"/>
      <c r="H67" s="35"/>
      <c r="I67" s="47"/>
      <c r="L67" s="64"/>
      <c r="M67" s="64"/>
      <c r="N67" s="64"/>
      <c r="O67" s="64"/>
    </row>
    <row r="68" spans="2:15" ht="4.5" customHeight="1">
      <c r="B68" s="37"/>
      <c r="C68" s="35"/>
      <c r="D68" s="35"/>
      <c r="E68" s="35"/>
      <c r="F68" s="35"/>
      <c r="G68" s="35"/>
      <c r="H68" s="35"/>
      <c r="I68" s="36"/>
      <c r="L68" s="64"/>
      <c r="M68" s="64"/>
      <c r="N68" s="64"/>
      <c r="O68" s="64"/>
    </row>
    <row r="69" spans="2:15">
      <c r="B69" s="42" t="s">
        <v>20</v>
      </c>
      <c r="C69" s="35"/>
      <c r="D69" s="35"/>
      <c r="E69" s="35"/>
      <c r="F69" s="35"/>
      <c r="G69" s="35"/>
      <c r="H69" s="35"/>
      <c r="I69" s="46">
        <v>0</v>
      </c>
      <c r="L69" s="64"/>
      <c r="M69" s="64"/>
      <c r="N69" s="61"/>
      <c r="O69" s="61"/>
    </row>
    <row r="70" spans="2:15" ht="12" customHeight="1">
      <c r="B70" s="37" t="s">
        <v>39</v>
      </c>
      <c r="C70" s="35"/>
      <c r="D70" s="35"/>
      <c r="E70" s="35"/>
      <c r="F70" s="35"/>
      <c r="G70" s="35"/>
      <c r="H70" s="35"/>
      <c r="I70" s="46"/>
      <c r="L70" s="64"/>
      <c r="M70" s="64"/>
      <c r="N70" s="61"/>
      <c r="O70" s="61"/>
    </row>
    <row r="71" spans="2:15" ht="6.75" customHeight="1">
      <c r="B71" s="42"/>
      <c r="C71" s="35"/>
      <c r="D71" s="35"/>
      <c r="E71" s="35"/>
      <c r="F71" s="35"/>
      <c r="G71" s="35"/>
      <c r="H71" s="35"/>
      <c r="I71" s="46"/>
      <c r="L71" s="64"/>
      <c r="M71" s="64"/>
      <c r="N71" s="61"/>
      <c r="O71" s="61"/>
    </row>
    <row r="72" spans="2:15" ht="5.25" customHeight="1">
      <c r="B72" s="40"/>
      <c r="C72" s="35"/>
      <c r="D72" s="35"/>
      <c r="E72" s="35"/>
      <c r="F72" s="35"/>
      <c r="G72" s="35"/>
      <c r="H72" s="35"/>
      <c r="I72" s="36"/>
      <c r="L72" s="64"/>
      <c r="M72" s="64"/>
      <c r="N72" s="64"/>
      <c r="O72" s="64"/>
    </row>
    <row r="73" spans="2:15">
      <c r="B73" s="43" t="s">
        <v>11</v>
      </c>
      <c r="C73" s="44"/>
      <c r="D73" s="44"/>
      <c r="E73" s="44"/>
      <c r="F73" s="44"/>
      <c r="G73" s="44"/>
      <c r="H73" s="44"/>
      <c r="I73" s="52">
        <f>+I69+I66+I63+I60+I56+I53+I48+I44+I41</f>
        <v>896</v>
      </c>
      <c r="L73" s="64"/>
      <c r="M73" s="64"/>
      <c r="N73" s="64"/>
      <c r="O73" s="64"/>
    </row>
    <row r="96" spans="5:5">
      <c r="E96" s="57"/>
    </row>
    <row r="97" spans="5:5">
      <c r="E97" s="57"/>
    </row>
    <row r="98" spans="5:5">
      <c r="E98" s="57"/>
    </row>
    <row r="99" spans="5:5">
      <c r="E99" s="57"/>
    </row>
    <row r="100" spans="5:5">
      <c r="E100" s="57"/>
    </row>
    <row r="101" spans="5:5">
      <c r="E101" s="57"/>
    </row>
    <row r="103" spans="5:5">
      <c r="E103" s="57"/>
    </row>
    <row r="105" spans="5:5">
      <c r="E105" s="56"/>
    </row>
    <row r="107" spans="5:5">
      <c r="E107" s="57"/>
    </row>
  </sheetData>
  <mergeCells count="11">
    <mergeCell ref="D36:H36"/>
    <mergeCell ref="B45:H45"/>
    <mergeCell ref="B49:H49"/>
    <mergeCell ref="B57:H57"/>
    <mergeCell ref="B58:G58"/>
    <mergeCell ref="D34:H34"/>
    <mergeCell ref="D28:H28"/>
    <mergeCell ref="D30:H30"/>
    <mergeCell ref="D31:H31"/>
    <mergeCell ref="D32:H32"/>
    <mergeCell ref="D33:H33"/>
  </mergeCells>
  <pageMargins left="0.36" right="0.3" top="0.43" bottom="0.64" header="0.28000000000000003" footer="0.36"/>
  <pageSetup scale="71" orientation="portrait" r:id="rId1"/>
  <headerFooter alignWithMargins="0"/>
</worksheet>
</file>

<file path=xl/worksheets/sheet190.xml><?xml version="1.0" encoding="utf-8"?>
<worksheet xmlns="http://schemas.openxmlformats.org/spreadsheetml/2006/main" xmlns:r="http://schemas.openxmlformats.org/officeDocument/2006/relationships">
  <sheetPr>
    <pageSetUpPr fitToPage="1"/>
  </sheetPr>
  <dimension ref="A1:H107"/>
  <sheetViews>
    <sheetView zoomScaleNormal="100" workbookViewId="0">
      <selection activeCell="D15" sqref="D15"/>
    </sheetView>
  </sheetViews>
  <sheetFormatPr defaultRowHeight="12.75"/>
  <cols>
    <col min="1" max="1" width="34.5703125" style="2" customWidth="1"/>
    <col min="2" max="2" width="25.42578125" style="2" customWidth="1"/>
    <col min="3" max="3" width="46.85546875" style="2" customWidth="1"/>
    <col min="4" max="4" width="17.5703125" style="2" customWidth="1"/>
    <col min="5" max="5" width="15.140625" style="2" customWidth="1"/>
    <col min="6" max="6" width="11" style="2" customWidth="1"/>
    <col min="7" max="7" width="10.7109375" style="2" bestFit="1" customWidth="1"/>
    <col min="8" max="8" width="11.57031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989</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1001</v>
      </c>
      <c r="D8" s="461"/>
      <c r="E8" s="457"/>
      <c r="F8" s="457"/>
      <c r="G8" s="461"/>
    </row>
    <row r="9" spans="1:7" ht="122.25" customHeight="1">
      <c r="A9" s="454" t="s">
        <v>382</v>
      </c>
      <c r="B9" s="454" t="s">
        <v>385</v>
      </c>
      <c r="C9" s="2009" t="s">
        <v>1002</v>
      </c>
      <c r="D9" s="2010"/>
      <c r="E9" s="2010"/>
      <c r="F9" s="2010"/>
      <c r="G9" s="2011"/>
    </row>
    <row r="10" spans="1:7" ht="60.75" customHeight="1">
      <c r="A10" s="454" t="s">
        <v>382</v>
      </c>
      <c r="B10" s="454" t="s">
        <v>387</v>
      </c>
      <c r="C10" s="2009" t="s">
        <v>1003</v>
      </c>
      <c r="D10" s="2010"/>
      <c r="E10" s="2010"/>
      <c r="F10" s="2010"/>
      <c r="G10" s="2011"/>
    </row>
    <row r="11" spans="1:7" ht="60.75" customHeight="1">
      <c r="A11" s="454" t="s">
        <v>382</v>
      </c>
      <c r="B11" s="454" t="s">
        <v>389</v>
      </c>
      <c r="C11" s="2009" t="s">
        <v>993</v>
      </c>
      <c r="D11" s="2010"/>
      <c r="E11" s="2010"/>
      <c r="F11" s="2010"/>
      <c r="G11" s="2011"/>
    </row>
    <row r="12" spans="1:7" ht="51.75" customHeight="1">
      <c r="A12" s="454" t="s">
        <v>382</v>
      </c>
      <c r="B12" s="454" t="s">
        <v>391</v>
      </c>
      <c r="C12" s="2009" t="s">
        <v>994</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100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0</v>
      </c>
      <c r="C18" s="466">
        <f>B18/C$14</f>
        <v>0</v>
      </c>
      <c r="D18" s="49"/>
      <c r="E18" s="89"/>
      <c r="F18" s="89"/>
      <c r="G18" s="49"/>
    </row>
    <row r="19" spans="1:8" ht="15">
      <c r="A19" s="454" t="s">
        <v>2</v>
      </c>
      <c r="B19" s="465">
        <f>SUM(H34:H37)</f>
        <v>1794.52</v>
      </c>
      <c r="C19" s="466">
        <f t="shared" ref="C19:C27" si="0">B19/C$14</f>
        <v>17.9452</v>
      </c>
      <c r="D19" s="49"/>
      <c r="E19" s="89"/>
      <c r="F19" s="89"/>
      <c r="G19" s="49"/>
    </row>
    <row r="20" spans="1:8" ht="15">
      <c r="A20" s="454" t="s">
        <v>3</v>
      </c>
      <c r="B20" s="465">
        <f>SUM(H38:H40)</f>
        <v>1413.6299999999999</v>
      </c>
      <c r="C20" s="466">
        <f t="shared" si="0"/>
        <v>14.136299999999999</v>
      </c>
      <c r="D20" s="49"/>
      <c r="E20" s="89"/>
      <c r="F20" s="89"/>
      <c r="G20" s="49"/>
    </row>
    <row r="21" spans="1:8" ht="15">
      <c r="A21" s="454" t="s">
        <v>4</v>
      </c>
      <c r="B21" s="465">
        <f>H41</f>
        <v>0</v>
      </c>
      <c r="C21" s="466">
        <f t="shared" si="0"/>
        <v>0</v>
      </c>
      <c r="D21" s="49"/>
      <c r="E21" s="89"/>
      <c r="F21" s="89"/>
      <c r="G21" s="49"/>
    </row>
    <row r="22" spans="1:8" ht="15">
      <c r="A22" s="454" t="s">
        <v>26</v>
      </c>
      <c r="B22" s="465">
        <f>H42</f>
        <v>0</v>
      </c>
      <c r="C22" s="466">
        <f t="shared" si="0"/>
        <v>0</v>
      </c>
      <c r="D22" s="49"/>
      <c r="E22" s="89"/>
      <c r="F22" s="89"/>
      <c r="G22" s="49"/>
    </row>
    <row r="23" spans="1:8" ht="15">
      <c r="A23" s="454" t="s">
        <v>7</v>
      </c>
      <c r="B23" s="465">
        <f>SUM(H43:H45)</f>
        <v>0</v>
      </c>
      <c r="C23" s="466">
        <f t="shared" si="0"/>
        <v>0</v>
      </c>
      <c r="D23" s="49"/>
      <c r="E23" s="89"/>
      <c r="F23" s="89"/>
      <c r="G23" s="49"/>
    </row>
    <row r="24" spans="1:8" ht="15">
      <c r="A24" s="454" t="s">
        <v>27</v>
      </c>
      <c r="B24" s="465">
        <f>SUM(H46:H48)</f>
        <v>0</v>
      </c>
      <c r="C24" s="466">
        <f t="shared" si="0"/>
        <v>0</v>
      </c>
      <c r="D24" s="49"/>
      <c r="E24" s="89"/>
      <c r="F24" s="89"/>
      <c r="G24" s="49"/>
    </row>
    <row r="25" spans="1:8" ht="15">
      <c r="A25" s="454" t="s">
        <v>5</v>
      </c>
      <c r="B25" s="465">
        <f>G49</f>
        <v>0</v>
      </c>
      <c r="C25" s="466">
        <f t="shared" si="0"/>
        <v>0</v>
      </c>
      <c r="D25" s="49"/>
      <c r="E25" s="89"/>
      <c r="F25" s="89"/>
      <c r="G25" s="49"/>
    </row>
    <row r="26" spans="1:8" ht="15">
      <c r="A26" s="454" t="s">
        <v>20</v>
      </c>
      <c r="B26" s="465">
        <f>H49</f>
        <v>0</v>
      </c>
      <c r="C26" s="466">
        <f t="shared" si="0"/>
        <v>0</v>
      </c>
      <c r="D26" s="49"/>
      <c r="E26" s="89"/>
      <c r="F26" s="89"/>
      <c r="G26" s="49"/>
    </row>
    <row r="27" spans="1:8" ht="15">
      <c r="A27" s="454" t="s">
        <v>399</v>
      </c>
      <c r="B27" s="465">
        <f>SUM(B18:B26)</f>
        <v>3208.1499999999996</v>
      </c>
      <c r="C27" s="466">
        <f t="shared" si="0"/>
        <v>32.081499999999998</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c r="C31" s="470"/>
      <c r="D31" s="471"/>
      <c r="E31" s="471"/>
      <c r="F31" s="472"/>
      <c r="G31" s="486"/>
      <c r="H31" s="474">
        <f>IF(G31&lt;=0, 0, F31*G31)</f>
        <v>0</v>
      </c>
    </row>
    <row r="32" spans="1:8" ht="15">
      <c r="A32" s="454" t="s">
        <v>0</v>
      </c>
      <c r="B32" s="470"/>
      <c r="C32" s="470"/>
      <c r="D32" s="471"/>
      <c r="E32" s="471"/>
      <c r="F32" s="472"/>
      <c r="G32" s="486"/>
      <c r="H32" s="474">
        <f t="shared" ref="H32:H50" si="1">IF(G32&lt;=0, 0, F32*G32)</f>
        <v>0</v>
      </c>
    </row>
    <row r="33" spans="1:8" ht="15">
      <c r="A33" s="454" t="s">
        <v>0</v>
      </c>
      <c r="B33" s="470"/>
      <c r="C33" s="470"/>
      <c r="D33" s="471"/>
      <c r="E33" s="471"/>
      <c r="F33" s="472"/>
      <c r="G33" s="486"/>
      <c r="H33" s="474">
        <f t="shared" si="1"/>
        <v>0</v>
      </c>
    </row>
    <row r="34" spans="1:8" ht="15">
      <c r="A34" s="454" t="s">
        <v>2</v>
      </c>
      <c r="B34" s="1284">
        <v>299</v>
      </c>
      <c r="C34" s="1284" t="s">
        <v>995</v>
      </c>
      <c r="D34" s="1289" t="s">
        <v>996</v>
      </c>
      <c r="E34" s="1286" t="s">
        <v>778</v>
      </c>
      <c r="F34" s="1287">
        <v>8.5500000000000007</v>
      </c>
      <c r="G34" s="1288">
        <v>8</v>
      </c>
      <c r="H34" s="474">
        <f t="shared" si="1"/>
        <v>68.400000000000006</v>
      </c>
    </row>
    <row r="35" spans="1:8" ht="15">
      <c r="A35" s="454" t="s">
        <v>2</v>
      </c>
      <c r="B35" s="1284">
        <v>306</v>
      </c>
      <c r="C35" s="1284" t="s">
        <v>1004</v>
      </c>
      <c r="D35" s="1289" t="s">
        <v>1005</v>
      </c>
      <c r="E35" s="1289" t="s">
        <v>778</v>
      </c>
      <c r="F35" s="1287">
        <v>40</v>
      </c>
      <c r="G35" s="1288">
        <v>2</v>
      </c>
      <c r="H35" s="474">
        <f t="shared" si="1"/>
        <v>80</v>
      </c>
    </row>
    <row r="36" spans="1:8" ht="15">
      <c r="A36" s="454" t="s">
        <v>2</v>
      </c>
      <c r="B36" s="1284">
        <v>955</v>
      </c>
      <c r="C36" s="1284" t="s">
        <v>1006</v>
      </c>
      <c r="D36" s="1289" t="s">
        <v>1007</v>
      </c>
      <c r="E36" s="1289" t="s">
        <v>411</v>
      </c>
      <c r="F36" s="1287">
        <v>94.52</v>
      </c>
      <c r="G36" s="1288">
        <v>6</v>
      </c>
      <c r="H36" s="474">
        <f t="shared" si="1"/>
        <v>567.12</v>
      </c>
    </row>
    <row r="37" spans="1:8" ht="15">
      <c r="A37" s="454" t="s">
        <v>2</v>
      </c>
      <c r="B37" s="1284">
        <v>945</v>
      </c>
      <c r="C37" s="1284" t="s">
        <v>906</v>
      </c>
      <c r="D37" s="1289" t="s">
        <v>907</v>
      </c>
      <c r="E37" s="1289" t="s">
        <v>408</v>
      </c>
      <c r="F37" s="1287">
        <v>10.79</v>
      </c>
      <c r="G37" s="1288">
        <v>100</v>
      </c>
      <c r="H37" s="474">
        <f t="shared" si="1"/>
        <v>1079</v>
      </c>
    </row>
    <row r="38" spans="1:8" ht="15">
      <c r="A38" s="454" t="s">
        <v>3</v>
      </c>
      <c r="B38" s="1284">
        <v>230</v>
      </c>
      <c r="C38" s="1284" t="s">
        <v>414</v>
      </c>
      <c r="D38" s="1289" t="s">
        <v>1008</v>
      </c>
      <c r="E38" s="1289" t="s">
        <v>411</v>
      </c>
      <c r="F38" s="1287">
        <v>28.54</v>
      </c>
      <c r="G38" s="1288">
        <v>12</v>
      </c>
      <c r="H38" s="474">
        <f t="shared" si="1"/>
        <v>342.48</v>
      </c>
    </row>
    <row r="39" spans="1:8" ht="15">
      <c r="A39" s="454" t="s">
        <v>3</v>
      </c>
      <c r="B39" s="1284">
        <v>235</v>
      </c>
      <c r="C39" s="1284" t="s">
        <v>999</v>
      </c>
      <c r="D39" s="1289" t="s">
        <v>1000</v>
      </c>
      <c r="E39" s="1289" t="s">
        <v>411</v>
      </c>
      <c r="F39" s="1287">
        <v>71.41</v>
      </c>
      <c r="G39" s="1288">
        <v>15</v>
      </c>
      <c r="H39" s="474">
        <f t="shared" si="1"/>
        <v>1071.1499999999999</v>
      </c>
    </row>
    <row r="40" spans="1:8" ht="15">
      <c r="A40" s="454" t="s">
        <v>3</v>
      </c>
      <c r="B40" s="470"/>
      <c r="C40" s="470"/>
      <c r="D40" s="471"/>
      <c r="E40" s="471"/>
      <c r="F40" s="472"/>
      <c r="G40" s="486"/>
      <c r="H40" s="474">
        <f t="shared" si="1"/>
        <v>0</v>
      </c>
    </row>
    <row r="41" spans="1:8" ht="15">
      <c r="A41" s="454" t="s">
        <v>4</v>
      </c>
      <c r="B41" s="470"/>
      <c r="C41" s="470"/>
      <c r="D41" s="471"/>
      <c r="E41" s="471"/>
      <c r="F41" s="481"/>
      <c r="G41" s="486"/>
      <c r="H41" s="474">
        <f t="shared" si="1"/>
        <v>0</v>
      </c>
    </row>
    <row r="42" spans="1:8" ht="16.5" customHeight="1">
      <c r="A42" s="454" t="s">
        <v>419</v>
      </c>
      <c r="B42" s="470"/>
      <c r="C42" s="470"/>
      <c r="D42" s="471"/>
      <c r="E42" s="471"/>
      <c r="F42" s="481"/>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7</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421</v>
      </c>
      <c r="B48" s="470"/>
      <c r="C48" s="470"/>
      <c r="D48" s="471"/>
      <c r="E48" s="471"/>
      <c r="F48" s="472"/>
      <c r="G48" s="486"/>
      <c r="H48" s="474">
        <f t="shared" si="1"/>
        <v>0</v>
      </c>
    </row>
    <row r="49" spans="1:8" ht="15">
      <c r="A49" s="454" t="s">
        <v>5</v>
      </c>
      <c r="B49" s="470"/>
      <c r="C49" s="470"/>
      <c r="D49" s="471"/>
      <c r="E49" s="471"/>
      <c r="F49" s="472"/>
      <c r="G49" s="486"/>
      <c r="H49" s="474">
        <f t="shared" si="1"/>
        <v>0</v>
      </c>
    </row>
    <row r="50" spans="1:8" ht="15">
      <c r="A50" s="454" t="s">
        <v>20</v>
      </c>
      <c r="B50" s="470"/>
      <c r="C50" s="470"/>
      <c r="D50" s="471"/>
      <c r="E50" s="471"/>
      <c r="F50" s="472"/>
      <c r="G50" s="486"/>
      <c r="H50" s="474">
        <f t="shared" si="1"/>
        <v>0</v>
      </c>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95" spans="1:7">
      <c r="D95" s="57"/>
    </row>
    <row r="96" spans="1:7">
      <c r="D96" s="57"/>
    </row>
    <row r="97" spans="4:4">
      <c r="D97" s="57"/>
    </row>
    <row r="98" spans="4:4">
      <c r="D98" s="57"/>
    </row>
    <row r="99" spans="4:4">
      <c r="D99" s="57"/>
    </row>
    <row r="100" spans="4:4">
      <c r="D100" s="57"/>
    </row>
    <row r="101" spans="4:4">
      <c r="D101" s="57"/>
    </row>
    <row r="103" spans="4:4">
      <c r="D103" s="57"/>
    </row>
    <row r="105" spans="4:4">
      <c r="D105" s="56"/>
    </row>
    <row r="107" spans="4:4">
      <c r="D107"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5" orientation="portrait" r:id="rId1"/>
  <headerFooter alignWithMargins="0"/>
</worksheet>
</file>

<file path=xl/worksheets/sheet191.xml><?xml version="1.0" encoding="utf-8"?>
<worksheet xmlns="http://schemas.openxmlformats.org/spreadsheetml/2006/main" xmlns:r="http://schemas.openxmlformats.org/officeDocument/2006/relationships">
  <sheetPr>
    <pageSetUpPr fitToPage="1"/>
  </sheetPr>
  <dimension ref="A1:H107"/>
  <sheetViews>
    <sheetView topLeftCell="A4" zoomScale="90" zoomScaleNormal="90" workbookViewId="0">
      <selection activeCell="D15" sqref="D15"/>
    </sheetView>
  </sheetViews>
  <sheetFormatPr defaultRowHeight="12.75"/>
  <cols>
    <col min="1" max="1" width="34.5703125" style="2" customWidth="1"/>
    <col min="2" max="2" width="25.42578125" style="2" customWidth="1"/>
    <col min="3" max="3" width="43.5703125" style="2" customWidth="1"/>
    <col min="4" max="4" width="17.5703125" style="2" customWidth="1"/>
    <col min="5" max="5" width="15.140625" style="2" customWidth="1"/>
    <col min="6" max="6" width="11" style="2" customWidth="1"/>
    <col min="7" max="7" width="10.7109375" style="2" bestFit="1" customWidth="1"/>
    <col min="8" max="8" width="11.57031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989</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1009</v>
      </c>
      <c r="D8" s="461"/>
      <c r="E8" s="457"/>
      <c r="F8" s="457"/>
      <c r="G8" s="461"/>
    </row>
    <row r="9" spans="1:7" ht="128.25" customHeight="1">
      <c r="A9" s="454" t="s">
        <v>382</v>
      </c>
      <c r="B9" s="454" t="s">
        <v>385</v>
      </c>
      <c r="C9" s="2009" t="s">
        <v>1010</v>
      </c>
      <c r="D9" s="2010"/>
      <c r="E9" s="2010"/>
      <c r="F9" s="2010"/>
      <c r="G9" s="2011"/>
    </row>
    <row r="10" spans="1:7" ht="75" customHeight="1">
      <c r="A10" s="454" t="s">
        <v>382</v>
      </c>
      <c r="B10" s="454" t="s">
        <v>387</v>
      </c>
      <c r="C10" s="2009" t="s">
        <v>1003</v>
      </c>
      <c r="D10" s="2010"/>
      <c r="E10" s="2010"/>
      <c r="F10" s="2010"/>
      <c r="G10" s="2011"/>
    </row>
    <row r="11" spans="1:7" ht="65.25" customHeight="1">
      <c r="A11" s="454" t="s">
        <v>382</v>
      </c>
      <c r="B11" s="454" t="s">
        <v>389</v>
      </c>
      <c r="C11" s="2009" t="s">
        <v>993</v>
      </c>
      <c r="D11" s="2010"/>
      <c r="E11" s="2010"/>
      <c r="F11" s="2010"/>
      <c r="G11" s="2011"/>
    </row>
    <row r="12" spans="1:7" ht="51.75" customHeight="1">
      <c r="A12" s="454" t="s">
        <v>382</v>
      </c>
      <c r="B12" s="454" t="s">
        <v>391</v>
      </c>
      <c r="C12" s="2009" t="s">
        <v>1011</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15</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0</v>
      </c>
      <c r="C18" s="466">
        <f>B18/C$14</f>
        <v>0</v>
      </c>
      <c r="D18" s="49"/>
      <c r="E18" s="89"/>
      <c r="F18" s="89"/>
      <c r="G18" s="49"/>
    </row>
    <row r="19" spans="1:8" ht="15">
      <c r="A19" s="454" t="s">
        <v>2</v>
      </c>
      <c r="B19" s="465">
        <f>SUM(H34:H37)</f>
        <v>2105.8999999999996</v>
      </c>
      <c r="C19" s="466">
        <f t="shared" ref="C19:C27" si="0">B19/C$14</f>
        <v>140.39333333333332</v>
      </c>
      <c r="D19" s="49"/>
      <c r="E19" s="89"/>
      <c r="F19" s="89"/>
      <c r="G19" s="49"/>
    </row>
    <row r="20" spans="1:8" ht="15">
      <c r="A20" s="454" t="s">
        <v>3</v>
      </c>
      <c r="B20" s="465">
        <f>SUM(H38:H40)</f>
        <v>1142.1999999999998</v>
      </c>
      <c r="C20" s="466">
        <f t="shared" si="0"/>
        <v>76.146666666666661</v>
      </c>
      <c r="D20" s="49"/>
      <c r="E20" s="89"/>
      <c r="F20" s="89"/>
      <c r="G20" s="49"/>
    </row>
    <row r="21" spans="1:8" ht="15">
      <c r="A21" s="454" t="s">
        <v>4</v>
      </c>
      <c r="B21" s="465">
        <f>H41</f>
        <v>0</v>
      </c>
      <c r="C21" s="466">
        <f t="shared" si="0"/>
        <v>0</v>
      </c>
      <c r="D21" s="49"/>
      <c r="E21" s="89"/>
      <c r="F21" s="89"/>
      <c r="G21" s="49"/>
    </row>
    <row r="22" spans="1:8" ht="15">
      <c r="A22" s="454" t="s">
        <v>26</v>
      </c>
      <c r="B22" s="465">
        <f>H42</f>
        <v>0</v>
      </c>
      <c r="C22" s="466">
        <f t="shared" si="0"/>
        <v>0</v>
      </c>
      <c r="D22" s="49"/>
      <c r="E22" s="89"/>
      <c r="F22" s="89"/>
      <c r="G22" s="49"/>
    </row>
    <row r="23" spans="1:8" ht="15">
      <c r="A23" s="454" t="s">
        <v>7</v>
      </c>
      <c r="B23" s="465">
        <f>SUM(H43:H45)</f>
        <v>0</v>
      </c>
      <c r="C23" s="466">
        <f t="shared" si="0"/>
        <v>0</v>
      </c>
      <c r="D23" s="49"/>
      <c r="E23" s="89"/>
      <c r="F23" s="89"/>
      <c r="G23" s="49"/>
    </row>
    <row r="24" spans="1:8" ht="15">
      <c r="A24" s="454" t="s">
        <v>27</v>
      </c>
      <c r="B24" s="465">
        <f>SUM(H46:H48)</f>
        <v>0</v>
      </c>
      <c r="C24" s="466">
        <f t="shared" si="0"/>
        <v>0</v>
      </c>
      <c r="D24" s="49"/>
      <c r="E24" s="89"/>
      <c r="F24" s="89"/>
      <c r="G24" s="49"/>
    </row>
    <row r="25" spans="1:8" ht="15">
      <c r="A25" s="454" t="s">
        <v>5</v>
      </c>
      <c r="B25" s="465">
        <f>G49</f>
        <v>0</v>
      </c>
      <c r="C25" s="466">
        <f t="shared" si="0"/>
        <v>0</v>
      </c>
      <c r="D25" s="49"/>
      <c r="E25" s="89"/>
      <c r="F25" s="89"/>
      <c r="G25" s="49"/>
    </row>
    <row r="26" spans="1:8" ht="15">
      <c r="A26" s="454" t="s">
        <v>20</v>
      </c>
      <c r="B26" s="465">
        <f>H49</f>
        <v>0</v>
      </c>
      <c r="C26" s="466">
        <f t="shared" si="0"/>
        <v>0</v>
      </c>
      <c r="D26" s="49"/>
      <c r="E26" s="89"/>
      <c r="F26" s="89"/>
      <c r="G26" s="49"/>
    </row>
    <row r="27" spans="1:8" ht="15">
      <c r="A27" s="454" t="s">
        <v>399</v>
      </c>
      <c r="B27" s="465">
        <f>SUM(B18:B26)</f>
        <v>3248.0999999999995</v>
      </c>
      <c r="C27" s="466">
        <f t="shared" si="0"/>
        <v>216.53999999999996</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c r="C31" s="470"/>
      <c r="D31" s="471"/>
      <c r="E31" s="471"/>
      <c r="F31" s="472"/>
      <c r="G31" s="486"/>
      <c r="H31" s="474">
        <f>IF(G31&lt;=0, 0, F31*G31)</f>
        <v>0</v>
      </c>
    </row>
    <row r="32" spans="1:8" ht="15">
      <c r="A32" s="454" t="s">
        <v>0</v>
      </c>
      <c r="B32" s="470"/>
      <c r="C32" s="470"/>
      <c r="D32" s="471"/>
      <c r="E32" s="471"/>
      <c r="F32" s="472"/>
      <c r="G32" s="486"/>
      <c r="H32" s="474">
        <f t="shared" ref="H32:H50" si="1">IF(G32&lt;=0, 0, F32*G32)</f>
        <v>0</v>
      </c>
    </row>
    <row r="33" spans="1:8" ht="15">
      <c r="A33" s="454" t="s">
        <v>0</v>
      </c>
      <c r="B33" s="470"/>
      <c r="C33" s="470"/>
      <c r="D33" s="471"/>
      <c r="E33" s="471"/>
      <c r="F33" s="472"/>
      <c r="G33" s="486"/>
      <c r="H33" s="474">
        <f t="shared" si="1"/>
        <v>0</v>
      </c>
    </row>
    <row r="34" spans="1:8" ht="15">
      <c r="A34" s="454" t="s">
        <v>2</v>
      </c>
      <c r="B34" s="1284">
        <v>299</v>
      </c>
      <c r="C34" s="1284" t="s">
        <v>995</v>
      </c>
      <c r="D34" s="1289" t="s">
        <v>996</v>
      </c>
      <c r="E34" s="1286" t="s">
        <v>778</v>
      </c>
      <c r="F34" s="1287">
        <v>8.5500000000000007</v>
      </c>
      <c r="G34" s="1288">
        <v>10</v>
      </c>
      <c r="H34" s="474">
        <f t="shared" si="1"/>
        <v>85.5</v>
      </c>
    </row>
    <row r="35" spans="1:8" ht="15">
      <c r="A35" s="454" t="s">
        <v>2</v>
      </c>
      <c r="B35" s="1284">
        <v>306</v>
      </c>
      <c r="C35" s="1284" t="s">
        <v>1004</v>
      </c>
      <c r="D35" s="1289" t="s">
        <v>1005</v>
      </c>
      <c r="E35" s="1289" t="s">
        <v>778</v>
      </c>
      <c r="F35" s="1287">
        <v>40</v>
      </c>
      <c r="G35" s="1288">
        <v>2</v>
      </c>
      <c r="H35" s="474">
        <f t="shared" si="1"/>
        <v>80</v>
      </c>
    </row>
    <row r="36" spans="1:8" ht="15">
      <c r="A36" s="454" t="s">
        <v>2</v>
      </c>
      <c r="B36" s="1284">
        <v>307</v>
      </c>
      <c r="C36" s="1284" t="s">
        <v>1012</v>
      </c>
      <c r="D36" s="1289" t="s">
        <v>1005</v>
      </c>
      <c r="E36" s="1289" t="s">
        <v>778</v>
      </c>
      <c r="F36" s="1287">
        <v>25</v>
      </c>
      <c r="G36" s="1288">
        <v>2</v>
      </c>
      <c r="H36" s="474">
        <f t="shared" si="1"/>
        <v>50</v>
      </c>
    </row>
    <row r="37" spans="1:8" ht="15">
      <c r="A37" s="454" t="s">
        <v>2</v>
      </c>
      <c r="B37" s="1284">
        <v>955</v>
      </c>
      <c r="C37" s="1284" t="s">
        <v>1006</v>
      </c>
      <c r="D37" s="1289" t="s">
        <v>1013</v>
      </c>
      <c r="E37" s="1289" t="s">
        <v>411</v>
      </c>
      <c r="F37" s="1287">
        <v>94.52</v>
      </c>
      <c r="G37" s="1288">
        <v>20</v>
      </c>
      <c r="H37" s="474">
        <f t="shared" si="1"/>
        <v>1890.3999999999999</v>
      </c>
    </row>
    <row r="38" spans="1:8" ht="15">
      <c r="A38" s="454" t="s">
        <v>3</v>
      </c>
      <c r="B38" s="1284">
        <v>230</v>
      </c>
      <c r="C38" s="1284" t="s">
        <v>414</v>
      </c>
      <c r="D38" s="1289" t="s">
        <v>998</v>
      </c>
      <c r="E38" s="1289" t="s">
        <v>411</v>
      </c>
      <c r="F38" s="1287">
        <v>28.54</v>
      </c>
      <c r="G38" s="1288">
        <v>15</v>
      </c>
      <c r="H38" s="474">
        <f t="shared" si="1"/>
        <v>428.09999999999997</v>
      </c>
    </row>
    <row r="39" spans="1:8" ht="15">
      <c r="A39" s="454" t="s">
        <v>3</v>
      </c>
      <c r="B39" s="1284">
        <v>235</v>
      </c>
      <c r="C39" s="1284" t="s">
        <v>999</v>
      </c>
      <c r="D39" s="1289" t="s">
        <v>1000</v>
      </c>
      <c r="E39" s="1289" t="s">
        <v>411</v>
      </c>
      <c r="F39" s="1287">
        <v>71.41</v>
      </c>
      <c r="G39" s="1288">
        <v>10</v>
      </c>
      <c r="H39" s="474">
        <f t="shared" si="1"/>
        <v>714.09999999999991</v>
      </c>
    </row>
    <row r="40" spans="1:8" ht="15">
      <c r="A40" s="454" t="s">
        <v>3</v>
      </c>
      <c r="B40" s="470"/>
      <c r="C40" s="470"/>
      <c r="D40" s="471"/>
      <c r="E40" s="471"/>
      <c r="F40" s="472"/>
      <c r="G40" s="486"/>
      <c r="H40" s="474">
        <f t="shared" si="1"/>
        <v>0</v>
      </c>
    </row>
    <row r="41" spans="1:8" ht="15">
      <c r="A41" s="454" t="s">
        <v>4</v>
      </c>
      <c r="B41" s="470"/>
      <c r="C41" s="470"/>
      <c r="D41" s="471"/>
      <c r="E41" s="471"/>
      <c r="F41" s="481"/>
      <c r="G41" s="486"/>
      <c r="H41" s="474">
        <f t="shared" si="1"/>
        <v>0</v>
      </c>
    </row>
    <row r="42" spans="1:8" ht="16.5" customHeight="1">
      <c r="A42" s="454" t="s">
        <v>419</v>
      </c>
      <c r="B42" s="470"/>
      <c r="C42" s="470"/>
      <c r="D42" s="471"/>
      <c r="E42" s="471"/>
      <c r="F42" s="481"/>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7</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421</v>
      </c>
      <c r="B48" s="470"/>
      <c r="C48" s="470"/>
      <c r="D48" s="471"/>
      <c r="E48" s="471"/>
      <c r="F48" s="472"/>
      <c r="G48" s="486"/>
      <c r="H48" s="474">
        <f t="shared" si="1"/>
        <v>0</v>
      </c>
    </row>
    <row r="49" spans="1:8" ht="15">
      <c r="A49" s="454" t="s">
        <v>5</v>
      </c>
      <c r="B49" s="470"/>
      <c r="C49" s="470"/>
      <c r="D49" s="471"/>
      <c r="E49" s="471"/>
      <c r="F49" s="472"/>
      <c r="G49" s="486"/>
      <c r="H49" s="474">
        <f t="shared" si="1"/>
        <v>0</v>
      </c>
    </row>
    <row r="50" spans="1:8" ht="15">
      <c r="A50" s="454" t="s">
        <v>20</v>
      </c>
      <c r="B50" s="470"/>
      <c r="C50" s="470"/>
      <c r="D50" s="471"/>
      <c r="E50" s="471"/>
      <c r="F50" s="472"/>
      <c r="G50" s="486"/>
      <c r="H50" s="474">
        <f t="shared" si="1"/>
        <v>0</v>
      </c>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95" spans="1:7">
      <c r="D95" s="57"/>
    </row>
    <row r="96" spans="1:7">
      <c r="D96" s="57"/>
    </row>
    <row r="97" spans="4:4">
      <c r="D97" s="57"/>
    </row>
    <row r="98" spans="4:4">
      <c r="D98" s="57"/>
    </row>
    <row r="99" spans="4:4">
      <c r="D99" s="57"/>
    </row>
    <row r="100" spans="4:4">
      <c r="D100" s="57"/>
    </row>
    <row r="101" spans="4:4">
      <c r="D101" s="57"/>
    </row>
    <row r="103" spans="4:4">
      <c r="D103" s="57"/>
    </row>
    <row r="105" spans="4:4">
      <c r="D105" s="56"/>
    </row>
    <row r="107" spans="4:4">
      <c r="D107"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192.xml><?xml version="1.0" encoding="utf-8"?>
<worksheet xmlns="http://schemas.openxmlformats.org/spreadsheetml/2006/main" xmlns:r="http://schemas.openxmlformats.org/officeDocument/2006/relationships">
  <sheetPr>
    <pageSetUpPr fitToPage="1"/>
  </sheetPr>
  <dimension ref="A1:H106"/>
  <sheetViews>
    <sheetView topLeftCell="A4" zoomScale="90" zoomScaleNormal="90" workbookViewId="0">
      <selection activeCell="D15" sqref="D15"/>
    </sheetView>
  </sheetViews>
  <sheetFormatPr defaultRowHeight="12.75"/>
  <cols>
    <col min="1" max="1" width="34.5703125" style="2" customWidth="1"/>
    <col min="2" max="2" width="25.42578125" style="2" customWidth="1"/>
    <col min="3" max="3" width="46.7109375" style="2" customWidth="1"/>
    <col min="4" max="4" width="20.140625" style="2" customWidth="1"/>
    <col min="5" max="5" width="15.140625" style="2" customWidth="1"/>
    <col min="6" max="6" width="11" style="2" customWidth="1"/>
    <col min="7" max="7" width="10.7109375" style="2" bestFit="1" customWidth="1"/>
    <col min="8" max="8" width="11.57031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989</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1014</v>
      </c>
      <c r="D8" s="461"/>
      <c r="E8" s="457"/>
      <c r="F8" s="457"/>
      <c r="G8" s="461"/>
    </row>
    <row r="9" spans="1:7" ht="119.25" customHeight="1">
      <c r="A9" s="454" t="s">
        <v>382</v>
      </c>
      <c r="B9" s="454" t="s">
        <v>385</v>
      </c>
      <c r="C9" s="2009" t="s">
        <v>1015</v>
      </c>
      <c r="D9" s="2010"/>
      <c r="E9" s="2010"/>
      <c r="F9" s="2010"/>
      <c r="G9" s="2011"/>
    </row>
    <row r="10" spans="1:7" ht="70.5" customHeight="1">
      <c r="A10" s="454" t="s">
        <v>382</v>
      </c>
      <c r="B10" s="454" t="s">
        <v>387</v>
      </c>
      <c r="C10" s="2009" t="s">
        <v>1016</v>
      </c>
      <c r="D10" s="2010"/>
      <c r="E10" s="2010"/>
      <c r="F10" s="2010"/>
      <c r="G10" s="2011"/>
    </row>
    <row r="11" spans="1:7" ht="81.75" customHeight="1">
      <c r="A11" s="454" t="s">
        <v>382</v>
      </c>
      <c r="B11" s="454" t="s">
        <v>389</v>
      </c>
      <c r="C11" s="2009" t="s">
        <v>1017</v>
      </c>
      <c r="D11" s="2010"/>
      <c r="E11" s="2010"/>
      <c r="F11" s="2010"/>
      <c r="G11" s="2011"/>
    </row>
    <row r="12" spans="1:7" ht="51.75" customHeight="1">
      <c r="A12" s="454" t="s">
        <v>382</v>
      </c>
      <c r="B12" s="454" t="s">
        <v>391</v>
      </c>
      <c r="C12" s="2009" t="s">
        <v>994</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90</v>
      </c>
      <c r="C18" s="466">
        <f>B18/C$14</f>
        <v>1.8</v>
      </c>
      <c r="D18" s="49"/>
      <c r="E18" s="89"/>
      <c r="F18" s="89"/>
      <c r="G18" s="49"/>
    </row>
    <row r="19" spans="1:8" ht="15">
      <c r="A19" s="454" t="s">
        <v>2</v>
      </c>
      <c r="B19" s="465">
        <f>SUM(H34:H36)</f>
        <v>321.5</v>
      </c>
      <c r="C19" s="466">
        <f t="shared" ref="C19:C27" si="0">B19/C$14</f>
        <v>6.43</v>
      </c>
      <c r="D19" s="49"/>
      <c r="E19" s="89"/>
      <c r="F19" s="89"/>
      <c r="G19" s="49"/>
    </row>
    <row r="20" spans="1:8" ht="15">
      <c r="A20" s="454" t="s">
        <v>3</v>
      </c>
      <c r="B20" s="465">
        <f>SUM(H37:H39)</f>
        <v>1856.1799999999998</v>
      </c>
      <c r="C20" s="466">
        <f t="shared" si="0"/>
        <v>37.123599999999996</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2267.6799999999998</v>
      </c>
      <c r="C27" s="466">
        <f t="shared" si="0"/>
        <v>45.3536</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1284">
        <v>311</v>
      </c>
      <c r="C31" s="1284" t="s">
        <v>1018</v>
      </c>
      <c r="D31" s="1289" t="s">
        <v>1019</v>
      </c>
      <c r="E31" s="1289" t="s">
        <v>778</v>
      </c>
      <c r="F31" s="1287">
        <v>6</v>
      </c>
      <c r="G31" s="1288">
        <v>15</v>
      </c>
      <c r="H31" s="474">
        <f>IF(G31&lt;=0, 0, F31*G31)</f>
        <v>90</v>
      </c>
    </row>
    <row r="32" spans="1:8" ht="15">
      <c r="A32" s="454" t="s">
        <v>0</v>
      </c>
      <c r="B32" s="1284"/>
      <c r="C32" s="1284"/>
      <c r="D32" s="1289"/>
      <c r="E32" s="1289"/>
      <c r="F32" s="1287"/>
      <c r="G32" s="1288"/>
      <c r="H32" s="474">
        <f t="shared" ref="H32:H49" si="1">IF(G32&lt;=0, 0, F32*G32)</f>
        <v>0</v>
      </c>
    </row>
    <row r="33" spans="1:8" ht="15">
      <c r="A33" s="454" t="s">
        <v>0</v>
      </c>
      <c r="B33" s="1284"/>
      <c r="C33" s="1284"/>
      <c r="D33" s="1289"/>
      <c r="E33" s="1289"/>
      <c r="F33" s="1287"/>
      <c r="G33" s="1288"/>
      <c r="H33" s="474">
        <f t="shared" si="1"/>
        <v>0</v>
      </c>
    </row>
    <row r="34" spans="1:8" ht="15">
      <c r="A34" s="454" t="s">
        <v>2</v>
      </c>
      <c r="B34" s="1284">
        <v>952</v>
      </c>
      <c r="C34" s="1284" t="s">
        <v>1020</v>
      </c>
      <c r="D34" s="1289" t="s">
        <v>1021</v>
      </c>
      <c r="E34" s="1286" t="s">
        <v>408</v>
      </c>
      <c r="F34" s="1287">
        <v>6.43</v>
      </c>
      <c r="G34" s="1288">
        <v>50</v>
      </c>
      <c r="H34" s="474">
        <f t="shared" si="1"/>
        <v>321.5</v>
      </c>
    </row>
    <row r="35" spans="1:8" ht="15">
      <c r="A35" s="454" t="s">
        <v>2</v>
      </c>
      <c r="B35" s="1284"/>
      <c r="C35" s="1284"/>
      <c r="D35" s="1289"/>
      <c r="E35" s="1289"/>
      <c r="F35" s="1287"/>
      <c r="G35" s="1288"/>
      <c r="H35" s="474">
        <f t="shared" si="1"/>
        <v>0</v>
      </c>
    </row>
    <row r="36" spans="1:8" ht="15">
      <c r="A36" s="454" t="s">
        <v>2</v>
      </c>
      <c r="B36" s="1284"/>
      <c r="C36" s="1284"/>
      <c r="D36" s="1289"/>
      <c r="E36" s="1289"/>
      <c r="F36" s="1287"/>
      <c r="G36" s="1288"/>
      <c r="H36" s="474">
        <f t="shared" si="1"/>
        <v>0</v>
      </c>
    </row>
    <row r="37" spans="1:8" ht="15">
      <c r="A37" s="454" t="s">
        <v>3</v>
      </c>
      <c r="B37" s="1284">
        <v>230</v>
      </c>
      <c r="C37" s="1284" t="s">
        <v>414</v>
      </c>
      <c r="D37" s="1289" t="s">
        <v>1022</v>
      </c>
      <c r="E37" s="1289" t="s">
        <v>411</v>
      </c>
      <c r="F37" s="1287">
        <v>28.54</v>
      </c>
      <c r="G37" s="1288">
        <v>20</v>
      </c>
      <c r="H37" s="474">
        <f t="shared" si="1"/>
        <v>570.79999999999995</v>
      </c>
    </row>
    <row r="38" spans="1:8" ht="15">
      <c r="A38" s="454" t="s">
        <v>3</v>
      </c>
      <c r="B38" s="1284">
        <v>235</v>
      </c>
      <c r="C38" s="1284" t="s">
        <v>999</v>
      </c>
      <c r="D38" s="1289" t="s">
        <v>1023</v>
      </c>
      <c r="E38" s="1289" t="s">
        <v>411</v>
      </c>
      <c r="F38" s="1287">
        <v>71.41</v>
      </c>
      <c r="G38" s="1288">
        <v>18</v>
      </c>
      <c r="H38" s="474">
        <f t="shared" si="1"/>
        <v>1285.3799999999999</v>
      </c>
    </row>
    <row r="39" spans="1:8" ht="15">
      <c r="A39" s="454" t="s">
        <v>3</v>
      </c>
      <c r="B39" s="470"/>
      <c r="C39" s="470"/>
      <c r="D39" s="471"/>
      <c r="E39" s="471"/>
      <c r="F39" s="472"/>
      <c r="G39" s="486"/>
      <c r="H39" s="474">
        <f t="shared" si="1"/>
        <v>0</v>
      </c>
    </row>
    <row r="40" spans="1:8" ht="15">
      <c r="A40" s="454" t="s">
        <v>4</v>
      </c>
      <c r="B40" s="470"/>
      <c r="C40" s="470"/>
      <c r="D40" s="471"/>
      <c r="E40" s="471"/>
      <c r="F40" s="481"/>
      <c r="G40" s="486"/>
      <c r="H40" s="474">
        <f t="shared" si="1"/>
        <v>0</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4" orientation="portrait" r:id="rId1"/>
  <headerFooter alignWithMargins="0"/>
</worksheet>
</file>

<file path=xl/worksheets/sheet193.xml><?xml version="1.0" encoding="utf-8"?>
<worksheet xmlns="http://schemas.openxmlformats.org/spreadsheetml/2006/main" xmlns:r="http://schemas.openxmlformats.org/officeDocument/2006/relationships">
  <sheetPr>
    <pageSetUpPr fitToPage="1"/>
  </sheetPr>
  <dimension ref="A1:H106"/>
  <sheetViews>
    <sheetView topLeftCell="A10" zoomScale="90" zoomScaleNormal="90" workbookViewId="0">
      <selection activeCell="D15" sqref="D15"/>
    </sheetView>
  </sheetViews>
  <sheetFormatPr defaultRowHeight="12.75"/>
  <cols>
    <col min="1" max="1" width="34.5703125" style="2" customWidth="1"/>
    <col min="2" max="2" width="25.42578125" style="2" customWidth="1"/>
    <col min="3" max="3" width="55.7109375" style="2" customWidth="1"/>
    <col min="4" max="4" width="17.5703125" style="2" customWidth="1"/>
    <col min="5" max="5" width="15.140625" style="2" customWidth="1"/>
    <col min="6" max="6" width="11" style="2" customWidth="1"/>
    <col min="7" max="7" width="10.7109375" style="2" bestFit="1" customWidth="1"/>
    <col min="8" max="8" width="11.57031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989</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1024</v>
      </c>
      <c r="D8" s="461"/>
      <c r="E8" s="457"/>
      <c r="F8" s="457"/>
      <c r="G8" s="461"/>
    </row>
    <row r="9" spans="1:7" ht="114" customHeight="1">
      <c r="A9" s="454" t="s">
        <v>382</v>
      </c>
      <c r="B9" s="454" t="s">
        <v>385</v>
      </c>
      <c r="C9" s="2009" t="s">
        <v>1025</v>
      </c>
      <c r="D9" s="2010"/>
      <c r="E9" s="2010"/>
      <c r="F9" s="2010"/>
      <c r="G9" s="2011"/>
    </row>
    <row r="10" spans="1:7" ht="51.75" customHeight="1">
      <c r="A10" s="454" t="s">
        <v>382</v>
      </c>
      <c r="B10" s="454" t="s">
        <v>387</v>
      </c>
      <c r="C10" s="2009" t="s">
        <v>1026</v>
      </c>
      <c r="D10" s="2010"/>
      <c r="E10" s="2010"/>
      <c r="F10" s="2010"/>
      <c r="G10" s="2011"/>
    </row>
    <row r="11" spans="1:7" ht="69" customHeight="1">
      <c r="A11" s="454" t="s">
        <v>382</v>
      </c>
      <c r="B11" s="454" t="s">
        <v>389</v>
      </c>
      <c r="C11" s="2009" t="s">
        <v>1027</v>
      </c>
      <c r="D11" s="2010"/>
      <c r="E11" s="2010"/>
      <c r="F11" s="2010"/>
      <c r="G11" s="2011"/>
    </row>
    <row r="12" spans="1:7" ht="51.75" customHeight="1">
      <c r="A12" s="454" t="s">
        <v>382</v>
      </c>
      <c r="B12" s="454" t="s">
        <v>391</v>
      </c>
      <c r="C12" s="2009" t="s">
        <v>994</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405</v>
      </c>
      <c r="C18" s="466">
        <f>B18/C$14</f>
        <v>8.1</v>
      </c>
      <c r="D18" s="49"/>
      <c r="E18" s="89"/>
      <c r="F18" s="89"/>
      <c r="G18" s="49"/>
    </row>
    <row r="19" spans="1:8" ht="15">
      <c r="A19" s="454" t="s">
        <v>2</v>
      </c>
      <c r="B19" s="465">
        <f>SUM(H34:H36)</f>
        <v>327.5</v>
      </c>
      <c r="C19" s="466">
        <f t="shared" ref="C19:C27" si="0">B19/C$14</f>
        <v>6.55</v>
      </c>
      <c r="D19" s="49"/>
      <c r="E19" s="89"/>
      <c r="F19" s="89"/>
      <c r="G19" s="49"/>
    </row>
    <row r="20" spans="1:8" ht="15">
      <c r="A20" s="454" t="s">
        <v>3</v>
      </c>
      <c r="B20" s="465">
        <f>SUM(H37:H39)</f>
        <v>1998.9999999999998</v>
      </c>
      <c r="C20" s="466">
        <f t="shared" si="0"/>
        <v>39.979999999999997</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2731.5</v>
      </c>
      <c r="C27" s="466">
        <f t="shared" si="0"/>
        <v>54.63</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1284">
        <v>300</v>
      </c>
      <c r="C31" s="1284" t="s">
        <v>1028</v>
      </c>
      <c r="D31" s="1285" t="s">
        <v>996</v>
      </c>
      <c r="E31" s="1289" t="s">
        <v>408</v>
      </c>
      <c r="F31" s="1287">
        <v>8.1</v>
      </c>
      <c r="G31" s="1288">
        <v>50</v>
      </c>
      <c r="H31" s="474">
        <f>IF(G31&lt;=0, 0, F31*G31)</f>
        <v>405</v>
      </c>
    </row>
    <row r="32" spans="1:8" ht="15">
      <c r="A32" s="454" t="s">
        <v>0</v>
      </c>
      <c r="B32" s="1284"/>
      <c r="C32" s="1284"/>
      <c r="D32" s="1289"/>
      <c r="E32" s="1289"/>
      <c r="F32" s="1287"/>
      <c r="G32" s="1288"/>
      <c r="H32" s="474">
        <f t="shared" ref="H32:H49" si="1">IF(G32&lt;=0, 0, F32*G32)</f>
        <v>0</v>
      </c>
    </row>
    <row r="33" spans="1:8" ht="15">
      <c r="A33" s="454" t="s">
        <v>0</v>
      </c>
      <c r="B33" s="1284"/>
      <c r="C33" s="1284"/>
      <c r="D33" s="1289"/>
      <c r="E33" s="1289"/>
      <c r="F33" s="1287"/>
      <c r="G33" s="1288"/>
      <c r="H33" s="474">
        <f t="shared" si="1"/>
        <v>0</v>
      </c>
    </row>
    <row r="34" spans="1:8" ht="15">
      <c r="A34" s="454" t="s">
        <v>2</v>
      </c>
      <c r="B34" s="1284">
        <v>952</v>
      </c>
      <c r="C34" s="1284" t="s">
        <v>1020</v>
      </c>
      <c r="D34" s="1289" t="s">
        <v>1021</v>
      </c>
      <c r="E34" s="1286" t="s">
        <v>408</v>
      </c>
      <c r="F34" s="1287">
        <v>6.43</v>
      </c>
      <c r="G34" s="1288">
        <v>50</v>
      </c>
      <c r="H34" s="474">
        <f t="shared" si="1"/>
        <v>321.5</v>
      </c>
    </row>
    <row r="35" spans="1:8" ht="15">
      <c r="A35" s="454" t="s">
        <v>2</v>
      </c>
      <c r="B35" s="1284">
        <v>966</v>
      </c>
      <c r="C35" s="1284" t="s">
        <v>1029</v>
      </c>
      <c r="D35" s="1289"/>
      <c r="E35" s="1289" t="s">
        <v>408</v>
      </c>
      <c r="F35" s="1287">
        <v>0.12</v>
      </c>
      <c r="G35" s="1288">
        <v>50</v>
      </c>
      <c r="H35" s="474">
        <f t="shared" si="1"/>
        <v>6</v>
      </c>
    </row>
    <row r="36" spans="1:8" ht="15">
      <c r="A36" s="454" t="s">
        <v>2</v>
      </c>
      <c r="B36" s="1284"/>
      <c r="C36" s="1284"/>
      <c r="D36" s="1289"/>
      <c r="E36" s="1289"/>
      <c r="F36" s="1287"/>
      <c r="G36" s="1288"/>
      <c r="H36" s="474">
        <f t="shared" si="1"/>
        <v>0</v>
      </c>
    </row>
    <row r="37" spans="1:8" ht="15">
      <c r="A37" s="454" t="s">
        <v>3</v>
      </c>
      <c r="B37" s="1284">
        <v>230</v>
      </c>
      <c r="C37" s="1284" t="s">
        <v>414</v>
      </c>
      <c r="D37" s="1289" t="s">
        <v>1022</v>
      </c>
      <c r="E37" s="1289" t="s">
        <v>411</v>
      </c>
      <c r="F37" s="1287">
        <v>28.54</v>
      </c>
      <c r="G37" s="1288">
        <v>20</v>
      </c>
      <c r="H37" s="474">
        <f t="shared" si="1"/>
        <v>570.79999999999995</v>
      </c>
    </row>
    <row r="38" spans="1:8" ht="15">
      <c r="A38" s="454" t="s">
        <v>3</v>
      </c>
      <c r="B38" s="1284">
        <v>235</v>
      </c>
      <c r="C38" s="1284" t="s">
        <v>999</v>
      </c>
      <c r="D38" s="1289" t="s">
        <v>1023</v>
      </c>
      <c r="E38" s="1289" t="s">
        <v>411</v>
      </c>
      <c r="F38" s="1287">
        <v>71.41</v>
      </c>
      <c r="G38" s="1288">
        <v>20</v>
      </c>
      <c r="H38" s="474">
        <f t="shared" si="1"/>
        <v>1428.1999999999998</v>
      </c>
    </row>
    <row r="39" spans="1:8" ht="15">
      <c r="A39" s="454" t="s">
        <v>3</v>
      </c>
      <c r="B39" s="470"/>
      <c r="C39" s="470"/>
      <c r="D39" s="471"/>
      <c r="E39" s="471"/>
      <c r="F39" s="472"/>
      <c r="G39" s="486"/>
      <c r="H39" s="474">
        <f t="shared" si="1"/>
        <v>0</v>
      </c>
    </row>
    <row r="40" spans="1:8" ht="15">
      <c r="A40" s="454" t="s">
        <v>4</v>
      </c>
      <c r="B40" s="470"/>
      <c r="C40" s="470"/>
      <c r="D40" s="471"/>
      <c r="E40" s="471"/>
      <c r="F40" s="481"/>
      <c r="G40" s="486"/>
      <c r="H40" s="474">
        <f t="shared" si="1"/>
        <v>0</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2" orientation="portrait" r:id="rId1"/>
  <headerFooter alignWithMargins="0"/>
</worksheet>
</file>

<file path=xl/worksheets/sheet194.xml><?xml version="1.0" encoding="utf-8"?>
<worksheet xmlns="http://schemas.openxmlformats.org/spreadsheetml/2006/main" xmlns:r="http://schemas.openxmlformats.org/officeDocument/2006/relationships">
  <sheetPr>
    <pageSetUpPr fitToPage="1"/>
  </sheetPr>
  <dimension ref="A1:H108"/>
  <sheetViews>
    <sheetView topLeftCell="A10" zoomScale="90" zoomScaleNormal="90" workbookViewId="0">
      <selection activeCell="D15" sqref="D15"/>
    </sheetView>
  </sheetViews>
  <sheetFormatPr defaultRowHeight="12.75"/>
  <cols>
    <col min="1" max="1" width="34.5703125" style="2" customWidth="1"/>
    <col min="2" max="2" width="25.42578125" style="2" customWidth="1"/>
    <col min="3" max="3" width="60.85546875" style="2" customWidth="1"/>
    <col min="4" max="4" width="17.5703125" style="2" customWidth="1"/>
    <col min="5" max="5" width="15.140625" style="2" customWidth="1"/>
    <col min="6" max="6" width="11" style="2" customWidth="1"/>
    <col min="7" max="7" width="10.7109375" style="2" bestFit="1" customWidth="1"/>
    <col min="8" max="8" width="11.57031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989</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1030</v>
      </c>
      <c r="D8" s="461"/>
      <c r="E8" s="457"/>
      <c r="F8" s="457"/>
      <c r="G8" s="461"/>
    </row>
    <row r="9" spans="1:7" ht="146.25" customHeight="1">
      <c r="A9" s="454" t="s">
        <v>382</v>
      </c>
      <c r="B9" s="454" t="s">
        <v>385</v>
      </c>
      <c r="C9" s="2009" t="s">
        <v>1031</v>
      </c>
      <c r="D9" s="2010"/>
      <c r="E9" s="2010"/>
      <c r="F9" s="2010"/>
      <c r="G9" s="2011"/>
    </row>
    <row r="10" spans="1:7" ht="51.75" customHeight="1">
      <c r="A10" s="454" t="s">
        <v>382</v>
      </c>
      <c r="B10" s="454" t="s">
        <v>387</v>
      </c>
      <c r="C10" s="2009" t="s">
        <v>1032</v>
      </c>
      <c r="D10" s="2010"/>
      <c r="E10" s="2010"/>
      <c r="F10" s="2010"/>
      <c r="G10" s="2011"/>
    </row>
    <row r="11" spans="1:7" ht="59.25" customHeight="1">
      <c r="A11" s="454" t="s">
        <v>382</v>
      </c>
      <c r="B11" s="454" t="s">
        <v>389</v>
      </c>
      <c r="C11" s="2009" t="s">
        <v>1027</v>
      </c>
      <c r="D11" s="2010"/>
      <c r="E11" s="2010"/>
      <c r="F11" s="2010"/>
      <c r="G11" s="2011"/>
    </row>
    <row r="12" spans="1:7" ht="51.75" customHeight="1">
      <c r="A12" s="454" t="s">
        <v>382</v>
      </c>
      <c r="B12" s="454" t="s">
        <v>391</v>
      </c>
      <c r="C12" s="2009" t="s">
        <v>994</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200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1620</v>
      </c>
      <c r="C18" s="466">
        <f>B18/C$14</f>
        <v>8.1</v>
      </c>
      <c r="D18" s="49"/>
      <c r="E18" s="89"/>
      <c r="F18" s="89"/>
      <c r="G18" s="49"/>
    </row>
    <row r="19" spans="1:8" ht="15">
      <c r="A19" s="454" t="s">
        <v>2</v>
      </c>
      <c r="B19" s="465">
        <f>SUM(H34:H37)</f>
        <v>3581.4</v>
      </c>
      <c r="C19" s="466">
        <f t="shared" ref="C19:C27" si="0">B19/C$14</f>
        <v>17.907</v>
      </c>
      <c r="D19" s="49"/>
      <c r="E19" s="89"/>
      <c r="F19" s="89"/>
      <c r="G19" s="49"/>
    </row>
    <row r="20" spans="1:8" ht="15">
      <c r="A20" s="454" t="s">
        <v>3</v>
      </c>
      <c r="B20" s="465">
        <f>SUM(H38:H41)</f>
        <v>3616.9700000000003</v>
      </c>
      <c r="C20" s="466">
        <f t="shared" si="0"/>
        <v>18.084850000000003</v>
      </c>
      <c r="D20" s="49"/>
      <c r="E20" s="89"/>
      <c r="F20" s="89"/>
      <c r="G20" s="49"/>
    </row>
    <row r="21" spans="1:8" ht="15">
      <c r="A21" s="454" t="s">
        <v>4</v>
      </c>
      <c r="B21" s="465">
        <f>H42</f>
        <v>0</v>
      </c>
      <c r="C21" s="466">
        <f t="shared" si="0"/>
        <v>0</v>
      </c>
      <c r="D21" s="49"/>
      <c r="E21" s="89"/>
      <c r="F21" s="89"/>
      <c r="G21" s="49"/>
    </row>
    <row r="22" spans="1:8" ht="15">
      <c r="A22" s="454" t="s">
        <v>26</v>
      </c>
      <c r="B22" s="465">
        <f>H43</f>
        <v>0</v>
      </c>
      <c r="C22" s="466">
        <f t="shared" si="0"/>
        <v>0</v>
      </c>
      <c r="D22" s="49"/>
      <c r="E22" s="89"/>
      <c r="F22" s="89"/>
      <c r="G22" s="49"/>
    </row>
    <row r="23" spans="1:8" ht="15">
      <c r="A23" s="454" t="s">
        <v>7</v>
      </c>
      <c r="B23" s="465">
        <f>SUM(H44:H46)</f>
        <v>0</v>
      </c>
      <c r="C23" s="466">
        <f t="shared" si="0"/>
        <v>0</v>
      </c>
      <c r="D23" s="49"/>
      <c r="E23" s="89"/>
      <c r="F23" s="89"/>
      <c r="G23" s="49"/>
    </row>
    <row r="24" spans="1:8" ht="15">
      <c r="A24" s="454" t="s">
        <v>27</v>
      </c>
      <c r="B24" s="465">
        <f>SUM(H47:H49)</f>
        <v>0</v>
      </c>
      <c r="C24" s="466">
        <f t="shared" si="0"/>
        <v>0</v>
      </c>
      <c r="D24" s="49"/>
      <c r="E24" s="89"/>
      <c r="F24" s="89"/>
      <c r="G24" s="49"/>
    </row>
    <row r="25" spans="1:8" ht="15">
      <c r="A25" s="454" t="s">
        <v>5</v>
      </c>
      <c r="B25" s="465">
        <f>G50</f>
        <v>0</v>
      </c>
      <c r="C25" s="466">
        <f t="shared" si="0"/>
        <v>0</v>
      </c>
      <c r="D25" s="49"/>
      <c r="E25" s="89"/>
      <c r="F25" s="89"/>
      <c r="G25" s="49"/>
    </row>
    <row r="26" spans="1:8" ht="15">
      <c r="A26" s="454" t="s">
        <v>20</v>
      </c>
      <c r="B26" s="465">
        <f>H50</f>
        <v>0</v>
      </c>
      <c r="C26" s="466">
        <f t="shared" si="0"/>
        <v>0</v>
      </c>
      <c r="D26" s="49"/>
      <c r="E26" s="89"/>
      <c r="F26" s="89"/>
      <c r="G26" s="49"/>
    </row>
    <row r="27" spans="1:8" ht="15">
      <c r="A27" s="454" t="s">
        <v>399</v>
      </c>
      <c r="B27" s="465">
        <f>SUM(B18:B26)</f>
        <v>8818.369999999999</v>
      </c>
      <c r="C27" s="466">
        <f t="shared" si="0"/>
        <v>44.091849999999994</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1284">
        <v>300</v>
      </c>
      <c r="C31" s="1284" t="s">
        <v>1033</v>
      </c>
      <c r="D31" s="1285" t="s">
        <v>996</v>
      </c>
      <c r="E31" s="1289" t="s">
        <v>408</v>
      </c>
      <c r="F31" s="1287">
        <v>8.1</v>
      </c>
      <c r="G31" s="1288">
        <v>200</v>
      </c>
      <c r="H31" s="474">
        <f>IF(G31&lt;=0, 0, F31*G31)</f>
        <v>1620</v>
      </c>
    </row>
    <row r="32" spans="1:8" ht="15">
      <c r="A32" s="454" t="s">
        <v>0</v>
      </c>
      <c r="B32" s="1284"/>
      <c r="C32" s="1284"/>
      <c r="D32" s="1289"/>
      <c r="E32" s="1289"/>
      <c r="F32" s="1287"/>
      <c r="G32" s="1288"/>
      <c r="H32" s="474">
        <f t="shared" ref="H32:H51" si="1">IF(G32&lt;=0, 0, F32*G32)</f>
        <v>0</v>
      </c>
    </row>
    <row r="33" spans="1:8" ht="15">
      <c r="A33" s="454" t="s">
        <v>0</v>
      </c>
      <c r="B33" s="1284"/>
      <c r="C33" s="1284"/>
      <c r="D33" s="1289"/>
      <c r="E33" s="1289"/>
      <c r="F33" s="1287"/>
      <c r="G33" s="1288"/>
      <c r="H33" s="474">
        <f t="shared" si="1"/>
        <v>0</v>
      </c>
    </row>
    <row r="34" spans="1:8" ht="15">
      <c r="A34" s="454" t="s">
        <v>2</v>
      </c>
      <c r="B34" s="1284">
        <v>952</v>
      </c>
      <c r="C34" s="1284" t="s">
        <v>1020</v>
      </c>
      <c r="D34" s="1289" t="s">
        <v>1021</v>
      </c>
      <c r="E34" s="1286" t="s">
        <v>408</v>
      </c>
      <c r="F34" s="1287">
        <v>6.43</v>
      </c>
      <c r="G34" s="1288">
        <v>200</v>
      </c>
      <c r="H34" s="474">
        <f t="shared" si="1"/>
        <v>1286</v>
      </c>
    </row>
    <row r="35" spans="1:8" ht="15">
      <c r="A35" s="454" t="s">
        <v>2</v>
      </c>
      <c r="B35" s="1284">
        <v>1125</v>
      </c>
      <c r="C35" s="1284" t="s">
        <v>1034</v>
      </c>
      <c r="D35" s="1289" t="s">
        <v>1035</v>
      </c>
      <c r="E35" s="1289" t="s">
        <v>408</v>
      </c>
      <c r="F35" s="1287">
        <v>10.25</v>
      </c>
      <c r="G35" s="1288">
        <v>200</v>
      </c>
      <c r="H35" s="474">
        <f t="shared" si="1"/>
        <v>2050</v>
      </c>
    </row>
    <row r="36" spans="1:8" ht="15">
      <c r="A36" s="454" t="s">
        <v>2</v>
      </c>
      <c r="B36" s="1284">
        <v>939</v>
      </c>
      <c r="C36" s="1284" t="s">
        <v>788</v>
      </c>
      <c r="D36" s="1289" t="s">
        <v>1036</v>
      </c>
      <c r="E36" s="1289" t="s">
        <v>411</v>
      </c>
      <c r="F36" s="1287">
        <v>24.54</v>
      </c>
      <c r="G36" s="1288">
        <v>10</v>
      </c>
      <c r="H36" s="474">
        <f t="shared" si="1"/>
        <v>245.39999999999998</v>
      </c>
    </row>
    <row r="37" spans="1:8" ht="15">
      <c r="A37" s="454" t="s">
        <v>2</v>
      </c>
      <c r="B37" s="470"/>
      <c r="C37" s="1274"/>
      <c r="D37" s="1289"/>
      <c r="E37" s="471"/>
      <c r="F37" s="472"/>
      <c r="G37" s="486"/>
      <c r="H37" s="474">
        <f t="shared" si="1"/>
        <v>0</v>
      </c>
    </row>
    <row r="38" spans="1:8" ht="15">
      <c r="A38" s="454" t="s">
        <v>3</v>
      </c>
      <c r="B38" s="1284">
        <v>230</v>
      </c>
      <c r="C38" s="1284" t="s">
        <v>414</v>
      </c>
      <c r="D38" s="1289" t="s">
        <v>1022</v>
      </c>
      <c r="E38" s="1289" t="s">
        <v>411</v>
      </c>
      <c r="F38" s="1287">
        <v>28.54</v>
      </c>
      <c r="G38" s="1288">
        <v>40</v>
      </c>
      <c r="H38" s="474">
        <f t="shared" si="1"/>
        <v>1141.5999999999999</v>
      </c>
    </row>
    <row r="39" spans="1:8" ht="15">
      <c r="A39" s="454" t="s">
        <v>3</v>
      </c>
      <c r="B39" s="1284">
        <v>235</v>
      </c>
      <c r="C39" s="1284" t="s">
        <v>999</v>
      </c>
      <c r="D39" s="1289" t="s">
        <v>1023</v>
      </c>
      <c r="E39" s="1289" t="s">
        <v>411</v>
      </c>
      <c r="F39" s="1287">
        <v>71.41</v>
      </c>
      <c r="G39" s="1288">
        <v>25</v>
      </c>
      <c r="H39" s="474">
        <f t="shared" si="1"/>
        <v>1785.25</v>
      </c>
    </row>
    <row r="40" spans="1:8" ht="15">
      <c r="A40" s="454" t="s">
        <v>3</v>
      </c>
      <c r="B40" s="470">
        <v>231</v>
      </c>
      <c r="C40" s="470" t="s">
        <v>578</v>
      </c>
      <c r="D40" s="471" t="s">
        <v>579</v>
      </c>
      <c r="E40" s="471" t="s">
        <v>411</v>
      </c>
      <c r="F40" s="472">
        <v>20.58</v>
      </c>
      <c r="G40" s="486">
        <v>10</v>
      </c>
      <c r="H40" s="474">
        <f t="shared" si="1"/>
        <v>205.79999999999998</v>
      </c>
    </row>
    <row r="41" spans="1:8" ht="15">
      <c r="A41" s="454" t="s">
        <v>3</v>
      </c>
      <c r="B41" s="470">
        <v>234</v>
      </c>
      <c r="C41" s="470" t="s">
        <v>959</v>
      </c>
      <c r="D41" s="471" t="s">
        <v>960</v>
      </c>
      <c r="E41" s="471" t="s">
        <v>411</v>
      </c>
      <c r="F41" s="472">
        <v>40.36</v>
      </c>
      <c r="G41" s="486">
        <v>12</v>
      </c>
      <c r="H41" s="474">
        <f t="shared" si="1"/>
        <v>484.32</v>
      </c>
    </row>
    <row r="42" spans="1:8" ht="15">
      <c r="A42" s="454" t="s">
        <v>4</v>
      </c>
      <c r="B42" s="470"/>
      <c r="C42" s="470"/>
      <c r="D42" s="471"/>
      <c r="E42" s="471"/>
      <c r="F42" s="481"/>
      <c r="G42" s="486"/>
      <c r="H42" s="474">
        <f t="shared" si="1"/>
        <v>0</v>
      </c>
    </row>
    <row r="43" spans="1:8" ht="16.5" customHeight="1">
      <c r="A43" s="454" t="s">
        <v>419</v>
      </c>
      <c r="B43" s="470"/>
      <c r="C43" s="470"/>
      <c r="D43" s="471"/>
      <c r="E43" s="471"/>
      <c r="F43" s="481"/>
      <c r="G43" s="486"/>
      <c r="H43" s="474">
        <f t="shared" si="1"/>
        <v>0</v>
      </c>
    </row>
    <row r="44" spans="1:8" ht="15">
      <c r="A44" s="454" t="s">
        <v>7</v>
      </c>
      <c r="B44" s="470"/>
      <c r="C44" s="470"/>
      <c r="D44" s="471"/>
      <c r="E44" s="471"/>
      <c r="F44" s="472"/>
      <c r="G44" s="486"/>
      <c r="H44" s="474">
        <f t="shared" si="1"/>
        <v>0</v>
      </c>
    </row>
    <row r="45" spans="1:8" ht="15">
      <c r="A45" s="454" t="s">
        <v>7</v>
      </c>
      <c r="B45" s="470"/>
      <c r="C45" s="470"/>
      <c r="D45" s="471"/>
      <c r="E45" s="471"/>
      <c r="F45" s="472"/>
      <c r="G45" s="486"/>
      <c r="H45" s="474">
        <f t="shared" si="1"/>
        <v>0</v>
      </c>
    </row>
    <row r="46" spans="1:8" ht="15">
      <c r="A46" s="454" t="s">
        <v>7</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421</v>
      </c>
      <c r="B48" s="470"/>
      <c r="C48" s="470"/>
      <c r="D48" s="471"/>
      <c r="E48" s="471"/>
      <c r="F48" s="472"/>
      <c r="G48" s="486"/>
      <c r="H48" s="474">
        <f t="shared" si="1"/>
        <v>0</v>
      </c>
    </row>
    <row r="49" spans="1:8" ht="15">
      <c r="A49" s="454" t="s">
        <v>421</v>
      </c>
      <c r="B49" s="470"/>
      <c r="C49" s="470"/>
      <c r="D49" s="471"/>
      <c r="E49" s="471"/>
      <c r="F49" s="472"/>
      <c r="G49" s="486"/>
      <c r="H49" s="474">
        <f t="shared" si="1"/>
        <v>0</v>
      </c>
    </row>
    <row r="50" spans="1:8" ht="15">
      <c r="A50" s="454" t="s">
        <v>5</v>
      </c>
      <c r="B50" s="470"/>
      <c r="C50" s="470"/>
      <c r="D50" s="471"/>
      <c r="E50" s="471"/>
      <c r="F50" s="472"/>
      <c r="G50" s="486"/>
      <c r="H50" s="474">
        <f t="shared" si="1"/>
        <v>0</v>
      </c>
    </row>
    <row r="51" spans="1:8" ht="15">
      <c r="A51" s="454" t="s">
        <v>20</v>
      </c>
      <c r="B51" s="470"/>
      <c r="C51" s="470"/>
      <c r="D51" s="471"/>
      <c r="E51" s="471"/>
      <c r="F51" s="472"/>
      <c r="G51" s="486"/>
      <c r="H51" s="474">
        <f t="shared" si="1"/>
        <v>0</v>
      </c>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96" spans="1:7">
      <c r="D96" s="57"/>
    </row>
    <row r="97" spans="4:4">
      <c r="D97" s="57"/>
    </row>
    <row r="98" spans="4:4">
      <c r="D98" s="57"/>
    </row>
    <row r="99" spans="4:4">
      <c r="D99" s="57"/>
    </row>
    <row r="100" spans="4:4">
      <c r="D100" s="57"/>
    </row>
    <row r="101" spans="4:4">
      <c r="D101" s="57"/>
    </row>
    <row r="102" spans="4:4">
      <c r="D102" s="57"/>
    </row>
    <row r="104" spans="4:4">
      <c r="D104" s="57"/>
    </row>
    <row r="106" spans="4:4">
      <c r="D106" s="56"/>
    </row>
    <row r="108" spans="4:4">
      <c r="D108"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0" orientation="portrait" r:id="rId1"/>
  <headerFooter alignWithMargins="0"/>
</worksheet>
</file>

<file path=xl/worksheets/sheet195.xml><?xml version="1.0" encoding="utf-8"?>
<worksheet xmlns="http://schemas.openxmlformats.org/spreadsheetml/2006/main" xmlns:r="http://schemas.openxmlformats.org/officeDocument/2006/relationships">
  <sheetPr>
    <pageSetUpPr fitToPage="1"/>
  </sheetPr>
  <dimension ref="A1:H106"/>
  <sheetViews>
    <sheetView topLeftCell="A16" zoomScale="90" zoomScaleNormal="90" workbookViewId="0">
      <selection activeCell="D15" sqref="D15"/>
    </sheetView>
  </sheetViews>
  <sheetFormatPr defaultRowHeight="12.75"/>
  <cols>
    <col min="1" max="1" width="34.5703125" style="2" customWidth="1"/>
    <col min="2" max="2" width="25.42578125" style="2" customWidth="1"/>
    <col min="3" max="3" width="60.85546875" style="2" customWidth="1"/>
    <col min="4" max="4" width="17.5703125" style="2" customWidth="1"/>
    <col min="5" max="5" width="15.140625" style="2" customWidth="1"/>
    <col min="6" max="6" width="11" style="2" customWidth="1"/>
    <col min="7" max="7" width="10.7109375" style="2" bestFit="1" customWidth="1"/>
    <col min="8" max="8" width="11.57031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989</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1037</v>
      </c>
      <c r="D8" s="461"/>
      <c r="E8" s="457"/>
      <c r="F8" s="457"/>
      <c r="G8" s="461"/>
    </row>
    <row r="9" spans="1:7" ht="117.75" customHeight="1">
      <c r="A9" s="454" t="s">
        <v>382</v>
      </c>
      <c r="B9" s="454" t="s">
        <v>385</v>
      </c>
      <c r="C9" s="2009" t="s">
        <v>1038</v>
      </c>
      <c r="D9" s="2010"/>
      <c r="E9" s="2010"/>
      <c r="F9" s="2010"/>
      <c r="G9" s="2011"/>
    </row>
    <row r="10" spans="1:7" ht="51.75" customHeight="1">
      <c r="A10" s="454" t="s">
        <v>382</v>
      </c>
      <c r="B10" s="454" t="s">
        <v>387</v>
      </c>
      <c r="C10" s="2009" t="s">
        <v>1039</v>
      </c>
      <c r="D10" s="2010"/>
      <c r="E10" s="2010"/>
      <c r="F10" s="2010"/>
      <c r="G10" s="2011"/>
    </row>
    <row r="11" spans="1:7" ht="69.75" customHeight="1">
      <c r="A11" s="454" t="s">
        <v>382</v>
      </c>
      <c r="B11" s="454" t="s">
        <v>389</v>
      </c>
      <c r="C11" s="2009" t="s">
        <v>1040</v>
      </c>
      <c r="D11" s="2010"/>
      <c r="E11" s="2010"/>
      <c r="F11" s="2010"/>
      <c r="G11" s="2011"/>
    </row>
    <row r="12" spans="1:7" ht="51.75" customHeight="1">
      <c r="A12" s="454" t="s">
        <v>382</v>
      </c>
      <c r="B12" s="454" t="s">
        <v>391</v>
      </c>
      <c r="C12" s="2009" t="s">
        <v>994</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0</v>
      </c>
      <c r="C18" s="466">
        <f>B18/C$14</f>
        <v>0</v>
      </c>
      <c r="D18" s="49"/>
      <c r="E18" s="89"/>
      <c r="F18" s="89"/>
      <c r="G18" s="49"/>
    </row>
    <row r="19" spans="1:8" ht="15">
      <c r="A19" s="454" t="s">
        <v>2</v>
      </c>
      <c r="B19" s="465">
        <f>SUM(H34:H36)</f>
        <v>3000</v>
      </c>
      <c r="C19" s="466">
        <f t="shared" ref="C19:C27" si="0">B19/C$14</f>
        <v>60</v>
      </c>
      <c r="D19" s="49"/>
      <c r="E19" s="89"/>
      <c r="F19" s="89"/>
      <c r="G19" s="49"/>
    </row>
    <row r="20" spans="1:8" ht="15">
      <c r="A20" s="454" t="s">
        <v>3</v>
      </c>
      <c r="B20" s="465">
        <f>SUM(H37:H39)</f>
        <v>942.41999999999985</v>
      </c>
      <c r="C20" s="466">
        <f t="shared" si="0"/>
        <v>18.848399999999998</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3942.42</v>
      </c>
      <c r="C27" s="466">
        <f t="shared" si="0"/>
        <v>78.848399999999998</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c r="C31" s="470"/>
      <c r="D31" s="471"/>
      <c r="E31" s="1290"/>
      <c r="F31" s="1291"/>
      <c r="G31" s="486"/>
      <c r="H31" s="474">
        <f>IF(G31&lt;=0, 0, F31*G31)</f>
        <v>0</v>
      </c>
    </row>
    <row r="32" spans="1:8" ht="15">
      <c r="A32" s="454" t="s">
        <v>0</v>
      </c>
      <c r="B32" s="470"/>
      <c r="C32" s="470"/>
      <c r="D32" s="471"/>
      <c r="E32" s="471"/>
      <c r="F32" s="472"/>
      <c r="G32" s="486"/>
      <c r="H32" s="474">
        <f t="shared" ref="H32:H49" si="1">IF(G32&lt;=0, 0, F32*G32)</f>
        <v>0</v>
      </c>
    </row>
    <row r="33" spans="1:8" ht="15">
      <c r="A33" s="454" t="s">
        <v>0</v>
      </c>
      <c r="B33" s="470"/>
      <c r="C33" s="470"/>
      <c r="D33" s="471"/>
      <c r="E33" s="471"/>
      <c r="F33" s="472"/>
      <c r="G33" s="486"/>
      <c r="H33" s="474">
        <f t="shared" si="1"/>
        <v>0</v>
      </c>
    </row>
    <row r="34" spans="1:8" ht="15">
      <c r="A34" s="454" t="s">
        <v>2</v>
      </c>
      <c r="B34" s="1284">
        <v>956</v>
      </c>
      <c r="C34" s="1284" t="s">
        <v>1041</v>
      </c>
      <c r="D34" s="1289" t="s">
        <v>1042</v>
      </c>
      <c r="E34" s="1286" t="s">
        <v>1043</v>
      </c>
      <c r="F34" s="1287">
        <v>0.01</v>
      </c>
      <c r="G34" s="1288">
        <v>300000</v>
      </c>
      <c r="H34" s="474">
        <f t="shared" si="1"/>
        <v>3000</v>
      </c>
    </row>
    <row r="35" spans="1:8" ht="15">
      <c r="A35" s="454" t="s">
        <v>2</v>
      </c>
      <c r="B35" s="1274"/>
      <c r="C35" s="1274"/>
      <c r="D35" s="471"/>
      <c r="E35" s="471"/>
      <c r="F35" s="1273"/>
      <c r="G35" s="486"/>
      <c r="H35" s="474">
        <f t="shared" si="1"/>
        <v>0</v>
      </c>
    </row>
    <row r="36" spans="1:8" ht="15">
      <c r="A36" s="454" t="s">
        <v>2</v>
      </c>
      <c r="B36" s="470"/>
      <c r="C36" s="470"/>
      <c r="D36" s="471"/>
      <c r="E36" s="471"/>
      <c r="F36" s="472"/>
      <c r="G36" s="486"/>
      <c r="H36" s="474">
        <f t="shared" si="1"/>
        <v>0</v>
      </c>
    </row>
    <row r="37" spans="1:8" ht="15">
      <c r="A37" s="454" t="s">
        <v>3</v>
      </c>
      <c r="B37" s="1284">
        <v>230</v>
      </c>
      <c r="C37" s="1284" t="s">
        <v>414</v>
      </c>
      <c r="D37" s="1289" t="s">
        <v>1022</v>
      </c>
      <c r="E37" s="1289" t="s">
        <v>411</v>
      </c>
      <c r="F37" s="1287">
        <v>28.54</v>
      </c>
      <c r="G37" s="1288">
        <v>8</v>
      </c>
      <c r="H37" s="474">
        <f t="shared" si="1"/>
        <v>228.32</v>
      </c>
    </row>
    <row r="38" spans="1:8" ht="15">
      <c r="A38" s="454" t="s">
        <v>3</v>
      </c>
      <c r="B38" s="1284">
        <v>235</v>
      </c>
      <c r="C38" s="1284" t="s">
        <v>999</v>
      </c>
      <c r="D38" s="1289" t="s">
        <v>1023</v>
      </c>
      <c r="E38" s="1289" t="s">
        <v>411</v>
      </c>
      <c r="F38" s="1287">
        <v>71.41</v>
      </c>
      <c r="G38" s="1288">
        <v>10</v>
      </c>
      <c r="H38" s="474">
        <f t="shared" si="1"/>
        <v>714.09999999999991</v>
      </c>
    </row>
    <row r="39" spans="1:8" ht="15">
      <c r="A39" s="454" t="s">
        <v>3</v>
      </c>
      <c r="B39" s="470"/>
      <c r="C39" s="470"/>
      <c r="D39" s="471"/>
      <c r="E39" s="471"/>
      <c r="F39" s="472"/>
      <c r="G39" s="486"/>
      <c r="H39" s="474">
        <f t="shared" si="1"/>
        <v>0</v>
      </c>
    </row>
    <row r="40" spans="1:8" ht="15">
      <c r="A40" s="454" t="s">
        <v>4</v>
      </c>
      <c r="B40" s="470"/>
      <c r="C40" s="470"/>
      <c r="D40" s="471"/>
      <c r="E40" s="471"/>
      <c r="F40" s="481"/>
      <c r="G40" s="486"/>
      <c r="H40" s="474">
        <f t="shared" si="1"/>
        <v>0</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0" orientation="portrait" r:id="rId1"/>
  <headerFooter alignWithMargins="0"/>
</worksheet>
</file>

<file path=xl/worksheets/sheet196.xml><?xml version="1.0" encoding="utf-8"?>
<worksheet xmlns="http://schemas.openxmlformats.org/spreadsheetml/2006/main" xmlns:r="http://schemas.openxmlformats.org/officeDocument/2006/relationships">
  <sheetPr>
    <pageSetUpPr fitToPage="1"/>
  </sheetPr>
  <dimension ref="A1:H106"/>
  <sheetViews>
    <sheetView topLeftCell="A4" zoomScale="90" zoomScaleNormal="90" workbookViewId="0">
      <selection activeCell="D15" sqref="D15"/>
    </sheetView>
  </sheetViews>
  <sheetFormatPr defaultRowHeight="12.75"/>
  <cols>
    <col min="1" max="1" width="34.5703125" style="2" customWidth="1"/>
    <col min="2" max="2" width="25.42578125" style="2" customWidth="1"/>
    <col min="3" max="3" width="60.85546875" style="2" customWidth="1"/>
    <col min="4" max="4" width="17.5703125" style="2" customWidth="1"/>
    <col min="5" max="5" width="15.140625" style="2" customWidth="1"/>
    <col min="6" max="6" width="11" style="2" customWidth="1"/>
    <col min="7" max="7" width="10.7109375" style="2" bestFit="1" customWidth="1"/>
    <col min="8" max="8" width="11.57031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989</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1044</v>
      </c>
      <c r="D8" s="461"/>
      <c r="E8" s="457"/>
      <c r="F8" s="457"/>
      <c r="G8" s="461"/>
    </row>
    <row r="9" spans="1:7" ht="123.75" customHeight="1">
      <c r="A9" s="454" t="s">
        <v>382</v>
      </c>
      <c r="B9" s="454" t="s">
        <v>385</v>
      </c>
      <c r="C9" s="2009" t="s">
        <v>1045</v>
      </c>
      <c r="D9" s="2010"/>
      <c r="E9" s="2010"/>
      <c r="F9" s="2010"/>
      <c r="G9" s="2011"/>
    </row>
    <row r="10" spans="1:7" ht="51.75" customHeight="1">
      <c r="A10" s="454" t="s">
        <v>382</v>
      </c>
      <c r="B10" s="454" t="s">
        <v>387</v>
      </c>
      <c r="C10" s="2009" t="s">
        <v>1046</v>
      </c>
      <c r="D10" s="2010"/>
      <c r="E10" s="2010"/>
      <c r="F10" s="2010"/>
      <c r="G10" s="2011"/>
    </row>
    <row r="11" spans="1:7" ht="62.25" customHeight="1">
      <c r="A11" s="454" t="s">
        <v>382</v>
      </c>
      <c r="B11" s="454" t="s">
        <v>389</v>
      </c>
      <c r="C11" s="2009" t="s">
        <v>1047</v>
      </c>
      <c r="D11" s="2010"/>
      <c r="E11" s="2010"/>
      <c r="F11" s="2010"/>
      <c r="G11" s="2011"/>
    </row>
    <row r="12" spans="1:7" ht="51.75" customHeight="1">
      <c r="A12" s="454" t="s">
        <v>382</v>
      </c>
      <c r="B12" s="454" t="s">
        <v>391</v>
      </c>
      <c r="C12" s="2009" t="s">
        <v>994</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20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90</v>
      </c>
      <c r="C18" s="466">
        <f>B18/C$14</f>
        <v>4.5</v>
      </c>
      <c r="D18" s="49"/>
      <c r="E18" s="89"/>
      <c r="F18" s="89"/>
      <c r="G18" s="49"/>
    </row>
    <row r="19" spans="1:8" ht="15">
      <c r="A19" s="454" t="s">
        <v>2</v>
      </c>
      <c r="B19" s="465">
        <f>SUM(H34:H36)</f>
        <v>128.6</v>
      </c>
      <c r="C19" s="466">
        <f t="shared" ref="C19:C27" si="0">B19/C$14</f>
        <v>6.43</v>
      </c>
      <c r="D19" s="49"/>
      <c r="E19" s="89"/>
      <c r="F19" s="89"/>
      <c r="G19" s="49"/>
    </row>
    <row r="20" spans="1:8" ht="15">
      <c r="A20" s="454" t="s">
        <v>3</v>
      </c>
      <c r="B20" s="465">
        <f>SUM(H37:H39)</f>
        <v>1213.8499999999999</v>
      </c>
      <c r="C20" s="466">
        <f t="shared" si="0"/>
        <v>60.692499999999995</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1432.4499999999998</v>
      </c>
      <c r="C27" s="466">
        <f t="shared" si="0"/>
        <v>71.622499999999988</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1284">
        <v>311</v>
      </c>
      <c r="C31" s="1284" t="s">
        <v>1018</v>
      </c>
      <c r="D31" s="1285" t="s">
        <v>1019</v>
      </c>
      <c r="E31" s="1289" t="s">
        <v>778</v>
      </c>
      <c r="F31" s="1287">
        <v>6</v>
      </c>
      <c r="G31" s="1288">
        <v>15</v>
      </c>
      <c r="H31" s="474">
        <f>IF(G31&lt;=0, 0, F31*G31)</f>
        <v>90</v>
      </c>
    </row>
    <row r="32" spans="1:8" ht="15">
      <c r="A32" s="454" t="s">
        <v>0</v>
      </c>
      <c r="B32" s="1284"/>
      <c r="C32" s="1284"/>
      <c r="D32" s="1289"/>
      <c r="E32" s="1289"/>
      <c r="F32" s="1287"/>
      <c r="G32" s="1288"/>
      <c r="H32" s="474">
        <f t="shared" ref="H32:H49" si="1">IF(G32&lt;=0, 0, F32*G32)</f>
        <v>0</v>
      </c>
    </row>
    <row r="33" spans="1:8" ht="15">
      <c r="A33" s="454" t="s">
        <v>0</v>
      </c>
      <c r="B33" s="1284"/>
      <c r="C33" s="1284"/>
      <c r="D33" s="1289"/>
      <c r="E33" s="1289"/>
      <c r="F33" s="1287"/>
      <c r="G33" s="1288"/>
      <c r="H33" s="474">
        <f t="shared" si="1"/>
        <v>0</v>
      </c>
    </row>
    <row r="34" spans="1:8" ht="15">
      <c r="A34" s="454" t="s">
        <v>2</v>
      </c>
      <c r="B34" s="1284">
        <v>952</v>
      </c>
      <c r="C34" s="1284" t="s">
        <v>1020</v>
      </c>
      <c r="D34" s="1285" t="s">
        <v>1021</v>
      </c>
      <c r="E34" s="1286" t="s">
        <v>408</v>
      </c>
      <c r="F34" s="1287">
        <v>6.43</v>
      </c>
      <c r="G34" s="1288">
        <v>20</v>
      </c>
      <c r="H34" s="474">
        <f t="shared" si="1"/>
        <v>128.6</v>
      </c>
    </row>
    <row r="35" spans="1:8" ht="15">
      <c r="A35" s="454" t="s">
        <v>2</v>
      </c>
      <c r="B35" s="1284"/>
      <c r="C35" s="1284"/>
      <c r="D35" s="1289"/>
      <c r="E35" s="1289"/>
      <c r="F35" s="1287"/>
      <c r="G35" s="1288"/>
      <c r="H35" s="474">
        <f t="shared" si="1"/>
        <v>0</v>
      </c>
    </row>
    <row r="36" spans="1:8" ht="15">
      <c r="A36" s="454" t="s">
        <v>2</v>
      </c>
      <c r="B36" s="1284"/>
      <c r="C36" s="1284"/>
      <c r="D36" s="1289"/>
      <c r="E36" s="1289"/>
      <c r="F36" s="1287"/>
      <c r="G36" s="1288"/>
      <c r="H36" s="474">
        <f t="shared" si="1"/>
        <v>0</v>
      </c>
    </row>
    <row r="37" spans="1:8" ht="15">
      <c r="A37" s="454" t="s">
        <v>3</v>
      </c>
      <c r="B37" s="1284">
        <v>230</v>
      </c>
      <c r="C37" s="1284" t="s">
        <v>414</v>
      </c>
      <c r="D37" s="1289" t="s">
        <v>1022</v>
      </c>
      <c r="E37" s="1289" t="s">
        <v>411</v>
      </c>
      <c r="F37" s="1287">
        <v>28.54</v>
      </c>
      <c r="G37" s="1288">
        <v>5</v>
      </c>
      <c r="H37" s="474">
        <f t="shared" si="1"/>
        <v>142.69999999999999</v>
      </c>
    </row>
    <row r="38" spans="1:8" ht="15">
      <c r="A38" s="454" t="s">
        <v>3</v>
      </c>
      <c r="B38" s="1284">
        <v>235</v>
      </c>
      <c r="C38" s="1284" t="s">
        <v>999</v>
      </c>
      <c r="D38" s="1289" t="s">
        <v>1023</v>
      </c>
      <c r="E38" s="1289" t="s">
        <v>411</v>
      </c>
      <c r="F38" s="1287">
        <v>71.41</v>
      </c>
      <c r="G38" s="1288">
        <v>15</v>
      </c>
      <c r="H38" s="474">
        <f t="shared" si="1"/>
        <v>1071.1499999999999</v>
      </c>
    </row>
    <row r="39" spans="1:8" ht="15">
      <c r="A39" s="454" t="s">
        <v>3</v>
      </c>
      <c r="B39" s="470"/>
      <c r="C39" s="470"/>
      <c r="D39" s="471"/>
      <c r="E39" s="471"/>
      <c r="F39" s="472"/>
      <c r="G39" s="486"/>
      <c r="H39" s="474">
        <f t="shared" si="1"/>
        <v>0</v>
      </c>
    </row>
    <row r="40" spans="1:8" ht="15">
      <c r="A40" s="454" t="s">
        <v>4</v>
      </c>
      <c r="B40" s="470"/>
      <c r="C40" s="470"/>
      <c r="D40" s="471"/>
      <c r="E40" s="471"/>
      <c r="F40" s="481"/>
      <c r="G40" s="486"/>
      <c r="H40" s="474">
        <f t="shared" si="1"/>
        <v>0</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0" orientation="portrait" r:id="rId1"/>
  <headerFooter alignWithMargins="0"/>
</worksheet>
</file>

<file path=xl/worksheets/sheet197.xml><?xml version="1.0" encoding="utf-8"?>
<worksheet xmlns="http://schemas.openxmlformats.org/spreadsheetml/2006/main" xmlns:r="http://schemas.openxmlformats.org/officeDocument/2006/relationships">
  <sheetPr>
    <tabColor theme="3"/>
    <pageSetUpPr fitToPage="1"/>
  </sheetPr>
  <dimension ref="A1:H106"/>
  <sheetViews>
    <sheetView topLeftCell="A16" zoomScaleNormal="100" workbookViewId="0">
      <selection activeCell="A15" sqref="A15"/>
    </sheetView>
  </sheetViews>
  <sheetFormatPr defaultColWidth="9.140625"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12.1406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2451</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2452</v>
      </c>
      <c r="D8" s="461"/>
      <c r="E8" s="457"/>
      <c r="F8" s="457"/>
      <c r="G8" s="461"/>
    </row>
    <row r="9" spans="1:7" ht="125.45" customHeight="1">
      <c r="A9" s="454" t="s">
        <v>382</v>
      </c>
      <c r="B9" s="454" t="s">
        <v>385</v>
      </c>
      <c r="C9" s="2009" t="s">
        <v>2453</v>
      </c>
      <c r="D9" s="2010"/>
      <c r="E9" s="2010"/>
      <c r="F9" s="2010"/>
      <c r="G9" s="2011"/>
    </row>
    <row r="10" spans="1:7" ht="93" customHeight="1">
      <c r="A10" s="454" t="s">
        <v>382</v>
      </c>
      <c r="B10" s="454" t="s">
        <v>387</v>
      </c>
      <c r="C10" s="2009" t="s">
        <v>2454</v>
      </c>
      <c r="D10" s="2010"/>
      <c r="E10" s="2010"/>
      <c r="F10" s="2010"/>
      <c r="G10" s="2011"/>
    </row>
    <row r="11" spans="1:7" ht="108.6" customHeight="1">
      <c r="A11" s="454" t="s">
        <v>382</v>
      </c>
      <c r="B11" s="454" t="s">
        <v>389</v>
      </c>
      <c r="C11" s="2009" t="s">
        <v>2455</v>
      </c>
      <c r="D11" s="2010"/>
      <c r="E11" s="2010"/>
      <c r="F11" s="2010"/>
      <c r="G11" s="2011"/>
    </row>
    <row r="12" spans="1:7" ht="51.75" customHeight="1">
      <c r="A12" s="454" t="s">
        <v>382</v>
      </c>
      <c r="B12" s="454" t="s">
        <v>391</v>
      </c>
      <c r="C12" s="2009" t="s">
        <v>2456</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250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0</v>
      </c>
      <c r="C18" s="466">
        <f>B18/C$14</f>
        <v>0</v>
      </c>
      <c r="D18" s="49"/>
      <c r="E18" s="89"/>
      <c r="F18" s="89"/>
      <c r="G18" s="49"/>
    </row>
    <row r="19" spans="1:8" ht="15">
      <c r="A19" s="454" t="s">
        <v>2</v>
      </c>
      <c r="B19" s="465">
        <f>SUM(H34:H36)</f>
        <v>2955</v>
      </c>
      <c r="C19" s="466">
        <f t="shared" ref="C19:C27" si="0">B19/C$14</f>
        <v>11.82</v>
      </c>
      <c r="D19" s="49"/>
      <c r="E19" s="89"/>
      <c r="F19" s="89"/>
      <c r="G19" s="49"/>
    </row>
    <row r="20" spans="1:8" ht="15">
      <c r="A20" s="454" t="s">
        <v>3</v>
      </c>
      <c r="B20" s="465">
        <f>SUM(H37:H39)</f>
        <v>2055.8399999999997</v>
      </c>
      <c r="C20" s="466">
        <f t="shared" si="0"/>
        <v>8.2233599999999996</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5010.84</v>
      </c>
      <c r="C27" s="466">
        <f t="shared" si="0"/>
        <v>20.04336</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c r="C31" s="470"/>
      <c r="D31" s="471"/>
      <c r="E31" s="471"/>
      <c r="F31" s="472"/>
      <c r="G31" s="473"/>
      <c r="H31" s="474">
        <f>IF(G31&lt;=0, 0, F31*G31)</f>
        <v>0</v>
      </c>
    </row>
    <row r="32" spans="1:8" ht="15">
      <c r="A32" s="454" t="s">
        <v>0</v>
      </c>
      <c r="B32" s="470"/>
      <c r="C32" s="470"/>
      <c r="D32" s="471"/>
      <c r="E32" s="471"/>
      <c r="F32" s="472"/>
      <c r="G32" s="473"/>
      <c r="H32" s="474">
        <f t="shared" ref="H32:H49" si="1">IF(G32&lt;=0, 0, F32*G32)</f>
        <v>0</v>
      </c>
    </row>
    <row r="33" spans="1:8" ht="15">
      <c r="A33" s="454" t="s">
        <v>0</v>
      </c>
      <c r="B33" s="470"/>
      <c r="C33" s="470"/>
      <c r="D33" s="471"/>
      <c r="E33" s="471"/>
      <c r="F33" s="472"/>
      <c r="G33" s="473"/>
      <c r="H33" s="474">
        <f t="shared" si="1"/>
        <v>0</v>
      </c>
    </row>
    <row r="34" spans="1:8" ht="15">
      <c r="A34" s="454" t="s">
        <v>2</v>
      </c>
      <c r="B34" s="470">
        <v>948</v>
      </c>
      <c r="C34" s="1274" t="s">
        <v>2457</v>
      </c>
      <c r="D34" s="471" t="s">
        <v>2458</v>
      </c>
      <c r="E34" s="471" t="s">
        <v>2459</v>
      </c>
      <c r="F34" s="472">
        <v>5.91</v>
      </c>
      <c r="G34" s="473">
        <v>250</v>
      </c>
      <c r="H34" s="474">
        <f t="shared" si="1"/>
        <v>1477.5</v>
      </c>
    </row>
    <row r="35" spans="1:8" ht="15">
      <c r="A35" s="454" t="s">
        <v>2</v>
      </c>
      <c r="B35" s="470">
        <v>948</v>
      </c>
      <c r="C35" s="1274" t="s">
        <v>2460</v>
      </c>
      <c r="D35" s="471" t="s">
        <v>2461</v>
      </c>
      <c r="E35" s="471" t="s">
        <v>408</v>
      </c>
      <c r="F35" s="472">
        <v>5.91</v>
      </c>
      <c r="G35" s="473">
        <v>250</v>
      </c>
      <c r="H35" s="474">
        <f t="shared" si="1"/>
        <v>1477.5</v>
      </c>
    </row>
    <row r="36" spans="1:8" ht="15">
      <c r="A36" s="454" t="s">
        <v>2</v>
      </c>
      <c r="B36" s="470"/>
      <c r="C36" s="1274"/>
      <c r="D36" s="471"/>
      <c r="E36" s="471"/>
      <c r="F36" s="472"/>
      <c r="G36" s="473"/>
      <c r="H36" s="474">
        <f t="shared" si="1"/>
        <v>0</v>
      </c>
    </row>
    <row r="37" spans="1:8" ht="15">
      <c r="A37" s="454" t="s">
        <v>3</v>
      </c>
      <c r="B37" s="470">
        <v>230</v>
      </c>
      <c r="C37" s="1274" t="s">
        <v>2462</v>
      </c>
      <c r="D37" s="471" t="s">
        <v>2463</v>
      </c>
      <c r="E37" s="471" t="s">
        <v>2464</v>
      </c>
      <c r="F37" s="472">
        <v>28.54</v>
      </c>
      <c r="G37" s="473">
        <v>16</v>
      </c>
      <c r="H37" s="474">
        <f t="shared" si="1"/>
        <v>456.64</v>
      </c>
    </row>
    <row r="38" spans="1:8" ht="15">
      <c r="A38" s="454" t="s">
        <v>3</v>
      </c>
      <c r="B38" s="470">
        <v>235</v>
      </c>
      <c r="C38" s="1274" t="s">
        <v>2465</v>
      </c>
      <c r="D38" s="471" t="s">
        <v>2466</v>
      </c>
      <c r="E38" s="471" t="s">
        <v>411</v>
      </c>
      <c r="F38" s="472">
        <v>71.41</v>
      </c>
      <c r="G38" s="473">
        <v>16</v>
      </c>
      <c r="H38" s="474">
        <f t="shared" si="1"/>
        <v>1142.56</v>
      </c>
    </row>
    <row r="39" spans="1:8" ht="15">
      <c r="A39" s="454" t="s">
        <v>3</v>
      </c>
      <c r="B39" s="470">
        <v>230</v>
      </c>
      <c r="C39" s="1274" t="s">
        <v>2467</v>
      </c>
      <c r="D39" s="471" t="s">
        <v>2463</v>
      </c>
      <c r="E39" s="471" t="s">
        <v>2464</v>
      </c>
      <c r="F39" s="472">
        <v>28.54</v>
      </c>
      <c r="G39" s="473">
        <v>16</v>
      </c>
      <c r="H39" s="474">
        <f t="shared" si="1"/>
        <v>456.64</v>
      </c>
    </row>
    <row r="40" spans="1:8" ht="15">
      <c r="A40" s="454" t="s">
        <v>4</v>
      </c>
      <c r="B40" s="470"/>
      <c r="C40" s="470"/>
      <c r="D40" s="471"/>
      <c r="E40" s="471"/>
      <c r="F40" s="481"/>
      <c r="G40" s="473"/>
      <c r="H40" s="474">
        <f t="shared" si="1"/>
        <v>0</v>
      </c>
    </row>
    <row r="41" spans="1:8" ht="16.5" customHeight="1">
      <c r="A41" s="454" t="s">
        <v>419</v>
      </c>
      <c r="B41" s="470"/>
      <c r="C41" s="470"/>
      <c r="D41" s="471"/>
      <c r="E41" s="471"/>
      <c r="F41" s="481"/>
      <c r="G41" s="473"/>
      <c r="H41" s="474">
        <f t="shared" si="1"/>
        <v>0</v>
      </c>
    </row>
    <row r="42" spans="1:8" ht="15">
      <c r="A42" s="454" t="s">
        <v>7</v>
      </c>
      <c r="B42" s="470"/>
      <c r="C42" s="470"/>
      <c r="D42" s="471"/>
      <c r="E42" s="471"/>
      <c r="F42" s="472"/>
      <c r="G42" s="473"/>
      <c r="H42" s="474">
        <f t="shared" si="1"/>
        <v>0</v>
      </c>
    </row>
    <row r="43" spans="1:8" ht="15">
      <c r="A43" s="454" t="s">
        <v>7</v>
      </c>
      <c r="B43" s="470"/>
      <c r="C43" s="470"/>
      <c r="D43" s="471"/>
      <c r="E43" s="471"/>
      <c r="F43" s="472"/>
      <c r="G43" s="473"/>
      <c r="H43" s="474">
        <f t="shared" si="1"/>
        <v>0</v>
      </c>
    </row>
    <row r="44" spans="1:8" ht="15">
      <c r="A44" s="454" t="s">
        <v>7</v>
      </c>
      <c r="B44" s="470"/>
      <c r="C44" s="470"/>
      <c r="D44" s="471"/>
      <c r="E44" s="471"/>
      <c r="F44" s="472"/>
      <c r="G44" s="473"/>
      <c r="H44" s="474">
        <f t="shared" si="1"/>
        <v>0</v>
      </c>
    </row>
    <row r="45" spans="1:8" ht="15">
      <c r="A45" s="454" t="s">
        <v>421</v>
      </c>
      <c r="B45" s="470"/>
      <c r="C45" s="470"/>
      <c r="D45" s="471"/>
      <c r="E45" s="471"/>
      <c r="F45" s="472"/>
      <c r="G45" s="473"/>
      <c r="H45" s="474">
        <f t="shared" si="1"/>
        <v>0</v>
      </c>
    </row>
    <row r="46" spans="1:8" ht="15">
      <c r="A46" s="454" t="s">
        <v>421</v>
      </c>
      <c r="B46" s="470"/>
      <c r="C46" s="470"/>
      <c r="D46" s="471"/>
      <c r="E46" s="471"/>
      <c r="F46" s="472"/>
      <c r="G46" s="473"/>
      <c r="H46" s="474">
        <f t="shared" si="1"/>
        <v>0</v>
      </c>
    </row>
    <row r="47" spans="1:8" ht="15">
      <c r="A47" s="454" t="s">
        <v>421</v>
      </c>
      <c r="B47" s="470"/>
      <c r="C47" s="470"/>
      <c r="D47" s="471"/>
      <c r="E47" s="471"/>
      <c r="F47" s="472"/>
      <c r="G47" s="473"/>
      <c r="H47" s="474">
        <f t="shared" si="1"/>
        <v>0</v>
      </c>
    </row>
    <row r="48" spans="1:8" ht="15">
      <c r="A48" s="454" t="s">
        <v>5</v>
      </c>
      <c r="B48" s="470"/>
      <c r="C48" s="470"/>
      <c r="D48" s="471"/>
      <c r="E48" s="471"/>
      <c r="F48" s="472"/>
      <c r="G48" s="473"/>
      <c r="H48" s="474">
        <f t="shared" si="1"/>
        <v>0</v>
      </c>
    </row>
    <row r="49" spans="1:8" ht="15">
      <c r="A49" s="454" t="s">
        <v>20</v>
      </c>
      <c r="B49" s="470"/>
      <c r="C49" s="470"/>
      <c r="D49" s="471"/>
      <c r="E49" s="471"/>
      <c r="F49" s="472"/>
      <c r="G49" s="473"/>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6" orientation="portrait" r:id="rId1"/>
  <headerFooter alignWithMargins="0"/>
</worksheet>
</file>

<file path=xl/worksheets/sheet198.xml><?xml version="1.0" encoding="utf-8"?>
<worksheet xmlns="http://schemas.openxmlformats.org/spreadsheetml/2006/main" xmlns:r="http://schemas.openxmlformats.org/officeDocument/2006/relationships">
  <sheetPr>
    <tabColor theme="3"/>
    <pageSetUpPr fitToPage="1"/>
  </sheetPr>
  <dimension ref="A1:H108"/>
  <sheetViews>
    <sheetView topLeftCell="A16" zoomScaleNormal="100" workbookViewId="0">
      <selection activeCell="A15" sqref="A15"/>
    </sheetView>
  </sheetViews>
  <sheetFormatPr defaultColWidth="9.140625"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13.1406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2451</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2468</v>
      </c>
      <c r="D8" s="461"/>
      <c r="E8" s="457"/>
      <c r="F8" s="457"/>
      <c r="G8" s="461"/>
    </row>
    <row r="9" spans="1:7" ht="147.6" customHeight="1">
      <c r="A9" s="454" t="s">
        <v>382</v>
      </c>
      <c r="B9" s="454" t="s">
        <v>385</v>
      </c>
      <c r="C9" s="2009" t="s">
        <v>2469</v>
      </c>
      <c r="D9" s="2010"/>
      <c r="E9" s="2010"/>
      <c r="F9" s="2010"/>
      <c r="G9" s="2011"/>
    </row>
    <row r="10" spans="1:7" ht="97.9" customHeight="1">
      <c r="A10" s="454" t="s">
        <v>382</v>
      </c>
      <c r="B10" s="454" t="s">
        <v>387</v>
      </c>
      <c r="C10" s="2009" t="s">
        <v>2470</v>
      </c>
      <c r="D10" s="2010"/>
      <c r="E10" s="2010"/>
      <c r="F10" s="2010"/>
      <c r="G10" s="2011"/>
    </row>
    <row r="11" spans="1:7" ht="152.44999999999999" customHeight="1">
      <c r="A11" s="454" t="s">
        <v>382</v>
      </c>
      <c r="B11" s="454" t="s">
        <v>389</v>
      </c>
      <c r="C11" s="2009" t="s">
        <v>2471</v>
      </c>
      <c r="D11" s="2010"/>
      <c r="E11" s="2010"/>
      <c r="F11" s="2010"/>
      <c r="G11" s="2011"/>
    </row>
    <row r="12" spans="1:7" ht="51.75" customHeight="1">
      <c r="A12" s="454" t="s">
        <v>382</v>
      </c>
      <c r="B12" s="454" t="s">
        <v>391</v>
      </c>
      <c r="C12" s="2009" t="s">
        <v>2472</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250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0</v>
      </c>
      <c r="C18" s="466">
        <f>B18/C$14</f>
        <v>0</v>
      </c>
      <c r="D18" s="49"/>
      <c r="E18" s="89"/>
      <c r="F18" s="89"/>
      <c r="G18" s="49"/>
    </row>
    <row r="19" spans="1:8" ht="15">
      <c r="A19" s="454" t="s">
        <v>2</v>
      </c>
      <c r="B19" s="465">
        <f>SUM(H34:H36)</f>
        <v>3250</v>
      </c>
      <c r="C19" s="466">
        <f t="shared" ref="C19:C27" si="0">B19/C$14</f>
        <v>13</v>
      </c>
      <c r="D19" s="49"/>
      <c r="E19" s="89"/>
      <c r="F19" s="89"/>
      <c r="G19" s="49"/>
    </row>
    <row r="20" spans="1:8" ht="15">
      <c r="A20" s="454" t="s">
        <v>3</v>
      </c>
      <c r="B20" s="465">
        <f>SUM(H37:H41)</f>
        <v>9362.32</v>
      </c>
      <c r="C20" s="466">
        <f t="shared" si="0"/>
        <v>37.449280000000002</v>
      </c>
      <c r="D20" s="49"/>
      <c r="E20" s="89"/>
      <c r="F20" s="89"/>
      <c r="G20" s="49"/>
    </row>
    <row r="21" spans="1:8" ht="15">
      <c r="A21" s="454" t="s">
        <v>4</v>
      </c>
      <c r="B21" s="465">
        <f>H42</f>
        <v>0</v>
      </c>
      <c r="C21" s="466">
        <f t="shared" si="0"/>
        <v>0</v>
      </c>
      <c r="D21" s="49"/>
      <c r="E21" s="89"/>
      <c r="F21" s="89"/>
      <c r="G21" s="49"/>
    </row>
    <row r="22" spans="1:8" ht="15">
      <c r="A22" s="454" t="s">
        <v>26</v>
      </c>
      <c r="B22" s="465">
        <f>H43</f>
        <v>0</v>
      </c>
      <c r="C22" s="466">
        <f t="shared" si="0"/>
        <v>0</v>
      </c>
      <c r="D22" s="49"/>
      <c r="E22" s="89"/>
      <c r="F22" s="89"/>
      <c r="G22" s="49"/>
    </row>
    <row r="23" spans="1:8" ht="15">
      <c r="A23" s="454" t="s">
        <v>7</v>
      </c>
      <c r="B23" s="465">
        <f>SUM(H44:H46)</f>
        <v>0</v>
      </c>
      <c r="C23" s="466">
        <f t="shared" si="0"/>
        <v>0</v>
      </c>
      <c r="D23" s="49"/>
      <c r="E23" s="89"/>
      <c r="F23" s="89"/>
      <c r="G23" s="49"/>
    </row>
    <row r="24" spans="1:8" ht="15">
      <c r="A24" s="454" t="s">
        <v>27</v>
      </c>
      <c r="B24" s="465">
        <f>SUM(H47:H49)</f>
        <v>0</v>
      </c>
      <c r="C24" s="466">
        <f t="shared" si="0"/>
        <v>0</v>
      </c>
      <c r="D24" s="49"/>
      <c r="E24" s="89"/>
      <c r="F24" s="89"/>
      <c r="G24" s="49"/>
    </row>
    <row r="25" spans="1:8" ht="15">
      <c r="A25" s="454" t="s">
        <v>5</v>
      </c>
      <c r="B25" s="465">
        <f>G50</f>
        <v>0</v>
      </c>
      <c r="C25" s="466">
        <f t="shared" si="0"/>
        <v>0</v>
      </c>
      <c r="D25" s="49"/>
      <c r="E25" s="89"/>
      <c r="F25" s="89"/>
      <c r="G25" s="49"/>
    </row>
    <row r="26" spans="1:8" ht="15">
      <c r="A26" s="454" t="s">
        <v>20</v>
      </c>
      <c r="B26" s="465">
        <f>H50</f>
        <v>0</v>
      </c>
      <c r="C26" s="466">
        <f t="shared" si="0"/>
        <v>0</v>
      </c>
      <c r="D26" s="49"/>
      <c r="E26" s="89"/>
      <c r="F26" s="89"/>
      <c r="G26" s="49"/>
    </row>
    <row r="27" spans="1:8" ht="15">
      <c r="A27" s="454" t="s">
        <v>399</v>
      </c>
      <c r="B27" s="465">
        <f>SUM(B18:B26)</f>
        <v>12612.32</v>
      </c>
      <c r="C27" s="466">
        <f t="shared" si="0"/>
        <v>50.449280000000002</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c r="C31" s="470"/>
      <c r="D31" s="471"/>
      <c r="E31" s="471"/>
      <c r="F31" s="472"/>
      <c r="G31" s="473"/>
      <c r="H31" s="474">
        <f>IF(G31&lt;=0, 0, F31*G31)</f>
        <v>0</v>
      </c>
    </row>
    <row r="32" spans="1:8" ht="15">
      <c r="A32" s="454" t="s">
        <v>0</v>
      </c>
      <c r="B32" s="470"/>
      <c r="C32" s="470"/>
      <c r="D32" s="471"/>
      <c r="E32" s="471"/>
      <c r="F32" s="472"/>
      <c r="G32" s="473"/>
      <c r="H32" s="474">
        <f t="shared" ref="H32:H51" si="1">IF(G32&lt;=0, 0, F32*G32)</f>
        <v>0</v>
      </c>
    </row>
    <row r="33" spans="1:8" ht="15">
      <c r="A33" s="454" t="s">
        <v>0</v>
      </c>
      <c r="B33" s="470"/>
      <c r="C33" s="470"/>
      <c r="D33" s="471"/>
      <c r="E33" s="471"/>
      <c r="F33" s="472"/>
      <c r="G33" s="473"/>
      <c r="H33" s="474">
        <f t="shared" si="1"/>
        <v>0</v>
      </c>
    </row>
    <row r="34" spans="1:8" ht="15" customHeight="1">
      <c r="A34" s="454" t="s">
        <v>2</v>
      </c>
      <c r="B34" s="470">
        <v>949</v>
      </c>
      <c r="C34" s="1274" t="s">
        <v>2473</v>
      </c>
      <c r="D34" s="471" t="s">
        <v>2474</v>
      </c>
      <c r="E34" s="471" t="s">
        <v>408</v>
      </c>
      <c r="F34" s="472">
        <v>6.5</v>
      </c>
      <c r="G34" s="473">
        <v>250</v>
      </c>
      <c r="H34" s="474">
        <f t="shared" si="1"/>
        <v>1625</v>
      </c>
    </row>
    <row r="35" spans="1:8" ht="15">
      <c r="A35" s="454" t="s">
        <v>2</v>
      </c>
      <c r="B35" s="470">
        <v>949</v>
      </c>
      <c r="C35" s="1274" t="s">
        <v>2475</v>
      </c>
      <c r="D35" s="471" t="s">
        <v>2476</v>
      </c>
      <c r="E35" s="471" t="s">
        <v>2459</v>
      </c>
      <c r="F35" s="472">
        <v>6.5</v>
      </c>
      <c r="G35" s="473">
        <v>250</v>
      </c>
      <c r="H35" s="474">
        <f t="shared" si="1"/>
        <v>1625</v>
      </c>
    </row>
    <row r="36" spans="1:8" ht="15">
      <c r="A36" s="454" t="s">
        <v>2</v>
      </c>
      <c r="B36" s="470"/>
      <c r="C36" s="1274"/>
      <c r="D36" s="471"/>
      <c r="E36" s="471"/>
      <c r="F36" s="472"/>
      <c r="G36" s="473"/>
      <c r="H36" s="474">
        <f t="shared" si="1"/>
        <v>0</v>
      </c>
    </row>
    <row r="37" spans="1:8" ht="15">
      <c r="A37" s="454" t="s">
        <v>3</v>
      </c>
      <c r="B37" s="470">
        <v>230</v>
      </c>
      <c r="C37" s="1274" t="s">
        <v>2462</v>
      </c>
      <c r="D37" s="471" t="s">
        <v>2463</v>
      </c>
      <c r="E37" s="471" t="s">
        <v>2464</v>
      </c>
      <c r="F37" s="472">
        <v>28.54</v>
      </c>
      <c r="G37" s="473">
        <v>16</v>
      </c>
      <c r="H37" s="474">
        <f t="shared" si="1"/>
        <v>456.64</v>
      </c>
    </row>
    <row r="38" spans="1:8" ht="15">
      <c r="A38" s="454" t="s">
        <v>3</v>
      </c>
      <c r="B38" s="470">
        <v>235</v>
      </c>
      <c r="C38" s="1274" t="s">
        <v>2465</v>
      </c>
      <c r="D38" s="471" t="s">
        <v>2466</v>
      </c>
      <c r="E38" s="471" t="s">
        <v>2477</v>
      </c>
      <c r="F38" s="472">
        <v>71.41</v>
      </c>
      <c r="G38" s="473">
        <v>20</v>
      </c>
      <c r="H38" s="474">
        <f t="shared" si="1"/>
        <v>1428.1999999999998</v>
      </c>
    </row>
    <row r="39" spans="1:8" ht="15" customHeight="1">
      <c r="A39" s="1905" t="s">
        <v>3</v>
      </c>
      <c r="B39" s="470">
        <v>230</v>
      </c>
      <c r="C39" s="1274" t="s">
        <v>2478</v>
      </c>
      <c r="D39" s="471" t="s">
        <v>2463</v>
      </c>
      <c r="E39" s="471" t="s">
        <v>2464</v>
      </c>
      <c r="F39" s="472">
        <v>28.54</v>
      </c>
      <c r="G39" s="473">
        <v>8</v>
      </c>
      <c r="H39" s="474">
        <f t="shared" si="1"/>
        <v>228.32</v>
      </c>
    </row>
    <row r="40" spans="1:8" ht="15" customHeight="1">
      <c r="A40" s="1905" t="s">
        <v>3</v>
      </c>
      <c r="B40" s="1906">
        <v>230</v>
      </c>
      <c r="C40" s="1907" t="s">
        <v>2479</v>
      </c>
      <c r="D40" s="471" t="s">
        <v>2463</v>
      </c>
      <c r="E40" s="471" t="s">
        <v>2464</v>
      </c>
      <c r="F40" s="472">
        <v>28.54</v>
      </c>
      <c r="G40" s="473">
        <v>4</v>
      </c>
      <c r="H40" s="474">
        <f t="shared" si="1"/>
        <v>114.16</v>
      </c>
    </row>
    <row r="41" spans="1:8" ht="15">
      <c r="A41" s="454" t="s">
        <v>3</v>
      </c>
      <c r="B41" s="470">
        <v>230</v>
      </c>
      <c r="C41" s="1274" t="s">
        <v>2467</v>
      </c>
      <c r="D41" s="471" t="s">
        <v>2463</v>
      </c>
      <c r="E41" s="471" t="s">
        <v>2464</v>
      </c>
      <c r="F41" s="472">
        <v>28.54</v>
      </c>
      <c r="G41" s="473">
        <v>250</v>
      </c>
      <c r="H41" s="474">
        <f t="shared" si="1"/>
        <v>7135</v>
      </c>
    </row>
    <row r="42" spans="1:8" ht="15">
      <c r="A42" s="454" t="s">
        <v>4</v>
      </c>
      <c r="B42" s="470"/>
      <c r="C42" s="470"/>
      <c r="D42" s="471"/>
      <c r="E42" s="471"/>
      <c r="F42" s="481"/>
      <c r="G42" s="473"/>
      <c r="H42" s="474">
        <f t="shared" si="1"/>
        <v>0</v>
      </c>
    </row>
    <row r="43" spans="1:8" ht="16.5" customHeight="1">
      <c r="A43" s="454" t="s">
        <v>419</v>
      </c>
      <c r="B43" s="470"/>
      <c r="C43" s="470"/>
      <c r="D43" s="471"/>
      <c r="E43" s="471"/>
      <c r="F43" s="481"/>
      <c r="G43" s="473"/>
      <c r="H43" s="474">
        <f t="shared" si="1"/>
        <v>0</v>
      </c>
    </row>
    <row r="44" spans="1:8" ht="15">
      <c r="A44" s="454" t="s">
        <v>7</v>
      </c>
      <c r="B44" s="470"/>
      <c r="C44" s="470"/>
      <c r="D44" s="471"/>
      <c r="E44" s="471"/>
      <c r="F44" s="472"/>
      <c r="G44" s="473"/>
      <c r="H44" s="474">
        <f t="shared" si="1"/>
        <v>0</v>
      </c>
    </row>
    <row r="45" spans="1:8" ht="15">
      <c r="A45" s="454" t="s">
        <v>7</v>
      </c>
      <c r="B45" s="470"/>
      <c r="C45" s="470"/>
      <c r="D45" s="471"/>
      <c r="E45" s="471"/>
      <c r="F45" s="472"/>
      <c r="G45" s="473"/>
      <c r="H45" s="474">
        <f t="shared" si="1"/>
        <v>0</v>
      </c>
    </row>
    <row r="46" spans="1:8" ht="15">
      <c r="A46" s="454" t="s">
        <v>7</v>
      </c>
      <c r="B46" s="470"/>
      <c r="C46" s="470"/>
      <c r="D46" s="471"/>
      <c r="E46" s="471"/>
      <c r="F46" s="472"/>
      <c r="G46" s="473"/>
      <c r="H46" s="474">
        <f t="shared" si="1"/>
        <v>0</v>
      </c>
    </row>
    <row r="47" spans="1:8" ht="15">
      <c r="A47" s="454" t="s">
        <v>421</v>
      </c>
      <c r="B47" s="470"/>
      <c r="C47" s="470"/>
      <c r="D47" s="471"/>
      <c r="E47" s="471"/>
      <c r="F47" s="472"/>
      <c r="G47" s="473"/>
      <c r="H47" s="474">
        <f t="shared" si="1"/>
        <v>0</v>
      </c>
    </row>
    <row r="48" spans="1:8" ht="15">
      <c r="A48" s="454" t="s">
        <v>421</v>
      </c>
      <c r="B48" s="470"/>
      <c r="C48" s="470"/>
      <c r="D48" s="471"/>
      <c r="E48" s="471"/>
      <c r="F48" s="472"/>
      <c r="G48" s="473"/>
      <c r="H48" s="474">
        <f t="shared" si="1"/>
        <v>0</v>
      </c>
    </row>
    <row r="49" spans="1:8" ht="15">
      <c r="A49" s="454" t="s">
        <v>421</v>
      </c>
      <c r="B49" s="470"/>
      <c r="C49" s="470"/>
      <c r="D49" s="471"/>
      <c r="E49" s="471"/>
      <c r="F49" s="472"/>
      <c r="G49" s="473"/>
      <c r="H49" s="474">
        <f t="shared" si="1"/>
        <v>0</v>
      </c>
    </row>
    <row r="50" spans="1:8" ht="15">
      <c r="A50" s="454" t="s">
        <v>5</v>
      </c>
      <c r="B50" s="470"/>
      <c r="C50" s="470"/>
      <c r="D50" s="471"/>
      <c r="E50" s="471"/>
      <c r="F50" s="472"/>
      <c r="G50" s="473"/>
      <c r="H50" s="474">
        <f t="shared" si="1"/>
        <v>0</v>
      </c>
    </row>
    <row r="51" spans="1:8" ht="15">
      <c r="A51" s="454" t="s">
        <v>20</v>
      </c>
      <c r="B51" s="470"/>
      <c r="C51" s="470"/>
      <c r="D51" s="471"/>
      <c r="E51" s="471"/>
      <c r="F51" s="472"/>
      <c r="G51" s="473"/>
      <c r="H51" s="474">
        <f t="shared" si="1"/>
        <v>0</v>
      </c>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96" spans="1:7">
      <c r="D96" s="57"/>
    </row>
    <row r="97" spans="4:4">
      <c r="D97" s="57"/>
    </row>
    <row r="98" spans="4:4">
      <c r="D98" s="57"/>
    </row>
    <row r="99" spans="4:4">
      <c r="D99" s="57"/>
    </row>
    <row r="100" spans="4:4">
      <c r="D100" s="57"/>
    </row>
    <row r="101" spans="4:4">
      <c r="D101" s="57"/>
    </row>
    <row r="102" spans="4:4">
      <c r="D102" s="57"/>
    </row>
    <row r="104" spans="4:4">
      <c r="D104" s="57"/>
    </row>
    <row r="106" spans="4:4">
      <c r="D106" s="56"/>
    </row>
    <row r="108" spans="4:4">
      <c r="D108"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199.xml><?xml version="1.0" encoding="utf-8"?>
<worksheet xmlns="http://schemas.openxmlformats.org/spreadsheetml/2006/main" xmlns:r="http://schemas.openxmlformats.org/officeDocument/2006/relationships">
  <sheetPr>
    <tabColor theme="3"/>
    <pageSetUpPr fitToPage="1"/>
  </sheetPr>
  <dimension ref="A1:H111"/>
  <sheetViews>
    <sheetView topLeftCell="B12" zoomScaleNormal="100" workbookViewId="0">
      <selection activeCell="A15" sqref="A15"/>
    </sheetView>
  </sheetViews>
  <sheetFormatPr defaultColWidth="9.140625"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11.425781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2451</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2480</v>
      </c>
      <c r="D8" s="461"/>
      <c r="E8" s="457"/>
      <c r="F8" s="457"/>
      <c r="G8" s="461"/>
    </row>
    <row r="9" spans="1:7" ht="174" customHeight="1">
      <c r="A9" s="454" t="s">
        <v>382</v>
      </c>
      <c r="B9" s="454" t="s">
        <v>385</v>
      </c>
      <c r="C9" s="2009" t="s">
        <v>2481</v>
      </c>
      <c r="D9" s="2010"/>
      <c r="E9" s="2010"/>
      <c r="F9" s="2010"/>
      <c r="G9" s="2011"/>
    </row>
    <row r="10" spans="1:7" ht="109.9" customHeight="1">
      <c r="A10" s="454" t="s">
        <v>382</v>
      </c>
      <c r="B10" s="454" t="s">
        <v>387</v>
      </c>
      <c r="C10" s="2009" t="s">
        <v>2482</v>
      </c>
      <c r="D10" s="2010"/>
      <c r="E10" s="2010"/>
      <c r="F10" s="2010"/>
      <c r="G10" s="2011"/>
    </row>
    <row r="11" spans="1:7" ht="152.44999999999999" customHeight="1">
      <c r="A11" s="454" t="s">
        <v>382</v>
      </c>
      <c r="B11" s="454" t="s">
        <v>389</v>
      </c>
      <c r="C11" s="2009" t="s">
        <v>2483</v>
      </c>
      <c r="D11" s="2010"/>
      <c r="E11" s="2010"/>
      <c r="F11" s="2010"/>
      <c r="G11" s="2011"/>
    </row>
    <row r="12" spans="1:7" ht="51.75" customHeight="1">
      <c r="A12" s="454" t="s">
        <v>382</v>
      </c>
      <c r="B12" s="454" t="s">
        <v>391</v>
      </c>
      <c r="C12" s="2009" t="s">
        <v>2484</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25</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SUM(H31:H32)</f>
        <v>0</v>
      </c>
      <c r="C18" s="466">
        <f>B18/C$14</f>
        <v>0</v>
      </c>
      <c r="D18" s="49"/>
      <c r="E18" s="89"/>
      <c r="F18" s="89"/>
      <c r="G18" s="49"/>
    </row>
    <row r="19" spans="1:8" ht="15">
      <c r="A19" s="454" t="s">
        <v>2</v>
      </c>
      <c r="B19" s="465">
        <f>SUM(H33:H35)</f>
        <v>162.5</v>
      </c>
      <c r="C19" s="466">
        <f t="shared" ref="C19:C27" si="0">B19/C$14</f>
        <v>6.5</v>
      </c>
      <c r="D19" s="49"/>
      <c r="E19" s="89"/>
      <c r="F19" s="89"/>
      <c r="G19" s="49"/>
    </row>
    <row r="20" spans="1:8" ht="15">
      <c r="A20" s="454" t="s">
        <v>3</v>
      </c>
      <c r="B20" s="465">
        <f>SUM(H36:H44)</f>
        <v>3505.2599999999998</v>
      </c>
      <c r="C20" s="466">
        <f t="shared" si="0"/>
        <v>140.21039999999999</v>
      </c>
      <c r="D20" s="49"/>
      <c r="E20" s="89"/>
      <c r="F20" s="89"/>
      <c r="G20" s="49"/>
    </row>
    <row r="21" spans="1:8" ht="15">
      <c r="A21" s="454" t="s">
        <v>4</v>
      </c>
      <c r="B21" s="465">
        <f>H45</f>
        <v>0</v>
      </c>
      <c r="C21" s="466">
        <f t="shared" si="0"/>
        <v>0</v>
      </c>
      <c r="D21" s="49"/>
      <c r="E21" s="89"/>
      <c r="F21" s="89"/>
      <c r="G21" s="49"/>
    </row>
    <row r="22" spans="1:8" ht="15">
      <c r="A22" s="454" t="s">
        <v>26</v>
      </c>
      <c r="B22" s="465">
        <f>H46</f>
        <v>0</v>
      </c>
      <c r="C22" s="466">
        <f t="shared" si="0"/>
        <v>0</v>
      </c>
      <c r="D22" s="49"/>
      <c r="E22" s="89"/>
      <c r="F22" s="89"/>
      <c r="G22" s="49"/>
    </row>
    <row r="23" spans="1:8" ht="15">
      <c r="A23" s="454" t="s">
        <v>7</v>
      </c>
      <c r="B23" s="465">
        <f>SUM(H47:H49)</f>
        <v>0</v>
      </c>
      <c r="C23" s="466">
        <f t="shared" si="0"/>
        <v>0</v>
      </c>
      <c r="D23" s="49"/>
      <c r="E23" s="89"/>
      <c r="F23" s="89"/>
      <c r="G23" s="49"/>
    </row>
    <row r="24" spans="1:8" ht="15">
      <c r="A24" s="454" t="s">
        <v>27</v>
      </c>
      <c r="B24" s="465">
        <f>SUM(H50:H52)</f>
        <v>0</v>
      </c>
      <c r="C24" s="466">
        <f t="shared" si="0"/>
        <v>0</v>
      </c>
      <c r="D24" s="49"/>
      <c r="E24" s="89"/>
      <c r="F24" s="89"/>
      <c r="G24" s="49"/>
    </row>
    <row r="25" spans="1:8" ht="15">
      <c r="A25" s="454" t="s">
        <v>5</v>
      </c>
      <c r="B25" s="465">
        <f>G53</f>
        <v>0</v>
      </c>
      <c r="C25" s="466">
        <f t="shared" si="0"/>
        <v>0</v>
      </c>
      <c r="D25" s="49"/>
      <c r="E25" s="89"/>
      <c r="F25" s="89"/>
      <c r="G25" s="49"/>
    </row>
    <row r="26" spans="1:8" ht="15">
      <c r="A26" s="454" t="s">
        <v>20</v>
      </c>
      <c r="B26" s="465">
        <f>H53</f>
        <v>0</v>
      </c>
      <c r="C26" s="466">
        <f t="shared" si="0"/>
        <v>0</v>
      </c>
      <c r="D26" s="49"/>
      <c r="E26" s="89"/>
      <c r="F26" s="89"/>
      <c r="G26" s="49"/>
    </row>
    <row r="27" spans="1:8" ht="15">
      <c r="A27" s="454" t="s">
        <v>399</v>
      </c>
      <c r="B27" s="465">
        <f>SUM(B18:B26)</f>
        <v>3667.7599999999998</v>
      </c>
      <c r="C27" s="466">
        <f t="shared" si="0"/>
        <v>146.71039999999999</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c r="C31" s="470"/>
      <c r="D31" s="471"/>
      <c r="E31" s="471"/>
      <c r="F31" s="472"/>
      <c r="G31" s="473"/>
      <c r="H31" s="474">
        <f>IF(G31&lt;=0, 0, F31*G31)</f>
        <v>0</v>
      </c>
    </row>
    <row r="32" spans="1:8" ht="15">
      <c r="A32" s="454" t="s">
        <v>0</v>
      </c>
      <c r="B32" s="470"/>
      <c r="C32" s="470"/>
      <c r="D32" s="471"/>
      <c r="E32" s="471"/>
      <c r="F32" s="472"/>
      <c r="G32" s="473"/>
      <c r="H32" s="474">
        <f t="shared" ref="H32:H54" si="1">IF(G32&lt;=0, 0, F32*G32)</f>
        <v>0</v>
      </c>
    </row>
    <row r="33" spans="1:8" ht="15" customHeight="1">
      <c r="A33" s="454" t="s">
        <v>2</v>
      </c>
      <c r="B33" s="470">
        <v>949</v>
      </c>
      <c r="C33" s="1274" t="s">
        <v>2473</v>
      </c>
      <c r="D33" s="471" t="s">
        <v>2474</v>
      </c>
      <c r="E33" s="471" t="s">
        <v>408</v>
      </c>
      <c r="F33" s="472">
        <v>6.5</v>
      </c>
      <c r="G33" s="473">
        <v>25</v>
      </c>
      <c r="H33" s="474">
        <f t="shared" si="1"/>
        <v>162.5</v>
      </c>
    </row>
    <row r="34" spans="1:8" ht="15">
      <c r="A34" s="454" t="s">
        <v>2</v>
      </c>
      <c r="B34" s="470"/>
      <c r="C34" s="1274"/>
      <c r="D34" s="471"/>
      <c r="E34" s="471"/>
      <c r="F34" s="472"/>
      <c r="G34" s="473"/>
      <c r="H34" s="474">
        <f t="shared" si="1"/>
        <v>0</v>
      </c>
    </row>
    <row r="35" spans="1:8" ht="15">
      <c r="A35" s="454" t="s">
        <v>2</v>
      </c>
      <c r="B35" s="470"/>
      <c r="C35" s="1274"/>
      <c r="D35" s="471"/>
      <c r="E35" s="471"/>
      <c r="F35" s="472"/>
      <c r="G35" s="473"/>
      <c r="H35" s="474">
        <f t="shared" si="1"/>
        <v>0</v>
      </c>
    </row>
    <row r="36" spans="1:8" ht="15">
      <c r="A36" s="454" t="s">
        <v>3</v>
      </c>
      <c r="B36" s="470">
        <v>230</v>
      </c>
      <c r="C36" s="1274" t="s">
        <v>2479</v>
      </c>
      <c r="D36" s="471" t="s">
        <v>2463</v>
      </c>
      <c r="E36" s="471" t="s">
        <v>411</v>
      </c>
      <c r="F36" s="472">
        <v>28.54</v>
      </c>
      <c r="G36" s="473">
        <v>8</v>
      </c>
      <c r="H36" s="474">
        <f t="shared" si="1"/>
        <v>228.32</v>
      </c>
    </row>
    <row r="37" spans="1:8" ht="15">
      <c r="A37" s="454" t="s">
        <v>3</v>
      </c>
      <c r="B37" s="470">
        <v>231</v>
      </c>
      <c r="C37" s="1274" t="s">
        <v>2485</v>
      </c>
      <c r="D37" s="471" t="s">
        <v>2486</v>
      </c>
      <c r="E37" s="471" t="s">
        <v>2464</v>
      </c>
      <c r="F37" s="472">
        <v>20.58</v>
      </c>
      <c r="G37" s="473">
        <v>6</v>
      </c>
      <c r="H37" s="474">
        <f t="shared" si="1"/>
        <v>123.47999999999999</v>
      </c>
    </row>
    <row r="38" spans="1:8" ht="15">
      <c r="A38" s="454" t="s">
        <v>3</v>
      </c>
      <c r="B38" s="470"/>
      <c r="C38" s="1274"/>
      <c r="D38" s="471"/>
      <c r="E38" s="471"/>
      <c r="F38" s="472"/>
      <c r="G38" s="473"/>
      <c r="H38" s="474"/>
    </row>
    <row r="39" spans="1:8" ht="15">
      <c r="A39" s="454" t="s">
        <v>3</v>
      </c>
      <c r="B39" s="470">
        <v>230</v>
      </c>
      <c r="C39" s="1274" t="s">
        <v>2462</v>
      </c>
      <c r="D39" s="471" t="s">
        <v>2463</v>
      </c>
      <c r="E39" s="471" t="s">
        <v>2464</v>
      </c>
      <c r="F39" s="472">
        <v>28.54</v>
      </c>
      <c r="G39" s="473">
        <v>24</v>
      </c>
      <c r="H39" s="474">
        <f t="shared" si="1"/>
        <v>684.96</v>
      </c>
    </row>
    <row r="40" spans="1:8" ht="15" customHeight="1">
      <c r="A40" s="454" t="s">
        <v>3</v>
      </c>
      <c r="B40" s="470"/>
      <c r="C40" s="1274"/>
      <c r="D40" s="471"/>
      <c r="E40" s="471"/>
      <c r="F40" s="472"/>
      <c r="G40" s="473"/>
      <c r="H40" s="474">
        <f t="shared" si="1"/>
        <v>0</v>
      </c>
    </row>
    <row r="41" spans="1:8" ht="15">
      <c r="A41" s="454" t="s">
        <v>3</v>
      </c>
      <c r="B41" s="470">
        <v>235</v>
      </c>
      <c r="C41" s="1274" t="s">
        <v>2465</v>
      </c>
      <c r="D41" s="471" t="s">
        <v>2487</v>
      </c>
      <c r="E41" s="471" t="s">
        <v>2477</v>
      </c>
      <c r="F41" s="472">
        <v>71.41</v>
      </c>
      <c r="G41" s="473">
        <v>24</v>
      </c>
      <c r="H41" s="474">
        <f t="shared" si="1"/>
        <v>1713.84</v>
      </c>
    </row>
    <row r="42" spans="1:8" ht="15" customHeight="1">
      <c r="A42" s="1908" t="s">
        <v>3</v>
      </c>
      <c r="B42" s="470">
        <v>230</v>
      </c>
      <c r="C42" s="1274" t="s">
        <v>2478</v>
      </c>
      <c r="D42" s="471" t="s">
        <v>2486</v>
      </c>
      <c r="E42" s="471" t="s">
        <v>2464</v>
      </c>
      <c r="F42" s="472">
        <v>20.58</v>
      </c>
      <c r="G42" s="473">
        <v>2</v>
      </c>
      <c r="H42" s="474">
        <f t="shared" si="1"/>
        <v>41.16</v>
      </c>
    </row>
    <row r="43" spans="1:8" ht="15" customHeight="1">
      <c r="A43" s="1905" t="s">
        <v>3</v>
      </c>
      <c r="B43" s="470"/>
      <c r="C43" s="1274"/>
      <c r="D43" s="471"/>
      <c r="E43" s="471"/>
      <c r="F43" s="472"/>
      <c r="G43" s="473"/>
      <c r="H43" s="474"/>
    </row>
    <row r="44" spans="1:8" ht="15">
      <c r="A44" s="454" t="s">
        <v>3</v>
      </c>
      <c r="B44" s="470">
        <v>230</v>
      </c>
      <c r="C44" s="1274" t="s">
        <v>2467</v>
      </c>
      <c r="D44" s="471" t="s">
        <v>2463</v>
      </c>
      <c r="E44" s="471" t="s">
        <v>2464</v>
      </c>
      <c r="F44" s="472">
        <v>28.54</v>
      </c>
      <c r="G44" s="473">
        <v>25</v>
      </c>
      <c r="H44" s="474">
        <f t="shared" si="1"/>
        <v>713.5</v>
      </c>
    </row>
    <row r="45" spans="1:8" ht="15">
      <c r="A45" s="454" t="s">
        <v>4</v>
      </c>
      <c r="B45" s="470"/>
      <c r="C45" s="470"/>
      <c r="D45" s="471"/>
      <c r="E45" s="471"/>
      <c r="F45" s="481"/>
      <c r="G45" s="473"/>
      <c r="H45" s="474">
        <f t="shared" si="1"/>
        <v>0</v>
      </c>
    </row>
    <row r="46" spans="1:8" ht="16.5" customHeight="1">
      <c r="A46" s="454" t="s">
        <v>419</v>
      </c>
      <c r="B46" s="470"/>
      <c r="C46" s="470"/>
      <c r="D46" s="471"/>
      <c r="E46" s="471"/>
      <c r="F46" s="481"/>
      <c r="G46" s="473"/>
      <c r="H46" s="474">
        <f t="shared" si="1"/>
        <v>0</v>
      </c>
    </row>
    <row r="47" spans="1:8" ht="15">
      <c r="A47" s="454" t="s">
        <v>7</v>
      </c>
      <c r="B47" s="470"/>
      <c r="C47" s="470"/>
      <c r="D47" s="471"/>
      <c r="E47" s="471"/>
      <c r="F47" s="472"/>
      <c r="G47" s="473"/>
      <c r="H47" s="474">
        <f t="shared" si="1"/>
        <v>0</v>
      </c>
    </row>
    <row r="48" spans="1:8" ht="15">
      <c r="A48" s="454" t="s">
        <v>7</v>
      </c>
      <c r="B48" s="470"/>
      <c r="C48" s="470"/>
      <c r="D48" s="471"/>
      <c r="E48" s="471"/>
      <c r="F48" s="472"/>
      <c r="G48" s="473"/>
      <c r="H48" s="474">
        <f t="shared" si="1"/>
        <v>0</v>
      </c>
    </row>
    <row r="49" spans="1:8" ht="15">
      <c r="A49" s="454" t="s">
        <v>7</v>
      </c>
      <c r="B49" s="470"/>
      <c r="C49" s="470"/>
      <c r="D49" s="471"/>
      <c r="E49" s="471"/>
      <c r="F49" s="472"/>
      <c r="G49" s="473"/>
      <c r="H49" s="474">
        <f t="shared" si="1"/>
        <v>0</v>
      </c>
    </row>
    <row r="50" spans="1:8" ht="15">
      <c r="A50" s="454" t="s">
        <v>421</v>
      </c>
      <c r="B50" s="470"/>
      <c r="C50" s="470"/>
      <c r="D50" s="471"/>
      <c r="E50" s="471"/>
      <c r="F50" s="472"/>
      <c r="G50" s="473"/>
      <c r="H50" s="474">
        <f t="shared" si="1"/>
        <v>0</v>
      </c>
    </row>
    <row r="51" spans="1:8" ht="15">
      <c r="A51" s="454" t="s">
        <v>421</v>
      </c>
      <c r="B51" s="470"/>
      <c r="C51" s="470"/>
      <c r="D51" s="471"/>
      <c r="E51" s="471"/>
      <c r="F51" s="472"/>
      <c r="G51" s="473"/>
      <c r="H51" s="474">
        <f t="shared" si="1"/>
        <v>0</v>
      </c>
    </row>
    <row r="52" spans="1:8" ht="15">
      <c r="A52" s="454" t="s">
        <v>421</v>
      </c>
      <c r="B52" s="470"/>
      <c r="C52" s="470"/>
      <c r="D52" s="471"/>
      <c r="E52" s="471"/>
      <c r="F52" s="472"/>
      <c r="G52" s="473"/>
      <c r="H52" s="474">
        <f t="shared" si="1"/>
        <v>0</v>
      </c>
    </row>
    <row r="53" spans="1:8" ht="15">
      <c r="A53" s="454" t="s">
        <v>5</v>
      </c>
      <c r="B53" s="470"/>
      <c r="C53" s="470"/>
      <c r="D53" s="471"/>
      <c r="E53" s="471"/>
      <c r="F53" s="472"/>
      <c r="G53" s="473"/>
      <c r="H53" s="474">
        <f t="shared" si="1"/>
        <v>0</v>
      </c>
    </row>
    <row r="54" spans="1:8" ht="15">
      <c r="A54" s="454" t="s">
        <v>20</v>
      </c>
      <c r="B54" s="470"/>
      <c r="C54" s="470"/>
      <c r="D54" s="471"/>
      <c r="E54" s="471"/>
      <c r="F54" s="472"/>
      <c r="G54" s="473"/>
      <c r="H54" s="474">
        <f t="shared" si="1"/>
        <v>0</v>
      </c>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87" spans="1:7">
      <c r="A87" s="82"/>
      <c r="B87" s="82"/>
      <c r="C87" s="82"/>
      <c r="D87" s="82"/>
      <c r="E87" s="82"/>
      <c r="F87" s="82"/>
      <c r="G87" s="82"/>
    </row>
    <row r="88" spans="1:7">
      <c r="A88" s="82"/>
      <c r="B88" s="82"/>
      <c r="C88" s="82"/>
      <c r="D88" s="82"/>
      <c r="E88" s="82"/>
      <c r="F88" s="82"/>
      <c r="G88" s="82"/>
    </row>
    <row r="99" spans="4:4">
      <c r="D99" s="57"/>
    </row>
    <row r="100" spans="4:4">
      <c r="D100" s="57"/>
    </row>
    <row r="101" spans="4:4">
      <c r="D101" s="57"/>
    </row>
    <row r="102" spans="4:4">
      <c r="D102" s="57"/>
    </row>
    <row r="103" spans="4:4">
      <c r="D103" s="57"/>
    </row>
    <row r="104" spans="4:4">
      <c r="D104" s="57"/>
    </row>
    <row r="105" spans="4:4">
      <c r="D105" s="57"/>
    </row>
    <row r="107" spans="4:4">
      <c r="D107" s="57"/>
    </row>
    <row r="109" spans="4:4">
      <c r="D109" s="56"/>
    </row>
    <row r="111" spans="4:4">
      <c r="D111"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6" orientation="portrait" r:id="rId1"/>
  <headerFooter alignWithMargins="0"/>
</worksheet>
</file>

<file path=xl/worksheets/sheet2.xml><?xml version="1.0" encoding="utf-8"?>
<worksheet xmlns="http://schemas.openxmlformats.org/spreadsheetml/2006/main" xmlns:r="http://schemas.openxmlformats.org/officeDocument/2006/relationships">
  <dimension ref="A1:L55"/>
  <sheetViews>
    <sheetView view="pageBreakPreview" topLeftCell="A25" zoomScaleNormal="100" workbookViewId="0">
      <selection activeCell="D42" sqref="D42"/>
    </sheetView>
  </sheetViews>
  <sheetFormatPr defaultRowHeight="12.75"/>
  <cols>
    <col min="2" max="2" width="20.85546875" customWidth="1"/>
    <col min="3" max="3" width="26.5703125" bestFit="1" customWidth="1"/>
    <col min="4" max="4" width="21.28515625" customWidth="1"/>
    <col min="5" max="5" width="15.28515625" customWidth="1"/>
    <col min="6" max="6" width="10.28515625" customWidth="1"/>
    <col min="7" max="7" width="13" customWidth="1"/>
    <col min="8" max="8" width="10.140625" customWidth="1"/>
    <col min="9" max="9" width="11" customWidth="1"/>
    <col min="10" max="10" width="11.28515625" customWidth="1"/>
    <col min="11" max="11" width="9.85546875" customWidth="1"/>
  </cols>
  <sheetData>
    <row r="1" spans="1:12">
      <c r="A1" s="2"/>
      <c r="B1" s="2"/>
      <c r="C1" s="2"/>
      <c r="D1" s="2"/>
      <c r="E1" s="2"/>
      <c r="F1" s="2"/>
      <c r="G1" s="2"/>
      <c r="H1" s="2"/>
      <c r="I1" s="2"/>
      <c r="J1" s="2"/>
      <c r="K1" s="2"/>
    </row>
    <row r="2" spans="1:12" ht="15.75">
      <c r="A2" s="118" t="s">
        <v>17</v>
      </c>
      <c r="B2" s="119"/>
      <c r="C2" s="119"/>
      <c r="D2" s="119"/>
      <c r="E2" s="119"/>
      <c r="F2" s="119"/>
      <c r="G2" s="2"/>
      <c r="H2" s="2"/>
      <c r="I2" s="2"/>
      <c r="J2" s="2"/>
      <c r="K2" s="2"/>
    </row>
    <row r="3" spans="1:12" ht="25.5">
      <c r="A3" s="120" t="s">
        <v>37</v>
      </c>
      <c r="B3" s="121" t="s">
        <v>75</v>
      </c>
      <c r="C3" s="122" t="s">
        <v>29</v>
      </c>
      <c r="D3" s="122" t="s">
        <v>30</v>
      </c>
      <c r="E3" s="121" t="s">
        <v>23</v>
      </c>
      <c r="F3" s="123" t="s">
        <v>76</v>
      </c>
      <c r="G3" s="124" t="s">
        <v>77</v>
      </c>
      <c r="K3" s="2"/>
    </row>
    <row r="4" spans="1:12" ht="25.5">
      <c r="A4" s="54">
        <v>102</v>
      </c>
      <c r="B4" s="7" t="s">
        <v>78</v>
      </c>
      <c r="C4" s="125" t="s">
        <v>79</v>
      </c>
      <c r="D4" s="110" t="s">
        <v>80</v>
      </c>
      <c r="E4" s="7" t="s">
        <v>81</v>
      </c>
      <c r="F4" s="85">
        <f>+F21</f>
        <v>1726.5</v>
      </c>
      <c r="G4" s="126" t="str">
        <f>+C26</f>
        <v>Statewide</v>
      </c>
      <c r="K4" s="2"/>
    </row>
    <row r="5" spans="1:12" ht="25.5">
      <c r="A5" s="8">
        <v>102</v>
      </c>
      <c r="B5" s="10" t="s">
        <v>78</v>
      </c>
      <c r="C5" s="127" t="s">
        <v>79</v>
      </c>
      <c r="D5" s="111" t="s">
        <v>82</v>
      </c>
      <c r="E5" s="10" t="s">
        <v>81</v>
      </c>
      <c r="F5" s="86">
        <f>G21</f>
        <v>2071.8000000000002</v>
      </c>
      <c r="G5" s="2" t="str">
        <f>+C26</f>
        <v>Statewide</v>
      </c>
      <c r="K5" s="2"/>
    </row>
    <row r="6" spans="1:12">
      <c r="A6" s="4"/>
      <c r="B6" s="3"/>
      <c r="C6" s="3"/>
      <c r="D6" s="2"/>
      <c r="E6" s="2"/>
      <c r="K6" s="2"/>
    </row>
    <row r="7" spans="1:12" ht="15.75">
      <c r="A7" s="1" t="s">
        <v>18</v>
      </c>
      <c r="B7" s="3"/>
      <c r="C7" s="3"/>
      <c r="D7" s="2"/>
      <c r="E7" s="2"/>
      <c r="I7" s="81"/>
      <c r="J7" s="81"/>
      <c r="K7" s="49"/>
      <c r="L7" s="81"/>
    </row>
    <row r="8" spans="1:12">
      <c r="A8" s="128"/>
      <c r="B8" s="11"/>
      <c r="C8" s="12"/>
      <c r="D8" s="13" t="s">
        <v>83</v>
      </c>
      <c r="E8" s="13" t="s">
        <v>84</v>
      </c>
      <c r="F8" s="13" t="s">
        <v>85</v>
      </c>
      <c r="G8" s="14" t="s">
        <v>15</v>
      </c>
      <c r="H8" s="87"/>
      <c r="I8" s="87"/>
      <c r="J8" s="81"/>
    </row>
    <row r="9" spans="1:12">
      <c r="A9" s="15"/>
      <c r="B9" s="67"/>
      <c r="C9" s="16"/>
      <c r="D9" s="17" t="s">
        <v>22</v>
      </c>
      <c r="E9" s="17" t="s">
        <v>22</v>
      </c>
      <c r="F9" s="17" t="s">
        <v>86</v>
      </c>
      <c r="G9" s="18" t="s">
        <v>87</v>
      </c>
      <c r="H9" s="87"/>
      <c r="I9" s="87"/>
      <c r="J9" s="81"/>
    </row>
    <row r="10" spans="1:12">
      <c r="A10" s="19"/>
      <c r="B10" s="16"/>
      <c r="C10" s="16"/>
      <c r="D10" s="17" t="s">
        <v>12</v>
      </c>
      <c r="E10" s="17" t="s">
        <v>12</v>
      </c>
      <c r="F10" s="17" t="s">
        <v>12</v>
      </c>
      <c r="G10" s="18" t="s">
        <v>12</v>
      </c>
      <c r="H10" s="87"/>
      <c r="I10" s="87"/>
      <c r="J10" s="81"/>
    </row>
    <row r="11" spans="1:12">
      <c r="A11" s="129" t="s">
        <v>16</v>
      </c>
      <c r="B11" s="16"/>
      <c r="C11" s="22" t="s">
        <v>6</v>
      </c>
      <c r="D11" s="22" t="s">
        <v>24</v>
      </c>
      <c r="E11" s="22" t="s">
        <v>24</v>
      </c>
      <c r="F11" s="22" t="s">
        <v>14</v>
      </c>
      <c r="G11" s="23" t="s">
        <v>14</v>
      </c>
      <c r="H11" s="88"/>
      <c r="I11" s="88"/>
      <c r="J11" s="81"/>
    </row>
    <row r="12" spans="1:12">
      <c r="A12" s="15" t="s">
        <v>0</v>
      </c>
      <c r="B12" s="16"/>
      <c r="C12" s="24">
        <f>+I34/C29</f>
        <v>102</v>
      </c>
      <c r="D12" s="130">
        <v>0.75</v>
      </c>
      <c r="E12" s="130">
        <v>0.9</v>
      </c>
      <c r="F12" s="73">
        <f t="shared" ref="F12:G20" si="0">+$C12*D12</f>
        <v>76.5</v>
      </c>
      <c r="G12" s="74">
        <f t="shared" si="0"/>
        <v>91.8</v>
      </c>
      <c r="H12" s="131"/>
      <c r="I12" s="132"/>
      <c r="J12" s="81"/>
    </row>
    <row r="13" spans="1:12">
      <c r="A13" s="15" t="s">
        <v>2</v>
      </c>
      <c r="B13" s="16"/>
      <c r="C13" s="24">
        <f>+I38/C29</f>
        <v>0</v>
      </c>
      <c r="D13" s="130">
        <v>0.75</v>
      </c>
      <c r="E13" s="130">
        <v>0.9</v>
      </c>
      <c r="F13" s="73">
        <f t="shared" si="0"/>
        <v>0</v>
      </c>
      <c r="G13" s="74">
        <f t="shared" si="0"/>
        <v>0</v>
      </c>
      <c r="H13" s="131"/>
      <c r="I13" s="132"/>
      <c r="J13" s="81"/>
    </row>
    <row r="14" spans="1:12">
      <c r="A14" s="15" t="s">
        <v>3</v>
      </c>
      <c r="B14" s="16"/>
      <c r="C14" s="24">
        <f>+I40/C29</f>
        <v>2000</v>
      </c>
      <c r="D14" s="130">
        <v>0.75</v>
      </c>
      <c r="E14" s="130">
        <v>0.9</v>
      </c>
      <c r="F14" s="73">
        <f t="shared" si="0"/>
        <v>1500</v>
      </c>
      <c r="G14" s="74">
        <f t="shared" si="0"/>
        <v>1800</v>
      </c>
      <c r="H14" s="131"/>
      <c r="I14" s="132"/>
      <c r="J14" s="81"/>
    </row>
    <row r="15" spans="1:12">
      <c r="A15" s="15" t="s">
        <v>4</v>
      </c>
      <c r="B15" s="16"/>
      <c r="C15" s="24">
        <f>+I43/C29</f>
        <v>200</v>
      </c>
      <c r="D15" s="130">
        <v>0.75</v>
      </c>
      <c r="E15" s="130">
        <v>0.9</v>
      </c>
      <c r="F15" s="73">
        <f t="shared" si="0"/>
        <v>150</v>
      </c>
      <c r="G15" s="74">
        <f t="shared" si="0"/>
        <v>180</v>
      </c>
      <c r="H15" s="131"/>
      <c r="I15" s="132"/>
      <c r="J15" s="81"/>
    </row>
    <row r="16" spans="1:12">
      <c r="A16" s="15" t="s">
        <v>26</v>
      </c>
      <c r="B16" s="16"/>
      <c r="C16" s="24">
        <f>+I45/C29</f>
        <v>0</v>
      </c>
      <c r="D16" s="130">
        <v>0</v>
      </c>
      <c r="E16" s="130">
        <v>0</v>
      </c>
      <c r="F16" s="73">
        <f t="shared" si="0"/>
        <v>0</v>
      </c>
      <c r="G16" s="74">
        <f t="shared" si="0"/>
        <v>0</v>
      </c>
      <c r="H16" s="131"/>
      <c r="I16" s="132"/>
      <c r="J16" s="81"/>
    </row>
    <row r="17" spans="1:12">
      <c r="A17" s="15" t="s">
        <v>7</v>
      </c>
      <c r="B17" s="16"/>
      <c r="C17" s="24">
        <f>+I47/C29</f>
        <v>0</v>
      </c>
      <c r="D17" s="130">
        <v>0</v>
      </c>
      <c r="E17" s="130">
        <v>0</v>
      </c>
      <c r="F17" s="73">
        <f t="shared" si="0"/>
        <v>0</v>
      </c>
      <c r="G17" s="74">
        <f t="shared" si="0"/>
        <v>0</v>
      </c>
      <c r="H17" s="131"/>
      <c r="I17" s="132"/>
      <c r="J17" s="81"/>
    </row>
    <row r="18" spans="1:12">
      <c r="A18" s="15" t="s">
        <v>27</v>
      </c>
      <c r="B18" s="16"/>
      <c r="C18" s="24">
        <f>+I49/C29</f>
        <v>0</v>
      </c>
      <c r="D18" s="130">
        <v>0</v>
      </c>
      <c r="E18" s="130">
        <v>0</v>
      </c>
      <c r="F18" s="73">
        <f t="shared" si="0"/>
        <v>0</v>
      </c>
      <c r="G18" s="74">
        <f t="shared" si="0"/>
        <v>0</v>
      </c>
      <c r="H18" s="131"/>
      <c r="I18" s="132"/>
      <c r="J18" s="81"/>
    </row>
    <row r="19" spans="1:12">
      <c r="A19" s="15" t="s">
        <v>5</v>
      </c>
      <c r="B19" s="16"/>
      <c r="C19" s="24">
        <f>+I51/C29</f>
        <v>0</v>
      </c>
      <c r="D19" s="130">
        <v>0</v>
      </c>
      <c r="E19" s="130">
        <v>0</v>
      </c>
      <c r="F19" s="73">
        <f t="shared" si="0"/>
        <v>0</v>
      </c>
      <c r="G19" s="74">
        <f t="shared" si="0"/>
        <v>0</v>
      </c>
      <c r="H19" s="131"/>
      <c r="I19" s="132"/>
      <c r="J19" s="81"/>
    </row>
    <row r="20" spans="1:12">
      <c r="A20" s="15" t="s">
        <v>88</v>
      </c>
      <c r="B20" s="16"/>
      <c r="C20" s="75">
        <f>+I53/C29</f>
        <v>0</v>
      </c>
      <c r="D20" s="130">
        <v>0</v>
      </c>
      <c r="E20" s="130">
        <v>0</v>
      </c>
      <c r="F20" s="133">
        <f t="shared" si="0"/>
        <v>0</v>
      </c>
      <c r="G20" s="134">
        <f t="shared" si="0"/>
        <v>0</v>
      </c>
      <c r="H20" s="135"/>
      <c r="I20" s="136"/>
      <c r="J20" s="81"/>
    </row>
    <row r="21" spans="1:12">
      <c r="A21" s="137" t="s">
        <v>19</v>
      </c>
      <c r="B21" s="27"/>
      <c r="C21" s="51">
        <f>SUM(C12:C20)</f>
        <v>2302</v>
      </c>
      <c r="D21" s="28"/>
      <c r="E21" s="28"/>
      <c r="F21" s="138">
        <f>SUM(F12:F20)</f>
        <v>1726.5</v>
      </c>
      <c r="G21" s="139">
        <f>SUM(G12:G20)</f>
        <v>2071.8000000000002</v>
      </c>
      <c r="H21" s="132"/>
      <c r="I21" s="132"/>
      <c r="J21" s="81"/>
    </row>
    <row r="22" spans="1:12">
      <c r="A22" s="2"/>
      <c r="B22" s="2"/>
      <c r="C22" s="2"/>
      <c r="D22" s="2"/>
      <c r="E22" s="2"/>
      <c r="F22" s="2"/>
      <c r="G22" s="2"/>
      <c r="H22" s="2"/>
      <c r="I22" s="49"/>
      <c r="J22" s="49"/>
      <c r="K22" s="49"/>
      <c r="L22" s="81"/>
    </row>
    <row r="23" spans="1:12" ht="15.75">
      <c r="A23" s="50" t="s">
        <v>28</v>
      </c>
      <c r="B23" s="2"/>
      <c r="C23" s="2"/>
      <c r="D23" s="2"/>
      <c r="E23" s="2"/>
      <c r="F23" s="2"/>
      <c r="G23" s="2"/>
      <c r="H23" s="2"/>
      <c r="I23" s="140"/>
      <c r="J23" s="2"/>
      <c r="K23" s="2"/>
    </row>
    <row r="24" spans="1:12">
      <c r="A24" s="29" t="s">
        <v>89</v>
      </c>
      <c r="B24" s="30"/>
      <c r="C24" s="30"/>
      <c r="D24" s="31"/>
      <c r="E24" s="31"/>
      <c r="F24" s="31"/>
      <c r="G24" s="31"/>
      <c r="H24" s="31"/>
      <c r="I24" s="32"/>
      <c r="J24" s="2"/>
      <c r="K24" s="2"/>
    </row>
    <row r="25" spans="1:12">
      <c r="A25" s="1943" t="s">
        <v>90</v>
      </c>
      <c r="B25" s="1944"/>
      <c r="C25" s="1944"/>
      <c r="D25" s="1944"/>
      <c r="E25" s="1944"/>
      <c r="F25" s="1944"/>
      <c r="G25" s="1944"/>
      <c r="H25" s="1944"/>
      <c r="I25" s="1945"/>
      <c r="J25" s="141"/>
      <c r="K25" s="2"/>
    </row>
    <row r="26" spans="1:12">
      <c r="A26" s="38" t="s">
        <v>25</v>
      </c>
      <c r="B26" s="34"/>
      <c r="C26" s="39" t="s">
        <v>91</v>
      </c>
      <c r="D26" s="6"/>
      <c r="E26" s="35"/>
      <c r="F26" s="35"/>
      <c r="G26" s="35"/>
      <c r="H26" s="35"/>
      <c r="I26" s="36"/>
      <c r="J26" s="49"/>
      <c r="K26" s="2"/>
    </row>
    <row r="27" spans="1:12">
      <c r="A27" s="142"/>
      <c r="B27" s="143"/>
      <c r="C27" s="143"/>
      <c r="D27" s="6"/>
      <c r="E27" s="35"/>
      <c r="F27" s="35"/>
      <c r="G27" s="35"/>
      <c r="H27" s="35"/>
      <c r="I27" s="36"/>
      <c r="J27" s="2"/>
      <c r="K27" s="2"/>
    </row>
    <row r="28" spans="1:12">
      <c r="A28" s="38" t="s">
        <v>8</v>
      </c>
      <c r="B28" s="34"/>
      <c r="C28" s="39" t="s">
        <v>81</v>
      </c>
      <c r="D28" s="6"/>
      <c r="E28" s="35"/>
      <c r="F28" s="35"/>
      <c r="G28" s="35"/>
      <c r="H28" s="35"/>
      <c r="I28" s="36"/>
      <c r="J28" s="2"/>
      <c r="K28" s="2"/>
    </row>
    <row r="29" spans="1:12">
      <c r="A29" s="38" t="s">
        <v>92</v>
      </c>
      <c r="B29" s="34"/>
      <c r="C29" s="144">
        <v>1</v>
      </c>
      <c r="D29" s="6"/>
      <c r="E29" s="145"/>
      <c r="F29" s="145"/>
      <c r="G29" s="145"/>
      <c r="H29" s="145"/>
      <c r="I29" s="146"/>
      <c r="J29" s="2"/>
      <c r="K29" s="2"/>
    </row>
    <row r="30" spans="1:12">
      <c r="A30" s="38" t="s">
        <v>9</v>
      </c>
      <c r="B30" s="34"/>
      <c r="C30" s="92">
        <v>1</v>
      </c>
      <c r="D30" s="6"/>
      <c r="E30" s="35"/>
      <c r="F30" s="35"/>
      <c r="G30" s="35"/>
      <c r="H30" s="35"/>
      <c r="I30" s="36"/>
      <c r="J30" s="2"/>
      <c r="K30" s="2"/>
    </row>
    <row r="31" spans="1:12">
      <c r="A31" s="38" t="s">
        <v>10</v>
      </c>
      <c r="B31" s="35"/>
      <c r="C31" s="93">
        <v>0.05</v>
      </c>
      <c r="D31" s="6"/>
      <c r="E31" s="35"/>
      <c r="F31" s="35"/>
      <c r="G31" s="35"/>
      <c r="H31" s="35"/>
      <c r="I31" s="147" t="s">
        <v>6</v>
      </c>
      <c r="J31" s="2"/>
      <c r="K31" s="2"/>
    </row>
    <row r="32" spans="1:12">
      <c r="A32" s="38" t="s">
        <v>93</v>
      </c>
      <c r="B32" s="35"/>
      <c r="C32" s="148">
        <f>SUM(I34,I38,I40,I43,I45,I46,I46,I47,I49,I51,I53)/C29</f>
        <v>2302</v>
      </c>
      <c r="D32" s="6"/>
      <c r="E32" s="35"/>
      <c r="F32" s="35"/>
      <c r="G32" s="35"/>
      <c r="H32" s="35"/>
      <c r="I32" s="147"/>
      <c r="J32" s="2"/>
      <c r="K32" s="2"/>
    </row>
    <row r="33" spans="1:11">
      <c r="A33" s="40"/>
      <c r="B33" s="35"/>
      <c r="C33" s="35"/>
      <c r="D33" s="41"/>
      <c r="E33" s="35"/>
      <c r="F33" s="35"/>
      <c r="G33" s="35"/>
      <c r="H33" s="35"/>
      <c r="I33" s="149"/>
      <c r="J33" s="2"/>
      <c r="K33" s="2"/>
    </row>
    <row r="34" spans="1:11">
      <c r="A34" s="42" t="s">
        <v>0</v>
      </c>
      <c r="B34" s="35"/>
      <c r="C34" s="35"/>
      <c r="D34" s="41"/>
      <c r="E34" s="35"/>
      <c r="F34" s="35"/>
      <c r="G34" s="35"/>
      <c r="H34" s="35"/>
      <c r="I34" s="46">
        <f>SUM(F36:F37)</f>
        <v>102</v>
      </c>
      <c r="J34" s="2"/>
      <c r="K34" s="2"/>
    </row>
    <row r="35" spans="1:11">
      <c r="A35" s="40" t="s">
        <v>94</v>
      </c>
      <c r="B35" s="35"/>
      <c r="C35" s="92"/>
      <c r="D35" s="41"/>
      <c r="E35" s="35"/>
      <c r="F35" s="35"/>
      <c r="G35" s="35"/>
      <c r="H35" s="35"/>
      <c r="I35" s="47"/>
      <c r="J35" s="2"/>
      <c r="K35" s="2"/>
    </row>
    <row r="36" spans="1:11">
      <c r="A36" s="1946" t="s">
        <v>95</v>
      </c>
      <c r="B36" s="1947"/>
      <c r="C36" s="150" t="s">
        <v>96</v>
      </c>
      <c r="D36" s="151">
        <v>17</v>
      </c>
      <c r="E36" s="152">
        <v>1</v>
      </c>
      <c r="F36" s="153">
        <f>D36*E36</f>
        <v>17</v>
      </c>
      <c r="G36" s="35"/>
      <c r="H36" s="35"/>
      <c r="I36" s="47"/>
      <c r="J36" s="2"/>
      <c r="K36" s="2"/>
    </row>
    <row r="37" spans="1:11">
      <c r="A37" s="1946" t="s">
        <v>97</v>
      </c>
      <c r="B37" s="1947"/>
      <c r="C37" s="150" t="s">
        <v>96</v>
      </c>
      <c r="D37" s="151">
        <v>17</v>
      </c>
      <c r="E37" s="152">
        <v>5</v>
      </c>
      <c r="F37" s="153">
        <f>D37*E37</f>
        <v>85</v>
      </c>
      <c r="G37" s="35"/>
      <c r="H37" s="35"/>
      <c r="I37" s="47"/>
      <c r="J37" s="2"/>
      <c r="K37" s="2"/>
    </row>
    <row r="38" spans="1:11">
      <c r="A38" s="42" t="s">
        <v>2</v>
      </c>
      <c r="B38" s="35"/>
      <c r="C38" s="35"/>
      <c r="D38" s="35"/>
      <c r="E38" s="35"/>
      <c r="F38" s="35"/>
      <c r="G38" s="35"/>
      <c r="H38" s="35"/>
      <c r="I38" s="46">
        <f>SUM(F39)</f>
        <v>0</v>
      </c>
      <c r="J38" s="2"/>
      <c r="K38" s="2"/>
    </row>
    <row r="39" spans="1:11">
      <c r="A39" s="40" t="s">
        <v>98</v>
      </c>
      <c r="B39" s="35"/>
      <c r="C39" s="35"/>
      <c r="D39" s="35"/>
      <c r="E39" s="35"/>
      <c r="F39" s="35"/>
      <c r="G39" s="35"/>
      <c r="H39" s="35"/>
      <c r="I39" s="36"/>
      <c r="J39" s="2"/>
      <c r="K39" s="2"/>
    </row>
    <row r="40" spans="1:11">
      <c r="A40" s="42" t="s">
        <v>3</v>
      </c>
      <c r="B40" s="35"/>
      <c r="C40" s="35"/>
      <c r="D40" s="35"/>
      <c r="E40" s="35"/>
      <c r="F40" s="35"/>
      <c r="G40" s="35"/>
      <c r="H40" s="35"/>
      <c r="I40" s="46">
        <f>SUM(F42)</f>
        <v>2000</v>
      </c>
      <c r="J40" s="2"/>
      <c r="K40" s="2"/>
    </row>
    <row r="41" spans="1:11">
      <c r="A41" s="40" t="s">
        <v>99</v>
      </c>
      <c r="B41" s="35"/>
      <c r="C41" s="35"/>
      <c r="D41" s="35"/>
      <c r="E41" s="35"/>
      <c r="F41" s="35"/>
      <c r="G41" s="35"/>
      <c r="H41" s="35"/>
      <c r="I41" s="46"/>
      <c r="J41" s="2"/>
      <c r="K41" s="2"/>
    </row>
    <row r="42" spans="1:11" ht="25.5" customHeight="1">
      <c r="A42" s="1948" t="s">
        <v>100</v>
      </c>
      <c r="B42" s="1949"/>
      <c r="C42" s="150" t="s">
        <v>101</v>
      </c>
      <c r="D42" s="154">
        <v>2000</v>
      </c>
      <c r="E42" s="155">
        <v>1</v>
      </c>
      <c r="F42" s="156">
        <f>D42*E42</f>
        <v>2000</v>
      </c>
      <c r="G42" s="35"/>
      <c r="H42" s="35"/>
      <c r="I42" s="46"/>
      <c r="J42" s="2"/>
      <c r="K42" s="2"/>
    </row>
    <row r="43" spans="1:11">
      <c r="A43" s="42" t="s">
        <v>4</v>
      </c>
      <c r="B43" s="35"/>
      <c r="C43" s="35"/>
      <c r="D43" s="35"/>
      <c r="E43" s="35"/>
      <c r="F43" s="35"/>
      <c r="G43" s="35"/>
      <c r="H43" s="35"/>
      <c r="I43" s="48">
        <v>200</v>
      </c>
      <c r="J43" s="2"/>
      <c r="K43" s="2"/>
    </row>
    <row r="44" spans="1:11">
      <c r="A44" s="1950" t="s">
        <v>102</v>
      </c>
      <c r="B44" s="1951"/>
      <c r="C44" s="150" t="s">
        <v>103</v>
      </c>
      <c r="D44" s="157">
        <v>0.02</v>
      </c>
      <c r="E44" s="153">
        <f>SUM(I34,I38,I40)</f>
        <v>2102</v>
      </c>
      <c r="F44" s="153">
        <f>D44*E44</f>
        <v>42.04</v>
      </c>
      <c r="G44" s="143"/>
      <c r="H44" s="35"/>
      <c r="I44" s="48"/>
      <c r="J44" s="2"/>
      <c r="K44" s="2"/>
    </row>
    <row r="45" spans="1:11">
      <c r="A45" s="42" t="s">
        <v>26</v>
      </c>
      <c r="B45" s="35"/>
      <c r="C45" s="35"/>
      <c r="D45" s="35"/>
      <c r="E45" s="35"/>
      <c r="F45" s="35"/>
      <c r="G45" s="35"/>
      <c r="H45" s="35"/>
      <c r="I45" s="48">
        <f>F46</f>
        <v>0</v>
      </c>
      <c r="J45" s="2"/>
      <c r="K45" s="2"/>
    </row>
    <row r="46" spans="1:11">
      <c r="A46" s="37" t="s">
        <v>104</v>
      </c>
      <c r="B46" s="35"/>
      <c r="C46" s="35"/>
      <c r="D46" s="35"/>
      <c r="E46" s="35"/>
      <c r="F46" s="35"/>
      <c r="G46" s="35"/>
      <c r="H46" s="35"/>
      <c r="I46" s="48"/>
      <c r="J46" s="2"/>
      <c r="K46" s="2"/>
    </row>
    <row r="47" spans="1:11">
      <c r="A47" s="42" t="s">
        <v>7</v>
      </c>
      <c r="B47" s="35"/>
      <c r="C47" s="35"/>
      <c r="D47" s="35"/>
      <c r="E47" s="35"/>
      <c r="F47" s="35"/>
      <c r="G47" s="35"/>
      <c r="H47" s="35"/>
      <c r="I47" s="48">
        <f>F48</f>
        <v>0</v>
      </c>
      <c r="J47" s="2"/>
      <c r="K47" s="2"/>
    </row>
    <row r="48" spans="1:11">
      <c r="A48" s="37" t="s">
        <v>104</v>
      </c>
      <c r="B48" s="35"/>
      <c r="C48" s="35"/>
      <c r="D48" s="35"/>
      <c r="E48" s="35"/>
      <c r="F48" s="35"/>
      <c r="G48" s="35"/>
      <c r="H48" s="35"/>
      <c r="I48" s="48"/>
      <c r="J48" s="2"/>
      <c r="K48" s="2"/>
    </row>
    <row r="49" spans="1:11">
      <c r="A49" s="42" t="s">
        <v>27</v>
      </c>
      <c r="B49" s="35"/>
      <c r="C49" s="35"/>
      <c r="D49" s="35"/>
      <c r="E49" s="35"/>
      <c r="F49" s="35"/>
      <c r="G49" s="35"/>
      <c r="H49" s="35"/>
      <c r="I49" s="48">
        <f>F50</f>
        <v>0</v>
      </c>
      <c r="J49" s="2"/>
      <c r="K49" s="2"/>
    </row>
    <row r="50" spans="1:11">
      <c r="A50" s="37" t="s">
        <v>104</v>
      </c>
      <c r="B50" s="35"/>
      <c r="C50" s="35"/>
      <c r="D50" s="35"/>
      <c r="E50" s="35"/>
      <c r="F50" s="35"/>
      <c r="G50" s="35"/>
      <c r="H50" s="35"/>
      <c r="I50" s="48"/>
      <c r="J50" s="2"/>
      <c r="K50" s="2"/>
    </row>
    <row r="51" spans="1:11">
      <c r="A51" s="42" t="s">
        <v>5</v>
      </c>
      <c r="B51" s="35"/>
      <c r="C51" s="35"/>
      <c r="D51" s="35"/>
      <c r="E51" s="35"/>
      <c r="F51" s="35"/>
      <c r="G51" s="35"/>
      <c r="H51" s="35"/>
      <c r="I51" s="48">
        <f>F52</f>
        <v>0</v>
      </c>
      <c r="J51" s="2"/>
      <c r="K51" s="2"/>
    </row>
    <row r="52" spans="1:11">
      <c r="A52" s="37" t="s">
        <v>104</v>
      </c>
      <c r="B52" s="35"/>
      <c r="C52" s="35"/>
      <c r="D52" s="35"/>
      <c r="E52" s="35"/>
      <c r="F52" s="35"/>
      <c r="G52" s="35"/>
      <c r="H52" s="35"/>
      <c r="I52" s="48"/>
      <c r="J52" s="2"/>
      <c r="K52" s="2"/>
    </row>
    <row r="53" spans="1:11">
      <c r="A53" s="42" t="s">
        <v>20</v>
      </c>
      <c r="B53" s="35"/>
      <c r="C53" s="35"/>
      <c r="D53" s="35"/>
      <c r="E53" s="35"/>
      <c r="F53" s="35"/>
      <c r="G53" s="35"/>
      <c r="H53" s="35"/>
      <c r="I53" s="48">
        <f>F54</f>
        <v>0</v>
      </c>
      <c r="J53" s="2"/>
      <c r="K53" s="2"/>
    </row>
    <row r="54" spans="1:11">
      <c r="A54" s="37" t="s">
        <v>104</v>
      </c>
      <c r="B54" s="35"/>
      <c r="C54" s="35"/>
      <c r="D54" s="35"/>
      <c r="E54" s="35"/>
      <c r="F54" s="35"/>
      <c r="G54" s="35"/>
      <c r="H54" s="35"/>
      <c r="I54" s="36"/>
      <c r="J54" s="2"/>
      <c r="K54" s="2"/>
    </row>
    <row r="55" spans="1:11">
      <c r="A55" s="43" t="s">
        <v>11</v>
      </c>
      <c r="B55" s="44"/>
      <c r="C55" s="44"/>
      <c r="D55" s="44"/>
      <c r="E55" s="44"/>
      <c r="F55" s="44"/>
      <c r="G55" s="44"/>
      <c r="H55" s="44"/>
      <c r="I55" s="52">
        <f>+I53+I51+I49+I47+I45+I43+I40+I38+I34</f>
        <v>2302</v>
      </c>
      <c r="J55" s="2"/>
      <c r="K55" s="2"/>
    </row>
  </sheetData>
  <mergeCells count="5">
    <mergeCell ref="A25:I25"/>
    <mergeCell ref="A36:B36"/>
    <mergeCell ref="A37:B37"/>
    <mergeCell ref="A42:B42"/>
    <mergeCell ref="A44:B44"/>
  </mergeCells>
  <pageMargins left="0.75" right="0" top="0.25" bottom="0.25" header="0.25" footer="0.17"/>
  <pageSetup scale="75" orientation="landscape" horizontalDpi="300" verticalDpi="300" r:id="rId1"/>
  <headerFooter alignWithMargins="0">
    <oddHeader>&amp;CP 102 Comprehensive Nutrient Management Plan
Small Poultry</oddHeader>
  </headerFooter>
  <colBreaks count="1" manualBreakCount="1">
    <brk id="9" max="1048575" man="1"/>
  </colBreaks>
</worksheet>
</file>

<file path=xl/worksheets/sheet20.xml><?xml version="1.0" encoding="utf-8"?>
<worksheet xmlns="http://schemas.openxmlformats.org/spreadsheetml/2006/main" xmlns:r="http://schemas.openxmlformats.org/officeDocument/2006/relationships">
  <dimension ref="B1:P107"/>
  <sheetViews>
    <sheetView zoomScaleNormal="100" workbookViewId="0">
      <selection activeCell="L28" sqref="L28"/>
    </sheetView>
  </sheetViews>
  <sheetFormatPr defaultRowHeight="12.75"/>
  <cols>
    <col min="1" max="1" width="1.85546875" style="2" customWidth="1"/>
    <col min="2" max="2" width="11.5703125" style="2" customWidth="1"/>
    <col min="3" max="3" width="18.7109375" style="2" customWidth="1"/>
    <col min="4" max="4" width="23.5703125" style="2" customWidth="1"/>
    <col min="5" max="5" width="21.5703125" style="2" customWidth="1"/>
    <col min="6" max="6" width="10.85546875" style="2" customWidth="1"/>
    <col min="7" max="7" width="10.42578125" style="2" customWidth="1"/>
    <col min="8" max="8" width="9.140625" style="2" bestFit="1" customWidth="1"/>
    <col min="9" max="9" width="11" style="2" customWidth="1"/>
    <col min="10" max="10" width="1.4257812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5.5">
      <c r="B2" s="177" t="s">
        <v>42</v>
      </c>
      <c r="C2" s="79">
        <v>110</v>
      </c>
      <c r="D2" s="107" t="s">
        <v>163</v>
      </c>
      <c r="E2" s="107" t="s">
        <v>172</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25.5">
      <c r="B6" s="54">
        <v>110</v>
      </c>
      <c r="C6" s="7" t="str">
        <f>+E10</f>
        <v>EQIP</v>
      </c>
      <c r="D6" s="110" t="s">
        <v>163</v>
      </c>
      <c r="E6" s="110" t="s">
        <v>173</v>
      </c>
      <c r="F6" s="7" t="s">
        <v>38</v>
      </c>
      <c r="G6" s="85">
        <f>G23</f>
        <v>1764</v>
      </c>
      <c r="H6" s="89"/>
      <c r="I6" s="89"/>
      <c r="J6"/>
    </row>
    <row r="7" spans="2:10" ht="25.5" customHeight="1">
      <c r="B7" s="8">
        <v>110</v>
      </c>
      <c r="C7" s="10" t="s">
        <v>15</v>
      </c>
      <c r="D7" s="111" t="s">
        <v>163</v>
      </c>
      <c r="E7" s="111" t="s">
        <v>174</v>
      </c>
      <c r="F7" s="10" t="s">
        <v>38</v>
      </c>
      <c r="G7" s="86">
        <f>$H$23</f>
        <v>2116.8000000000002</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2352</v>
      </c>
      <c r="E16" s="160">
        <v>0.75</v>
      </c>
      <c r="F16" s="160">
        <v>0.9</v>
      </c>
      <c r="G16" s="73">
        <f t="shared" si="0"/>
        <v>1764</v>
      </c>
      <c r="H16" s="74">
        <f t="shared" si="0"/>
        <v>2116.8000000000002</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I60</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2352</v>
      </c>
      <c r="E23" s="28"/>
      <c r="F23" s="28"/>
      <c r="G23" s="51">
        <f>SUM(G14:G22)</f>
        <v>1764</v>
      </c>
      <c r="H23" s="77">
        <f>SUM(H14:H22)</f>
        <v>2116.8000000000002</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166</v>
      </c>
      <c r="E28" s="1955"/>
      <c r="F28" s="1955"/>
      <c r="G28" s="1955"/>
      <c r="H28" s="1955"/>
      <c r="I28" s="36"/>
    </row>
    <row r="29" spans="2:16">
      <c r="B29" s="42"/>
      <c r="C29" s="34"/>
      <c r="D29" s="115"/>
      <c r="E29" s="97"/>
      <c r="F29" s="97"/>
      <c r="G29" s="97"/>
      <c r="H29" s="97"/>
      <c r="I29" s="36"/>
    </row>
    <row r="30" spans="2:16">
      <c r="B30" s="37" t="s">
        <v>41</v>
      </c>
      <c r="C30" s="34"/>
      <c r="D30" s="1956" t="s">
        <v>167</v>
      </c>
      <c r="E30" s="1957"/>
      <c r="F30" s="1957"/>
      <c r="G30" s="1957"/>
      <c r="H30" s="1957"/>
      <c r="I30" s="36"/>
    </row>
    <row r="31" spans="2:16">
      <c r="B31" s="91" t="s">
        <v>40</v>
      </c>
      <c r="C31" s="34"/>
      <c r="D31" s="1956" t="s">
        <v>175</v>
      </c>
      <c r="E31" s="1957"/>
      <c r="F31" s="1957"/>
      <c r="G31" s="1957"/>
      <c r="H31" s="1957"/>
      <c r="I31" s="36"/>
    </row>
    <row r="32" spans="2:16" ht="56.25" customHeight="1">
      <c r="B32" s="91" t="s">
        <v>33</v>
      </c>
      <c r="C32" s="90"/>
      <c r="D32" s="1956" t="s">
        <v>169</v>
      </c>
      <c r="E32" s="1957"/>
      <c r="F32" s="1957"/>
      <c r="G32" s="1957"/>
      <c r="H32" s="1957"/>
      <c r="I32" s="36"/>
    </row>
    <row r="33" spans="2:15" ht="87.75" customHeight="1">
      <c r="B33" s="91" t="s">
        <v>35</v>
      </c>
      <c r="C33" s="90"/>
      <c r="D33" s="1956" t="s">
        <v>170</v>
      </c>
      <c r="E33" s="1957"/>
      <c r="F33" s="1957"/>
      <c r="G33" s="1957"/>
      <c r="H33" s="1957"/>
      <c r="I33" s="36"/>
    </row>
    <row r="34" spans="2:15" ht="45" customHeight="1">
      <c r="B34" s="91" t="s">
        <v>34</v>
      </c>
      <c r="C34" s="90"/>
      <c r="D34" s="1956" t="s">
        <v>171</v>
      </c>
      <c r="E34" s="1957"/>
      <c r="F34" s="1957"/>
      <c r="G34" s="1957"/>
      <c r="H34" s="1957"/>
      <c r="I34" s="36"/>
    </row>
    <row r="35" spans="2:15" ht="6" customHeight="1">
      <c r="B35" s="37"/>
      <c r="C35" s="34"/>
      <c r="D35" s="34"/>
      <c r="E35" s="35"/>
      <c r="F35" s="35"/>
      <c r="G35" s="35"/>
      <c r="H35" s="35"/>
      <c r="I35" s="36"/>
    </row>
    <row r="36" spans="2:15">
      <c r="B36" s="38" t="s">
        <v>25</v>
      </c>
      <c r="C36" s="34"/>
      <c r="D36" s="1958" t="s">
        <v>42</v>
      </c>
      <c r="E36" s="1952"/>
      <c r="F36" s="1952"/>
      <c r="G36" s="1952"/>
      <c r="H36" s="1952"/>
      <c r="I36" s="36"/>
      <c r="J36" s="49"/>
    </row>
    <row r="37" spans="2:15">
      <c r="B37" s="38" t="s">
        <v>8</v>
      </c>
      <c r="C37" s="34"/>
      <c r="D37" s="39" t="s">
        <v>38</v>
      </c>
      <c r="E37" s="35"/>
      <c r="F37" s="35"/>
      <c r="G37" s="35"/>
      <c r="H37" s="35"/>
      <c r="I37" s="36"/>
    </row>
    <row r="38" spans="2:15">
      <c r="B38" s="38" t="s">
        <v>9</v>
      </c>
      <c r="C38" s="34"/>
      <c r="D38" s="92">
        <v>1</v>
      </c>
      <c r="E38" s="35"/>
      <c r="F38" s="35"/>
      <c r="G38" s="35"/>
      <c r="H38" s="35"/>
      <c r="I38" s="36"/>
    </row>
    <row r="39" spans="2:15">
      <c r="B39" s="38" t="s">
        <v>10</v>
      </c>
      <c r="C39" s="35"/>
      <c r="D39" s="93">
        <v>0</v>
      </c>
      <c r="E39" s="35"/>
      <c r="F39" s="35"/>
      <c r="G39" s="35"/>
      <c r="H39" s="35"/>
      <c r="I39" s="96" t="s">
        <v>6</v>
      </c>
    </row>
    <row r="40" spans="2:15">
      <c r="B40" s="40"/>
      <c r="C40" s="35"/>
      <c r="D40" s="35"/>
      <c r="E40" s="41"/>
      <c r="F40" s="35"/>
      <c r="G40" s="35"/>
      <c r="H40" s="35"/>
      <c r="I40" s="149"/>
      <c r="L40" s="64"/>
      <c r="M40" s="64"/>
      <c r="N40" s="61"/>
      <c r="O40" s="61"/>
    </row>
    <row r="41" spans="2:15">
      <c r="B41" s="42" t="s">
        <v>0</v>
      </c>
      <c r="C41" s="35"/>
      <c r="D41" s="35"/>
      <c r="E41" s="35"/>
      <c r="F41" s="35"/>
      <c r="G41" s="35"/>
      <c r="H41" s="35"/>
      <c r="I41" s="46">
        <v>0</v>
      </c>
      <c r="L41" s="64"/>
      <c r="M41" s="64"/>
      <c r="N41" s="61"/>
      <c r="O41" s="61"/>
    </row>
    <row r="42" spans="2:15" ht="14.25" customHeight="1">
      <c r="B42" s="37" t="s">
        <v>39</v>
      </c>
      <c r="C42" s="35"/>
      <c r="D42" s="166"/>
      <c r="E42" s="35"/>
      <c r="F42" s="35"/>
      <c r="G42" s="35"/>
      <c r="H42" s="35"/>
      <c r="I42" s="46"/>
      <c r="L42" s="64"/>
      <c r="M42" s="61"/>
    </row>
    <row r="43" spans="2:15" ht="6" customHeight="1">
      <c r="B43" s="62"/>
      <c r="C43" s="6"/>
      <c r="D43" s="63"/>
      <c r="E43" s="35"/>
      <c r="F43" s="35"/>
      <c r="G43" s="35"/>
      <c r="H43" s="35"/>
      <c r="I43" s="46"/>
      <c r="L43" s="64"/>
      <c r="M43" s="61"/>
    </row>
    <row r="44" spans="2:15">
      <c r="B44" s="42" t="s">
        <v>2</v>
      </c>
      <c r="C44" s="35"/>
      <c r="D44" s="66"/>
      <c r="E44" s="35"/>
      <c r="F44" s="35"/>
      <c r="G44" s="35"/>
      <c r="H44" s="35"/>
      <c r="I44" s="46">
        <v>0</v>
      </c>
      <c r="L44" s="64"/>
      <c r="M44" s="61"/>
    </row>
    <row r="45" spans="2:15" ht="12.75" customHeight="1">
      <c r="B45" s="1959" t="s">
        <v>39</v>
      </c>
      <c r="C45" s="1955"/>
      <c r="D45" s="1955"/>
      <c r="E45" s="1955"/>
      <c r="F45" s="1955"/>
      <c r="G45" s="1955"/>
      <c r="H45" s="1955"/>
      <c r="I45" s="46"/>
      <c r="L45" s="64"/>
      <c r="M45" s="61"/>
    </row>
    <row r="46" spans="2:15" ht="6" customHeight="1">
      <c r="B46" s="33"/>
      <c r="C46" s="35"/>
      <c r="D46" s="35"/>
      <c r="E46" s="60"/>
      <c r="F46" s="60"/>
      <c r="G46" s="60"/>
      <c r="H46" s="35"/>
      <c r="I46" s="46"/>
      <c r="L46" s="64"/>
      <c r="M46" s="61"/>
    </row>
    <row r="47" spans="2:15" ht="4.5" customHeight="1">
      <c r="B47" s="42"/>
      <c r="C47" s="35"/>
      <c r="D47" s="35"/>
      <c r="E47" s="35"/>
      <c r="F47" s="35"/>
      <c r="G47" s="58"/>
      <c r="H47" s="59"/>
      <c r="I47" s="46"/>
      <c r="L47" s="64"/>
      <c r="M47" s="61"/>
    </row>
    <row r="48" spans="2:15">
      <c r="B48" s="42" t="s">
        <v>3</v>
      </c>
      <c r="C48" s="35"/>
      <c r="D48" s="35"/>
      <c r="E48" s="35"/>
      <c r="F48" s="35"/>
      <c r="G48" s="35"/>
      <c r="H48" s="35"/>
      <c r="I48" s="46">
        <f>$H$51</f>
        <v>2352</v>
      </c>
      <c r="L48" s="64"/>
      <c r="M48" s="61"/>
    </row>
    <row r="49" spans="2:15" ht="12.75" customHeight="1">
      <c r="B49" s="1959" t="s">
        <v>44</v>
      </c>
      <c r="C49" s="1955"/>
      <c r="D49" s="1955"/>
      <c r="E49" s="1955"/>
      <c r="F49" s="1955"/>
      <c r="G49" s="1955"/>
      <c r="H49" s="1955"/>
      <c r="I49" s="46"/>
      <c r="L49" s="64"/>
      <c r="M49" s="61"/>
    </row>
    <row r="50" spans="2:15" ht="12.75" customHeight="1">
      <c r="B50" s="101"/>
      <c r="C50" s="102"/>
      <c r="D50" s="103" t="s">
        <v>45</v>
      </c>
      <c r="E50" s="104" t="s">
        <v>46</v>
      </c>
      <c r="F50" s="104" t="s">
        <v>6</v>
      </c>
      <c r="G50" s="104" t="s">
        <v>47</v>
      </c>
      <c r="H50" s="104" t="s">
        <v>48</v>
      </c>
      <c r="I50" s="46"/>
      <c r="L50" s="64"/>
      <c r="M50" s="61"/>
    </row>
    <row r="51" spans="2:15" ht="12.75" customHeight="1">
      <c r="B51" s="101"/>
      <c r="C51" s="97"/>
      <c r="D51" s="97" t="s">
        <v>3</v>
      </c>
      <c r="E51" s="105" t="s">
        <v>49</v>
      </c>
      <c r="F51" s="106">
        <v>56</v>
      </c>
      <c r="G51" s="97">
        <v>42</v>
      </c>
      <c r="H51" s="106">
        <f>F51*G51</f>
        <v>2352</v>
      </c>
      <c r="I51" s="46"/>
      <c r="L51" s="64"/>
      <c r="M51" s="61"/>
    </row>
    <row r="52" spans="2:15" ht="11.25" customHeight="1">
      <c r="B52" s="33"/>
      <c r="C52" s="35"/>
      <c r="D52" s="35"/>
      <c r="E52" s="35"/>
      <c r="F52" s="35"/>
      <c r="G52" s="35"/>
      <c r="H52" s="35"/>
      <c r="I52" s="48"/>
      <c r="L52" s="64"/>
      <c r="M52" s="61"/>
    </row>
    <row r="53" spans="2:15">
      <c r="B53" s="42" t="s">
        <v>4</v>
      </c>
      <c r="C53" s="35"/>
      <c r="D53" s="35"/>
      <c r="E53" s="35"/>
      <c r="F53" s="35"/>
      <c r="G53" s="35"/>
      <c r="H53" s="35"/>
      <c r="I53" s="48">
        <v>0</v>
      </c>
      <c r="L53" s="64"/>
      <c r="M53" s="61"/>
    </row>
    <row r="54" spans="2:15" ht="12" customHeight="1">
      <c r="B54" s="37" t="s">
        <v>39</v>
      </c>
      <c r="C54" s="35"/>
      <c r="D54" s="35"/>
      <c r="E54" s="35"/>
      <c r="F54" s="35"/>
      <c r="G54" s="35"/>
      <c r="H54" s="35"/>
      <c r="I54" s="36"/>
      <c r="L54" s="64"/>
      <c r="M54" s="61"/>
    </row>
    <row r="55" spans="2:15" ht="5.25" customHeight="1">
      <c r="B55" s="37"/>
      <c r="C55" s="35"/>
      <c r="D55" s="35"/>
      <c r="E55" s="35"/>
      <c r="F55" s="35"/>
      <c r="G55" s="35"/>
      <c r="H55" s="35"/>
      <c r="I55" s="36"/>
      <c r="L55" s="64"/>
      <c r="M55" s="61"/>
    </row>
    <row r="56" spans="2:15">
      <c r="B56" s="42" t="s">
        <v>26</v>
      </c>
      <c r="C56" s="35"/>
      <c r="D56" s="35"/>
      <c r="E56" s="35"/>
      <c r="F56" s="35"/>
      <c r="G56" s="35"/>
      <c r="H56" s="35"/>
      <c r="I56" s="46">
        <v>0</v>
      </c>
      <c r="L56" s="64"/>
      <c r="M56" s="61"/>
    </row>
    <row r="57" spans="2:15" ht="14.25" customHeight="1">
      <c r="B57" s="1959" t="s">
        <v>39</v>
      </c>
      <c r="C57" s="1960"/>
      <c r="D57" s="1960"/>
      <c r="E57" s="1960"/>
      <c r="F57" s="1960"/>
      <c r="G57" s="1960"/>
      <c r="H57" s="1960"/>
      <c r="I57" s="48"/>
      <c r="L57" s="64"/>
      <c r="M57" s="61"/>
    </row>
    <row r="58" spans="2:15" ht="12" customHeight="1">
      <c r="B58" s="1943"/>
      <c r="C58" s="1944"/>
      <c r="D58" s="1944"/>
      <c r="E58" s="1944"/>
      <c r="F58" s="1944"/>
      <c r="G58" s="1944"/>
      <c r="H58" s="35"/>
      <c r="I58" s="48"/>
      <c r="L58" s="64"/>
      <c r="M58" s="61"/>
    </row>
    <row r="59" spans="2:15" ht="9.75" customHeight="1">
      <c r="B59" s="37"/>
      <c r="C59" s="35"/>
      <c r="D59" s="35"/>
      <c r="E59" s="35"/>
      <c r="F59" s="35"/>
      <c r="G59" s="35"/>
      <c r="H59" s="35"/>
      <c r="I59" s="36"/>
      <c r="L59" s="64"/>
      <c r="M59" s="64"/>
    </row>
    <row r="60" spans="2:15">
      <c r="B60" s="42" t="s">
        <v>7</v>
      </c>
      <c r="C60" s="35"/>
      <c r="D60" s="35"/>
      <c r="E60" s="35"/>
      <c r="F60" s="35"/>
      <c r="G60" s="35"/>
      <c r="H60" s="35"/>
      <c r="I60" s="46">
        <v>0</v>
      </c>
      <c r="L60" s="64"/>
      <c r="M60" s="64"/>
      <c r="N60" s="64"/>
      <c r="O60" s="64"/>
    </row>
    <row r="61" spans="2:15" ht="12" customHeight="1">
      <c r="B61" s="33"/>
      <c r="C61" s="35"/>
      <c r="D61" s="35"/>
      <c r="E61" s="35"/>
      <c r="F61" s="35"/>
      <c r="G61" s="35"/>
      <c r="H61" s="35"/>
      <c r="I61" s="36"/>
      <c r="L61" s="64"/>
      <c r="M61" s="64"/>
      <c r="N61" s="61"/>
      <c r="O61" s="61"/>
    </row>
    <row r="62" spans="2:15" ht="6" customHeight="1">
      <c r="B62" s="37"/>
      <c r="C62" s="35"/>
      <c r="D62" s="35"/>
      <c r="E62" s="35"/>
      <c r="F62" s="35"/>
      <c r="G62" s="35"/>
      <c r="H62" s="35"/>
      <c r="I62" s="36"/>
      <c r="L62" s="64"/>
      <c r="M62" s="64"/>
      <c r="N62" s="65"/>
      <c r="O62" s="65"/>
    </row>
    <row r="63" spans="2:15">
      <c r="B63" s="42" t="s">
        <v>27</v>
      </c>
      <c r="C63" s="35"/>
      <c r="D63" s="35"/>
      <c r="E63" s="35"/>
      <c r="F63" s="35"/>
      <c r="G63" s="35"/>
      <c r="H63" s="35"/>
      <c r="I63" s="46">
        <v>0</v>
      </c>
      <c r="L63" s="64"/>
      <c r="M63" s="64"/>
      <c r="N63" s="61"/>
      <c r="O63" s="61"/>
    </row>
    <row r="64" spans="2:15" ht="13.5" customHeight="1">
      <c r="B64" s="37" t="s">
        <v>39</v>
      </c>
      <c r="C64" s="35"/>
      <c r="D64" s="35"/>
      <c r="E64" s="35"/>
      <c r="F64" s="35"/>
      <c r="G64" s="35"/>
      <c r="H64" s="35"/>
      <c r="I64" s="47"/>
      <c r="L64" s="64"/>
      <c r="M64" s="64"/>
      <c r="N64" s="65"/>
      <c r="O64" s="65"/>
    </row>
    <row r="65" spans="2:15" ht="3.75" customHeight="1">
      <c r="B65" s="37"/>
      <c r="C65" s="35"/>
      <c r="D65" s="35"/>
      <c r="E65" s="35"/>
      <c r="F65" s="35"/>
      <c r="G65" s="35"/>
      <c r="H65" s="35"/>
      <c r="I65" s="36"/>
      <c r="L65" s="64"/>
      <c r="M65" s="64"/>
      <c r="N65" s="61"/>
      <c r="O65" s="61"/>
    </row>
    <row r="66" spans="2:15">
      <c r="B66" s="42" t="s">
        <v>5</v>
      </c>
      <c r="C66" s="35"/>
      <c r="D66" s="35"/>
      <c r="E66" s="35"/>
      <c r="F66" s="35"/>
      <c r="G66" s="35"/>
      <c r="H66" s="35"/>
      <c r="I66" s="46">
        <v>0</v>
      </c>
      <c r="L66" s="64"/>
      <c r="M66" s="64"/>
      <c r="N66" s="61"/>
      <c r="O66" s="61"/>
    </row>
    <row r="67" spans="2:15" ht="11.25" customHeight="1">
      <c r="B67" s="37" t="s">
        <v>39</v>
      </c>
      <c r="C67" s="35"/>
      <c r="D67" s="35"/>
      <c r="E67" s="35"/>
      <c r="F67" s="35"/>
      <c r="G67" s="35"/>
      <c r="H67" s="35"/>
      <c r="I67" s="47"/>
      <c r="L67" s="64"/>
      <c r="M67" s="64"/>
      <c r="N67" s="64"/>
      <c r="O67" s="64"/>
    </row>
    <row r="68" spans="2:15" ht="4.5" customHeight="1">
      <c r="B68" s="37"/>
      <c r="C68" s="35"/>
      <c r="D68" s="35"/>
      <c r="E68" s="35"/>
      <c r="F68" s="35"/>
      <c r="G68" s="35"/>
      <c r="H68" s="35"/>
      <c r="I68" s="36"/>
      <c r="L68" s="64"/>
      <c r="M68" s="64"/>
      <c r="N68" s="64"/>
      <c r="O68" s="64"/>
    </row>
    <row r="69" spans="2:15">
      <c r="B69" s="42" t="s">
        <v>20</v>
      </c>
      <c r="C69" s="35"/>
      <c r="D69" s="35"/>
      <c r="E69" s="35"/>
      <c r="F69" s="35"/>
      <c r="G69" s="35"/>
      <c r="H69" s="35"/>
      <c r="I69" s="46">
        <v>0</v>
      </c>
      <c r="L69" s="64"/>
      <c r="M69" s="64"/>
      <c r="N69" s="61"/>
      <c r="O69" s="61"/>
    </row>
    <row r="70" spans="2:15" ht="12" customHeight="1">
      <c r="B70" s="37" t="s">
        <v>39</v>
      </c>
      <c r="C70" s="35"/>
      <c r="D70" s="35"/>
      <c r="E70" s="35"/>
      <c r="F70" s="35"/>
      <c r="G70" s="35"/>
      <c r="H70" s="35"/>
      <c r="I70" s="46"/>
      <c r="L70" s="64"/>
      <c r="M70" s="64"/>
      <c r="N70" s="61"/>
      <c r="O70" s="61"/>
    </row>
    <row r="71" spans="2:15" ht="6.75" customHeight="1">
      <c r="B71" s="42"/>
      <c r="C71" s="35"/>
      <c r="D71" s="35"/>
      <c r="E71" s="35"/>
      <c r="F71" s="35"/>
      <c r="G71" s="35"/>
      <c r="H71" s="35"/>
      <c r="I71" s="46"/>
      <c r="L71" s="64"/>
      <c r="M71" s="64"/>
      <c r="N71" s="61"/>
      <c r="O71" s="61"/>
    </row>
    <row r="72" spans="2:15" ht="5.25" customHeight="1">
      <c r="B72" s="40"/>
      <c r="C72" s="35"/>
      <c r="D72" s="35"/>
      <c r="E72" s="35"/>
      <c r="F72" s="35"/>
      <c r="G72" s="35"/>
      <c r="H72" s="35"/>
      <c r="I72" s="36"/>
      <c r="L72" s="64"/>
      <c r="M72" s="64"/>
      <c r="N72" s="64"/>
      <c r="O72" s="64"/>
    </row>
    <row r="73" spans="2:15">
      <c r="B73" s="43" t="s">
        <v>11</v>
      </c>
      <c r="C73" s="44"/>
      <c r="D73" s="44"/>
      <c r="E73" s="44"/>
      <c r="F73" s="44"/>
      <c r="G73" s="44"/>
      <c r="H73" s="44"/>
      <c r="I73" s="52">
        <f>+I69+I66+I63+I60+I56+I53+I48+I44+I41</f>
        <v>2352</v>
      </c>
      <c r="L73" s="64"/>
      <c r="M73" s="64"/>
      <c r="N73" s="64"/>
      <c r="O73" s="64"/>
    </row>
    <row r="96" spans="5:5">
      <c r="E96" s="57"/>
    </row>
    <row r="97" spans="5:5">
      <c r="E97" s="57"/>
    </row>
    <row r="98" spans="5:5">
      <c r="E98" s="57"/>
    </row>
    <row r="99" spans="5:5">
      <c r="E99" s="57"/>
    </row>
    <row r="100" spans="5:5">
      <c r="E100" s="57"/>
    </row>
    <row r="101" spans="5:5">
      <c r="E101" s="57"/>
    </row>
    <row r="103" spans="5:5">
      <c r="E103" s="57"/>
    </row>
    <row r="105" spans="5:5">
      <c r="E105" s="56"/>
    </row>
    <row r="107" spans="5:5">
      <c r="E107" s="57"/>
    </row>
  </sheetData>
  <mergeCells count="11">
    <mergeCell ref="D36:H36"/>
    <mergeCell ref="B45:H45"/>
    <mergeCell ref="B49:H49"/>
    <mergeCell ref="B57:H57"/>
    <mergeCell ref="B58:G58"/>
    <mergeCell ref="D34:H34"/>
    <mergeCell ref="D28:H28"/>
    <mergeCell ref="D30:H30"/>
    <mergeCell ref="D31:H31"/>
    <mergeCell ref="D32:H32"/>
    <mergeCell ref="D33:H33"/>
  </mergeCells>
  <pageMargins left="0.36" right="0.3" top="0.43" bottom="0.64" header="0.28000000000000003" footer="0.36"/>
  <pageSetup scale="71" orientation="portrait" r:id="rId1"/>
  <headerFooter alignWithMargins="0"/>
</worksheet>
</file>

<file path=xl/worksheets/sheet200.xml><?xml version="1.0" encoding="utf-8"?>
<worksheet xmlns="http://schemas.openxmlformats.org/spreadsheetml/2006/main" xmlns:r="http://schemas.openxmlformats.org/officeDocument/2006/relationships">
  <sheetPr>
    <tabColor theme="3"/>
    <pageSetUpPr fitToPage="1"/>
  </sheetPr>
  <dimension ref="A1:H105"/>
  <sheetViews>
    <sheetView topLeftCell="A16" zoomScaleNormal="100" workbookViewId="0">
      <selection activeCell="A15" sqref="A15"/>
    </sheetView>
  </sheetViews>
  <sheetFormatPr defaultColWidth="9.140625"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12.1406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2451</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2488</v>
      </c>
      <c r="D8" s="461"/>
      <c r="E8" s="457"/>
      <c r="F8" s="457"/>
      <c r="G8" s="461"/>
    </row>
    <row r="9" spans="1:7" ht="123.6" customHeight="1">
      <c r="A9" s="454" t="s">
        <v>382</v>
      </c>
      <c r="B9" s="454" t="s">
        <v>385</v>
      </c>
      <c r="C9" s="2009" t="s">
        <v>2489</v>
      </c>
      <c r="D9" s="2010"/>
      <c r="E9" s="2010"/>
      <c r="F9" s="2010"/>
      <c r="G9" s="2011"/>
    </row>
    <row r="10" spans="1:7" ht="98.45" customHeight="1">
      <c r="A10" s="454" t="s">
        <v>382</v>
      </c>
      <c r="B10" s="454" t="s">
        <v>387</v>
      </c>
      <c r="C10" s="2009" t="s">
        <v>2490</v>
      </c>
      <c r="D10" s="2010"/>
      <c r="E10" s="2010"/>
      <c r="F10" s="2010"/>
      <c r="G10" s="2011"/>
    </row>
    <row r="11" spans="1:7" ht="131.44999999999999" customHeight="1">
      <c r="A11" s="454" t="s">
        <v>382</v>
      </c>
      <c r="B11" s="454" t="s">
        <v>389</v>
      </c>
      <c r="C11" s="2009" t="s">
        <v>2491</v>
      </c>
      <c r="D11" s="2010"/>
      <c r="E11" s="2010"/>
      <c r="F11" s="2010"/>
      <c r="G11" s="2011"/>
    </row>
    <row r="12" spans="1:7" ht="51.75" customHeight="1">
      <c r="A12" s="454" t="s">
        <v>382</v>
      </c>
      <c r="B12" s="454" t="s">
        <v>391</v>
      </c>
      <c r="C12" s="2009" t="s">
        <v>2456</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40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0</v>
      </c>
      <c r="C18" s="466">
        <f>B18/C$14</f>
        <v>0</v>
      </c>
      <c r="D18" s="49"/>
      <c r="E18" s="89"/>
      <c r="F18" s="89"/>
      <c r="G18" s="49"/>
    </row>
    <row r="19" spans="1:8" ht="15">
      <c r="A19" s="454" t="s">
        <v>2</v>
      </c>
      <c r="B19" s="465">
        <f>H34</f>
        <v>684.96</v>
      </c>
      <c r="C19" s="466">
        <f t="shared" ref="C19:C27" si="0">B19/C$14</f>
        <v>17.124000000000002</v>
      </c>
      <c r="D19" s="49"/>
      <c r="E19" s="89"/>
      <c r="F19" s="89"/>
      <c r="G19" s="49"/>
    </row>
    <row r="20" spans="1:8" ht="15">
      <c r="A20" s="454" t="s">
        <v>3</v>
      </c>
      <c r="B20" s="465">
        <f>SUM(H35:H39)</f>
        <v>3197.44</v>
      </c>
      <c r="C20" s="466">
        <f t="shared" si="0"/>
        <v>79.936000000000007</v>
      </c>
      <c r="D20" s="49"/>
      <c r="E20" s="89"/>
      <c r="F20" s="89"/>
      <c r="G20" s="49"/>
    </row>
    <row r="21" spans="1:8" ht="15">
      <c r="A21" s="454" t="s">
        <v>4</v>
      </c>
      <c r="B21" s="465"/>
      <c r="C21" s="466">
        <f t="shared" si="0"/>
        <v>0</v>
      </c>
      <c r="D21" s="49"/>
      <c r="E21" s="89"/>
      <c r="F21" s="89"/>
      <c r="G21" s="49"/>
    </row>
    <row r="22" spans="1:8" ht="15">
      <c r="A22" s="454" t="s">
        <v>26</v>
      </c>
      <c r="B22" s="465">
        <f>H40</f>
        <v>0</v>
      </c>
      <c r="C22" s="466">
        <f t="shared" si="0"/>
        <v>0</v>
      </c>
      <c r="D22" s="49"/>
      <c r="E22" s="89"/>
      <c r="F22" s="89"/>
      <c r="G22" s="49"/>
    </row>
    <row r="23" spans="1:8" ht="15">
      <c r="A23" s="454" t="s">
        <v>7</v>
      </c>
      <c r="B23" s="465">
        <f>SUM(H41:H43)</f>
        <v>0</v>
      </c>
      <c r="C23" s="466">
        <f t="shared" si="0"/>
        <v>0</v>
      </c>
      <c r="D23" s="49"/>
      <c r="E23" s="89"/>
      <c r="F23" s="89"/>
      <c r="G23" s="49"/>
    </row>
    <row r="24" spans="1:8" ht="15">
      <c r="A24" s="454" t="s">
        <v>27</v>
      </c>
      <c r="B24" s="465">
        <f>SUM(H44:H46)</f>
        <v>0</v>
      </c>
      <c r="C24" s="466">
        <f t="shared" si="0"/>
        <v>0</v>
      </c>
      <c r="D24" s="49"/>
      <c r="E24" s="89"/>
      <c r="F24" s="89"/>
      <c r="G24" s="49"/>
    </row>
    <row r="25" spans="1:8" ht="15">
      <c r="A25" s="454" t="s">
        <v>5</v>
      </c>
      <c r="B25" s="465">
        <f>G47</f>
        <v>0</v>
      </c>
      <c r="C25" s="466">
        <f t="shared" si="0"/>
        <v>0</v>
      </c>
      <c r="D25" s="49"/>
      <c r="E25" s="89"/>
      <c r="F25" s="89"/>
      <c r="G25" s="49"/>
    </row>
    <row r="26" spans="1:8" ht="15">
      <c r="A26" s="454" t="s">
        <v>20</v>
      </c>
      <c r="B26" s="465">
        <f>H47</f>
        <v>0</v>
      </c>
      <c r="C26" s="466">
        <f t="shared" si="0"/>
        <v>0</v>
      </c>
      <c r="D26" s="49"/>
      <c r="E26" s="89"/>
      <c r="F26" s="89"/>
      <c r="G26" s="49"/>
    </row>
    <row r="27" spans="1:8" ht="15">
      <c r="A27" s="454" t="s">
        <v>399</v>
      </c>
      <c r="B27" s="465">
        <f>SUM(B18:B26)</f>
        <v>3882.4</v>
      </c>
      <c r="C27" s="466">
        <f t="shared" si="0"/>
        <v>97.06</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c r="C31" s="470"/>
      <c r="D31" s="471"/>
      <c r="E31" s="471"/>
      <c r="F31" s="472"/>
      <c r="G31" s="473"/>
      <c r="H31" s="474">
        <f>IF(G31&lt;=0, 0, F31*G31)</f>
        <v>0</v>
      </c>
    </row>
    <row r="32" spans="1:8" ht="15">
      <c r="A32" s="454" t="s">
        <v>0</v>
      </c>
      <c r="B32" s="470"/>
      <c r="C32" s="470"/>
      <c r="D32" s="471"/>
      <c r="E32" s="471"/>
      <c r="F32" s="472"/>
      <c r="G32" s="473"/>
      <c r="H32" s="474">
        <f t="shared" ref="H32:H48" si="1">IF(G32&lt;=0, 0, F32*G32)</f>
        <v>0</v>
      </c>
    </row>
    <row r="33" spans="1:8" ht="15">
      <c r="A33" s="454" t="s">
        <v>0</v>
      </c>
      <c r="B33" s="470"/>
      <c r="C33" s="470"/>
      <c r="D33" s="471"/>
      <c r="E33" s="471"/>
      <c r="F33" s="472"/>
      <c r="G33" s="473"/>
      <c r="H33" s="474">
        <f t="shared" si="1"/>
        <v>0</v>
      </c>
    </row>
    <row r="34" spans="1:8" ht="15">
      <c r="A34" s="454" t="s">
        <v>2</v>
      </c>
      <c r="B34" s="470">
        <v>230</v>
      </c>
      <c r="C34" s="1274" t="s">
        <v>2492</v>
      </c>
      <c r="D34" s="471" t="s">
        <v>2463</v>
      </c>
      <c r="E34" s="471" t="s">
        <v>2464</v>
      </c>
      <c r="F34" s="472">
        <v>28.54</v>
      </c>
      <c r="G34" s="473">
        <v>24</v>
      </c>
      <c r="H34" s="474">
        <f t="shared" si="1"/>
        <v>684.96</v>
      </c>
    </row>
    <row r="35" spans="1:8" ht="15">
      <c r="A35" s="454" t="s">
        <v>3</v>
      </c>
      <c r="B35" s="470">
        <v>230</v>
      </c>
      <c r="C35" s="1274" t="s">
        <v>2462</v>
      </c>
      <c r="D35" s="471" t="s">
        <v>2463</v>
      </c>
      <c r="E35" s="471" t="s">
        <v>2464</v>
      </c>
      <c r="F35" s="472">
        <v>28.54</v>
      </c>
      <c r="G35" s="473">
        <v>8</v>
      </c>
      <c r="H35" s="474">
        <f t="shared" si="1"/>
        <v>228.32</v>
      </c>
    </row>
    <row r="36" spans="1:8" ht="15" customHeight="1">
      <c r="A36" s="454" t="s">
        <v>3</v>
      </c>
      <c r="B36" s="470">
        <v>230</v>
      </c>
      <c r="C36" s="1274" t="s">
        <v>2493</v>
      </c>
      <c r="D36" s="471" t="s">
        <v>2463</v>
      </c>
      <c r="E36" s="471" t="s">
        <v>2464</v>
      </c>
      <c r="F36" s="472">
        <v>28.54</v>
      </c>
      <c r="G36" s="473">
        <v>24</v>
      </c>
      <c r="H36" s="474">
        <f t="shared" si="1"/>
        <v>684.96</v>
      </c>
    </row>
    <row r="37" spans="1:8" ht="15" customHeight="1">
      <c r="A37" s="454" t="s">
        <v>3</v>
      </c>
      <c r="B37" s="470">
        <v>230</v>
      </c>
      <c r="C37" s="1274" t="s">
        <v>2494</v>
      </c>
      <c r="D37" s="471" t="s">
        <v>2463</v>
      </c>
      <c r="E37" s="471" t="s">
        <v>2464</v>
      </c>
      <c r="F37" s="472">
        <v>28.54</v>
      </c>
      <c r="G37" s="473">
        <v>24</v>
      </c>
      <c r="H37" s="474">
        <f t="shared" si="1"/>
        <v>684.96</v>
      </c>
    </row>
    <row r="38" spans="1:8" ht="15">
      <c r="A38" s="454" t="s">
        <v>3</v>
      </c>
      <c r="B38" s="470">
        <v>230</v>
      </c>
      <c r="C38" s="1274" t="s">
        <v>2467</v>
      </c>
      <c r="D38" s="471" t="s">
        <v>2463</v>
      </c>
      <c r="E38" s="471" t="s">
        <v>2464</v>
      </c>
      <c r="F38" s="472">
        <v>28.54</v>
      </c>
      <c r="G38" s="473">
        <v>16</v>
      </c>
      <c r="H38" s="474">
        <f t="shared" si="1"/>
        <v>456.64</v>
      </c>
    </row>
    <row r="39" spans="1:8" ht="15">
      <c r="A39" s="454" t="s">
        <v>3</v>
      </c>
      <c r="B39" s="1909">
        <v>235</v>
      </c>
      <c r="C39" s="1910" t="s">
        <v>2465</v>
      </c>
      <c r="D39" s="1911" t="s">
        <v>2495</v>
      </c>
      <c r="E39" s="1911" t="s">
        <v>2464</v>
      </c>
      <c r="F39" s="472">
        <v>71.41</v>
      </c>
      <c r="G39" s="473">
        <v>16</v>
      </c>
      <c r="H39" s="474">
        <f t="shared" si="1"/>
        <v>1142.56</v>
      </c>
    </row>
    <row r="40" spans="1:8" ht="16.5" customHeight="1">
      <c r="A40" s="454" t="s">
        <v>419</v>
      </c>
      <c r="B40" s="470"/>
      <c r="C40" s="470"/>
      <c r="D40" s="471"/>
      <c r="E40" s="471"/>
      <c r="F40" s="481"/>
      <c r="G40" s="473"/>
      <c r="H40" s="474">
        <f t="shared" si="1"/>
        <v>0</v>
      </c>
    </row>
    <row r="41" spans="1:8" ht="15">
      <c r="A41" s="454" t="s">
        <v>7</v>
      </c>
      <c r="B41" s="470"/>
      <c r="C41" s="470"/>
      <c r="D41" s="471"/>
      <c r="E41" s="471"/>
      <c r="F41" s="472"/>
      <c r="G41" s="473"/>
      <c r="H41" s="474">
        <f t="shared" si="1"/>
        <v>0</v>
      </c>
    </row>
    <row r="42" spans="1:8" ht="15">
      <c r="A42" s="454" t="s">
        <v>7</v>
      </c>
      <c r="B42" s="470"/>
      <c r="C42" s="470"/>
      <c r="D42" s="471"/>
      <c r="E42" s="471"/>
      <c r="F42" s="472"/>
      <c r="G42" s="473"/>
      <c r="H42" s="474">
        <f t="shared" si="1"/>
        <v>0</v>
      </c>
    </row>
    <row r="43" spans="1:8" ht="15">
      <c r="A43" s="454" t="s">
        <v>7</v>
      </c>
      <c r="B43" s="470"/>
      <c r="C43" s="470"/>
      <c r="D43" s="471"/>
      <c r="E43" s="471"/>
      <c r="F43" s="472"/>
      <c r="G43" s="473"/>
      <c r="H43" s="474">
        <f t="shared" si="1"/>
        <v>0</v>
      </c>
    </row>
    <row r="44" spans="1:8" ht="15">
      <c r="A44" s="454" t="s">
        <v>421</v>
      </c>
      <c r="B44" s="470"/>
      <c r="C44" s="470"/>
      <c r="D44" s="471"/>
      <c r="E44" s="471"/>
      <c r="F44" s="472"/>
      <c r="G44" s="473"/>
      <c r="H44" s="474">
        <f t="shared" si="1"/>
        <v>0</v>
      </c>
    </row>
    <row r="45" spans="1:8" ht="15">
      <c r="A45" s="454" t="s">
        <v>421</v>
      </c>
      <c r="B45" s="470"/>
      <c r="C45" s="470"/>
      <c r="D45" s="471"/>
      <c r="E45" s="471"/>
      <c r="F45" s="472"/>
      <c r="G45" s="473"/>
      <c r="H45" s="474">
        <f t="shared" si="1"/>
        <v>0</v>
      </c>
    </row>
    <row r="46" spans="1:8" ht="15">
      <c r="A46" s="454" t="s">
        <v>421</v>
      </c>
      <c r="B46" s="470"/>
      <c r="C46" s="470"/>
      <c r="D46" s="471"/>
      <c r="E46" s="471"/>
      <c r="F46" s="472"/>
      <c r="G46" s="473"/>
      <c r="H46" s="474">
        <f t="shared" si="1"/>
        <v>0</v>
      </c>
    </row>
    <row r="47" spans="1:8" ht="15">
      <c r="A47" s="454" t="s">
        <v>5</v>
      </c>
      <c r="B47" s="470"/>
      <c r="C47" s="470"/>
      <c r="D47" s="471"/>
      <c r="E47" s="471"/>
      <c r="F47" s="472"/>
      <c r="G47" s="473"/>
      <c r="H47" s="474">
        <f t="shared" si="1"/>
        <v>0</v>
      </c>
    </row>
    <row r="48" spans="1:8" ht="15">
      <c r="A48" s="454" t="s">
        <v>20</v>
      </c>
      <c r="B48" s="470"/>
      <c r="C48" s="470"/>
      <c r="D48" s="471"/>
      <c r="E48" s="471"/>
      <c r="F48" s="472"/>
      <c r="G48" s="473"/>
      <c r="H48" s="474">
        <f t="shared" si="1"/>
        <v>0</v>
      </c>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93" spans="1:7">
      <c r="D93" s="57"/>
    </row>
    <row r="94" spans="1:7">
      <c r="D94" s="57"/>
    </row>
    <row r="95" spans="1:7">
      <c r="D95" s="57"/>
    </row>
    <row r="96" spans="1:7">
      <c r="D96" s="57"/>
    </row>
    <row r="97" spans="4:4">
      <c r="D97" s="57"/>
    </row>
    <row r="98" spans="4:4">
      <c r="D98" s="57"/>
    </row>
    <row r="99" spans="4:4">
      <c r="D99" s="57"/>
    </row>
    <row r="101" spans="4:4">
      <c r="D101" s="57"/>
    </row>
    <row r="103" spans="4:4">
      <c r="D103" s="56"/>
    </row>
    <row r="105" spans="4:4">
      <c r="D105"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201.xml><?xml version="1.0" encoding="utf-8"?>
<worksheet xmlns="http://schemas.openxmlformats.org/spreadsheetml/2006/main" xmlns:r="http://schemas.openxmlformats.org/officeDocument/2006/relationships">
  <sheetPr>
    <tabColor theme="3"/>
    <pageSetUpPr fitToPage="1"/>
  </sheetPr>
  <dimension ref="A1:H105"/>
  <sheetViews>
    <sheetView topLeftCell="A16" zoomScale="75" zoomScaleNormal="75" workbookViewId="0">
      <selection activeCell="I41" sqref="I41"/>
    </sheetView>
  </sheetViews>
  <sheetFormatPr defaultColWidth="9.140625"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12.1406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2451</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2496</v>
      </c>
      <c r="D8" s="461"/>
      <c r="E8" s="457"/>
      <c r="F8" s="457"/>
      <c r="G8" s="461"/>
    </row>
    <row r="9" spans="1:7" ht="186.6" customHeight="1">
      <c r="A9" s="454" t="s">
        <v>382</v>
      </c>
      <c r="B9" s="454" t="s">
        <v>385</v>
      </c>
      <c r="C9" s="2009" t="s">
        <v>2497</v>
      </c>
      <c r="D9" s="2010"/>
      <c r="E9" s="2010"/>
      <c r="F9" s="2010"/>
      <c r="G9" s="2011"/>
    </row>
    <row r="10" spans="1:7" ht="123.6" customHeight="1">
      <c r="A10" s="454" t="s">
        <v>382</v>
      </c>
      <c r="B10" s="454" t="s">
        <v>387</v>
      </c>
      <c r="C10" s="2009" t="s">
        <v>2498</v>
      </c>
      <c r="D10" s="2010"/>
      <c r="E10" s="2010"/>
      <c r="F10" s="2010"/>
      <c r="G10" s="2011"/>
    </row>
    <row r="11" spans="1:7" ht="160.15" customHeight="1">
      <c r="A11" s="454" t="s">
        <v>382</v>
      </c>
      <c r="B11" s="454" t="s">
        <v>389</v>
      </c>
      <c r="C11" s="2009" t="s">
        <v>2499</v>
      </c>
      <c r="D11" s="2210"/>
      <c r="E11" s="2210"/>
      <c r="F11" s="2210"/>
      <c r="G11" s="2211"/>
    </row>
    <row r="12" spans="1:7" ht="51.75" customHeight="1">
      <c r="A12" s="454" t="s">
        <v>382</v>
      </c>
      <c r="B12" s="454" t="s">
        <v>391</v>
      </c>
      <c r="C12" s="2009" t="s">
        <v>2500</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10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0</v>
      </c>
      <c r="C18" s="466">
        <f>B18/C$14</f>
        <v>0</v>
      </c>
      <c r="D18" s="49"/>
      <c r="E18" s="89"/>
      <c r="F18" s="89"/>
      <c r="G18" s="49"/>
    </row>
    <row r="19" spans="1:8" ht="15">
      <c r="A19" s="454" t="s">
        <v>2</v>
      </c>
      <c r="B19" s="465">
        <v>0</v>
      </c>
      <c r="C19" s="466">
        <f t="shared" ref="C19:C26" si="0">B19/C$14</f>
        <v>0</v>
      </c>
      <c r="D19" s="49"/>
      <c r="E19" s="89"/>
      <c r="F19" s="89"/>
      <c r="G19" s="49"/>
    </row>
    <row r="20" spans="1:8" ht="15">
      <c r="A20" s="454" t="s">
        <v>3</v>
      </c>
      <c r="B20" s="465">
        <f>SUM(H34:H39)</f>
        <v>3197.4399999999996</v>
      </c>
      <c r="C20" s="466">
        <f t="shared" si="0"/>
        <v>319.74399999999997</v>
      </c>
      <c r="D20" s="49"/>
      <c r="E20" s="89"/>
      <c r="F20" s="89"/>
      <c r="G20" s="49"/>
    </row>
    <row r="21" spans="1:8" ht="15">
      <c r="A21" s="454" t="s">
        <v>4</v>
      </c>
      <c r="B21" s="465">
        <v>0</v>
      </c>
      <c r="C21" s="466">
        <f t="shared" si="0"/>
        <v>0</v>
      </c>
      <c r="D21" s="49"/>
      <c r="E21" s="89"/>
      <c r="F21" s="89"/>
      <c r="G21" s="49"/>
    </row>
    <row r="22" spans="1:8" ht="15">
      <c r="A22" s="454" t="s">
        <v>26</v>
      </c>
      <c r="B22" s="465">
        <f>H40</f>
        <v>0</v>
      </c>
      <c r="C22" s="466">
        <f t="shared" si="0"/>
        <v>0</v>
      </c>
      <c r="D22" s="49"/>
      <c r="E22" s="89"/>
      <c r="F22" s="89"/>
      <c r="G22" s="49"/>
    </row>
    <row r="23" spans="1:8" ht="15">
      <c r="A23" s="454" t="s">
        <v>7</v>
      </c>
      <c r="B23" s="465">
        <f>SUM(H41:H43)</f>
        <v>0</v>
      </c>
      <c r="C23" s="466">
        <f t="shared" si="0"/>
        <v>0</v>
      </c>
      <c r="D23" s="49"/>
      <c r="E23" s="89"/>
      <c r="F23" s="89"/>
      <c r="G23" s="49"/>
    </row>
    <row r="24" spans="1:8" ht="15">
      <c r="A24" s="454" t="s">
        <v>27</v>
      </c>
      <c r="B24" s="465">
        <f>SUM(H44:H46)</f>
        <v>0</v>
      </c>
      <c r="C24" s="466">
        <f t="shared" si="0"/>
        <v>0</v>
      </c>
      <c r="D24" s="49"/>
      <c r="E24" s="89"/>
      <c r="F24" s="89"/>
      <c r="G24" s="49"/>
    </row>
    <row r="25" spans="1:8" ht="15">
      <c r="A25" s="454" t="s">
        <v>5</v>
      </c>
      <c r="B25" s="465">
        <f>G47</f>
        <v>0</v>
      </c>
      <c r="C25" s="466">
        <f t="shared" si="0"/>
        <v>0</v>
      </c>
      <c r="D25" s="49"/>
      <c r="E25" s="89"/>
      <c r="F25" s="89"/>
      <c r="G25" s="49"/>
    </row>
    <row r="26" spans="1:8" ht="15">
      <c r="A26" s="454" t="s">
        <v>20</v>
      </c>
      <c r="B26" s="465">
        <f>H47</f>
        <v>0</v>
      </c>
      <c r="C26" s="466">
        <f t="shared" si="0"/>
        <v>0</v>
      </c>
      <c r="D26" s="49"/>
      <c r="E26" s="89"/>
      <c r="F26" s="89"/>
      <c r="G26" s="49"/>
    </row>
    <row r="27" spans="1:8" ht="15">
      <c r="A27" s="454" t="s">
        <v>399</v>
      </c>
      <c r="B27" s="465">
        <f>SUM(B18:B26)</f>
        <v>3197.4399999999996</v>
      </c>
      <c r="C27" s="466">
        <f>B27/C$14</f>
        <v>319.74399999999997</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c r="C31" s="470"/>
      <c r="D31" s="471"/>
      <c r="E31" s="471"/>
      <c r="F31" s="472"/>
      <c r="G31" s="473"/>
      <c r="H31" s="474">
        <f>IF(G31&lt;=0, 0, F31*G31)</f>
        <v>0</v>
      </c>
    </row>
    <row r="32" spans="1:8" ht="15">
      <c r="A32" s="454" t="s">
        <v>0</v>
      </c>
      <c r="B32" s="470"/>
      <c r="C32" s="470"/>
      <c r="D32" s="471"/>
      <c r="E32" s="471"/>
      <c r="F32" s="472"/>
      <c r="G32" s="473"/>
      <c r="H32" s="474">
        <f t="shared" ref="H32:H48" si="1">IF(G32&lt;=0, 0, F32*G32)</f>
        <v>0</v>
      </c>
    </row>
    <row r="33" spans="1:8" ht="15">
      <c r="A33" s="454" t="s">
        <v>0</v>
      </c>
      <c r="B33" s="470"/>
      <c r="C33" s="470"/>
      <c r="D33" s="471"/>
      <c r="E33" s="471"/>
      <c r="F33" s="472"/>
      <c r="G33" s="473"/>
      <c r="H33" s="474">
        <f t="shared" si="1"/>
        <v>0</v>
      </c>
    </row>
    <row r="34" spans="1:8" ht="15">
      <c r="A34" s="454" t="s">
        <v>2</v>
      </c>
      <c r="B34" s="470">
        <v>230</v>
      </c>
      <c r="C34" s="1274" t="s">
        <v>2492</v>
      </c>
      <c r="D34" s="471" t="s">
        <v>2463</v>
      </c>
      <c r="E34" s="471" t="s">
        <v>2464</v>
      </c>
      <c r="F34" s="472">
        <v>28.54</v>
      </c>
      <c r="G34" s="473">
        <v>16</v>
      </c>
      <c r="H34" s="474">
        <f t="shared" si="1"/>
        <v>456.64</v>
      </c>
    </row>
    <row r="35" spans="1:8" ht="15">
      <c r="A35" s="454" t="s">
        <v>3</v>
      </c>
      <c r="B35" s="470">
        <v>230</v>
      </c>
      <c r="C35" s="1274" t="s">
        <v>2462</v>
      </c>
      <c r="D35" s="471" t="s">
        <v>2463</v>
      </c>
      <c r="E35" s="471" t="s">
        <v>2464</v>
      </c>
      <c r="F35" s="472">
        <v>28.54</v>
      </c>
      <c r="G35" s="473">
        <v>8</v>
      </c>
      <c r="H35" s="474">
        <f t="shared" si="1"/>
        <v>228.32</v>
      </c>
    </row>
    <row r="36" spans="1:8" ht="15" customHeight="1">
      <c r="A36" s="454" t="s">
        <v>3</v>
      </c>
      <c r="B36" s="470">
        <v>230</v>
      </c>
      <c r="C36" s="1274" t="s">
        <v>2493</v>
      </c>
      <c r="D36" s="471" t="s">
        <v>2463</v>
      </c>
      <c r="E36" s="471" t="s">
        <v>2464</v>
      </c>
      <c r="F36" s="472">
        <v>28.54</v>
      </c>
      <c r="G36" s="473">
        <v>16</v>
      </c>
      <c r="H36" s="474">
        <f t="shared" si="1"/>
        <v>456.64</v>
      </c>
    </row>
    <row r="37" spans="1:8" ht="15" customHeight="1">
      <c r="A37" s="454" t="s">
        <v>3</v>
      </c>
      <c r="B37" s="470">
        <v>230</v>
      </c>
      <c r="C37" s="1274" t="s">
        <v>2494</v>
      </c>
      <c r="D37" s="471" t="s">
        <v>2463</v>
      </c>
      <c r="E37" s="471" t="s">
        <v>2464</v>
      </c>
      <c r="F37" s="472">
        <v>28.54</v>
      </c>
      <c r="G37" s="473">
        <v>16</v>
      </c>
      <c r="H37" s="474">
        <f t="shared" si="1"/>
        <v>456.64</v>
      </c>
    </row>
    <row r="38" spans="1:8" ht="15">
      <c r="A38" s="454" t="s">
        <v>3</v>
      </c>
      <c r="B38" s="470">
        <v>16</v>
      </c>
      <c r="C38" s="1274" t="s">
        <v>2467</v>
      </c>
      <c r="D38" s="471" t="s">
        <v>2463</v>
      </c>
      <c r="E38" s="471" t="s">
        <v>2464</v>
      </c>
      <c r="F38" s="472">
        <v>28.54</v>
      </c>
      <c r="G38" s="473">
        <v>16</v>
      </c>
      <c r="H38" s="474">
        <f t="shared" si="1"/>
        <v>456.64</v>
      </c>
    </row>
    <row r="39" spans="1:8" ht="15">
      <c r="A39" s="454" t="s">
        <v>3</v>
      </c>
      <c r="B39" s="470">
        <v>12</v>
      </c>
      <c r="C39" s="1274" t="s">
        <v>2465</v>
      </c>
      <c r="D39" s="471" t="s">
        <v>2495</v>
      </c>
      <c r="E39" s="471" t="s">
        <v>2477</v>
      </c>
      <c r="F39" s="472">
        <v>71.41</v>
      </c>
      <c r="G39" s="473">
        <v>16</v>
      </c>
      <c r="H39" s="474">
        <f t="shared" si="1"/>
        <v>1142.56</v>
      </c>
    </row>
    <row r="40" spans="1:8" ht="16.5" customHeight="1">
      <c r="A40" s="454" t="s">
        <v>419</v>
      </c>
      <c r="B40" s="470"/>
      <c r="C40" s="470"/>
      <c r="D40" s="471"/>
      <c r="E40" s="471"/>
      <c r="F40" s="481"/>
      <c r="G40" s="473"/>
      <c r="H40" s="474">
        <f t="shared" si="1"/>
        <v>0</v>
      </c>
    </row>
    <row r="41" spans="1:8" ht="15">
      <c r="A41" s="454" t="s">
        <v>7</v>
      </c>
      <c r="B41" s="470"/>
      <c r="C41" s="470"/>
      <c r="D41" s="471"/>
      <c r="E41" s="471"/>
      <c r="F41" s="472"/>
      <c r="G41" s="473"/>
      <c r="H41" s="474">
        <f t="shared" si="1"/>
        <v>0</v>
      </c>
    </row>
    <row r="42" spans="1:8" ht="15">
      <c r="A42" s="454" t="s">
        <v>7</v>
      </c>
      <c r="B42" s="470"/>
      <c r="C42" s="470"/>
      <c r="D42" s="471"/>
      <c r="E42" s="471"/>
      <c r="F42" s="472"/>
      <c r="G42" s="473"/>
      <c r="H42" s="474">
        <f t="shared" si="1"/>
        <v>0</v>
      </c>
    </row>
    <row r="43" spans="1:8" ht="15">
      <c r="A43" s="454" t="s">
        <v>7</v>
      </c>
      <c r="B43" s="470"/>
      <c r="C43" s="470"/>
      <c r="D43" s="471"/>
      <c r="E43" s="471"/>
      <c r="F43" s="472"/>
      <c r="G43" s="473"/>
      <c r="H43" s="474">
        <f t="shared" si="1"/>
        <v>0</v>
      </c>
    </row>
    <row r="44" spans="1:8" ht="15">
      <c r="A44" s="454" t="s">
        <v>421</v>
      </c>
      <c r="B44" s="470"/>
      <c r="C44" s="470"/>
      <c r="D44" s="471"/>
      <c r="E44" s="471"/>
      <c r="F44" s="472"/>
      <c r="G44" s="473"/>
      <c r="H44" s="474">
        <f t="shared" si="1"/>
        <v>0</v>
      </c>
    </row>
    <row r="45" spans="1:8" ht="15">
      <c r="A45" s="454" t="s">
        <v>421</v>
      </c>
      <c r="B45" s="470"/>
      <c r="C45" s="470"/>
      <c r="D45" s="471"/>
      <c r="E45" s="471"/>
      <c r="F45" s="472"/>
      <c r="G45" s="473"/>
      <c r="H45" s="474">
        <f t="shared" si="1"/>
        <v>0</v>
      </c>
    </row>
    <row r="46" spans="1:8" ht="15">
      <c r="A46" s="454" t="s">
        <v>421</v>
      </c>
      <c r="B46" s="470"/>
      <c r="C46" s="470"/>
      <c r="D46" s="471"/>
      <c r="E46" s="471"/>
      <c r="F46" s="472"/>
      <c r="G46" s="473"/>
      <c r="H46" s="474">
        <f t="shared" si="1"/>
        <v>0</v>
      </c>
    </row>
    <row r="47" spans="1:8" ht="15">
      <c r="A47" s="454" t="s">
        <v>5</v>
      </c>
      <c r="B47" s="470"/>
      <c r="C47" s="470"/>
      <c r="D47" s="471"/>
      <c r="E47" s="471"/>
      <c r="F47" s="472"/>
      <c r="G47" s="473"/>
      <c r="H47" s="474">
        <f t="shared" si="1"/>
        <v>0</v>
      </c>
    </row>
    <row r="48" spans="1:8" ht="15">
      <c r="A48" s="454" t="s">
        <v>20</v>
      </c>
      <c r="B48" s="470"/>
      <c r="C48" s="470"/>
      <c r="D48" s="471"/>
      <c r="E48" s="471"/>
      <c r="F48" s="472"/>
      <c r="G48" s="473"/>
      <c r="H48" s="474">
        <f t="shared" si="1"/>
        <v>0</v>
      </c>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93" spans="1:7">
      <c r="D93" s="57"/>
    </row>
    <row r="94" spans="1:7">
      <c r="D94" s="57"/>
    </row>
    <row r="95" spans="1:7">
      <c r="D95" s="57"/>
    </row>
    <row r="96" spans="1:7">
      <c r="D96" s="57"/>
    </row>
    <row r="97" spans="4:4">
      <c r="D97" s="57"/>
    </row>
    <row r="98" spans="4:4">
      <c r="D98" s="57"/>
    </row>
    <row r="99" spans="4:4">
      <c r="D99" s="57"/>
    </row>
    <row r="101" spans="4:4">
      <c r="D101" s="57"/>
    </row>
    <row r="103" spans="4:4">
      <c r="D103" s="56"/>
    </row>
    <row r="105" spans="4:4">
      <c r="D105"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6" orientation="portrait" r:id="rId1"/>
  <headerFooter alignWithMargins="0"/>
</worksheet>
</file>

<file path=xl/worksheets/sheet202.xml><?xml version="1.0" encoding="utf-8"?>
<worksheet xmlns="http://schemas.openxmlformats.org/spreadsheetml/2006/main" xmlns:r="http://schemas.openxmlformats.org/officeDocument/2006/relationships">
  <dimension ref="B1:R86"/>
  <sheetViews>
    <sheetView zoomScaleNormal="100" workbookViewId="0">
      <selection activeCell="C24" sqref="C24"/>
    </sheetView>
  </sheetViews>
  <sheetFormatPr defaultRowHeight="12.75"/>
  <cols>
    <col min="1" max="1" width="2.85546875" style="2" customWidth="1"/>
    <col min="2" max="2" width="9.7109375" style="2" customWidth="1"/>
    <col min="3" max="3" width="18.7109375" style="2" customWidth="1"/>
    <col min="4" max="4" width="25.7109375" style="2" customWidth="1"/>
    <col min="5" max="5" width="16.42578125" style="2" customWidth="1"/>
    <col min="6" max="6" width="9.42578125" style="2" customWidth="1"/>
    <col min="7" max="8" width="9.140625" style="2"/>
    <col min="9" max="9" width="14.140625" style="2" customWidth="1"/>
    <col min="10" max="10" width="9.7109375" style="2" customWidth="1"/>
    <col min="11" max="11" width="11.7109375" style="2" customWidth="1"/>
    <col min="12" max="14" width="9.140625" style="2"/>
    <col min="15" max="15" width="13.140625" style="112" customWidth="1"/>
    <col min="16" max="16" width="9.140625" style="2"/>
    <col min="17" max="17" width="9.7109375" style="2" bestFit="1" customWidth="1"/>
    <col min="18" max="16384" width="9.140625" style="2"/>
  </cols>
  <sheetData>
    <row r="1" spans="2:18" s="730" customFormat="1">
      <c r="B1" s="730" t="s">
        <v>644</v>
      </c>
      <c r="C1" s="730">
        <v>606</v>
      </c>
      <c r="D1" s="1292" t="s">
        <v>1048</v>
      </c>
      <c r="E1" s="730" t="str">
        <f>E7</f>
        <v>Drain Pipe - HU</v>
      </c>
      <c r="G1" s="730">
        <v>2012</v>
      </c>
    </row>
    <row r="2" spans="2:18">
      <c r="I2" s="2" t="s">
        <v>627</v>
      </c>
    </row>
    <row r="3" spans="2:18" ht="15.75">
      <c r="B3" s="1" t="s">
        <v>17</v>
      </c>
    </row>
    <row r="4" spans="2:18">
      <c r="B4" s="68" t="s">
        <v>1</v>
      </c>
      <c r="C4" s="69" t="s">
        <v>21</v>
      </c>
      <c r="D4" s="70"/>
      <c r="E4" s="70"/>
      <c r="F4" s="70"/>
      <c r="G4" s="83" t="s">
        <v>12</v>
      </c>
      <c r="H4"/>
      <c r="I4"/>
      <c r="J4" s="730" t="s">
        <v>621</v>
      </c>
    </row>
    <row r="5" spans="2:18">
      <c r="B5" s="71" t="s">
        <v>13</v>
      </c>
      <c r="C5" s="72" t="s">
        <v>22</v>
      </c>
      <c r="D5" s="72" t="s">
        <v>29</v>
      </c>
      <c r="E5" s="72" t="s">
        <v>30</v>
      </c>
      <c r="F5" s="72" t="s">
        <v>23</v>
      </c>
      <c r="G5" s="84" t="s">
        <v>14</v>
      </c>
      <c r="H5"/>
      <c r="I5"/>
      <c r="J5" s="88" t="s">
        <v>622</v>
      </c>
    </row>
    <row r="6" spans="2:18">
      <c r="B6" s="54">
        <v>606</v>
      </c>
      <c r="C6" s="7" t="str">
        <f>+E10</f>
        <v>EQIP</v>
      </c>
      <c r="D6" s="1293" t="s">
        <v>1049</v>
      </c>
      <c r="E6" s="53" t="s">
        <v>1050</v>
      </c>
      <c r="F6" s="7" t="str">
        <f>+$D$32</f>
        <v>Ft.</v>
      </c>
      <c r="G6" s="85">
        <f>+I$23</f>
        <v>2.3104658564814815</v>
      </c>
      <c r="H6"/>
      <c r="I6"/>
      <c r="J6" s="126" t="str">
        <f>+$D$30</f>
        <v>Statewide</v>
      </c>
    </row>
    <row r="7" spans="2:18">
      <c r="B7" s="8">
        <v>606</v>
      </c>
      <c r="C7" s="10" t="str">
        <f>+F10</f>
        <v>EQIP-HU</v>
      </c>
      <c r="D7" s="1294" t="s">
        <v>1049</v>
      </c>
      <c r="E7" s="9" t="s">
        <v>1051</v>
      </c>
      <c r="F7" s="10" t="str">
        <f>+$D$32</f>
        <v>Ft.</v>
      </c>
      <c r="G7" s="86">
        <f>+J$23</f>
        <v>2.7725590277777776</v>
      </c>
      <c r="H7"/>
      <c r="I7"/>
      <c r="J7" s="126" t="str">
        <f>+$D$30</f>
        <v>Statewide</v>
      </c>
      <c r="P7" s="1295"/>
      <c r="Q7" s="1295"/>
      <c r="R7" s="1295"/>
    </row>
    <row r="8" spans="2:18">
      <c r="B8" s="4"/>
      <c r="C8" s="3"/>
      <c r="D8" s="3"/>
      <c r="G8"/>
      <c r="H8"/>
      <c r="I8"/>
      <c r="J8"/>
      <c r="P8" s="1296"/>
      <c r="Q8" s="1296"/>
      <c r="R8" s="1296"/>
    </row>
    <row r="9" spans="2:18" ht="16.5" thickBot="1">
      <c r="B9" s="1" t="s">
        <v>18</v>
      </c>
      <c r="C9" s="3"/>
      <c r="D9" s="3"/>
      <c r="G9"/>
      <c r="H9"/>
      <c r="I9"/>
      <c r="J9"/>
      <c r="P9" s="1296"/>
      <c r="Q9" s="1296"/>
      <c r="R9" s="1296"/>
    </row>
    <row r="10" spans="2:18" ht="25.5">
      <c r="B10" s="128"/>
      <c r="C10" s="11"/>
      <c r="D10" s="12"/>
      <c r="E10" s="13" t="s">
        <v>15</v>
      </c>
      <c r="F10" s="13" t="s">
        <v>31</v>
      </c>
      <c r="G10" s="13" t="s">
        <v>86</v>
      </c>
      <c r="H10" s="13" t="s">
        <v>441</v>
      </c>
      <c r="I10" s="13"/>
      <c r="J10" s="13"/>
      <c r="K10" s="13"/>
      <c r="L10" s="14"/>
      <c r="O10" s="1297" t="s">
        <v>1052</v>
      </c>
      <c r="P10" s="1298" t="s">
        <v>1053</v>
      </c>
      <c r="Q10" s="1299"/>
      <c r="R10" s="1296"/>
    </row>
    <row r="11" spans="2:18">
      <c r="B11" s="15"/>
      <c r="C11" s="67"/>
      <c r="D11" s="16"/>
      <c r="E11" s="17" t="s">
        <v>22</v>
      </c>
      <c r="F11" s="17" t="s">
        <v>22</v>
      </c>
      <c r="G11" s="17" t="s">
        <v>22</v>
      </c>
      <c r="H11" s="17" t="s">
        <v>22</v>
      </c>
      <c r="I11" s="17" t="str">
        <f>+E10</f>
        <v>EQIP</v>
      </c>
      <c r="J11" s="17" t="str">
        <f>+F10</f>
        <v>EQIP-HU</v>
      </c>
      <c r="K11" s="17" t="str">
        <f>+G10</f>
        <v>WHIP</v>
      </c>
      <c r="L11" s="18" t="str">
        <f>+H10</f>
        <v>WHIP-HU</v>
      </c>
      <c r="O11" s="1300" t="s">
        <v>1054</v>
      </c>
      <c r="P11" s="1301" t="s">
        <v>1055</v>
      </c>
      <c r="Q11" s="1302"/>
      <c r="R11" s="1296"/>
    </row>
    <row r="12" spans="2:18" ht="25.5">
      <c r="B12" s="19"/>
      <c r="C12" s="16"/>
      <c r="D12" s="16"/>
      <c r="E12" s="17" t="s">
        <v>12</v>
      </c>
      <c r="F12" s="17" t="s">
        <v>12</v>
      </c>
      <c r="G12" s="17" t="s">
        <v>12</v>
      </c>
      <c r="H12" s="17" t="s">
        <v>12</v>
      </c>
      <c r="I12" s="17" t="s">
        <v>12</v>
      </c>
      <c r="J12" s="17" t="s">
        <v>12</v>
      </c>
      <c r="K12" s="17" t="s">
        <v>12</v>
      </c>
      <c r="L12" s="18" t="s">
        <v>12</v>
      </c>
      <c r="O12" s="1300" t="s">
        <v>1056</v>
      </c>
      <c r="P12" s="1301" t="s">
        <v>1057</v>
      </c>
      <c r="Q12" s="1302"/>
      <c r="R12" s="1296"/>
    </row>
    <row r="13" spans="2:18" ht="25.5">
      <c r="B13" s="164" t="s">
        <v>16</v>
      </c>
      <c r="C13" s="16"/>
      <c r="D13" s="165" t="s">
        <v>6</v>
      </c>
      <c r="E13" s="22" t="s">
        <v>24</v>
      </c>
      <c r="F13" s="22" t="s">
        <v>24</v>
      </c>
      <c r="G13" s="22" t="s">
        <v>24</v>
      </c>
      <c r="H13" s="22" t="s">
        <v>24</v>
      </c>
      <c r="I13" s="22" t="s">
        <v>14</v>
      </c>
      <c r="J13" s="22" t="s">
        <v>14</v>
      </c>
      <c r="K13" s="22" t="s">
        <v>14</v>
      </c>
      <c r="L13" s="23" t="s">
        <v>14</v>
      </c>
      <c r="O13" s="1303" t="s">
        <v>1055</v>
      </c>
      <c r="P13" s="1304" t="s">
        <v>1058</v>
      </c>
      <c r="Q13" s="1305" t="s">
        <v>1059</v>
      </c>
      <c r="R13" s="1296"/>
    </row>
    <row r="14" spans="2:18">
      <c r="B14" s="15" t="s">
        <v>0</v>
      </c>
      <c r="C14" s="16"/>
      <c r="D14" s="24">
        <f>+I36</f>
        <v>0.49</v>
      </c>
      <c r="E14" s="160">
        <v>0.75</v>
      </c>
      <c r="F14" s="160">
        <v>0.9</v>
      </c>
      <c r="G14" s="160">
        <v>0</v>
      </c>
      <c r="H14" s="160">
        <v>0</v>
      </c>
      <c r="I14" s="73">
        <f t="shared" ref="I14:L22" si="0">+$D14*E14</f>
        <v>0.36749999999999999</v>
      </c>
      <c r="J14" s="73">
        <f t="shared" si="0"/>
        <v>0.441</v>
      </c>
      <c r="K14" s="73">
        <f t="shared" si="0"/>
        <v>0</v>
      </c>
      <c r="L14" s="74">
        <f t="shared" si="0"/>
        <v>0</v>
      </c>
      <c r="O14" s="1306">
        <f>D14</f>
        <v>0.49</v>
      </c>
      <c r="P14" s="1307">
        <f>IF($D$33=1,O14,PMT($D$34,$D$33,-O14))</f>
        <v>3.6696469082032696E-2</v>
      </c>
      <c r="Q14" s="1308" t="s">
        <v>103</v>
      </c>
      <c r="R14" s="1296"/>
    </row>
    <row r="15" spans="2:18">
      <c r="B15" s="15" t="s">
        <v>2</v>
      </c>
      <c r="C15" s="16"/>
      <c r="D15" s="24">
        <f>+I51</f>
        <v>2.4439248971193415</v>
      </c>
      <c r="E15" s="160">
        <v>0.75</v>
      </c>
      <c r="F15" s="160">
        <v>0.9</v>
      </c>
      <c r="G15" s="160">
        <v>0</v>
      </c>
      <c r="H15" s="160">
        <v>0</v>
      </c>
      <c r="I15" s="73">
        <f t="shared" si="0"/>
        <v>1.8329436728395061</v>
      </c>
      <c r="J15" s="73">
        <f t="shared" si="0"/>
        <v>2.1995324074074074</v>
      </c>
      <c r="K15" s="73">
        <f t="shared" si="0"/>
        <v>0</v>
      </c>
      <c r="L15" s="74">
        <f t="shared" si="0"/>
        <v>0</v>
      </c>
      <c r="O15" s="1306">
        <f t="shared" ref="O15:O20" si="1">D15</f>
        <v>2.4439248971193415</v>
      </c>
      <c r="P15" s="1307">
        <f>IF($D$33=1,O15,PMT($D$34,$D$33,-O15))</f>
        <v>0.18302737637948949</v>
      </c>
      <c r="Q15" s="1308" t="s">
        <v>103</v>
      </c>
      <c r="R15" s="1296"/>
    </row>
    <row r="16" spans="2:18">
      <c r="B16" s="15" t="s">
        <v>3</v>
      </c>
      <c r="C16" s="16"/>
      <c r="D16" s="24">
        <f>+I61</f>
        <v>0</v>
      </c>
      <c r="E16" s="160">
        <v>0.75</v>
      </c>
      <c r="F16" s="160">
        <v>0.9</v>
      </c>
      <c r="G16" s="160">
        <v>0</v>
      </c>
      <c r="H16" s="160">
        <v>0</v>
      </c>
      <c r="I16" s="73">
        <f t="shared" si="0"/>
        <v>0</v>
      </c>
      <c r="J16" s="73">
        <f t="shared" si="0"/>
        <v>0</v>
      </c>
      <c r="K16" s="73">
        <f t="shared" si="0"/>
        <v>0</v>
      </c>
      <c r="L16" s="74">
        <f t="shared" si="0"/>
        <v>0</v>
      </c>
      <c r="O16" s="1306">
        <f t="shared" si="1"/>
        <v>0</v>
      </c>
      <c r="P16" s="1307">
        <f>IF($D$33=1,O16,PMT($D$34,$D$33,-O16))</f>
        <v>0</v>
      </c>
      <c r="Q16" s="1308" t="s">
        <v>103</v>
      </c>
      <c r="R16" s="1296"/>
    </row>
    <row r="17" spans="2:18">
      <c r="B17" s="15" t="s">
        <v>4</v>
      </c>
      <c r="C17" s="16"/>
      <c r="D17" s="24">
        <f>+I64</f>
        <v>0.14669624485596708</v>
      </c>
      <c r="E17" s="160">
        <v>0.75</v>
      </c>
      <c r="F17" s="160">
        <v>0.9</v>
      </c>
      <c r="G17" s="160">
        <v>0</v>
      </c>
      <c r="H17" s="160">
        <v>0</v>
      </c>
      <c r="I17" s="73">
        <f t="shared" si="0"/>
        <v>0.1100221836419753</v>
      </c>
      <c r="J17" s="73">
        <f t="shared" si="0"/>
        <v>0.13202662037037038</v>
      </c>
      <c r="K17" s="73">
        <f t="shared" si="0"/>
        <v>0</v>
      </c>
      <c r="L17" s="74">
        <f t="shared" si="0"/>
        <v>0</v>
      </c>
      <c r="O17" s="1306">
        <f t="shared" si="1"/>
        <v>0.14669624485596708</v>
      </c>
      <c r="P17" s="1307">
        <f>IF($D$33=1,O17,PMT($D$34,$D$33,-O17))</f>
        <v>1.0986192273076111E-2</v>
      </c>
      <c r="Q17" s="1308" t="s">
        <v>103</v>
      </c>
      <c r="R17" s="1296"/>
    </row>
    <row r="18" spans="2:18">
      <c r="B18" s="15" t="s">
        <v>26</v>
      </c>
      <c r="C18" s="16"/>
      <c r="D18" s="24">
        <f>+I67</f>
        <v>2.9339248971193416E-2</v>
      </c>
      <c r="E18" s="160">
        <v>0</v>
      </c>
      <c r="F18" s="160">
        <v>0</v>
      </c>
      <c r="G18" s="160">
        <v>0</v>
      </c>
      <c r="H18" s="160">
        <v>0</v>
      </c>
      <c r="I18" s="73">
        <f t="shared" si="0"/>
        <v>0</v>
      </c>
      <c r="J18" s="73">
        <f t="shared" si="0"/>
        <v>0</v>
      </c>
      <c r="K18" s="73">
        <f t="shared" si="0"/>
        <v>0</v>
      </c>
      <c r="L18" s="74">
        <f t="shared" si="0"/>
        <v>0</v>
      </c>
      <c r="O18" s="1306">
        <f t="shared" si="1"/>
        <v>2.9339248971193416E-2</v>
      </c>
      <c r="P18" s="1309" t="s">
        <v>103</v>
      </c>
      <c r="Q18" s="1310">
        <f>O18</f>
        <v>2.9339248971193416E-2</v>
      </c>
      <c r="R18" s="1311"/>
    </row>
    <row r="19" spans="2:18">
      <c r="B19" s="15" t="s">
        <v>7</v>
      </c>
      <c r="C19" s="16"/>
      <c r="D19" s="24">
        <f>+I71</f>
        <v>0</v>
      </c>
      <c r="E19" s="160">
        <v>0</v>
      </c>
      <c r="F19" s="160">
        <v>0</v>
      </c>
      <c r="G19" s="160">
        <v>0</v>
      </c>
      <c r="H19" s="160">
        <v>0</v>
      </c>
      <c r="I19" s="73">
        <f t="shared" si="0"/>
        <v>0</v>
      </c>
      <c r="J19" s="73">
        <f t="shared" si="0"/>
        <v>0</v>
      </c>
      <c r="K19" s="73">
        <f t="shared" si="0"/>
        <v>0</v>
      </c>
      <c r="L19" s="74">
        <f t="shared" si="0"/>
        <v>0</v>
      </c>
      <c r="O19" s="1306">
        <f t="shared" si="1"/>
        <v>0</v>
      </c>
      <c r="P19" s="1307">
        <f>IF($D$33=1,O19,PMT($D$34,$D$33,-O19))</f>
        <v>0</v>
      </c>
      <c r="Q19" s="1308" t="s">
        <v>103</v>
      </c>
    </row>
    <row r="20" spans="2:18">
      <c r="B20" s="15" t="s">
        <v>27</v>
      </c>
      <c r="C20" s="16"/>
      <c r="D20" s="24">
        <f>+I74</f>
        <v>0</v>
      </c>
      <c r="E20" s="160">
        <v>0</v>
      </c>
      <c r="F20" s="160">
        <v>0</v>
      </c>
      <c r="G20" s="160">
        <v>0</v>
      </c>
      <c r="H20" s="160">
        <v>0</v>
      </c>
      <c r="I20" s="73">
        <f t="shared" si="0"/>
        <v>0</v>
      </c>
      <c r="J20" s="73">
        <f t="shared" si="0"/>
        <v>0</v>
      </c>
      <c r="K20" s="73">
        <f t="shared" si="0"/>
        <v>0</v>
      </c>
      <c r="L20" s="74">
        <f t="shared" si="0"/>
        <v>0</v>
      </c>
      <c r="O20" s="1306">
        <f t="shared" si="1"/>
        <v>0</v>
      </c>
      <c r="P20" s="1309" t="s">
        <v>103</v>
      </c>
      <c r="Q20" s="1310">
        <f>O20</f>
        <v>0</v>
      </c>
    </row>
    <row r="21" spans="2:18">
      <c r="B21" s="15" t="s">
        <v>5</v>
      </c>
      <c r="C21" s="16"/>
      <c r="D21" s="24">
        <f>+I77</f>
        <v>0</v>
      </c>
      <c r="E21" s="160">
        <v>0</v>
      </c>
      <c r="F21" s="160">
        <v>0</v>
      </c>
      <c r="G21" s="160">
        <v>0</v>
      </c>
      <c r="H21" s="160">
        <v>0</v>
      </c>
      <c r="I21" s="73">
        <f t="shared" si="0"/>
        <v>0</v>
      </c>
      <c r="J21" s="73">
        <f t="shared" si="0"/>
        <v>0</v>
      </c>
      <c r="K21" s="73">
        <f t="shared" si="0"/>
        <v>0</v>
      </c>
      <c r="L21" s="74">
        <f t="shared" si="0"/>
        <v>0</v>
      </c>
      <c r="O21" s="1312" t="s">
        <v>103</v>
      </c>
      <c r="P21" s="1309" t="s">
        <v>103</v>
      </c>
      <c r="Q21" s="1308" t="s">
        <v>103</v>
      </c>
    </row>
    <row r="22" spans="2:18">
      <c r="B22" s="15" t="s">
        <v>88</v>
      </c>
      <c r="C22" s="16"/>
      <c r="D22" s="75">
        <f>+I80</f>
        <v>0</v>
      </c>
      <c r="E22" s="160">
        <v>0</v>
      </c>
      <c r="F22" s="160">
        <v>0</v>
      </c>
      <c r="G22" s="160">
        <v>0</v>
      </c>
      <c r="H22" s="160">
        <v>0</v>
      </c>
      <c r="I22" s="75">
        <f t="shared" si="0"/>
        <v>0</v>
      </c>
      <c r="J22" s="75">
        <f t="shared" si="0"/>
        <v>0</v>
      </c>
      <c r="K22" s="75">
        <f t="shared" si="0"/>
        <v>0</v>
      </c>
      <c r="L22" s="76">
        <f t="shared" si="0"/>
        <v>0</v>
      </c>
      <c r="O22" s="1313" t="s">
        <v>103</v>
      </c>
      <c r="P22" s="1314" t="s">
        <v>103</v>
      </c>
      <c r="Q22" s="1315" t="s">
        <v>103</v>
      </c>
    </row>
    <row r="23" spans="2:18" ht="13.5" thickBot="1">
      <c r="B23" s="26" t="s">
        <v>19</v>
      </c>
      <c r="C23" s="27"/>
      <c r="D23" s="138">
        <f>SUM(D14:D22)</f>
        <v>3.1099603909465019</v>
      </c>
      <c r="E23" s="28"/>
      <c r="F23" s="28"/>
      <c r="G23" s="28"/>
      <c r="H23" s="28"/>
      <c r="I23" s="51">
        <f>SUM(I14:I22)</f>
        <v>2.3104658564814815</v>
      </c>
      <c r="J23" s="51">
        <f>SUM(J14:J22)</f>
        <v>2.7725590277777776</v>
      </c>
      <c r="K23" s="51">
        <f>SUM(K14:K22)</f>
        <v>0</v>
      </c>
      <c r="L23" s="77">
        <f>SUM(L14:L22)</f>
        <v>0</v>
      </c>
      <c r="O23" s="1316">
        <f>SUM(O14:O20)</f>
        <v>3.1099603909465019</v>
      </c>
      <c r="P23" s="1317">
        <f>SUM(P14:P17,P191,P19)</f>
        <v>0.23071003773459831</v>
      </c>
      <c r="Q23" s="1318">
        <f>SUM(Q20,Q18)</f>
        <v>2.9339248971193416E-2</v>
      </c>
    </row>
    <row r="24" spans="2:18" ht="26.25" customHeight="1">
      <c r="O24" s="2206" t="s">
        <v>1060</v>
      </c>
      <c r="P24" s="2206"/>
      <c r="Q24" s="1319">
        <f>SUM(Q23,P23)</f>
        <v>0.26004928670579175</v>
      </c>
    </row>
    <row r="25" spans="2:18" ht="25.5" customHeight="1">
      <c r="B25" s="50" t="s">
        <v>28</v>
      </c>
      <c r="I25" s="5"/>
      <c r="O25" s="1955" t="s">
        <v>1061</v>
      </c>
      <c r="P25" s="1955"/>
      <c r="Q25" s="1320">
        <f>5280/2</f>
        <v>2640</v>
      </c>
    </row>
    <row r="26" spans="2:18">
      <c r="B26" s="29" t="s">
        <v>89</v>
      </c>
      <c r="C26" s="30"/>
      <c r="D26" s="30"/>
      <c r="E26" s="31"/>
      <c r="F26" s="31"/>
      <c r="G26" s="31"/>
      <c r="H26" s="31"/>
      <c r="I26" s="32"/>
      <c r="O26" s="1955" t="s">
        <v>1062</v>
      </c>
      <c r="P26" s="1955"/>
      <c r="Q26" s="1321" t="str">
        <f>D32</f>
        <v>Ft.</v>
      </c>
    </row>
    <row r="27" spans="2:18">
      <c r="B27" s="33" t="s">
        <v>1063</v>
      </c>
      <c r="C27" s="34"/>
      <c r="D27" s="34"/>
      <c r="E27" s="35"/>
      <c r="F27" s="35"/>
      <c r="G27" s="35"/>
      <c r="H27" s="35"/>
      <c r="I27" s="36"/>
      <c r="O27" s="2207" t="s">
        <v>1064</v>
      </c>
      <c r="P27" s="2207"/>
      <c r="Q27" s="1322">
        <f>Q25*Q24</f>
        <v>686.53011690329026</v>
      </c>
    </row>
    <row r="28" spans="2:18">
      <c r="B28" s="37" t="s">
        <v>1065</v>
      </c>
      <c r="C28" s="34"/>
      <c r="D28" s="34"/>
      <c r="E28" s="35"/>
      <c r="F28" s="35"/>
      <c r="G28" s="35"/>
      <c r="H28" s="35"/>
      <c r="I28" s="36"/>
    </row>
    <row r="29" spans="2:18">
      <c r="B29" s="37" t="s">
        <v>1066</v>
      </c>
      <c r="C29" s="1323"/>
      <c r="D29" s="1323"/>
      <c r="E29" s="1324"/>
      <c r="F29" s="1324"/>
      <c r="G29" s="1229"/>
      <c r="H29" s="1325"/>
      <c r="I29" s="36"/>
    </row>
    <row r="30" spans="2:18">
      <c r="B30" s="38" t="s">
        <v>25</v>
      </c>
      <c r="C30" s="34"/>
      <c r="D30" s="39" t="s">
        <v>91</v>
      </c>
      <c r="E30" s="6"/>
      <c r="F30" s="35"/>
      <c r="G30" s="1229"/>
      <c r="H30" s="35"/>
      <c r="I30" s="36"/>
      <c r="J30" s="49"/>
    </row>
    <row r="31" spans="2:18">
      <c r="B31" s="37"/>
      <c r="C31" s="34"/>
      <c r="D31" s="35"/>
      <c r="E31" s="6"/>
      <c r="F31" s="35"/>
      <c r="G31" s="35"/>
      <c r="H31" s="35"/>
      <c r="I31" s="36"/>
    </row>
    <row r="32" spans="2:18">
      <c r="B32" s="38" t="s">
        <v>8</v>
      </c>
      <c r="C32" s="34"/>
      <c r="D32" s="39" t="s">
        <v>1067</v>
      </c>
      <c r="E32" s="6"/>
      <c r="F32" s="35"/>
      <c r="G32" s="35"/>
      <c r="H32" s="35"/>
      <c r="I32" s="36"/>
    </row>
    <row r="33" spans="2:12">
      <c r="B33" s="38" t="s">
        <v>9</v>
      </c>
      <c r="C33" s="34"/>
      <c r="D33" s="92">
        <v>20</v>
      </c>
      <c r="E33" s="6"/>
      <c r="F33" s="35"/>
      <c r="G33" s="35"/>
      <c r="H33" s="35"/>
      <c r="I33" s="36"/>
    </row>
    <row r="34" spans="2:12">
      <c r="B34" s="38" t="s">
        <v>10</v>
      </c>
      <c r="C34" s="35"/>
      <c r="D34" s="93">
        <v>4.2000000000000003E-2</v>
      </c>
      <c r="E34" s="6"/>
      <c r="F34" s="35"/>
      <c r="G34" s="35"/>
      <c r="H34" s="35"/>
      <c r="I34" s="147" t="s">
        <v>6</v>
      </c>
    </row>
    <row r="35" spans="2:12">
      <c r="B35" s="40"/>
      <c r="C35" s="35"/>
      <c r="D35" s="35"/>
      <c r="E35" s="41"/>
      <c r="F35" s="35"/>
      <c r="G35" s="35"/>
      <c r="H35" s="35"/>
      <c r="I35" s="149"/>
    </row>
    <row r="36" spans="2:12">
      <c r="B36" s="42" t="s">
        <v>0</v>
      </c>
      <c r="C36" s="35"/>
      <c r="D36" s="35"/>
      <c r="E36" s="41"/>
      <c r="F36" s="35"/>
      <c r="G36" s="35"/>
      <c r="H36" s="35"/>
      <c r="I36" s="46">
        <f>+D49</f>
        <v>0.49</v>
      </c>
      <c r="L36" s="1326"/>
    </row>
    <row r="37" spans="2:12">
      <c r="B37" s="1327" t="s">
        <v>1068</v>
      </c>
      <c r="C37" s="35"/>
      <c r="D37" s="39" t="s">
        <v>1069</v>
      </c>
      <c r="E37" s="41"/>
      <c r="F37" s="35"/>
      <c r="G37" s="35"/>
      <c r="H37" s="35"/>
      <c r="I37" s="47"/>
      <c r="L37" s="1328"/>
    </row>
    <row r="38" spans="2:12">
      <c r="B38" s="1327" t="s">
        <v>1070</v>
      </c>
      <c r="C38" s="35"/>
      <c r="D38" s="92">
        <v>4</v>
      </c>
      <c r="E38" s="41"/>
      <c r="F38" s="35"/>
      <c r="G38" s="35"/>
      <c r="H38" s="35"/>
      <c r="I38" s="47"/>
      <c r="L38" s="1328"/>
    </row>
    <row r="39" spans="2:12">
      <c r="B39" s="1327" t="s">
        <v>1071</v>
      </c>
      <c r="C39" s="35"/>
      <c r="D39" s="39" t="s">
        <v>1072</v>
      </c>
      <c r="E39" s="41"/>
      <c r="F39" s="35"/>
      <c r="G39" s="35"/>
      <c r="H39" s="35"/>
      <c r="I39" s="47"/>
      <c r="L39" s="1329"/>
    </row>
    <row r="40" spans="2:12">
      <c r="B40" s="1327" t="s">
        <v>1073</v>
      </c>
      <c r="C40" s="35"/>
      <c r="D40" s="1330">
        <v>0.28999999999999998</v>
      </c>
      <c r="E40" s="41"/>
      <c r="F40" s="35"/>
      <c r="G40" s="35"/>
      <c r="H40" s="35"/>
      <c r="I40" s="47"/>
      <c r="L40" s="1329"/>
    </row>
    <row r="41" spans="2:12">
      <c r="B41" s="1327" t="s">
        <v>1074</v>
      </c>
      <c r="C41" s="35"/>
      <c r="D41" s="1330"/>
      <c r="E41" s="41"/>
      <c r="F41" s="35"/>
      <c r="G41" s="35"/>
      <c r="H41" s="35"/>
      <c r="I41" s="47"/>
      <c r="L41" s="1331"/>
    </row>
    <row r="42" spans="2:12">
      <c r="B42" s="1327"/>
      <c r="C42" s="35"/>
      <c r="D42" s="1330"/>
      <c r="E42" s="41"/>
      <c r="F42" s="35"/>
      <c r="G42" s="35"/>
      <c r="H42" s="35"/>
      <c r="I42" s="47"/>
      <c r="L42" s="1331"/>
    </row>
    <row r="43" spans="2:12">
      <c r="B43" s="1174" t="s">
        <v>1075</v>
      </c>
      <c r="C43" s="35"/>
      <c r="D43" s="41"/>
      <c r="E43" s="35"/>
      <c r="F43" s="35"/>
      <c r="G43" s="35"/>
      <c r="H43" s="35"/>
      <c r="I43" s="47"/>
    </row>
    <row r="44" spans="2:12">
      <c r="B44" s="37" t="s">
        <v>1076</v>
      </c>
      <c r="C44" s="35"/>
      <c r="D44" s="1332">
        <v>20</v>
      </c>
      <c r="E44" s="35"/>
      <c r="F44" s="35"/>
      <c r="G44" s="35"/>
      <c r="H44" s="35"/>
      <c r="I44" s="47"/>
    </row>
    <row r="45" spans="2:12">
      <c r="B45" s="37" t="s">
        <v>1077</v>
      </c>
      <c r="C45" s="35"/>
      <c r="D45" s="1333">
        <v>2</v>
      </c>
      <c r="E45" s="35"/>
      <c r="F45" s="35"/>
      <c r="G45" s="35"/>
      <c r="H45" s="35"/>
      <c r="I45" s="47"/>
    </row>
    <row r="46" spans="2:12">
      <c r="B46" s="1334" t="s">
        <v>1078</v>
      </c>
      <c r="C46" s="35"/>
      <c r="D46" s="1227">
        <v>200</v>
      </c>
      <c r="E46" s="35"/>
      <c r="F46" s="35"/>
      <c r="G46" s="35"/>
      <c r="H46" s="35"/>
      <c r="I46" s="47"/>
    </row>
    <row r="47" spans="2:12">
      <c r="B47" s="37" t="s">
        <v>1079</v>
      </c>
      <c r="C47" s="35"/>
      <c r="D47" s="1230">
        <f>+D44*D45/D46</f>
        <v>0.2</v>
      </c>
      <c r="E47" s="35"/>
      <c r="F47" s="35"/>
      <c r="G47" s="35"/>
      <c r="H47" s="35"/>
      <c r="I47" s="47"/>
    </row>
    <row r="48" spans="2:12">
      <c r="B48" s="1334"/>
      <c r="C48" s="35"/>
      <c r="D48" s="1332"/>
      <c r="E48" s="35"/>
      <c r="F48" s="35"/>
      <c r="G48" s="35"/>
      <c r="H48" s="35"/>
      <c r="I48" s="47"/>
    </row>
    <row r="49" spans="2:13">
      <c r="B49" s="37" t="s">
        <v>1080</v>
      </c>
      <c r="C49" s="35"/>
      <c r="D49" s="1330">
        <f>+D40+D47</f>
        <v>0.49</v>
      </c>
      <c r="E49" s="35"/>
      <c r="F49" s="35"/>
      <c r="G49" s="35"/>
      <c r="H49" s="35"/>
      <c r="I49" s="47"/>
    </row>
    <row r="50" spans="2:13">
      <c r="B50" s="33"/>
      <c r="C50" s="35"/>
      <c r="D50" s="1332"/>
      <c r="E50" s="35"/>
      <c r="F50" s="35"/>
      <c r="G50" s="35"/>
      <c r="H50" s="35"/>
      <c r="I50" s="47"/>
    </row>
    <row r="51" spans="2:13">
      <c r="B51" s="42" t="s">
        <v>2</v>
      </c>
      <c r="C51" s="35"/>
      <c r="D51" s="35"/>
      <c r="E51" s="35"/>
      <c r="F51" s="35"/>
      <c r="G51" s="35"/>
      <c r="H51" s="35"/>
      <c r="I51" s="46">
        <f>+D58</f>
        <v>2.4439248971193415</v>
      </c>
      <c r="M51" s="1222"/>
    </row>
    <row r="52" spans="2:13">
      <c r="B52" s="33" t="s">
        <v>1081</v>
      </c>
      <c r="C52" s="35"/>
      <c r="D52" s="35"/>
      <c r="E52" s="35"/>
      <c r="F52" s="35"/>
      <c r="G52" s="35"/>
      <c r="H52" s="35"/>
      <c r="I52" s="36"/>
    </row>
    <row r="53" spans="2:13">
      <c r="B53" s="33"/>
      <c r="C53" s="35"/>
      <c r="D53" s="35"/>
      <c r="E53" s="35"/>
      <c r="F53" s="35"/>
      <c r="G53" s="35"/>
      <c r="H53" s="35"/>
      <c r="I53" s="36"/>
    </row>
    <row r="54" spans="2:13">
      <c r="B54" s="1335" t="s">
        <v>1082</v>
      </c>
      <c r="C54" s="35"/>
      <c r="D54" s="1330">
        <v>1.6</v>
      </c>
      <c r="E54" s="35"/>
      <c r="F54" s="35"/>
      <c r="G54" s="35"/>
      <c r="H54" s="35"/>
      <c r="I54" s="36"/>
    </row>
    <row r="55" spans="2:13">
      <c r="B55" s="1335" t="s">
        <v>1083</v>
      </c>
      <c r="C55" s="35"/>
      <c r="D55" s="1330">
        <v>0.47530864197530864</v>
      </c>
      <c r="E55" s="35"/>
      <c r="F55" s="35"/>
      <c r="G55" s="35"/>
      <c r="H55" s="35"/>
      <c r="I55" s="36"/>
    </row>
    <row r="56" spans="2:13">
      <c r="B56" s="1335" t="s">
        <v>1084</v>
      </c>
      <c r="C56" s="35"/>
      <c r="D56" s="1330">
        <v>9.7011316872427991E-2</v>
      </c>
      <c r="E56" s="35"/>
      <c r="F56" s="35"/>
      <c r="G56" s="35"/>
      <c r="H56" s="35"/>
      <c r="I56" s="36"/>
    </row>
    <row r="57" spans="2:13">
      <c r="B57" s="1335" t="s">
        <v>1085</v>
      </c>
      <c r="C57" s="35"/>
      <c r="D57" s="1336">
        <v>0.27160493827160492</v>
      </c>
      <c r="E57" s="35"/>
      <c r="F57" s="35"/>
      <c r="G57" s="35"/>
      <c r="H57" s="35"/>
      <c r="I57" s="36"/>
    </row>
    <row r="58" spans="2:13">
      <c r="B58" s="37" t="s">
        <v>1086</v>
      </c>
      <c r="C58" s="35"/>
      <c r="D58" s="1230">
        <f>SUM(D54:D57)</f>
        <v>2.4439248971193415</v>
      </c>
      <c r="E58" s="35"/>
      <c r="F58" s="35"/>
      <c r="G58" s="35"/>
      <c r="H58" s="35"/>
      <c r="I58" s="36"/>
    </row>
    <row r="59" spans="2:13">
      <c r="B59" s="37"/>
      <c r="C59" s="35"/>
      <c r="D59" s="1230"/>
      <c r="E59" s="35"/>
      <c r="F59" s="35"/>
      <c r="G59" s="35"/>
      <c r="H59" s="35"/>
      <c r="I59" s="36"/>
    </row>
    <row r="60" spans="2:13">
      <c r="B60" s="37"/>
      <c r="C60" s="35"/>
      <c r="D60" s="35"/>
      <c r="E60" s="35"/>
      <c r="F60" s="35"/>
      <c r="G60" s="35"/>
      <c r="H60" s="35"/>
      <c r="I60" s="36"/>
    </row>
    <row r="61" spans="2:13">
      <c r="B61" s="42" t="s">
        <v>3</v>
      </c>
      <c r="C61" s="35"/>
      <c r="D61" s="35"/>
      <c r="E61" s="35"/>
      <c r="F61" s="35"/>
      <c r="G61" s="35"/>
      <c r="H61" s="35"/>
      <c r="I61" s="46">
        <v>0</v>
      </c>
    </row>
    <row r="62" spans="2:13">
      <c r="B62" s="33" t="s">
        <v>1087</v>
      </c>
      <c r="C62" s="35"/>
      <c r="D62" s="35"/>
      <c r="E62" s="35"/>
      <c r="F62" s="35"/>
      <c r="G62" s="35"/>
      <c r="H62" s="35"/>
      <c r="I62" s="46"/>
    </row>
    <row r="63" spans="2:13">
      <c r="B63" s="33"/>
      <c r="C63" s="35"/>
      <c r="D63" s="35"/>
      <c r="E63" s="35"/>
      <c r="F63" s="35"/>
      <c r="G63" s="35"/>
      <c r="H63" s="35"/>
      <c r="I63" s="36"/>
    </row>
    <row r="64" spans="2:13">
      <c r="B64" s="42" t="s">
        <v>4</v>
      </c>
      <c r="C64" s="35"/>
      <c r="D64" s="35"/>
      <c r="E64" s="35"/>
      <c r="F64" s="35"/>
      <c r="G64" s="35"/>
      <c r="H64" s="35"/>
      <c r="I64" s="48">
        <f>0.05*(I61+I51+I36)</f>
        <v>0.14669624485596708</v>
      </c>
    </row>
    <row r="65" spans="2:9">
      <c r="B65" s="33" t="s">
        <v>1088</v>
      </c>
      <c r="C65" s="35"/>
      <c r="D65" s="35"/>
      <c r="E65" s="35"/>
      <c r="F65" s="35"/>
      <c r="G65" s="35"/>
      <c r="H65" s="35"/>
      <c r="I65" s="36"/>
    </row>
    <row r="66" spans="2:9">
      <c r="B66" s="33"/>
      <c r="C66" s="35"/>
      <c r="D66" s="35"/>
      <c r="E66" s="35"/>
      <c r="F66" s="35"/>
      <c r="G66" s="35"/>
      <c r="H66" s="35"/>
      <c r="I66" s="36"/>
    </row>
    <row r="67" spans="2:9">
      <c r="B67" s="42" t="s">
        <v>26</v>
      </c>
      <c r="C67" s="35"/>
      <c r="D67" s="35"/>
      <c r="E67" s="35"/>
      <c r="F67" s="35"/>
      <c r="G67" s="35"/>
      <c r="H67" s="35"/>
      <c r="I67" s="48">
        <f>0.01*(I61+I51+I36)</f>
        <v>2.9339248971193416E-2</v>
      </c>
    </row>
    <row r="68" spans="2:9">
      <c r="B68" s="33" t="s">
        <v>1089</v>
      </c>
      <c r="C68" s="35"/>
      <c r="D68" s="35"/>
      <c r="E68" s="35"/>
      <c r="F68" s="35"/>
      <c r="G68" s="35"/>
      <c r="H68" s="35"/>
      <c r="I68" s="48"/>
    </row>
    <row r="69" spans="2:9">
      <c r="B69" s="33" t="s">
        <v>1090</v>
      </c>
      <c r="C69" s="35"/>
      <c r="D69" s="35"/>
      <c r="E69" s="35"/>
      <c r="F69" s="35"/>
      <c r="G69" s="35"/>
      <c r="H69" s="35"/>
      <c r="I69" s="36"/>
    </row>
    <row r="70" spans="2:9">
      <c r="B70" s="37"/>
      <c r="C70" s="35"/>
      <c r="D70" s="35"/>
      <c r="E70" s="35"/>
      <c r="F70" s="35"/>
      <c r="G70" s="35"/>
      <c r="H70" s="35"/>
      <c r="I70" s="36"/>
    </row>
    <row r="71" spans="2:9">
      <c r="B71" s="42" t="s">
        <v>7</v>
      </c>
      <c r="C71" s="35"/>
      <c r="D71" s="35"/>
      <c r="E71" s="35"/>
      <c r="F71" s="35"/>
      <c r="G71" s="35"/>
      <c r="H71" s="35"/>
      <c r="I71" s="46">
        <v>0</v>
      </c>
    </row>
    <row r="72" spans="2:9">
      <c r="B72" s="33" t="s">
        <v>104</v>
      </c>
      <c r="C72" s="35"/>
      <c r="D72" s="35"/>
      <c r="E72" s="35"/>
      <c r="F72" s="35"/>
      <c r="G72" s="35"/>
      <c r="H72" s="35"/>
      <c r="I72" s="36"/>
    </row>
    <row r="73" spans="2:9">
      <c r="B73" s="37"/>
      <c r="C73" s="35"/>
      <c r="D73" s="35"/>
      <c r="E73" s="35"/>
      <c r="F73" s="35"/>
      <c r="G73" s="35"/>
      <c r="H73" s="35"/>
      <c r="I73" s="36"/>
    </row>
    <row r="74" spans="2:9">
      <c r="B74" s="42" t="s">
        <v>27</v>
      </c>
      <c r="C74" s="35"/>
      <c r="D74" s="35"/>
      <c r="E74" s="35"/>
      <c r="F74" s="35"/>
      <c r="G74" s="35"/>
      <c r="H74" s="35"/>
      <c r="I74" s="46">
        <v>0</v>
      </c>
    </row>
    <row r="75" spans="2:9">
      <c r="B75" s="33" t="s">
        <v>1091</v>
      </c>
      <c r="C75" s="35"/>
      <c r="D75" s="35"/>
      <c r="E75" s="35"/>
      <c r="F75" s="35"/>
      <c r="G75" s="35"/>
      <c r="H75" s="35"/>
      <c r="I75" s="47"/>
    </row>
    <row r="76" spans="2:9">
      <c r="B76" s="37"/>
      <c r="C76" s="35"/>
      <c r="D76" s="35"/>
      <c r="E76" s="35"/>
      <c r="F76" s="35"/>
      <c r="G76" s="35"/>
      <c r="H76" s="35"/>
      <c r="I76" s="36"/>
    </row>
    <row r="77" spans="2:9">
      <c r="B77" s="42" t="s">
        <v>5</v>
      </c>
      <c r="C77" s="35"/>
      <c r="D77" s="35"/>
      <c r="E77" s="35"/>
      <c r="F77" s="35"/>
      <c r="G77" s="35"/>
      <c r="H77" s="35"/>
      <c r="I77" s="46">
        <v>0</v>
      </c>
    </row>
    <row r="78" spans="2:9">
      <c r="B78" s="33" t="s">
        <v>1092</v>
      </c>
      <c r="C78" s="35"/>
      <c r="D78" s="35"/>
      <c r="E78" s="35"/>
      <c r="F78" s="35"/>
      <c r="G78" s="35"/>
      <c r="H78" s="35"/>
      <c r="I78" s="47"/>
    </row>
    <row r="79" spans="2:9">
      <c r="B79" s="33"/>
      <c r="C79" s="35"/>
      <c r="D79" s="35"/>
      <c r="E79" s="35"/>
      <c r="F79" s="35"/>
      <c r="G79" s="35"/>
      <c r="H79" s="35"/>
      <c r="I79" s="47"/>
    </row>
    <row r="80" spans="2:9">
      <c r="B80" s="42" t="s">
        <v>20</v>
      </c>
      <c r="C80" s="35"/>
      <c r="D80" s="35"/>
      <c r="E80" s="35"/>
      <c r="F80" s="35"/>
      <c r="G80" s="35"/>
      <c r="H80" s="35"/>
      <c r="I80" s="46">
        <v>0</v>
      </c>
    </row>
    <row r="81" spans="2:9">
      <c r="B81" s="33" t="s">
        <v>104</v>
      </c>
      <c r="C81" s="35"/>
      <c r="D81" s="35"/>
      <c r="E81" s="35"/>
      <c r="F81" s="35"/>
      <c r="G81" s="35"/>
      <c r="H81" s="35"/>
      <c r="I81" s="36"/>
    </row>
    <row r="82" spans="2:9">
      <c r="B82" s="37"/>
      <c r="C82" s="35"/>
      <c r="D82" s="35"/>
      <c r="E82" s="35"/>
      <c r="F82" s="35"/>
      <c r="G82" s="35"/>
      <c r="H82" s="35"/>
      <c r="I82" s="36"/>
    </row>
    <row r="83" spans="2:9">
      <c r="B83" s="43" t="s">
        <v>11</v>
      </c>
      <c r="C83" s="44"/>
      <c r="D83" s="44"/>
      <c r="E83" s="44"/>
      <c r="F83" s="44"/>
      <c r="G83" s="44"/>
      <c r="H83" s="44"/>
      <c r="I83" s="52">
        <f>+I80+I77+I74+I71+I67+I64+I61+I51+I36</f>
        <v>3.1099603909465019</v>
      </c>
    </row>
    <row r="85" spans="2:9">
      <c r="B85" s="2" t="s">
        <v>638</v>
      </c>
    </row>
    <row r="86" spans="2:9">
      <c r="B86" s="2" t="s">
        <v>1093</v>
      </c>
    </row>
  </sheetData>
  <mergeCells count="4">
    <mergeCell ref="O24:P24"/>
    <mergeCell ref="O25:P25"/>
    <mergeCell ref="O26:P26"/>
    <mergeCell ref="O27:P27"/>
  </mergeCells>
  <pageMargins left="0.75" right="0.75" top="1" bottom="1" header="0.5" footer="0.5"/>
  <pageSetup scale="64" orientation="portrait" r:id="rId1"/>
  <headerFooter alignWithMargins="0"/>
</worksheet>
</file>

<file path=xl/worksheets/sheet203.xml><?xml version="1.0" encoding="utf-8"?>
<worksheet xmlns="http://schemas.openxmlformats.org/spreadsheetml/2006/main" xmlns:r="http://schemas.openxmlformats.org/officeDocument/2006/relationships">
  <dimension ref="B1:Q147"/>
  <sheetViews>
    <sheetView zoomScaleNormal="100" workbookViewId="0">
      <selection activeCell="K26" sqref="K26"/>
    </sheetView>
  </sheetViews>
  <sheetFormatPr defaultRowHeight="12.75"/>
  <cols>
    <col min="1" max="1" width="2.85546875" style="2" customWidth="1"/>
    <col min="2" max="2" width="9.7109375" style="2" customWidth="1"/>
    <col min="3" max="3" width="18.7109375" style="2" customWidth="1"/>
    <col min="4" max="4" width="25.7109375" style="2" customWidth="1"/>
    <col min="5" max="5" width="15.85546875" style="2" customWidth="1"/>
    <col min="6" max="6" width="10.5703125" style="2" customWidth="1"/>
    <col min="7" max="9" width="9.140625" style="2"/>
    <col min="10" max="10" width="9.7109375" style="2" customWidth="1"/>
    <col min="11" max="11" width="11.28515625" style="2" customWidth="1"/>
    <col min="12" max="16" width="9.140625" style="2"/>
    <col min="17" max="17" width="11.42578125" style="2" customWidth="1"/>
    <col min="18" max="16384" width="9.140625" style="2"/>
  </cols>
  <sheetData>
    <row r="1" spans="2:17" s="730" customFormat="1">
      <c r="B1" s="730" t="s">
        <v>644</v>
      </c>
      <c r="C1" s="730">
        <v>607</v>
      </c>
      <c r="D1" s="1292" t="s">
        <v>2356</v>
      </c>
      <c r="E1" s="730" t="str">
        <f>E6</f>
        <v>Field Ditch</v>
      </c>
      <c r="G1" s="730">
        <v>2011</v>
      </c>
    </row>
    <row r="3" spans="2:17" ht="15.75">
      <c r="B3" s="1" t="s">
        <v>17</v>
      </c>
    </row>
    <row r="4" spans="2:17">
      <c r="B4" s="68" t="s">
        <v>1</v>
      </c>
      <c r="C4" s="69" t="s">
        <v>21</v>
      </c>
      <c r="D4" s="70"/>
      <c r="E4" s="70"/>
      <c r="F4" s="70"/>
      <c r="G4" s="83" t="s">
        <v>12</v>
      </c>
      <c r="H4"/>
      <c r="I4"/>
      <c r="J4" s="730" t="s">
        <v>621</v>
      </c>
    </row>
    <row r="5" spans="2:17">
      <c r="B5" s="71" t="s">
        <v>13</v>
      </c>
      <c r="C5" s="72" t="s">
        <v>22</v>
      </c>
      <c r="D5" s="72" t="s">
        <v>29</v>
      </c>
      <c r="E5" s="72" t="s">
        <v>30</v>
      </c>
      <c r="F5" s="72" t="s">
        <v>23</v>
      </c>
      <c r="G5" s="84" t="s">
        <v>14</v>
      </c>
      <c r="H5"/>
      <c r="I5"/>
      <c r="J5" s="88" t="s">
        <v>622</v>
      </c>
    </row>
    <row r="6" spans="2:17">
      <c r="B6" s="54">
        <v>607</v>
      </c>
      <c r="C6" s="7" t="str">
        <f>+E10</f>
        <v>EQIP</v>
      </c>
      <c r="D6" s="53" t="s">
        <v>2357</v>
      </c>
      <c r="E6" s="53" t="s">
        <v>2358</v>
      </c>
      <c r="F6" s="7" t="str">
        <f>+$D$32</f>
        <v>CuYd</v>
      </c>
      <c r="G6" s="85">
        <f>+I$23</f>
        <v>3.4125000000000001</v>
      </c>
      <c r="H6"/>
      <c r="I6"/>
      <c r="J6" s="89" t="str">
        <f>+$D$30</f>
        <v>Statewide</v>
      </c>
    </row>
    <row r="7" spans="2:17">
      <c r="B7" s="8">
        <v>607</v>
      </c>
      <c r="C7" s="10" t="str">
        <f>+F10</f>
        <v>EQIP-HU</v>
      </c>
      <c r="D7" s="9" t="s">
        <v>2357</v>
      </c>
      <c r="E7" s="9" t="s">
        <v>2358</v>
      </c>
      <c r="F7" s="10" t="str">
        <f>+$D$32</f>
        <v>CuYd</v>
      </c>
      <c r="G7" s="86">
        <f>+J$23</f>
        <v>5.1187500000000004</v>
      </c>
      <c r="H7"/>
      <c r="I7"/>
      <c r="J7" s="89" t="str">
        <f>+$D$30</f>
        <v>Statewide</v>
      </c>
    </row>
    <row r="8" spans="2:17">
      <c r="B8" s="4"/>
      <c r="C8" s="3"/>
      <c r="D8" s="3"/>
      <c r="G8"/>
      <c r="H8"/>
      <c r="I8"/>
      <c r="J8"/>
    </row>
    <row r="9" spans="2:17" ht="16.5" thickBot="1">
      <c r="B9" s="1" t="s">
        <v>18</v>
      </c>
      <c r="C9" s="3"/>
      <c r="D9" s="3"/>
      <c r="G9"/>
      <c r="H9"/>
      <c r="I9" t="s">
        <v>627</v>
      </c>
      <c r="J9"/>
    </row>
    <row r="10" spans="2:17" ht="25.5">
      <c r="B10" s="55"/>
      <c r="C10" s="12"/>
      <c r="D10" s="11"/>
      <c r="E10" s="13" t="s">
        <v>15</v>
      </c>
      <c r="F10" s="13" t="s">
        <v>31</v>
      </c>
      <c r="G10" s="13" t="s">
        <v>86</v>
      </c>
      <c r="H10" s="13" t="s">
        <v>441</v>
      </c>
      <c r="I10" s="13"/>
      <c r="J10" s="13"/>
      <c r="K10" s="13"/>
      <c r="L10" s="14"/>
      <c r="O10" s="1297" t="s">
        <v>1052</v>
      </c>
      <c r="P10" s="1298" t="s">
        <v>1053</v>
      </c>
      <c r="Q10" s="1299"/>
    </row>
    <row r="11" spans="2:17">
      <c r="B11" s="15"/>
      <c r="C11" s="67"/>
      <c r="D11" s="16"/>
      <c r="E11" s="17" t="s">
        <v>22</v>
      </c>
      <c r="F11" s="17" t="s">
        <v>22</v>
      </c>
      <c r="G11" s="17" t="s">
        <v>22</v>
      </c>
      <c r="H11" s="17" t="s">
        <v>22</v>
      </c>
      <c r="I11" s="17" t="str">
        <f>+E10</f>
        <v>EQIP</v>
      </c>
      <c r="J11" s="17" t="str">
        <f>+F10</f>
        <v>EQIP-HU</v>
      </c>
      <c r="K11" s="17" t="str">
        <f>+G10</f>
        <v>WHIP</v>
      </c>
      <c r="L11" s="18" t="str">
        <f>+H10</f>
        <v>WHIP-HU</v>
      </c>
      <c r="O11" s="1300" t="s">
        <v>1054</v>
      </c>
      <c r="P11" s="1301" t="s">
        <v>1055</v>
      </c>
      <c r="Q11" s="1302"/>
    </row>
    <row r="12" spans="2:17" ht="25.5">
      <c r="B12" s="19"/>
      <c r="C12" s="16"/>
      <c r="D12" s="16"/>
      <c r="E12" s="17" t="s">
        <v>12</v>
      </c>
      <c r="F12" s="17" t="s">
        <v>12</v>
      </c>
      <c r="G12" s="17" t="s">
        <v>12</v>
      </c>
      <c r="H12" s="17" t="s">
        <v>12</v>
      </c>
      <c r="I12" s="17" t="s">
        <v>12</v>
      </c>
      <c r="J12" s="17" t="s">
        <v>12</v>
      </c>
      <c r="K12" s="17" t="s">
        <v>12</v>
      </c>
      <c r="L12" s="18" t="s">
        <v>12</v>
      </c>
      <c r="O12" s="1300" t="s">
        <v>1056</v>
      </c>
      <c r="P12" s="1301" t="s">
        <v>1057</v>
      </c>
      <c r="Q12" s="1302"/>
    </row>
    <row r="13" spans="2:17" ht="25.5">
      <c r="B13" s="164" t="s">
        <v>16</v>
      </c>
      <c r="C13" s="16"/>
      <c r="D13" s="165" t="s">
        <v>6</v>
      </c>
      <c r="E13" s="22" t="s">
        <v>24</v>
      </c>
      <c r="F13" s="22" t="s">
        <v>24</v>
      </c>
      <c r="G13" s="22" t="s">
        <v>24</v>
      </c>
      <c r="H13" s="22" t="s">
        <v>24</v>
      </c>
      <c r="I13" s="22" t="s">
        <v>14</v>
      </c>
      <c r="J13" s="22" t="s">
        <v>14</v>
      </c>
      <c r="K13" s="22" t="s">
        <v>14</v>
      </c>
      <c r="L13" s="23" t="s">
        <v>14</v>
      </c>
      <c r="O13" s="1303" t="s">
        <v>1055</v>
      </c>
      <c r="P13" s="1304" t="s">
        <v>1058</v>
      </c>
      <c r="Q13" s="1305" t="s">
        <v>1059</v>
      </c>
    </row>
    <row r="14" spans="2:17">
      <c r="B14" s="15" t="s">
        <v>0</v>
      </c>
      <c r="C14" s="16"/>
      <c r="D14" s="24">
        <f>+I36</f>
        <v>0</v>
      </c>
      <c r="E14" s="160">
        <v>0.5</v>
      </c>
      <c r="F14" s="160">
        <v>0.75</v>
      </c>
      <c r="G14" s="160">
        <v>0</v>
      </c>
      <c r="H14" s="160">
        <v>0</v>
      </c>
      <c r="I14" s="73">
        <f t="shared" ref="I14:L22" si="0">+$D14*E14</f>
        <v>0</v>
      </c>
      <c r="J14" s="73">
        <f t="shared" si="0"/>
        <v>0</v>
      </c>
      <c r="K14" s="73">
        <f t="shared" si="0"/>
        <v>0</v>
      </c>
      <c r="L14" s="74">
        <f t="shared" si="0"/>
        <v>0</v>
      </c>
      <c r="O14" s="1306">
        <f>D14</f>
        <v>0</v>
      </c>
      <c r="P14" s="1307">
        <f>IF($D$33=1,O14,PMT($D$34,$D$33,-O14))</f>
        <v>0</v>
      </c>
      <c r="Q14" s="1308" t="s">
        <v>103</v>
      </c>
    </row>
    <row r="15" spans="2:17">
      <c r="B15" s="15" t="s">
        <v>2</v>
      </c>
      <c r="C15" s="16"/>
      <c r="D15" s="24">
        <f>+I39</f>
        <v>6.5</v>
      </c>
      <c r="E15" s="160">
        <v>0.5</v>
      </c>
      <c r="F15" s="160">
        <v>0.75</v>
      </c>
      <c r="G15" s="160">
        <v>0</v>
      </c>
      <c r="H15" s="160">
        <v>0</v>
      </c>
      <c r="I15" s="73">
        <f t="shared" si="0"/>
        <v>3.25</v>
      </c>
      <c r="J15" s="73">
        <f t="shared" si="0"/>
        <v>4.875</v>
      </c>
      <c r="K15" s="73">
        <f t="shared" si="0"/>
        <v>0</v>
      </c>
      <c r="L15" s="74">
        <f t="shared" si="0"/>
        <v>0</v>
      </c>
      <c r="O15" s="1306">
        <f t="shared" ref="O15:O20" si="1">D15</f>
        <v>6.5</v>
      </c>
      <c r="P15" s="1307">
        <f>IF($D$33=1,O15,PMT($D$34,$D$33,-O15))</f>
        <v>0.59282230856988671</v>
      </c>
      <c r="Q15" s="1308" t="s">
        <v>103</v>
      </c>
    </row>
    <row r="16" spans="2:17">
      <c r="B16" s="15" t="s">
        <v>3</v>
      </c>
      <c r="C16" s="16"/>
      <c r="D16" s="24">
        <f>+I67</f>
        <v>0</v>
      </c>
      <c r="E16" s="160">
        <v>0.5</v>
      </c>
      <c r="F16" s="160">
        <v>0.75</v>
      </c>
      <c r="G16" s="160">
        <v>0</v>
      </c>
      <c r="H16" s="160">
        <v>0</v>
      </c>
      <c r="I16" s="73">
        <f t="shared" si="0"/>
        <v>0</v>
      </c>
      <c r="J16" s="73">
        <f t="shared" si="0"/>
        <v>0</v>
      </c>
      <c r="K16" s="73">
        <f t="shared" si="0"/>
        <v>0</v>
      </c>
      <c r="L16" s="74">
        <f t="shared" si="0"/>
        <v>0</v>
      </c>
      <c r="O16" s="1306">
        <f t="shared" si="1"/>
        <v>0</v>
      </c>
      <c r="P16" s="1307">
        <f>IF($D$33=1,O16,PMT($D$34,$D$33,-O16))</f>
        <v>0</v>
      </c>
      <c r="Q16" s="1308" t="s">
        <v>103</v>
      </c>
    </row>
    <row r="17" spans="2:17">
      <c r="B17" s="15" t="s">
        <v>4</v>
      </c>
      <c r="C17" s="16"/>
      <c r="D17" s="24">
        <f>+I70</f>
        <v>0.32500000000000001</v>
      </c>
      <c r="E17" s="160">
        <v>0.5</v>
      </c>
      <c r="F17" s="160">
        <v>0.75</v>
      </c>
      <c r="G17" s="160">
        <v>0</v>
      </c>
      <c r="H17" s="160">
        <v>0</v>
      </c>
      <c r="I17" s="73">
        <f t="shared" si="0"/>
        <v>0.16250000000000001</v>
      </c>
      <c r="J17" s="73">
        <f t="shared" si="0"/>
        <v>0.24375000000000002</v>
      </c>
      <c r="K17" s="73">
        <f t="shared" si="0"/>
        <v>0</v>
      </c>
      <c r="L17" s="74">
        <f t="shared" si="0"/>
        <v>0</v>
      </c>
      <c r="O17" s="1306">
        <f t="shared" si="1"/>
        <v>0.32500000000000001</v>
      </c>
      <c r="P17" s="1307">
        <f>IF($D$33=1,O17,PMT($D$34,$D$33,-O17))</f>
        <v>2.9641115428494336E-2</v>
      </c>
      <c r="Q17" s="1308" t="s">
        <v>103</v>
      </c>
    </row>
    <row r="18" spans="2:17">
      <c r="B18" s="15" t="s">
        <v>26</v>
      </c>
      <c r="C18" s="16"/>
      <c r="D18" s="24">
        <f>+I73</f>
        <v>0.19500000000000001</v>
      </c>
      <c r="E18" s="160">
        <v>0</v>
      </c>
      <c r="F18" s="160">
        <v>0</v>
      </c>
      <c r="G18" s="160">
        <v>0</v>
      </c>
      <c r="H18" s="160">
        <v>0</v>
      </c>
      <c r="I18" s="73">
        <f t="shared" si="0"/>
        <v>0</v>
      </c>
      <c r="J18" s="73">
        <f t="shared" si="0"/>
        <v>0</v>
      </c>
      <c r="K18" s="73">
        <f t="shared" si="0"/>
        <v>0</v>
      </c>
      <c r="L18" s="74">
        <f t="shared" si="0"/>
        <v>0</v>
      </c>
      <c r="O18" s="1306">
        <f t="shared" si="1"/>
        <v>0.19500000000000001</v>
      </c>
      <c r="P18" s="1309" t="s">
        <v>103</v>
      </c>
      <c r="Q18" s="1310">
        <f>O18</f>
        <v>0.19500000000000001</v>
      </c>
    </row>
    <row r="19" spans="2:17">
      <c r="B19" s="15" t="s">
        <v>7</v>
      </c>
      <c r="C19" s="16"/>
      <c r="D19" s="24">
        <f>+I77</f>
        <v>0</v>
      </c>
      <c r="E19" s="160">
        <v>0.5</v>
      </c>
      <c r="F19" s="160">
        <v>0.75</v>
      </c>
      <c r="G19" s="160">
        <v>0</v>
      </c>
      <c r="H19" s="160">
        <v>0</v>
      </c>
      <c r="I19" s="73">
        <f t="shared" si="0"/>
        <v>0</v>
      </c>
      <c r="J19" s="73">
        <f t="shared" si="0"/>
        <v>0</v>
      </c>
      <c r="K19" s="73">
        <f t="shared" si="0"/>
        <v>0</v>
      </c>
      <c r="L19" s="74">
        <f t="shared" si="0"/>
        <v>0</v>
      </c>
      <c r="O19" s="1306">
        <f t="shared" si="1"/>
        <v>0</v>
      </c>
      <c r="P19" s="1307">
        <f>IF($D$33=1,O19,PMT($D$34,$D$33,-O19))</f>
        <v>0</v>
      </c>
      <c r="Q19" s="1308" t="s">
        <v>103</v>
      </c>
    </row>
    <row r="20" spans="2:17">
      <c r="B20" s="15" t="s">
        <v>27</v>
      </c>
      <c r="C20" s="16"/>
      <c r="D20" s="24">
        <f>+I80</f>
        <v>0</v>
      </c>
      <c r="E20" s="160">
        <v>0.5</v>
      </c>
      <c r="F20" s="160">
        <v>0.75</v>
      </c>
      <c r="G20" s="160">
        <v>0</v>
      </c>
      <c r="H20" s="160">
        <v>0</v>
      </c>
      <c r="I20" s="73">
        <f t="shared" si="0"/>
        <v>0</v>
      </c>
      <c r="J20" s="73">
        <f t="shared" si="0"/>
        <v>0</v>
      </c>
      <c r="K20" s="73">
        <f t="shared" si="0"/>
        <v>0</v>
      </c>
      <c r="L20" s="74">
        <f t="shared" si="0"/>
        <v>0</v>
      </c>
      <c r="O20" s="1306">
        <f t="shared" si="1"/>
        <v>0</v>
      </c>
      <c r="P20" s="1309" t="s">
        <v>103</v>
      </c>
      <c r="Q20" s="1310">
        <f>O20</f>
        <v>0</v>
      </c>
    </row>
    <row r="21" spans="2:17">
      <c r="B21" s="15" t="s">
        <v>5</v>
      </c>
      <c r="C21" s="16"/>
      <c r="D21" s="24">
        <f>+I83</f>
        <v>0</v>
      </c>
      <c r="E21" s="160">
        <v>0</v>
      </c>
      <c r="F21" s="160">
        <v>0</v>
      </c>
      <c r="G21" s="160">
        <v>0</v>
      </c>
      <c r="H21" s="160">
        <v>0</v>
      </c>
      <c r="I21" s="73">
        <f t="shared" si="0"/>
        <v>0</v>
      </c>
      <c r="J21" s="73">
        <f t="shared" si="0"/>
        <v>0</v>
      </c>
      <c r="K21" s="73">
        <f t="shared" si="0"/>
        <v>0</v>
      </c>
      <c r="L21" s="74">
        <f t="shared" si="0"/>
        <v>0</v>
      </c>
      <c r="O21" s="1312" t="s">
        <v>103</v>
      </c>
      <c r="P21" s="1309" t="s">
        <v>103</v>
      </c>
      <c r="Q21" s="1308" t="s">
        <v>103</v>
      </c>
    </row>
    <row r="22" spans="2:17">
      <c r="B22" s="15" t="s">
        <v>20</v>
      </c>
      <c r="C22" s="16"/>
      <c r="D22" s="75">
        <f>+I86</f>
        <v>0</v>
      </c>
      <c r="E22" s="160">
        <v>0</v>
      </c>
      <c r="F22" s="160">
        <v>0</v>
      </c>
      <c r="G22" s="160">
        <v>0</v>
      </c>
      <c r="H22" s="160">
        <v>0</v>
      </c>
      <c r="I22" s="75">
        <f t="shared" si="0"/>
        <v>0</v>
      </c>
      <c r="J22" s="75">
        <f t="shared" si="0"/>
        <v>0</v>
      </c>
      <c r="K22" s="75">
        <f t="shared" si="0"/>
        <v>0</v>
      </c>
      <c r="L22" s="76">
        <f t="shared" si="0"/>
        <v>0</v>
      </c>
      <c r="O22" s="1313" t="s">
        <v>103</v>
      </c>
      <c r="P22" s="1314" t="s">
        <v>103</v>
      </c>
      <c r="Q22" s="1315" t="s">
        <v>103</v>
      </c>
    </row>
    <row r="23" spans="2:17" ht="13.5" thickBot="1">
      <c r="B23" s="26" t="s">
        <v>19</v>
      </c>
      <c r="C23" s="27"/>
      <c r="D23" s="51">
        <f>SUM(D14:D22)</f>
        <v>7.0200000000000005</v>
      </c>
      <c r="E23" s="28"/>
      <c r="F23" s="28"/>
      <c r="G23" s="28"/>
      <c r="H23" s="28"/>
      <c r="I23" s="51">
        <f>SUM(I14:I22)</f>
        <v>3.4125000000000001</v>
      </c>
      <c r="J23" s="51">
        <f>SUM(J14:J22)</f>
        <v>5.1187500000000004</v>
      </c>
      <c r="K23" s="51">
        <f>SUM(K14:K22)</f>
        <v>0</v>
      </c>
      <c r="L23" s="77">
        <f>SUM(L14:L22)</f>
        <v>0</v>
      </c>
      <c r="O23" s="1316">
        <f>SUM(O14:O20)</f>
        <v>7.0200000000000005</v>
      </c>
      <c r="P23" s="1317">
        <f>SUM(P14:P17,P191,P19)</f>
        <v>0.62246342399838106</v>
      </c>
      <c r="Q23" s="1318">
        <f>SUM(Q20,Q18)</f>
        <v>0.19500000000000001</v>
      </c>
    </row>
    <row r="24" spans="2:17">
      <c r="O24" s="2206" t="s">
        <v>1060</v>
      </c>
      <c r="P24" s="2206"/>
      <c r="Q24" s="1319">
        <f>SUM(Q23,P23)</f>
        <v>0.81746342399838112</v>
      </c>
    </row>
    <row r="25" spans="2:17" ht="15.75">
      <c r="B25" s="50" t="s">
        <v>28</v>
      </c>
      <c r="I25" s="5"/>
      <c r="O25" s="1955" t="s">
        <v>1061</v>
      </c>
      <c r="P25" s="1955"/>
      <c r="Q25" s="1320">
        <f>5280/4</f>
        <v>1320</v>
      </c>
    </row>
    <row r="26" spans="2:17">
      <c r="B26" s="29" t="s">
        <v>89</v>
      </c>
      <c r="C26" s="30"/>
      <c r="D26" s="30"/>
      <c r="E26" s="31"/>
      <c r="F26" s="31"/>
      <c r="G26" s="31"/>
      <c r="H26" s="31"/>
      <c r="I26" s="32"/>
      <c r="O26" s="1955" t="s">
        <v>1062</v>
      </c>
      <c r="P26" s="1955"/>
      <c r="Q26" s="1321" t="str">
        <f>D32</f>
        <v>CuYd</v>
      </c>
    </row>
    <row r="27" spans="2:17">
      <c r="B27" s="33" t="s">
        <v>2359</v>
      </c>
      <c r="C27" s="34"/>
      <c r="D27" s="34"/>
      <c r="E27" s="35"/>
      <c r="F27" s="35"/>
      <c r="G27" s="35"/>
      <c r="H27" s="35"/>
      <c r="I27" s="36"/>
      <c r="O27" s="2207" t="s">
        <v>1064</v>
      </c>
      <c r="P27" s="2207"/>
      <c r="Q27" s="1322">
        <f>Q25*Q24</f>
        <v>1079.051719677863</v>
      </c>
    </row>
    <row r="28" spans="2:17">
      <c r="B28" s="37" t="s">
        <v>2360</v>
      </c>
      <c r="C28" s="34"/>
      <c r="D28" s="34"/>
      <c r="E28" s="35"/>
      <c r="F28" s="35"/>
      <c r="G28" s="35"/>
      <c r="H28" s="35"/>
      <c r="I28" s="36"/>
    </row>
    <row r="29" spans="2:17">
      <c r="B29" s="37"/>
      <c r="C29" s="34"/>
      <c r="D29" s="34"/>
      <c r="E29" s="35"/>
      <c r="F29" s="35"/>
      <c r="G29" s="35"/>
      <c r="H29" s="35"/>
      <c r="I29" s="36"/>
    </row>
    <row r="30" spans="2:17">
      <c r="B30" s="38" t="s">
        <v>25</v>
      </c>
      <c r="C30" s="34"/>
      <c r="D30" s="39" t="s">
        <v>91</v>
      </c>
      <c r="E30" s="6"/>
      <c r="F30" s="35"/>
      <c r="G30" s="35"/>
      <c r="H30" s="35"/>
      <c r="I30" s="36"/>
      <c r="J30" s="49"/>
    </row>
    <row r="31" spans="2:17">
      <c r="B31" s="37"/>
      <c r="C31" s="34"/>
      <c r="D31" s="35"/>
      <c r="E31" s="6"/>
      <c r="F31" s="35"/>
      <c r="G31" s="35"/>
      <c r="H31" s="35"/>
      <c r="I31" s="36"/>
    </row>
    <row r="32" spans="2:17">
      <c r="B32" s="38" t="s">
        <v>8</v>
      </c>
      <c r="C32" s="34"/>
      <c r="D32" s="39" t="s">
        <v>833</v>
      </c>
      <c r="E32" s="6"/>
      <c r="F32" s="35"/>
      <c r="G32" s="35"/>
      <c r="H32" s="35"/>
      <c r="I32" s="36"/>
    </row>
    <row r="33" spans="2:13">
      <c r="B33" s="38" t="s">
        <v>9</v>
      </c>
      <c r="C33" s="34"/>
      <c r="D33" s="92">
        <v>15</v>
      </c>
      <c r="E33" s="6"/>
      <c r="F33" s="35"/>
      <c r="G33" s="35"/>
      <c r="H33" s="35"/>
      <c r="I33" s="36"/>
    </row>
    <row r="34" spans="2:13">
      <c r="B34" s="38" t="s">
        <v>10</v>
      </c>
      <c r="C34" s="35"/>
      <c r="D34" s="93">
        <v>4.2000000000000003E-2</v>
      </c>
      <c r="E34" s="6"/>
      <c r="F34" s="35"/>
      <c r="G34" s="35"/>
      <c r="H34" s="35"/>
      <c r="I34" s="147" t="s">
        <v>6</v>
      </c>
    </row>
    <row r="35" spans="2:13">
      <c r="B35" s="40"/>
      <c r="C35" s="35"/>
      <c r="D35" s="35"/>
      <c r="E35" s="41"/>
      <c r="F35" s="35"/>
      <c r="G35" s="35"/>
      <c r="H35" s="35"/>
      <c r="I35" s="149"/>
    </row>
    <row r="36" spans="2:13">
      <c r="B36" s="42" t="s">
        <v>0</v>
      </c>
      <c r="C36" s="35"/>
      <c r="D36" s="35"/>
      <c r="E36" s="35"/>
      <c r="F36" s="35"/>
      <c r="G36" s="35"/>
      <c r="H36" s="35"/>
      <c r="I36" s="46">
        <v>0</v>
      </c>
    </row>
    <row r="37" spans="2:13">
      <c r="B37" s="756" t="s">
        <v>104</v>
      </c>
      <c r="C37" s="6"/>
      <c r="D37" s="1173"/>
      <c r="E37" s="35"/>
      <c r="F37" s="35"/>
      <c r="G37" s="35"/>
      <c r="H37" s="35"/>
      <c r="I37" s="36"/>
    </row>
    <row r="38" spans="2:13">
      <c r="B38" s="40"/>
      <c r="C38" s="6"/>
      <c r="D38" s="6"/>
      <c r="E38" s="1221"/>
      <c r="F38" s="35"/>
      <c r="G38" s="35"/>
      <c r="H38" s="35"/>
      <c r="I38" s="36"/>
    </row>
    <row r="39" spans="2:13">
      <c r="B39" s="42" t="s">
        <v>2</v>
      </c>
      <c r="C39" s="35"/>
      <c r="D39" s="35"/>
      <c r="E39" s="35"/>
      <c r="F39" s="35"/>
      <c r="G39" s="35"/>
      <c r="H39" s="35"/>
      <c r="I39" s="48">
        <f>+D56</f>
        <v>6.5</v>
      </c>
      <c r="M39" s="1222"/>
    </row>
    <row r="40" spans="2:13">
      <c r="B40" s="1220" t="s">
        <v>2361</v>
      </c>
      <c r="C40" s="35"/>
      <c r="D40" s="35"/>
      <c r="E40" s="35"/>
      <c r="F40" s="35"/>
      <c r="G40" s="35"/>
      <c r="H40" s="35"/>
      <c r="I40" s="48"/>
      <c r="M40" s="1222"/>
    </row>
    <row r="41" spans="2:13">
      <c r="B41" s="40" t="s">
        <v>838</v>
      </c>
      <c r="C41" s="6"/>
      <c r="D41" s="1231">
        <v>20</v>
      </c>
      <c r="E41" s="6"/>
      <c r="F41" s="35"/>
      <c r="G41" s="35"/>
      <c r="H41" s="35"/>
      <c r="I41" s="48"/>
      <c r="M41" s="1222"/>
    </row>
    <row r="42" spans="2:13">
      <c r="B42" s="40" t="s">
        <v>839</v>
      </c>
      <c r="C42" s="6"/>
      <c r="D42" s="1231" t="s">
        <v>833</v>
      </c>
      <c r="E42" s="6"/>
      <c r="F42" s="35"/>
      <c r="G42" s="35"/>
      <c r="H42" s="35"/>
      <c r="I42" s="48"/>
      <c r="M42" s="1222"/>
    </row>
    <row r="43" spans="2:13">
      <c r="B43" s="1224" t="s">
        <v>840</v>
      </c>
      <c r="C43" s="6"/>
      <c r="D43" s="1839">
        <v>70</v>
      </c>
      <c r="E43" s="6"/>
      <c r="F43" s="35"/>
      <c r="G43" s="35"/>
      <c r="H43" s="35"/>
      <c r="I43" s="48"/>
      <c r="M43" s="1222"/>
    </row>
    <row r="44" spans="2:13">
      <c r="B44" s="40" t="s">
        <v>2362</v>
      </c>
      <c r="C44" s="35"/>
      <c r="D44" s="1841">
        <v>1.5</v>
      </c>
      <c r="E44" s="6"/>
      <c r="F44" s="35"/>
      <c r="G44" s="35"/>
      <c r="H44" s="35"/>
      <c r="I44" s="48"/>
      <c r="M44" s="1222"/>
    </row>
    <row r="45" spans="2:13">
      <c r="B45" s="40" t="s">
        <v>2363</v>
      </c>
      <c r="C45" s="6"/>
      <c r="D45" s="1207">
        <f>+D43/D41*D44</f>
        <v>5.25</v>
      </c>
      <c r="E45" s="6"/>
      <c r="F45" s="35"/>
      <c r="G45" s="35"/>
      <c r="H45" s="35"/>
      <c r="I45" s="48"/>
    </row>
    <row r="46" spans="2:13">
      <c r="B46" s="40" t="s">
        <v>2364</v>
      </c>
      <c r="C46" s="6"/>
      <c r="D46" s="1207">
        <f>+D43/D41</f>
        <v>3.5</v>
      </c>
      <c r="E46" s="35"/>
      <c r="F46" s="35"/>
      <c r="G46" s="35"/>
      <c r="H46" s="35"/>
      <c r="I46" s="48"/>
      <c r="M46" s="1222"/>
    </row>
    <row r="47" spans="2:13">
      <c r="B47" s="1220"/>
      <c r="C47" s="35"/>
      <c r="D47" s="1230"/>
      <c r="E47" s="1229"/>
      <c r="F47" s="35"/>
      <c r="G47" s="35"/>
      <c r="H47" s="35"/>
      <c r="I47" s="48"/>
      <c r="M47" s="1222"/>
    </row>
    <row r="48" spans="2:13">
      <c r="B48" s="1220" t="s">
        <v>2365</v>
      </c>
      <c r="C48" s="35"/>
      <c r="D48" s="1230"/>
      <c r="E48" s="1229"/>
      <c r="F48" s="35"/>
      <c r="G48" s="35"/>
      <c r="H48" s="35"/>
      <c r="I48" s="48"/>
      <c r="M48" s="1222"/>
    </row>
    <row r="49" spans="2:13">
      <c r="B49" s="40" t="s">
        <v>838</v>
      </c>
      <c r="C49" s="6"/>
      <c r="D49" s="1842">
        <f>+D41</f>
        <v>20</v>
      </c>
      <c r="E49" s="1229"/>
      <c r="F49" s="35"/>
      <c r="G49" s="35"/>
      <c r="H49" s="35"/>
      <c r="I49" s="48"/>
      <c r="M49" s="1222"/>
    </row>
    <row r="50" spans="2:13">
      <c r="B50" s="40" t="s">
        <v>839</v>
      </c>
      <c r="C50" s="6"/>
      <c r="D50" s="1842" t="str">
        <f>+D42</f>
        <v>CuYd</v>
      </c>
      <c r="E50" s="1229"/>
      <c r="F50" s="35"/>
      <c r="G50" s="35"/>
      <c r="H50" s="35"/>
      <c r="I50" s="48"/>
      <c r="M50" s="1222"/>
    </row>
    <row r="51" spans="2:13">
      <c r="B51" s="1224" t="s">
        <v>840</v>
      </c>
      <c r="C51" s="6"/>
      <c r="D51" s="1839">
        <v>60</v>
      </c>
      <c r="E51" s="1229"/>
      <c r="F51" s="35"/>
      <c r="G51" s="35"/>
      <c r="H51" s="35"/>
      <c r="I51" s="48"/>
      <c r="M51" s="1222"/>
    </row>
    <row r="52" spans="2:13">
      <c r="B52" s="40" t="s">
        <v>2362</v>
      </c>
      <c r="C52" s="35"/>
      <c r="D52" s="1167">
        <f>+D44</f>
        <v>1.5</v>
      </c>
      <c r="E52" s="1229"/>
      <c r="F52" s="35"/>
      <c r="G52" s="35"/>
      <c r="H52" s="35"/>
      <c r="I52" s="48"/>
      <c r="M52" s="1222"/>
    </row>
    <row r="53" spans="2:13">
      <c r="B53" s="40" t="s">
        <v>2363</v>
      </c>
      <c r="C53" s="6"/>
      <c r="D53" s="1207">
        <f>+D51/D49*D52</f>
        <v>4.5</v>
      </c>
      <c r="E53" s="1229"/>
      <c r="F53" s="35"/>
      <c r="G53" s="35"/>
      <c r="H53" s="35"/>
      <c r="I53" s="48"/>
      <c r="M53" s="1222"/>
    </row>
    <row r="54" spans="2:13">
      <c r="B54" s="40" t="s">
        <v>2364</v>
      </c>
      <c r="C54" s="6"/>
      <c r="D54" s="1207">
        <f>+D51/D49</f>
        <v>3</v>
      </c>
      <c r="E54" s="1229"/>
      <c r="F54" s="35"/>
      <c r="G54" s="35"/>
      <c r="H54" s="35"/>
      <c r="I54" s="48"/>
      <c r="M54" s="1222"/>
    </row>
    <row r="55" spans="2:13">
      <c r="B55" s="40"/>
      <c r="C55" s="6"/>
      <c r="D55" s="1207"/>
      <c r="E55" s="1229"/>
      <c r="F55" s="35"/>
      <c r="G55" s="35"/>
      <c r="H55" s="35"/>
      <c r="I55" s="48"/>
      <c r="M55" s="1222"/>
    </row>
    <row r="56" spans="2:13">
      <c r="B56" s="40" t="s">
        <v>2366</v>
      </c>
      <c r="C56" s="6"/>
      <c r="D56" s="1207">
        <f>+D46+D54</f>
        <v>6.5</v>
      </c>
      <c r="E56" s="1229"/>
      <c r="F56" s="35"/>
      <c r="G56" s="35"/>
      <c r="H56" s="35"/>
      <c r="I56" s="48"/>
      <c r="M56" s="1222"/>
    </row>
    <row r="57" spans="2:13">
      <c r="B57" s="40"/>
      <c r="C57" s="6"/>
      <c r="D57" s="1207"/>
      <c r="E57" s="1229"/>
      <c r="F57" s="35"/>
      <c r="G57" s="35"/>
      <c r="H57" s="35"/>
      <c r="I57" s="48"/>
      <c r="M57" s="1222"/>
    </row>
    <row r="58" spans="2:13">
      <c r="B58" s="1830" t="s">
        <v>2367</v>
      </c>
      <c r="C58" s="35"/>
      <c r="D58" s="1171"/>
      <c r="E58" s="1229"/>
      <c r="F58" s="35"/>
      <c r="G58" s="35"/>
      <c r="H58" s="35"/>
      <c r="I58" s="48"/>
      <c r="M58" s="1222"/>
    </row>
    <row r="59" spans="2:13">
      <c r="B59" s="37" t="s">
        <v>2368</v>
      </c>
      <c r="C59" s="150"/>
      <c r="D59" s="1843">
        <v>5</v>
      </c>
      <c r="E59" s="1229"/>
      <c r="F59" s="35"/>
      <c r="G59" s="35"/>
      <c r="H59" s="35"/>
      <c r="I59" s="48"/>
      <c r="M59" s="1222"/>
    </row>
    <row r="60" spans="2:13">
      <c r="B60" s="37" t="s">
        <v>2369</v>
      </c>
      <c r="C60" s="35"/>
      <c r="D60" s="1843">
        <v>3</v>
      </c>
      <c r="E60" s="1229"/>
      <c r="F60" s="35"/>
      <c r="G60" s="35"/>
      <c r="H60" s="35"/>
      <c r="I60" s="48"/>
      <c r="M60" s="1222"/>
    </row>
    <row r="61" spans="2:13">
      <c r="B61" s="37" t="s">
        <v>2370</v>
      </c>
      <c r="C61" s="35"/>
      <c r="D61" s="1844">
        <f>+D59*D60/27</f>
        <v>0.55555555555555558</v>
      </c>
      <c r="E61" s="1229"/>
      <c r="F61" s="35"/>
      <c r="G61" s="35"/>
      <c r="H61" s="35"/>
      <c r="I61" s="48"/>
      <c r="M61" s="1222"/>
    </row>
    <row r="62" spans="2:13">
      <c r="B62" s="40" t="s">
        <v>2366</v>
      </c>
      <c r="C62" s="6"/>
      <c r="D62" s="1207">
        <f>+D56</f>
        <v>6.5</v>
      </c>
      <c r="E62" s="1229"/>
      <c r="F62" s="35"/>
      <c r="G62" s="35"/>
      <c r="H62" s="35"/>
      <c r="I62" s="48"/>
      <c r="M62" s="1222"/>
    </row>
    <row r="63" spans="2:13">
      <c r="B63" s="40" t="s">
        <v>2371</v>
      </c>
      <c r="C63" s="6"/>
      <c r="D63" s="1819">
        <v>1320</v>
      </c>
      <c r="E63" s="1229"/>
      <c r="F63" s="35"/>
      <c r="G63" s="35"/>
      <c r="H63" s="35"/>
      <c r="I63" s="48"/>
      <c r="M63" s="1222"/>
    </row>
    <row r="64" spans="2:13">
      <c r="B64" s="40" t="s">
        <v>2372</v>
      </c>
      <c r="C64" s="6"/>
      <c r="D64" s="1845">
        <f>+D63*D62*D61</f>
        <v>4766.666666666667</v>
      </c>
      <c r="E64" s="1229"/>
      <c r="F64" s="35"/>
      <c r="G64" s="35"/>
      <c r="H64" s="35"/>
      <c r="I64" s="48"/>
      <c r="M64" s="1222"/>
    </row>
    <row r="65" spans="2:17">
      <c r="B65" s="40"/>
      <c r="C65" s="6"/>
      <c r="D65" s="1845"/>
      <c r="E65" s="1229"/>
      <c r="F65" s="35"/>
      <c r="G65" s="35"/>
      <c r="H65" s="35"/>
      <c r="I65" s="48"/>
      <c r="M65" s="1222"/>
    </row>
    <row r="66" spans="2:17">
      <c r="B66" s="756"/>
      <c r="C66" s="35"/>
      <c r="D66" s="1228"/>
      <c r="E66" s="35"/>
      <c r="F66" s="35"/>
      <c r="G66" s="35"/>
      <c r="H66" s="35"/>
      <c r="I66" s="48"/>
      <c r="M66" s="1222"/>
    </row>
    <row r="67" spans="2:17">
      <c r="B67" s="42" t="s">
        <v>3</v>
      </c>
      <c r="C67" s="35"/>
      <c r="D67" s="35"/>
      <c r="E67" s="35"/>
      <c r="F67" s="35"/>
      <c r="G67" s="35"/>
      <c r="H67" s="35"/>
      <c r="I67" s="48">
        <v>0</v>
      </c>
    </row>
    <row r="68" spans="2:17">
      <c r="B68" s="40" t="s">
        <v>2373</v>
      </c>
      <c r="C68" s="6"/>
      <c r="D68" s="6"/>
      <c r="E68" s="6"/>
      <c r="F68" s="1231"/>
      <c r="G68" s="35"/>
      <c r="H68" s="35"/>
      <c r="I68" s="48"/>
      <c r="Q68" s="79"/>
    </row>
    <row r="69" spans="2:17">
      <c r="B69" s="33"/>
      <c r="C69" s="35"/>
      <c r="D69" s="35"/>
      <c r="E69" s="35"/>
      <c r="F69" s="35"/>
      <c r="G69" s="35"/>
      <c r="H69" s="35"/>
      <c r="I69" s="36"/>
    </row>
    <row r="70" spans="2:17">
      <c r="B70" s="42" t="s">
        <v>4</v>
      </c>
      <c r="C70" s="35"/>
      <c r="D70" s="35"/>
      <c r="E70" s="35"/>
      <c r="F70" s="35"/>
      <c r="G70" s="35"/>
      <c r="H70" s="35"/>
      <c r="I70" s="48">
        <f>0.05*(I36+I39+I67)</f>
        <v>0.32500000000000001</v>
      </c>
    </row>
    <row r="71" spans="2:17">
      <c r="B71" s="33" t="s">
        <v>845</v>
      </c>
      <c r="C71" s="35"/>
      <c r="D71" s="35"/>
      <c r="E71" s="35"/>
      <c r="F71" s="35"/>
      <c r="G71" s="35"/>
      <c r="H71" s="35"/>
      <c r="I71" s="36"/>
    </row>
    <row r="72" spans="2:17">
      <c r="B72" s="37"/>
      <c r="C72" s="35"/>
      <c r="D72" s="35"/>
      <c r="E72" s="35"/>
      <c r="F72" s="35"/>
      <c r="G72" s="35"/>
      <c r="H72" s="35"/>
      <c r="I72" s="36"/>
    </row>
    <row r="73" spans="2:17">
      <c r="B73" s="42" t="s">
        <v>26</v>
      </c>
      <c r="C73" s="35"/>
      <c r="D73" s="35"/>
      <c r="E73" s="35"/>
      <c r="F73" s="35"/>
      <c r="G73" s="35"/>
      <c r="H73" s="35"/>
      <c r="I73" s="48">
        <f>0.03*(I39)</f>
        <v>0.19500000000000001</v>
      </c>
    </row>
    <row r="74" spans="2:17">
      <c r="B74" s="1826" t="s">
        <v>2374</v>
      </c>
      <c r="C74" s="35"/>
      <c r="D74" s="35"/>
      <c r="E74" s="35"/>
      <c r="F74" s="35"/>
      <c r="G74" s="35"/>
      <c r="H74" s="35"/>
      <c r="I74" s="48"/>
    </row>
    <row r="75" spans="2:17">
      <c r="B75" s="33" t="s">
        <v>2283</v>
      </c>
      <c r="C75" s="35"/>
      <c r="D75" s="35"/>
      <c r="E75" s="35"/>
      <c r="F75" s="35"/>
      <c r="G75" s="35"/>
      <c r="H75" s="35"/>
      <c r="I75" s="36"/>
    </row>
    <row r="76" spans="2:17">
      <c r="B76" s="37"/>
      <c r="C76" s="35"/>
      <c r="D76" s="35"/>
      <c r="E76" s="35"/>
      <c r="F76" s="35"/>
      <c r="G76" s="35"/>
      <c r="H76" s="35"/>
      <c r="I76" s="36"/>
    </row>
    <row r="77" spans="2:17">
      <c r="B77" s="42" t="s">
        <v>7</v>
      </c>
      <c r="C77" s="35"/>
      <c r="D77" s="35"/>
      <c r="E77" s="35"/>
      <c r="F77" s="35"/>
      <c r="G77" s="35"/>
      <c r="H77" s="35"/>
      <c r="I77" s="46">
        <v>0</v>
      </c>
    </row>
    <row r="78" spans="2:17">
      <c r="B78" s="33" t="s">
        <v>104</v>
      </c>
      <c r="C78" s="35"/>
      <c r="D78" s="35"/>
      <c r="E78" s="35"/>
      <c r="F78" s="35"/>
      <c r="G78" s="35"/>
      <c r="H78" s="35"/>
      <c r="I78" s="36"/>
    </row>
    <row r="79" spans="2:17">
      <c r="B79" s="37"/>
      <c r="C79" s="35"/>
      <c r="D79" s="35"/>
      <c r="E79" s="35"/>
      <c r="F79" s="35"/>
      <c r="G79" s="35"/>
      <c r="H79" s="35"/>
      <c r="I79" s="36"/>
    </row>
    <row r="80" spans="2:17">
      <c r="B80" s="42" t="s">
        <v>27</v>
      </c>
      <c r="C80" s="35"/>
      <c r="D80" s="35"/>
      <c r="E80" s="35"/>
      <c r="F80" s="35"/>
      <c r="G80" s="35"/>
      <c r="H80" s="35"/>
      <c r="I80" s="46">
        <v>0</v>
      </c>
      <c r="K80" s="1217"/>
    </row>
    <row r="81" spans="2:9">
      <c r="B81" s="33" t="s">
        <v>2375</v>
      </c>
      <c r="C81" s="35"/>
      <c r="D81" s="35"/>
      <c r="E81" s="35"/>
      <c r="F81" s="35"/>
      <c r="G81" s="35"/>
      <c r="H81" s="35"/>
      <c r="I81" s="47"/>
    </row>
    <row r="82" spans="2:9">
      <c r="B82" s="33"/>
      <c r="C82" s="35"/>
      <c r="D82" s="35"/>
      <c r="E82" s="35"/>
      <c r="F82" s="35"/>
      <c r="G82" s="35"/>
      <c r="H82" s="35"/>
      <c r="I82" s="47"/>
    </row>
    <row r="83" spans="2:9">
      <c r="B83" s="42" t="s">
        <v>5</v>
      </c>
      <c r="C83" s="35"/>
      <c r="D83" s="35"/>
      <c r="E83" s="35"/>
      <c r="F83" s="35"/>
      <c r="G83" s="35"/>
      <c r="H83" s="35"/>
      <c r="I83" s="46">
        <v>0</v>
      </c>
    </row>
    <row r="84" spans="2:9">
      <c r="B84" s="33" t="s">
        <v>104</v>
      </c>
      <c r="C84" s="35"/>
      <c r="D84" s="35"/>
      <c r="E84" s="35"/>
      <c r="F84" s="35"/>
      <c r="G84" s="35"/>
      <c r="H84" s="35"/>
      <c r="I84" s="47"/>
    </row>
    <row r="85" spans="2:9">
      <c r="B85" s="37"/>
      <c r="C85" s="35"/>
      <c r="D85" s="35"/>
      <c r="E85" s="35"/>
      <c r="F85" s="35"/>
      <c r="G85" s="35"/>
      <c r="H85" s="35"/>
      <c r="I85" s="36"/>
    </row>
    <row r="86" spans="2:9">
      <c r="B86" s="42" t="s">
        <v>20</v>
      </c>
      <c r="C86" s="35"/>
      <c r="D86" s="35"/>
      <c r="E86" s="35"/>
      <c r="F86" s="35"/>
      <c r="G86" s="35"/>
      <c r="H86" s="35"/>
      <c r="I86" s="46">
        <v>0</v>
      </c>
    </row>
    <row r="87" spans="2:9">
      <c r="B87" s="33" t="s">
        <v>104</v>
      </c>
      <c r="C87" s="35"/>
      <c r="D87" s="35"/>
      <c r="E87" s="35"/>
      <c r="F87" s="35"/>
      <c r="G87" s="35"/>
      <c r="H87" s="35"/>
      <c r="I87" s="36"/>
    </row>
    <row r="88" spans="2:9">
      <c r="B88" s="40"/>
      <c r="C88" s="35"/>
      <c r="D88" s="35"/>
      <c r="E88" s="35"/>
      <c r="F88" s="35"/>
      <c r="G88" s="35"/>
      <c r="H88" s="35"/>
      <c r="I88" s="36"/>
    </row>
    <row r="89" spans="2:9">
      <c r="B89" s="43" t="s">
        <v>11</v>
      </c>
      <c r="C89" s="44"/>
      <c r="D89" s="44"/>
      <c r="E89" s="44"/>
      <c r="F89" s="44"/>
      <c r="G89" s="44"/>
      <c r="H89" s="44"/>
      <c r="I89" s="52">
        <f>+I86+I83+I80+I77+I73+I70+I67+I39+I36</f>
        <v>7.02</v>
      </c>
    </row>
    <row r="91" spans="2:9">
      <c r="B91" s="2" t="s">
        <v>2376</v>
      </c>
    </row>
    <row r="92" spans="2:9">
      <c r="B92" s="2" t="s">
        <v>2377</v>
      </c>
    </row>
    <row r="135" spans="5:5">
      <c r="E135" s="57"/>
    </row>
    <row r="136" spans="5:5">
      <c r="E136" s="57"/>
    </row>
    <row r="137" spans="5:5">
      <c r="E137" s="57"/>
    </row>
    <row r="138" spans="5:5">
      <c r="E138" s="57"/>
    </row>
    <row r="139" spans="5:5">
      <c r="E139" s="57"/>
    </row>
    <row r="140" spans="5:5">
      <c r="E140" s="57"/>
    </row>
    <row r="141" spans="5:5">
      <c r="E141" s="57"/>
    </row>
    <row r="143" spans="5:5">
      <c r="E143" s="57"/>
    </row>
    <row r="145" spans="5:5">
      <c r="E145" s="56"/>
    </row>
    <row r="147" spans="5:5">
      <c r="E147" s="57"/>
    </row>
  </sheetData>
  <mergeCells count="4">
    <mergeCell ref="O24:P24"/>
    <mergeCell ref="O25:P25"/>
    <mergeCell ref="O26:P26"/>
    <mergeCell ref="O27:P27"/>
  </mergeCells>
  <pageMargins left="0.75" right="0.75" top="1" bottom="1" header="0.5" footer="0.5"/>
  <pageSetup scale="71" orientation="portrait" r:id="rId1"/>
  <headerFooter alignWithMargins="0"/>
</worksheet>
</file>

<file path=xl/worksheets/sheet204.xml><?xml version="1.0" encoding="utf-8"?>
<worksheet xmlns="http://schemas.openxmlformats.org/spreadsheetml/2006/main" xmlns:r="http://schemas.openxmlformats.org/officeDocument/2006/relationships">
  <sheetPr>
    <pageSetUpPr fitToPage="1"/>
  </sheetPr>
  <dimension ref="A1:L99"/>
  <sheetViews>
    <sheetView zoomScale="75" zoomScaleNormal="75" workbookViewId="0">
      <selection activeCell="B54" sqref="B54:I55"/>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10.140625" bestFit="1"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612</v>
      </c>
      <c r="C6" s="7" t="str">
        <f>+E12</f>
        <v>EQIP</v>
      </c>
      <c r="D6" s="53" t="s">
        <v>1448</v>
      </c>
      <c r="E6" s="110" t="s">
        <v>1449</v>
      </c>
      <c r="F6" s="7" t="s">
        <v>394</v>
      </c>
      <c r="G6" s="85">
        <f>+I25</f>
        <v>386.82937500000003</v>
      </c>
    </row>
    <row r="7" spans="1:12">
      <c r="A7" s="2"/>
      <c r="B7" s="54">
        <f>+B6</f>
        <v>612</v>
      </c>
      <c r="C7" s="7" t="str">
        <f>+C6</f>
        <v>EQIP</v>
      </c>
      <c r="D7" s="53" t="s">
        <v>1448</v>
      </c>
      <c r="E7" s="110" t="str">
        <f>CONCATENATE(E6, "-HU")</f>
        <v>Tree &amp; Shrub Establishment -HU</v>
      </c>
      <c r="F7" s="7" t="str">
        <f>+F6</f>
        <v>Acre</v>
      </c>
      <c r="G7" s="85">
        <f>+J25</f>
        <v>464.19524999999999</v>
      </c>
    </row>
    <row r="8" spans="1:12">
      <c r="A8" s="2"/>
      <c r="B8" s="54">
        <v>612</v>
      </c>
      <c r="C8" s="7" t="str">
        <f>+G12</f>
        <v>WHIP</v>
      </c>
      <c r="D8" s="53" t="s">
        <v>1448</v>
      </c>
      <c r="E8" s="110" t="s">
        <v>1449</v>
      </c>
      <c r="F8" s="7" t="s">
        <v>394</v>
      </c>
      <c r="G8" s="85">
        <f>+K25</f>
        <v>386.82937500000003</v>
      </c>
    </row>
    <row r="9" spans="1:12">
      <c r="A9" s="2"/>
      <c r="B9" s="8">
        <f>+B8</f>
        <v>612</v>
      </c>
      <c r="C9" s="10" t="str">
        <f>+C8</f>
        <v>WHIP</v>
      </c>
      <c r="D9" s="9" t="s">
        <v>1448</v>
      </c>
      <c r="E9" s="111" t="str">
        <f>CONCATENATE(E6, "-HU")</f>
        <v>Tree &amp; Shrub Establishment -HU</v>
      </c>
      <c r="F9" s="10" t="str">
        <f>+F8</f>
        <v>Acre</v>
      </c>
      <c r="G9" s="86">
        <f>+L25</f>
        <v>464.19524999999999</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340.5</v>
      </c>
      <c r="E16" s="160">
        <f>+'[10]Payment Factors'!D42</f>
        <v>0.75</v>
      </c>
      <c r="F16" s="160">
        <f>+'[10]Payment Factors'!E42</f>
        <v>0.9</v>
      </c>
      <c r="G16" s="160">
        <f>+'[10]Payment Factors'!F42</f>
        <v>0.75</v>
      </c>
      <c r="H16" s="160">
        <f>+'[10]Payment Factors'!G42</f>
        <v>0.9</v>
      </c>
      <c r="I16" s="1154">
        <f t="shared" ref="I16:L24" si="0">+$D16*E16</f>
        <v>255.375</v>
      </c>
      <c r="J16" s="1154">
        <f t="shared" si="0"/>
        <v>306.45</v>
      </c>
      <c r="K16" s="1154">
        <f t="shared" si="0"/>
        <v>255.375</v>
      </c>
      <c r="L16" s="1155">
        <f t="shared" si="0"/>
        <v>306.45</v>
      </c>
    </row>
    <row r="17" spans="1:12">
      <c r="A17" s="2"/>
      <c r="B17" s="15" t="s">
        <v>2</v>
      </c>
      <c r="C17" s="16"/>
      <c r="D17" s="24">
        <f>+I56</f>
        <v>136.21250000000001</v>
      </c>
      <c r="E17" s="160">
        <f t="shared" ref="E17:H19" si="1">+E16</f>
        <v>0.75</v>
      </c>
      <c r="F17" s="160">
        <f t="shared" si="1"/>
        <v>0.9</v>
      </c>
      <c r="G17" s="160">
        <f t="shared" si="1"/>
        <v>0.75</v>
      </c>
      <c r="H17" s="160">
        <f t="shared" si="1"/>
        <v>0.9</v>
      </c>
      <c r="I17" s="1154">
        <f t="shared" si="0"/>
        <v>102.15937500000001</v>
      </c>
      <c r="J17" s="1154">
        <f t="shared" si="0"/>
        <v>122.59125</v>
      </c>
      <c r="K17" s="1154">
        <f t="shared" si="0"/>
        <v>102.15937500000001</v>
      </c>
      <c r="L17" s="1155">
        <f t="shared" si="0"/>
        <v>122.59125</v>
      </c>
    </row>
    <row r="18" spans="1:12">
      <c r="A18" s="2"/>
      <c r="B18" s="15" t="s">
        <v>3</v>
      </c>
      <c r="C18" s="16"/>
      <c r="D18" s="24">
        <f>+I71</f>
        <v>24.037499999999998</v>
      </c>
      <c r="E18" s="160">
        <f t="shared" si="1"/>
        <v>0.75</v>
      </c>
      <c r="F18" s="160">
        <f t="shared" si="1"/>
        <v>0.9</v>
      </c>
      <c r="G18" s="160">
        <f t="shared" si="1"/>
        <v>0.75</v>
      </c>
      <c r="H18" s="160">
        <f t="shared" si="1"/>
        <v>0.9</v>
      </c>
      <c r="I18" s="1154">
        <f t="shared" si="0"/>
        <v>18.028124999999999</v>
      </c>
      <c r="J18" s="1154">
        <f t="shared" si="0"/>
        <v>21.633749999999999</v>
      </c>
      <c r="K18" s="1154">
        <f t="shared" si="0"/>
        <v>18.028124999999999</v>
      </c>
      <c r="L18" s="1155">
        <f t="shared" si="0"/>
        <v>21.633749999999999</v>
      </c>
    </row>
    <row r="19" spans="1:12">
      <c r="A19" s="2"/>
      <c r="B19" s="15" t="s">
        <v>4</v>
      </c>
      <c r="C19" s="16"/>
      <c r="D19" s="24">
        <f>+I77</f>
        <v>15.022499999999999</v>
      </c>
      <c r="E19" s="160">
        <f t="shared" si="1"/>
        <v>0.75</v>
      </c>
      <c r="F19" s="160">
        <f t="shared" si="1"/>
        <v>0.9</v>
      </c>
      <c r="G19" s="160">
        <f t="shared" si="1"/>
        <v>0.75</v>
      </c>
      <c r="H19" s="160">
        <f t="shared" si="1"/>
        <v>0.9</v>
      </c>
      <c r="I19" s="1154">
        <f t="shared" si="0"/>
        <v>11.266874999999999</v>
      </c>
      <c r="J19" s="1154">
        <f t="shared" si="0"/>
        <v>13.520249999999999</v>
      </c>
      <c r="K19" s="1154">
        <f t="shared" si="0"/>
        <v>11.266874999999999</v>
      </c>
      <c r="L19" s="1155">
        <f t="shared" si="0"/>
        <v>13.520249999999999</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1131.2725</v>
      </c>
      <c r="E25" s="1158"/>
      <c r="F25" s="1158"/>
      <c r="G25" s="28"/>
      <c r="H25" s="28"/>
      <c r="I25" s="1159">
        <f>SUM(I16:I24)</f>
        <v>386.82937500000003</v>
      </c>
      <c r="J25" s="1159">
        <f>SUM(J16:J24)</f>
        <v>464.19524999999999</v>
      </c>
      <c r="K25" s="1159">
        <f>SUM(K16:K24)</f>
        <v>386.82937500000003</v>
      </c>
      <c r="L25" s="1160">
        <f>SUM(L16:L24)</f>
        <v>464.19524999999999</v>
      </c>
    </row>
    <row r="27" spans="1:12" ht="15.75">
      <c r="A27" s="2"/>
      <c r="B27" s="50" t="s">
        <v>28</v>
      </c>
      <c r="C27" s="2"/>
      <c r="D27" s="2"/>
      <c r="E27" s="2"/>
      <c r="F27" s="2"/>
      <c r="G27" s="2"/>
      <c r="H27" s="2"/>
      <c r="I27" s="5"/>
    </row>
    <row r="28" spans="1:12">
      <c r="A28" s="2"/>
      <c r="B28" s="29" t="s">
        <v>1377</v>
      </c>
      <c r="C28" s="30"/>
      <c r="D28" s="30"/>
      <c r="E28" s="31"/>
      <c r="F28" s="31"/>
      <c r="G28" s="31"/>
      <c r="H28" s="31"/>
      <c r="I28" s="32"/>
    </row>
    <row r="29" spans="1:12">
      <c r="A29" s="2"/>
      <c r="B29" s="2023" t="s">
        <v>1384</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340.5</v>
      </c>
    </row>
    <row r="41" spans="1:9">
      <c r="A41" s="2"/>
      <c r="B41" s="1174"/>
      <c r="C41" s="35"/>
      <c r="D41" s="1167" t="s">
        <v>447</v>
      </c>
      <c r="E41" s="1167" t="s">
        <v>448</v>
      </c>
      <c r="F41" s="1167" t="s">
        <v>449</v>
      </c>
      <c r="G41" s="1167" t="s">
        <v>450</v>
      </c>
      <c r="H41" s="35"/>
      <c r="I41" s="46"/>
    </row>
    <row r="42" spans="1:9">
      <c r="A42" s="2"/>
      <c r="B42" s="40" t="s">
        <v>451</v>
      </c>
      <c r="C42" s="6"/>
      <c r="D42" s="1168" t="s">
        <v>452</v>
      </c>
      <c r="E42" s="1169">
        <f>+'[37]Core Rates'!C203</f>
        <v>8.75</v>
      </c>
      <c r="F42" s="1170">
        <v>0</v>
      </c>
      <c r="G42" s="1171">
        <f t="shared" ref="G42:G50" si="2">+F42*E42</f>
        <v>0</v>
      </c>
      <c r="H42" s="35"/>
      <c r="I42" s="36"/>
    </row>
    <row r="43" spans="1:9">
      <c r="A43" s="2"/>
      <c r="B43" s="1184" t="s">
        <v>453</v>
      </c>
      <c r="C43" s="6"/>
      <c r="D43" s="1185" t="s">
        <v>454</v>
      </c>
      <c r="E43" s="1169">
        <f>+'[37]Core Rates'!C228</f>
        <v>0.82427536231884069</v>
      </c>
      <c r="F43" s="1170">
        <v>0</v>
      </c>
      <c r="G43" s="1171">
        <f t="shared" si="2"/>
        <v>0</v>
      </c>
      <c r="H43" s="35"/>
      <c r="I43" s="36"/>
    </row>
    <row r="44" spans="1:9">
      <c r="A44" s="2"/>
      <c r="B44" s="1186" t="s">
        <v>455</v>
      </c>
      <c r="C44" s="1187"/>
      <c r="D44" s="1185" t="s">
        <v>454</v>
      </c>
      <c r="E44" s="1169">
        <f>+'[37]Core Rates'!C235</f>
        <v>1.1702898550724636</v>
      </c>
      <c r="F44" s="1170">
        <v>0</v>
      </c>
      <c r="G44" s="1171">
        <f t="shared" si="2"/>
        <v>0</v>
      </c>
      <c r="H44" s="35"/>
      <c r="I44" s="36"/>
    </row>
    <row r="45" spans="1:9">
      <c r="A45" s="2"/>
      <c r="B45" s="1186" t="s">
        <v>456</v>
      </c>
      <c r="C45" s="1187"/>
      <c r="D45" s="1168" t="s">
        <v>454</v>
      </c>
      <c r="E45" s="1169">
        <f>+'[37]Core Rates'!C246</f>
        <v>0.58825136612021856</v>
      </c>
      <c r="F45" s="1170">
        <v>0</v>
      </c>
      <c r="G45" s="1171">
        <f t="shared" si="2"/>
        <v>0</v>
      </c>
      <c r="H45" s="35"/>
      <c r="I45" s="36"/>
    </row>
    <row r="46" spans="1:9">
      <c r="A46" s="2"/>
      <c r="B46" s="1188" t="str">
        <f>+'[37]Core Rates'!A342</f>
        <v>Tree seedlings</v>
      </c>
      <c r="C46" s="1187"/>
      <c r="D46" s="1189" t="str">
        <f>+'[37]Core Rates'!B342</f>
        <v>Ea</v>
      </c>
      <c r="E46" s="1169">
        <f>+'[37]Core Rates'!C342</f>
        <v>0.5</v>
      </c>
      <c r="F46" s="1170">
        <v>681</v>
      </c>
      <c r="G46" s="1171">
        <f>+F46*E46</f>
        <v>340.5</v>
      </c>
      <c r="H46" s="35"/>
      <c r="I46" s="36"/>
    </row>
    <row r="47" spans="1:9">
      <c r="A47" s="2"/>
      <c r="B47" s="1186" t="str">
        <f>+'[37]Core Rates'!A310</f>
        <v>Seed (Orchard grass)</v>
      </c>
      <c r="C47" s="1187"/>
      <c r="D47" s="1185" t="s">
        <v>454</v>
      </c>
      <c r="E47" s="1169">
        <f>+'[37]Core Rates 2011'!BE307</f>
        <v>1.68</v>
      </c>
      <c r="F47" s="1170">
        <v>0</v>
      </c>
      <c r="G47" s="1171">
        <f t="shared" si="2"/>
        <v>0</v>
      </c>
      <c r="H47" s="35"/>
      <c r="I47" s="36"/>
    </row>
    <row r="48" spans="1:9">
      <c r="A48" s="2"/>
      <c r="B48" s="1186" t="str">
        <f>+'[37]Core Rates'!A301</f>
        <v>Seed (Virgina Wildrye)</v>
      </c>
      <c r="C48" s="1187"/>
      <c r="D48" s="1185" t="s">
        <v>454</v>
      </c>
      <c r="E48" s="1169">
        <f>+'[37]Core Rates 2011'!BE298</f>
        <v>7</v>
      </c>
      <c r="F48" s="1170">
        <v>0</v>
      </c>
      <c r="G48" s="1171">
        <f t="shared" si="2"/>
        <v>0</v>
      </c>
      <c r="H48" s="35"/>
      <c r="I48" s="36"/>
    </row>
    <row r="49" spans="1:9">
      <c r="A49" s="2"/>
      <c r="B49" s="1186" t="str">
        <f>+'[37]Core Rates'!A315</f>
        <v>Seed (Wheat)</v>
      </c>
      <c r="C49" s="1187"/>
      <c r="D49" s="1185" t="s">
        <v>454</v>
      </c>
      <c r="E49" s="1169">
        <f>+'[37]Core Rates 2011'!BE312</f>
        <v>0.31</v>
      </c>
      <c r="F49" s="1170">
        <v>0</v>
      </c>
      <c r="G49" s="1171">
        <f t="shared" si="2"/>
        <v>0</v>
      </c>
      <c r="H49" s="35"/>
      <c r="I49" s="36"/>
    </row>
    <row r="50" spans="1:9">
      <c r="A50" s="2"/>
      <c r="B50" s="1186" t="str">
        <f>+'[37]Core Rates'!A314</f>
        <v>Seed (Redtop)</v>
      </c>
      <c r="C50" s="1187"/>
      <c r="D50" s="1185" t="s">
        <v>454</v>
      </c>
      <c r="E50" s="1169">
        <f>+'[37]Core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136.21250000000001</v>
      </c>
    </row>
    <row r="57" spans="1:9">
      <c r="A57" s="2"/>
      <c r="B57" s="1174"/>
      <c r="C57" s="35"/>
      <c r="D57" s="1167" t="s">
        <v>447</v>
      </c>
      <c r="E57" s="1167" t="s">
        <v>448</v>
      </c>
      <c r="F57" s="1167" t="s">
        <v>449</v>
      </c>
      <c r="G57" s="1167" t="s">
        <v>450</v>
      </c>
      <c r="H57" s="35"/>
      <c r="I57" s="46"/>
    </row>
    <row r="58" spans="1:9">
      <c r="A58" s="2"/>
      <c r="B58" s="1191" t="s">
        <v>460</v>
      </c>
      <c r="C58" s="6"/>
      <c r="D58" s="1168" t="s">
        <v>408</v>
      </c>
      <c r="E58" s="1169">
        <f>+'[37]Core Rates 2011'!BE145</f>
        <v>36.5</v>
      </c>
      <c r="F58" s="1170">
        <v>1.5</v>
      </c>
      <c r="G58" s="1171">
        <f t="shared" ref="G58:G64" si="3">+F58*E58</f>
        <v>54.75</v>
      </c>
      <c r="H58" s="35"/>
      <c r="I58" s="47"/>
    </row>
    <row r="59" spans="1:9">
      <c r="A59" s="2"/>
      <c r="B59" s="1191" t="str">
        <f>+'[37]Core Rates'!A340</f>
        <v>Tree Planting</v>
      </c>
      <c r="C59" s="6"/>
      <c r="D59" s="1168" t="s">
        <v>408</v>
      </c>
      <c r="E59" s="1169">
        <f>+'[37]Core Rates'!C340</f>
        <v>90</v>
      </c>
      <c r="F59" s="1170">
        <v>1</v>
      </c>
      <c r="G59" s="1171">
        <f t="shared" si="3"/>
        <v>90</v>
      </c>
      <c r="H59" s="35"/>
      <c r="I59" s="47"/>
    </row>
    <row r="60" spans="1:9">
      <c r="A60" s="2"/>
      <c r="B60" s="40" t="s">
        <v>461</v>
      </c>
      <c r="C60" s="6"/>
      <c r="D60" s="1168" t="s">
        <v>408</v>
      </c>
      <c r="E60" s="1169">
        <f>+'[37]Core Rates'!C104</f>
        <v>20</v>
      </c>
      <c r="F60" s="1170">
        <v>0</v>
      </c>
      <c r="G60" s="1171">
        <f t="shared" si="3"/>
        <v>0</v>
      </c>
      <c r="H60" s="35"/>
      <c r="I60" s="47"/>
    </row>
    <row r="61" spans="1:9">
      <c r="A61" s="2"/>
      <c r="B61" s="1191" t="str">
        <f>+'[37]Core Rates'!A216</f>
        <v>Mowing</v>
      </c>
      <c r="C61" s="6"/>
      <c r="D61" s="1189" t="s">
        <v>408</v>
      </c>
      <c r="E61" s="1189">
        <f>+'[37]Core Rates'!C216</f>
        <v>15.5</v>
      </c>
      <c r="F61" s="1170">
        <v>1</v>
      </c>
      <c r="G61" s="1171">
        <f t="shared" si="3"/>
        <v>15.5</v>
      </c>
      <c r="H61" s="35"/>
      <c r="I61" s="47"/>
    </row>
    <row r="62" spans="1:9">
      <c r="A62" s="2"/>
      <c r="B62" s="40" t="s">
        <v>462</v>
      </c>
      <c r="C62" s="6"/>
      <c r="D62" s="1168" t="s">
        <v>408</v>
      </c>
      <c r="E62" s="1169">
        <f>+'[37]Core Rates'!AN33</f>
        <v>5.416666666666667</v>
      </c>
      <c r="F62" s="1170">
        <v>0</v>
      </c>
      <c r="G62" s="1171">
        <f t="shared" si="3"/>
        <v>0</v>
      </c>
      <c r="H62" s="35"/>
      <c r="I62" s="47"/>
    </row>
    <row r="63" spans="1:9">
      <c r="A63" s="2"/>
      <c r="B63" s="40" t="s">
        <v>463</v>
      </c>
      <c r="C63" s="6"/>
      <c r="D63" s="1168" t="s">
        <v>452</v>
      </c>
      <c r="E63" s="1169">
        <f>+'[37]Core Rates'!AN34</f>
        <v>5.5</v>
      </c>
      <c r="F63" s="1170">
        <v>0</v>
      </c>
      <c r="G63" s="1171">
        <f t="shared" si="3"/>
        <v>0</v>
      </c>
      <c r="H63" s="35"/>
      <c r="I63" s="47"/>
    </row>
    <row r="64" spans="1:9">
      <c r="A64" s="2"/>
      <c r="B64" s="40" t="s">
        <v>464</v>
      </c>
      <c r="C64" s="6"/>
      <c r="D64" s="1168" t="s">
        <v>452</v>
      </c>
      <c r="E64" s="1169">
        <f>+'[37]Core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24.037499999999998</v>
      </c>
    </row>
    <row r="72" spans="1:9">
      <c r="A72" s="2"/>
      <c r="B72" s="2007" t="s">
        <v>465</v>
      </c>
      <c r="C72" s="2008"/>
      <c r="D72" s="35"/>
      <c r="E72" s="35"/>
      <c r="F72" s="35"/>
      <c r="G72" s="35"/>
      <c r="H72" s="35"/>
      <c r="I72" s="48"/>
    </row>
    <row r="73" spans="1:9">
      <c r="A73" s="2"/>
      <c r="B73" s="37" t="s">
        <v>466</v>
      </c>
      <c r="C73" s="39"/>
      <c r="D73" s="39"/>
      <c r="E73" s="153">
        <f>SUM(G58:G64)*0.15</f>
        <v>24.037499999999998</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15.022499999999999</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+'[37]Core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515.77250000000004</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1131.2725</v>
      </c>
    </row>
  </sheetData>
  <mergeCells count="5">
    <mergeCell ref="B1:D1"/>
    <mergeCell ref="B29:I31"/>
    <mergeCell ref="E56:H56"/>
    <mergeCell ref="B67:I68"/>
    <mergeCell ref="B72:C72"/>
  </mergeCells>
  <pageMargins left="0.75" right="0.75" top="1" bottom="1" header="0.5" footer="0.5"/>
  <pageSetup scale="48" orientation="portrait" r:id="rId1"/>
  <headerFooter alignWithMargins="0"/>
</worksheet>
</file>

<file path=xl/worksheets/sheet205.xml><?xml version="1.0" encoding="utf-8"?>
<worksheet xmlns="http://schemas.openxmlformats.org/spreadsheetml/2006/main" xmlns:r="http://schemas.openxmlformats.org/officeDocument/2006/relationships">
  <sheetPr>
    <pageSetUpPr fitToPage="1"/>
  </sheetPr>
  <dimension ref="A1:L99"/>
  <sheetViews>
    <sheetView topLeftCell="A34" zoomScale="75" zoomScaleNormal="75" workbookViewId="0">
      <selection activeCell="B54" sqref="B54:I55"/>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12.285156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612</v>
      </c>
      <c r="C6" s="7" t="str">
        <f>+E12</f>
        <v>EQIP</v>
      </c>
      <c r="D6" s="53" t="s">
        <v>1448</v>
      </c>
      <c r="E6" s="110" t="s">
        <v>1450</v>
      </c>
      <c r="F6" s="7" t="s">
        <v>394</v>
      </c>
      <c r="G6" s="85">
        <f>+I25</f>
        <v>417.38175000000001</v>
      </c>
    </row>
    <row r="7" spans="1:12" ht="25.5">
      <c r="A7" s="2"/>
      <c r="B7" s="54">
        <f>+B6</f>
        <v>612</v>
      </c>
      <c r="C7" s="7" t="str">
        <f>+C6</f>
        <v>EQIP</v>
      </c>
      <c r="D7" s="53" t="s">
        <v>1448</v>
      </c>
      <c r="E7" s="110" t="str">
        <f>CONCATENATE(E6, "-HU")</f>
        <v>Tree &amp; Shrub Establishment - w/establishment of vegetative cover-HU</v>
      </c>
      <c r="F7" s="7" t="str">
        <f>+F6</f>
        <v>Acre</v>
      </c>
      <c r="G7" s="85">
        <f>+J25</f>
        <v>500.85810000000004</v>
      </c>
    </row>
    <row r="8" spans="1:12">
      <c r="A8" s="2"/>
      <c r="B8" s="54">
        <v>612</v>
      </c>
      <c r="C8" s="7" t="str">
        <f>+G12</f>
        <v>WHIP</v>
      </c>
      <c r="D8" s="53" t="s">
        <v>1448</v>
      </c>
      <c r="E8" s="110" t="s">
        <v>1450</v>
      </c>
      <c r="F8" s="7" t="s">
        <v>394</v>
      </c>
      <c r="G8" s="85">
        <f>+K25</f>
        <v>417.38175000000001</v>
      </c>
    </row>
    <row r="9" spans="1:12" ht="25.5">
      <c r="A9" s="2"/>
      <c r="B9" s="8">
        <f>+B8</f>
        <v>612</v>
      </c>
      <c r="C9" s="10" t="str">
        <f>+C8</f>
        <v>WHIP</v>
      </c>
      <c r="D9" s="9" t="s">
        <v>1448</v>
      </c>
      <c r="E9" s="111" t="str">
        <f>CONCATENATE(E6, "-HU")</f>
        <v>Tree &amp; Shrub Establishment - w/establishment of vegetative cover-HU</v>
      </c>
      <c r="F9" s="10" t="str">
        <f>+F8</f>
        <v>Acre</v>
      </c>
      <c r="G9" s="86">
        <f>+L25</f>
        <v>500.85810000000004</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360.05</v>
      </c>
      <c r="E16" s="160">
        <f>+'[10]Payment Factors'!D42</f>
        <v>0.75</v>
      </c>
      <c r="F16" s="160">
        <f>+'[10]Payment Factors'!E42</f>
        <v>0.9</v>
      </c>
      <c r="G16" s="160">
        <f>+'[10]Payment Factors'!F42</f>
        <v>0.75</v>
      </c>
      <c r="H16" s="160">
        <f>+'[10]Payment Factors'!G42</f>
        <v>0.9</v>
      </c>
      <c r="I16" s="1154">
        <f t="shared" ref="I16:L24" si="0">+$D16*E16</f>
        <v>270.03750000000002</v>
      </c>
      <c r="J16" s="1154">
        <f t="shared" si="0"/>
        <v>324.04500000000002</v>
      </c>
      <c r="K16" s="1154">
        <f t="shared" si="0"/>
        <v>270.03750000000002</v>
      </c>
      <c r="L16" s="1155">
        <f t="shared" si="0"/>
        <v>324.04500000000002</v>
      </c>
    </row>
    <row r="17" spans="1:12">
      <c r="A17" s="2"/>
      <c r="B17" s="15" t="s">
        <v>2</v>
      </c>
      <c r="C17" s="16"/>
      <c r="D17" s="24">
        <f>+I56</f>
        <v>153.21250000000001</v>
      </c>
      <c r="E17" s="160">
        <f t="shared" ref="E17:H19" si="1">+E16</f>
        <v>0.75</v>
      </c>
      <c r="F17" s="160">
        <f t="shared" si="1"/>
        <v>0.9</v>
      </c>
      <c r="G17" s="160">
        <f t="shared" si="1"/>
        <v>0.75</v>
      </c>
      <c r="H17" s="160">
        <f t="shared" si="1"/>
        <v>0.9</v>
      </c>
      <c r="I17" s="1154">
        <f t="shared" si="0"/>
        <v>114.90937500000001</v>
      </c>
      <c r="J17" s="1154">
        <f t="shared" si="0"/>
        <v>137.89125000000001</v>
      </c>
      <c r="K17" s="1154">
        <f t="shared" si="0"/>
        <v>114.90937500000001</v>
      </c>
      <c r="L17" s="1155">
        <f t="shared" si="0"/>
        <v>137.89125000000001</v>
      </c>
    </row>
    <row r="18" spans="1:12">
      <c r="A18" s="2"/>
      <c r="B18" s="15" t="s">
        <v>3</v>
      </c>
      <c r="C18" s="16"/>
      <c r="D18" s="24">
        <f>+I71</f>
        <v>27.037499999999998</v>
      </c>
      <c r="E18" s="160">
        <f t="shared" si="1"/>
        <v>0.75</v>
      </c>
      <c r="F18" s="160">
        <f t="shared" si="1"/>
        <v>0.9</v>
      </c>
      <c r="G18" s="160">
        <f t="shared" si="1"/>
        <v>0.75</v>
      </c>
      <c r="H18" s="160">
        <f t="shared" si="1"/>
        <v>0.9</v>
      </c>
      <c r="I18" s="1154">
        <f t="shared" si="0"/>
        <v>20.278124999999999</v>
      </c>
      <c r="J18" s="1154">
        <f t="shared" si="0"/>
        <v>24.333749999999998</v>
      </c>
      <c r="K18" s="1154">
        <f t="shared" si="0"/>
        <v>20.278124999999999</v>
      </c>
      <c r="L18" s="1155">
        <f t="shared" si="0"/>
        <v>24.333749999999998</v>
      </c>
    </row>
    <row r="19" spans="1:12">
      <c r="A19" s="2"/>
      <c r="B19" s="15" t="s">
        <v>4</v>
      </c>
      <c r="C19" s="16"/>
      <c r="D19" s="24">
        <f>+I77</f>
        <v>16.209000000000003</v>
      </c>
      <c r="E19" s="160">
        <f t="shared" si="1"/>
        <v>0.75</v>
      </c>
      <c r="F19" s="160">
        <f t="shared" si="1"/>
        <v>0.9</v>
      </c>
      <c r="G19" s="160">
        <f t="shared" si="1"/>
        <v>0.75</v>
      </c>
      <c r="H19" s="160">
        <f t="shared" si="1"/>
        <v>0.9</v>
      </c>
      <c r="I19" s="1154">
        <f t="shared" si="0"/>
        <v>12.156750000000002</v>
      </c>
      <c r="J19" s="1154">
        <f t="shared" si="0"/>
        <v>14.588100000000003</v>
      </c>
      <c r="K19" s="1154">
        <f t="shared" si="0"/>
        <v>12.156750000000002</v>
      </c>
      <c r="L19" s="1155">
        <f t="shared" si="0"/>
        <v>14.588100000000003</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1172.009</v>
      </c>
      <c r="E25" s="28"/>
      <c r="F25" s="28"/>
      <c r="G25" s="28"/>
      <c r="H25" s="28"/>
      <c r="I25" s="1159">
        <f>SUM(I16:I24)</f>
        <v>417.38175000000001</v>
      </c>
      <c r="J25" s="1159">
        <f>SUM(J16:J24)</f>
        <v>500.85810000000004</v>
      </c>
      <c r="K25" s="1159">
        <f>SUM(K16:K24)</f>
        <v>417.38175000000001</v>
      </c>
      <c r="L25" s="1160">
        <f>SUM(L16:L24)</f>
        <v>500.85810000000004</v>
      </c>
    </row>
    <row r="27" spans="1:12" ht="15.75">
      <c r="A27" s="2"/>
      <c r="B27" s="50" t="s">
        <v>28</v>
      </c>
      <c r="C27" s="2"/>
      <c r="D27" s="2"/>
      <c r="E27" s="2"/>
      <c r="F27" s="2"/>
      <c r="G27" s="2"/>
      <c r="H27" s="2"/>
      <c r="I27" s="5"/>
    </row>
    <row r="28" spans="1:12">
      <c r="A28" s="2"/>
      <c r="B28" s="29" t="s">
        <v>1377</v>
      </c>
      <c r="C28" s="30"/>
      <c r="D28" s="30"/>
      <c r="E28" s="31"/>
      <c r="F28" s="31"/>
      <c r="G28" s="31"/>
      <c r="H28" s="31"/>
      <c r="I28" s="32"/>
    </row>
    <row r="29" spans="1:12" ht="12.75" customHeight="1">
      <c r="A29" s="2"/>
      <c r="B29" s="2023" t="s">
        <v>1386</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360.05</v>
      </c>
    </row>
    <row r="41" spans="1:9">
      <c r="A41" s="2"/>
      <c r="B41" s="1174"/>
      <c r="C41" s="35"/>
      <c r="D41" s="1167" t="s">
        <v>447</v>
      </c>
      <c r="E41" s="1167" t="s">
        <v>448</v>
      </c>
      <c r="F41" s="1167" t="s">
        <v>449</v>
      </c>
      <c r="G41" s="1167" t="s">
        <v>450</v>
      </c>
      <c r="H41" s="35"/>
      <c r="I41" s="46"/>
    </row>
    <row r="42" spans="1:9">
      <c r="A42" s="2"/>
      <c r="B42" s="40" t="s">
        <v>451</v>
      </c>
      <c r="C42" s="6"/>
      <c r="D42" s="1168" t="s">
        <v>452</v>
      </c>
      <c r="E42" s="1169">
        <f>+'[37]Core Rates'!C203</f>
        <v>8.75</v>
      </c>
      <c r="F42" s="1170">
        <v>0</v>
      </c>
      <c r="G42" s="1171">
        <f t="shared" ref="G42:G50" si="2">+F42*E42</f>
        <v>0</v>
      </c>
      <c r="H42" s="35"/>
      <c r="I42" s="36"/>
    </row>
    <row r="43" spans="1:9">
      <c r="A43" s="2"/>
      <c r="B43" s="1184" t="s">
        <v>453</v>
      </c>
      <c r="C43" s="6"/>
      <c r="D43" s="1185" t="s">
        <v>454</v>
      </c>
      <c r="E43" s="1169">
        <f>+'[37]Core Rates'!C228</f>
        <v>0.82427536231884069</v>
      </c>
      <c r="F43" s="1170">
        <v>0</v>
      </c>
      <c r="G43" s="1171">
        <f t="shared" si="2"/>
        <v>0</v>
      </c>
      <c r="H43" s="35"/>
      <c r="I43" s="36"/>
    </row>
    <row r="44" spans="1:9">
      <c r="A44" s="2"/>
      <c r="B44" s="1186" t="s">
        <v>455</v>
      </c>
      <c r="C44" s="1187"/>
      <c r="D44" s="1185" t="s">
        <v>454</v>
      </c>
      <c r="E44" s="1169">
        <f>+'[37]Core Rates'!C235</f>
        <v>1.1702898550724636</v>
      </c>
      <c r="F44" s="1170">
        <v>0</v>
      </c>
      <c r="G44" s="1171">
        <f t="shared" si="2"/>
        <v>0</v>
      </c>
      <c r="H44" s="35"/>
      <c r="I44" s="36"/>
    </row>
    <row r="45" spans="1:9">
      <c r="A45" s="2"/>
      <c r="B45" s="1186" t="s">
        <v>456</v>
      </c>
      <c r="C45" s="1187"/>
      <c r="D45" s="1168" t="s">
        <v>454</v>
      </c>
      <c r="E45" s="1169">
        <f>+'[37]Core Rates'!C246</f>
        <v>0.58825136612021856</v>
      </c>
      <c r="F45" s="1170">
        <v>0</v>
      </c>
      <c r="G45" s="1171">
        <f t="shared" si="2"/>
        <v>0</v>
      </c>
      <c r="H45" s="35"/>
      <c r="I45" s="36"/>
    </row>
    <row r="46" spans="1:9">
      <c r="A46" s="2"/>
      <c r="B46" s="1188" t="str">
        <f>+'[37]Core Rates'!A342</f>
        <v>Tree seedlings</v>
      </c>
      <c r="C46" s="1187"/>
      <c r="D46" s="1189" t="str">
        <f>+'[37]Core Rates'!B342</f>
        <v>Ea</v>
      </c>
      <c r="E46" s="1169">
        <f>+'[37]Core Rates'!C342</f>
        <v>0.5</v>
      </c>
      <c r="F46" s="1170">
        <v>681</v>
      </c>
      <c r="G46" s="1171">
        <f t="shared" si="2"/>
        <v>340.5</v>
      </c>
      <c r="H46" s="35"/>
      <c r="I46" s="36"/>
    </row>
    <row r="47" spans="1:9">
      <c r="A47" s="2"/>
      <c r="B47" s="1186" t="str">
        <f>+'[37]Core Rates'!A310</f>
        <v>Seed (Orchard grass)</v>
      </c>
      <c r="C47" s="1187"/>
      <c r="D47" s="1185" t="s">
        <v>454</v>
      </c>
      <c r="E47" s="1169">
        <f>+'[37]Core Rates 2011'!BE307</f>
        <v>1.68</v>
      </c>
      <c r="F47" s="1170">
        <v>10</v>
      </c>
      <c r="G47" s="1171">
        <f t="shared" si="2"/>
        <v>16.8</v>
      </c>
      <c r="H47" s="35"/>
      <c r="I47" s="36"/>
    </row>
    <row r="48" spans="1:9">
      <c r="A48" s="2"/>
      <c r="B48" s="1186" t="str">
        <f>+'[37]Core Rates'!A312</f>
        <v>Seed (Red Clover)</v>
      </c>
      <c r="C48" s="1187"/>
      <c r="D48" s="1185" t="s">
        <v>454</v>
      </c>
      <c r="E48" s="1169">
        <f>+'[37]Core Rates 2011'!BE309</f>
        <v>2.75</v>
      </c>
      <c r="F48" s="1170">
        <v>1</v>
      </c>
      <c r="G48" s="1171">
        <f t="shared" si="2"/>
        <v>2.75</v>
      </c>
      <c r="H48" s="35"/>
      <c r="I48" s="36"/>
    </row>
    <row r="49" spans="1:9">
      <c r="A49" s="2"/>
      <c r="B49" s="1186" t="str">
        <f>+'[37]Core Rates'!A315</f>
        <v>Seed (Wheat)</v>
      </c>
      <c r="C49" s="1187"/>
      <c r="D49" s="1185" t="s">
        <v>454</v>
      </c>
      <c r="E49" s="1169">
        <f>+'[37]Core Rates 2011'!BE312</f>
        <v>0.31</v>
      </c>
      <c r="F49" s="1170">
        <v>0</v>
      </c>
      <c r="G49" s="1171">
        <f t="shared" si="2"/>
        <v>0</v>
      </c>
      <c r="H49" s="35"/>
      <c r="I49" s="36"/>
    </row>
    <row r="50" spans="1:9">
      <c r="A50" s="2"/>
      <c r="B50" s="1186" t="str">
        <f>+'[37]Core Rates'!A314</f>
        <v>Seed (Redtop)</v>
      </c>
      <c r="C50" s="1187"/>
      <c r="D50" s="1185" t="s">
        <v>454</v>
      </c>
      <c r="E50" s="1169">
        <f>+'[37]Core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153.21250000000001</v>
      </c>
    </row>
    <row r="57" spans="1:9">
      <c r="A57" s="2"/>
      <c r="B57" s="1174"/>
      <c r="C57" s="35"/>
      <c r="D57" s="1167" t="s">
        <v>447</v>
      </c>
      <c r="E57" s="1167" t="s">
        <v>448</v>
      </c>
      <c r="F57" s="1167" t="s">
        <v>449</v>
      </c>
      <c r="G57" s="1167" t="s">
        <v>450</v>
      </c>
      <c r="H57" s="35"/>
      <c r="I57" s="46"/>
    </row>
    <row r="58" spans="1:9">
      <c r="A58" s="2"/>
      <c r="B58" s="1191" t="s">
        <v>460</v>
      </c>
      <c r="C58" s="6"/>
      <c r="D58" s="1168" t="s">
        <v>408</v>
      </c>
      <c r="E58" s="1169">
        <f>+'[37]Core Rates 2011'!BE145</f>
        <v>36.5</v>
      </c>
      <c r="F58" s="1170">
        <v>1.5</v>
      </c>
      <c r="G58" s="1171">
        <f t="shared" ref="G58:G64" si="3">+F58*E58</f>
        <v>54.75</v>
      </c>
      <c r="H58" s="35"/>
      <c r="I58" s="47"/>
    </row>
    <row r="59" spans="1:9">
      <c r="A59" s="2"/>
      <c r="B59" s="1191" t="str">
        <f>+'[37]Core Rates'!A340</f>
        <v>Tree Planting</v>
      </c>
      <c r="C59" s="6"/>
      <c r="D59" s="1168" t="s">
        <v>408</v>
      </c>
      <c r="E59" s="1169">
        <f>+'[37]Core Rates'!C340</f>
        <v>90</v>
      </c>
      <c r="F59" s="1170">
        <v>1</v>
      </c>
      <c r="G59" s="1171">
        <f t="shared" si="3"/>
        <v>90</v>
      </c>
      <c r="H59" s="35"/>
      <c r="I59" s="47"/>
    </row>
    <row r="60" spans="1:9">
      <c r="A60" s="2"/>
      <c r="B60" s="40" t="s">
        <v>461</v>
      </c>
      <c r="C60" s="6"/>
      <c r="D60" s="1168" t="s">
        <v>408</v>
      </c>
      <c r="E60" s="1169">
        <f>+'[37]Core Rates'!C104</f>
        <v>20</v>
      </c>
      <c r="F60" s="1170">
        <v>1</v>
      </c>
      <c r="G60" s="1171">
        <f t="shared" si="3"/>
        <v>20</v>
      </c>
      <c r="H60" s="35"/>
      <c r="I60" s="47"/>
    </row>
    <row r="61" spans="1:9">
      <c r="A61" s="2"/>
      <c r="B61" s="1191" t="str">
        <f>+'[37]Core Rates'!A216</f>
        <v>Mowing</v>
      </c>
      <c r="C61" s="6"/>
      <c r="D61" s="1189" t="s">
        <v>408</v>
      </c>
      <c r="E61" s="1189">
        <f>+'[37]Core Rates'!C216</f>
        <v>15.5</v>
      </c>
      <c r="F61" s="1170">
        <v>1</v>
      </c>
      <c r="G61" s="1171">
        <f t="shared" si="3"/>
        <v>15.5</v>
      </c>
      <c r="H61" s="35"/>
      <c r="I61" s="47"/>
    </row>
    <row r="62" spans="1:9">
      <c r="A62" s="2"/>
      <c r="B62" s="40" t="s">
        <v>462</v>
      </c>
      <c r="C62" s="6"/>
      <c r="D62" s="1168" t="s">
        <v>408</v>
      </c>
      <c r="E62" s="1169">
        <f>+'[37]Core Rates'!AN33</f>
        <v>5.416666666666667</v>
      </c>
      <c r="F62" s="1170">
        <v>0</v>
      </c>
      <c r="G62" s="1171">
        <f t="shared" si="3"/>
        <v>0</v>
      </c>
      <c r="H62" s="35"/>
      <c r="I62" s="47"/>
    </row>
    <row r="63" spans="1:9">
      <c r="A63" s="2"/>
      <c r="B63" s="40" t="s">
        <v>463</v>
      </c>
      <c r="C63" s="6"/>
      <c r="D63" s="1168" t="s">
        <v>452</v>
      </c>
      <c r="E63" s="1169">
        <f>+'[37]Core Rates'!AN34</f>
        <v>5.5</v>
      </c>
      <c r="F63" s="1170">
        <v>0</v>
      </c>
      <c r="G63" s="1171">
        <f t="shared" si="3"/>
        <v>0</v>
      </c>
      <c r="H63" s="35"/>
      <c r="I63" s="47"/>
    </row>
    <row r="64" spans="1:9">
      <c r="A64" s="2"/>
      <c r="B64" s="40" t="s">
        <v>464</v>
      </c>
      <c r="C64" s="6"/>
      <c r="D64" s="1168" t="s">
        <v>452</v>
      </c>
      <c r="E64" s="1169">
        <f>+'[37]Core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27.037499999999998</v>
      </c>
    </row>
    <row r="72" spans="1:9">
      <c r="A72" s="2"/>
      <c r="B72" s="2007" t="s">
        <v>465</v>
      </c>
      <c r="C72" s="2008"/>
      <c r="D72" s="35"/>
      <c r="E72" s="35"/>
      <c r="F72" s="35"/>
      <c r="G72" s="35"/>
      <c r="H72" s="35"/>
      <c r="I72" s="48"/>
    </row>
    <row r="73" spans="1:9">
      <c r="A73" s="2"/>
      <c r="B73" s="37" t="s">
        <v>466</v>
      </c>
      <c r="C73" s="39"/>
      <c r="D73" s="39"/>
      <c r="E73" s="153">
        <f>SUM(G58:G64)*0.15</f>
        <v>27.037499999999998</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16.209000000000003</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+'[37]Core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556.50900000000001</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1172.009</v>
      </c>
    </row>
  </sheetData>
  <mergeCells count="5">
    <mergeCell ref="B1:D1"/>
    <mergeCell ref="B29:I31"/>
    <mergeCell ref="E56:H56"/>
    <mergeCell ref="B67:I68"/>
    <mergeCell ref="B72:C72"/>
  </mergeCells>
  <pageMargins left="0.75" right="0.75" top="1" bottom="1" header="0.5" footer="0.5"/>
  <pageSetup scale="47" orientation="portrait" r:id="rId1"/>
  <headerFooter alignWithMargins="0"/>
</worksheet>
</file>

<file path=xl/worksheets/sheet206.xml><?xml version="1.0" encoding="utf-8"?>
<worksheet xmlns="http://schemas.openxmlformats.org/spreadsheetml/2006/main" xmlns:r="http://schemas.openxmlformats.org/officeDocument/2006/relationships">
  <sheetPr>
    <pageSetUpPr fitToPage="1"/>
  </sheetPr>
  <dimension ref="A1:L79"/>
  <sheetViews>
    <sheetView topLeftCell="A33" zoomScale="75" zoomScaleNormal="75" workbookViewId="0">
      <selection activeCell="B54" sqref="B54:I55"/>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10.140625" bestFit="1"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612</v>
      </c>
      <c r="C6" s="7" t="str">
        <f>+E12</f>
        <v>EQIP</v>
      </c>
      <c r="D6" s="53" t="s">
        <v>2378</v>
      </c>
      <c r="E6" s="110" t="s">
        <v>2379</v>
      </c>
      <c r="F6" s="7" t="s">
        <v>761</v>
      </c>
      <c r="G6" s="85">
        <f>+I25</f>
        <v>16.2225</v>
      </c>
    </row>
    <row r="7" spans="1:12" hidden="1">
      <c r="A7" s="2"/>
      <c r="B7" s="54">
        <f>+B6</f>
        <v>612</v>
      </c>
      <c r="C7" s="7" t="str">
        <f>+C6</f>
        <v>EQIP</v>
      </c>
      <c r="D7" s="53" t="s">
        <v>2378</v>
      </c>
      <c r="E7" s="110" t="str">
        <f>CONCATENATE(E6, "-HU")</f>
        <v>Tree &amp; Shrub Establishment - Potted Plants, Installed-HU</v>
      </c>
      <c r="F7" s="7" t="s">
        <v>761</v>
      </c>
      <c r="G7" s="85">
        <f>+J25</f>
        <v>19.466999999999999</v>
      </c>
    </row>
    <row r="8" spans="1:12" hidden="1">
      <c r="A8" s="2"/>
      <c r="B8" s="54">
        <v>612</v>
      </c>
      <c r="C8" s="7" t="str">
        <f>+G12</f>
        <v>WHIP</v>
      </c>
      <c r="D8" s="53" t="s">
        <v>2378</v>
      </c>
      <c r="E8" s="110" t="s">
        <v>2379</v>
      </c>
      <c r="F8" s="7" t="s">
        <v>761</v>
      </c>
      <c r="G8" s="85">
        <f>+K25</f>
        <v>16.2225</v>
      </c>
    </row>
    <row r="9" spans="1:12" hidden="1">
      <c r="A9" s="2"/>
      <c r="B9" s="8">
        <f>+B8</f>
        <v>612</v>
      </c>
      <c r="C9" s="10" t="str">
        <f>+C8</f>
        <v>WHIP</v>
      </c>
      <c r="D9" s="9" t="s">
        <v>2378</v>
      </c>
      <c r="E9" s="111" t="str">
        <f>CONCATENATE(E6, "-HU")</f>
        <v>Tree &amp; Shrub Establishment - Potted Plants, Installed-HU</v>
      </c>
      <c r="F9" s="10" t="s">
        <v>761</v>
      </c>
      <c r="G9" s="86">
        <f>+L25</f>
        <v>19.466999999999999</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15</v>
      </c>
      <c r="E16" s="160">
        <f>+'[10]Payment Factors'!D42</f>
        <v>0.75</v>
      </c>
      <c r="F16" s="160">
        <f>+'[10]Payment Factors'!E42</f>
        <v>0.9</v>
      </c>
      <c r="G16" s="160">
        <f>+'[10]Payment Factors'!F42</f>
        <v>0.75</v>
      </c>
      <c r="H16" s="160">
        <f>+'[10]Payment Factors'!G42</f>
        <v>0.9</v>
      </c>
      <c r="I16" s="1154">
        <f t="shared" ref="I16:L24" si="0">+$D16*E16</f>
        <v>11.25</v>
      </c>
      <c r="J16" s="1154">
        <f t="shared" si="0"/>
        <v>13.5</v>
      </c>
      <c r="K16" s="1154">
        <f t="shared" si="0"/>
        <v>11.25</v>
      </c>
      <c r="L16" s="1155">
        <f t="shared" si="0"/>
        <v>13.5</v>
      </c>
    </row>
    <row r="17" spans="1:12" hidden="1">
      <c r="A17" s="2"/>
      <c r="B17" s="15" t="s">
        <v>2</v>
      </c>
      <c r="C17" s="16"/>
      <c r="D17" s="24">
        <f>+I48</f>
        <v>0</v>
      </c>
      <c r="E17" s="160">
        <f t="shared" ref="E17:H19" si="1">+E16</f>
        <v>0.75</v>
      </c>
      <c r="F17" s="160">
        <f t="shared" si="1"/>
        <v>0.9</v>
      </c>
      <c r="G17" s="160">
        <f t="shared" si="1"/>
        <v>0.75</v>
      </c>
      <c r="H17" s="160">
        <f t="shared" si="1"/>
        <v>0.9</v>
      </c>
      <c r="I17" s="1154">
        <f t="shared" si="0"/>
        <v>0</v>
      </c>
      <c r="J17" s="1154">
        <f t="shared" si="0"/>
        <v>0</v>
      </c>
      <c r="K17" s="1154">
        <f t="shared" si="0"/>
        <v>0</v>
      </c>
      <c r="L17" s="1155">
        <f t="shared" si="0"/>
        <v>0</v>
      </c>
    </row>
    <row r="18" spans="1:12" hidden="1">
      <c r="A18" s="2"/>
      <c r="B18" s="15" t="s">
        <v>3</v>
      </c>
      <c r="C18" s="16"/>
      <c r="D18" s="24">
        <f>+I51</f>
        <v>6</v>
      </c>
      <c r="E18" s="160">
        <f t="shared" si="1"/>
        <v>0.75</v>
      </c>
      <c r="F18" s="160">
        <f t="shared" si="1"/>
        <v>0.9</v>
      </c>
      <c r="G18" s="160">
        <f t="shared" si="1"/>
        <v>0.75</v>
      </c>
      <c r="H18" s="160">
        <f t="shared" si="1"/>
        <v>0.9</v>
      </c>
      <c r="I18" s="1154">
        <f t="shared" si="0"/>
        <v>4.5</v>
      </c>
      <c r="J18" s="1154">
        <f t="shared" si="0"/>
        <v>5.4</v>
      </c>
      <c r="K18" s="1154">
        <f t="shared" si="0"/>
        <v>4.5</v>
      </c>
      <c r="L18" s="1155">
        <f t="shared" si="0"/>
        <v>5.4</v>
      </c>
    </row>
    <row r="19" spans="1:12" hidden="1">
      <c r="A19" s="2"/>
      <c r="B19" s="15" t="s">
        <v>4</v>
      </c>
      <c r="C19" s="16"/>
      <c r="D19" s="24">
        <f>+I58</f>
        <v>0.63</v>
      </c>
      <c r="E19" s="160">
        <f t="shared" si="1"/>
        <v>0.75</v>
      </c>
      <c r="F19" s="160">
        <f t="shared" si="1"/>
        <v>0.9</v>
      </c>
      <c r="G19" s="160">
        <f t="shared" si="1"/>
        <v>0.75</v>
      </c>
      <c r="H19" s="160">
        <f t="shared" si="1"/>
        <v>0.9</v>
      </c>
      <c r="I19" s="1154">
        <f t="shared" si="0"/>
        <v>0.47250000000000003</v>
      </c>
      <c r="J19" s="1154">
        <f t="shared" si="0"/>
        <v>0.56700000000000006</v>
      </c>
      <c r="K19" s="1154">
        <f t="shared" si="0"/>
        <v>0.47250000000000003</v>
      </c>
      <c r="L19" s="1155">
        <f t="shared" si="0"/>
        <v>0.56700000000000006</v>
      </c>
    </row>
    <row r="20" spans="1:12" hidden="1">
      <c r="A20" s="2"/>
      <c r="B20" s="15" t="s">
        <v>26</v>
      </c>
      <c r="C20" s="16"/>
      <c r="D20" s="24">
        <f>+I61</f>
        <v>0</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+I64</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+I67</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+I73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21.63</v>
      </c>
      <c r="E25" s="1158"/>
      <c r="F25" s="1158"/>
      <c r="G25" s="28"/>
      <c r="H25" s="28"/>
      <c r="I25" s="1159">
        <f>SUM(I16:I24)</f>
        <v>16.2225</v>
      </c>
      <c r="J25" s="1159">
        <f>SUM(J16:J24)</f>
        <v>19.466999999999999</v>
      </c>
      <c r="K25" s="1159">
        <f>SUM(K16:K24)</f>
        <v>16.2225</v>
      </c>
      <c r="L25" s="1160">
        <f>SUM(L16:L24)</f>
        <v>19.466999999999999</v>
      </c>
    </row>
    <row r="26" spans="1:12" hidden="1"/>
    <row r="27" spans="1:12" ht="15.75">
      <c r="A27" s="2"/>
      <c r="B27" s="50" t="s">
        <v>28</v>
      </c>
      <c r="C27" s="2"/>
      <c r="D27" s="2"/>
      <c r="E27" s="2"/>
      <c r="F27" s="2"/>
      <c r="G27" s="2"/>
      <c r="H27" s="2"/>
      <c r="I27" s="5"/>
    </row>
    <row r="28" spans="1:12">
      <c r="A28" s="2"/>
      <c r="B28" s="29" t="s">
        <v>1377</v>
      </c>
      <c r="C28" s="30"/>
      <c r="D28" s="30"/>
      <c r="E28" s="31"/>
      <c r="F28" s="31"/>
      <c r="G28" s="31"/>
      <c r="H28" s="31"/>
      <c r="I28" s="32"/>
    </row>
    <row r="29" spans="1:12">
      <c r="A29" s="2"/>
      <c r="B29" s="2212" t="s">
        <v>2380</v>
      </c>
      <c r="C29" s="2213"/>
      <c r="D29" s="2213"/>
      <c r="E29" s="2213"/>
      <c r="F29" s="2213"/>
      <c r="G29" s="2213"/>
      <c r="H29" s="2213"/>
      <c r="I29" s="2214"/>
    </row>
    <row r="30" spans="1:12">
      <c r="A30" s="2"/>
      <c r="B30" s="2215"/>
      <c r="C30" s="2213"/>
      <c r="D30" s="2213"/>
      <c r="E30" s="2213"/>
      <c r="F30" s="2213"/>
      <c r="G30" s="2213"/>
      <c r="H30" s="2213"/>
      <c r="I30" s="2214"/>
    </row>
    <row r="31" spans="1:12">
      <c r="A31" s="2"/>
      <c r="B31" s="2215"/>
      <c r="C31" s="2213"/>
      <c r="D31" s="2213"/>
      <c r="E31" s="2213"/>
      <c r="F31" s="2213"/>
      <c r="G31" s="2213"/>
      <c r="H31" s="2213"/>
      <c r="I31" s="2214"/>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2381</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SUM(G42:G42)</f>
        <v>15</v>
      </c>
    </row>
    <row r="41" spans="1:9">
      <c r="A41" s="2"/>
      <c r="B41" s="1174"/>
      <c r="C41" s="35"/>
      <c r="D41" s="1167" t="s">
        <v>447</v>
      </c>
      <c r="E41" s="1167" t="s">
        <v>448</v>
      </c>
      <c r="F41" s="1167" t="s">
        <v>449</v>
      </c>
      <c r="G41" s="1167" t="s">
        <v>450</v>
      </c>
      <c r="H41" s="35"/>
      <c r="I41" s="46"/>
    </row>
    <row r="42" spans="1:9">
      <c r="A42" s="2"/>
      <c r="B42" s="1186" t="str">
        <f>+'[37]Core Rates'!A247</f>
        <v>Potted Plants</v>
      </c>
      <c r="C42" s="1187"/>
      <c r="D42" s="1377" t="str">
        <f>+'[37]Core Rates'!B247</f>
        <v>Ea</v>
      </c>
      <c r="E42" s="1377">
        <f>+'[37]Core Rates'!C247</f>
        <v>15</v>
      </c>
      <c r="F42" s="1170">
        <v>1</v>
      </c>
      <c r="G42" s="1171">
        <f>+F42*E42</f>
        <v>15</v>
      </c>
      <c r="H42" s="35"/>
      <c r="I42" s="36"/>
    </row>
    <row r="43" spans="1:9">
      <c r="A43" s="2"/>
      <c r="B43" s="1172"/>
      <c r="C43" s="6"/>
      <c r="D43" s="1173"/>
      <c r="E43" s="35"/>
      <c r="F43" s="35"/>
      <c r="G43" s="35"/>
      <c r="H43" s="35"/>
      <c r="I43" s="36"/>
    </row>
    <row r="44" spans="1:9">
      <c r="A44" s="2"/>
      <c r="B44" s="37" t="s">
        <v>43</v>
      </c>
      <c r="C44" s="6"/>
      <c r="D44" s="1173"/>
      <c r="E44" s="35"/>
      <c r="F44" s="35"/>
      <c r="G44" s="35"/>
      <c r="H44" s="35"/>
      <c r="I44" s="36"/>
    </row>
    <row r="45" spans="1:9">
      <c r="A45" s="2"/>
      <c r="B45" s="40" t="s">
        <v>457</v>
      </c>
      <c r="C45" s="6"/>
      <c r="D45" s="1173"/>
      <c r="E45" s="35"/>
      <c r="F45" s="35"/>
      <c r="G45" s="35"/>
      <c r="H45" s="35"/>
      <c r="I45" s="36"/>
    </row>
    <row r="46" spans="1:9">
      <c r="A46" s="2"/>
      <c r="B46" s="40" t="s">
        <v>458</v>
      </c>
      <c r="C46" s="6"/>
      <c r="D46" s="1173"/>
      <c r="E46" s="1190"/>
      <c r="F46" s="35"/>
      <c r="G46" s="35"/>
      <c r="H46" s="35"/>
      <c r="I46" s="36"/>
    </row>
    <row r="47" spans="1:9">
      <c r="A47" s="2"/>
      <c r="B47" s="40"/>
      <c r="C47" s="6"/>
      <c r="D47" s="1173"/>
      <c r="E47" s="1190"/>
      <c r="F47" s="35"/>
      <c r="G47" s="35"/>
      <c r="H47" s="35"/>
      <c r="I47" s="36"/>
    </row>
    <row r="48" spans="1:9">
      <c r="A48" s="2"/>
      <c r="B48" s="42" t="s">
        <v>2</v>
      </c>
      <c r="C48" s="35"/>
      <c r="D48" s="35"/>
      <c r="E48" s="2003"/>
      <c r="F48" s="2003"/>
      <c r="G48" s="2003"/>
      <c r="H48" s="2003"/>
      <c r="I48" s="1166">
        <v>0</v>
      </c>
    </row>
    <row r="49" spans="1:9">
      <c r="A49" s="2"/>
      <c r="B49" s="756" t="s">
        <v>104</v>
      </c>
      <c r="C49" s="35"/>
      <c r="D49" s="1167"/>
      <c r="E49" s="1167"/>
      <c r="F49" s="1167"/>
      <c r="G49" s="1167"/>
      <c r="H49" s="35"/>
      <c r="I49" s="46"/>
    </row>
    <row r="50" spans="1:9">
      <c r="A50" s="2"/>
      <c r="B50" s="1177"/>
      <c r="C50" s="1178"/>
      <c r="D50" s="1178"/>
      <c r="E50" s="1178"/>
      <c r="F50" s="1178"/>
      <c r="G50" s="1178"/>
      <c r="H50" s="1178"/>
      <c r="I50" s="1179"/>
    </row>
    <row r="51" spans="1:9">
      <c r="A51" s="2"/>
      <c r="B51" s="42" t="s">
        <v>3</v>
      </c>
      <c r="C51" s="35"/>
      <c r="D51" s="35"/>
      <c r="E51" s="35"/>
      <c r="F51" s="39"/>
      <c r="G51" s="35"/>
      <c r="H51" s="35"/>
      <c r="I51" s="1182">
        <f>E53</f>
        <v>6</v>
      </c>
    </row>
    <row r="52" spans="1:9">
      <c r="A52" s="2"/>
      <c r="B52" s="1174"/>
      <c r="C52" s="35"/>
      <c r="D52" s="1167" t="s">
        <v>447</v>
      </c>
      <c r="E52" s="1167" t="s">
        <v>448</v>
      </c>
      <c r="F52" s="1167" t="s">
        <v>449</v>
      </c>
      <c r="G52" s="1167" t="s">
        <v>450</v>
      </c>
      <c r="H52" s="35"/>
      <c r="I52" s="46"/>
    </row>
    <row r="53" spans="1:9">
      <c r="A53" s="2"/>
      <c r="B53" s="40" t="str">
        <f>+'[37]Core Rates'!A248</f>
        <v>Potted Plants - Labor/Installation</v>
      </c>
      <c r="C53" s="35"/>
      <c r="D53" s="150" t="str">
        <f>+'[37]Core Rates'!B248</f>
        <v>Ea</v>
      </c>
      <c r="E53" s="1846">
        <f>+'[37]Core Rates'!C248</f>
        <v>6</v>
      </c>
      <c r="F53" s="1170">
        <v>1</v>
      </c>
      <c r="G53" s="1171">
        <f>+F53*E53</f>
        <v>6</v>
      </c>
      <c r="H53" s="35"/>
      <c r="I53" s="47"/>
    </row>
    <row r="54" spans="1:9">
      <c r="A54" s="2"/>
      <c r="B54" s="40"/>
      <c r="C54" s="35"/>
      <c r="D54" s="150"/>
      <c r="E54" s="1846"/>
      <c r="F54" s="1170"/>
      <c r="G54" s="1171"/>
      <c r="H54" s="35"/>
      <c r="I54" s="47"/>
    </row>
    <row r="55" spans="1:9">
      <c r="A55" s="2"/>
      <c r="B55" s="37" t="s">
        <v>43</v>
      </c>
      <c r="C55" s="39"/>
      <c r="D55" s="1180"/>
      <c r="E55" s="153"/>
      <c r="F55" s="35"/>
      <c r="G55" s="35"/>
      <c r="H55" s="35"/>
      <c r="I55" s="46"/>
    </row>
    <row r="56" spans="1:9">
      <c r="A56" s="2"/>
      <c r="B56" s="40" t="s">
        <v>457</v>
      </c>
      <c r="C56" s="39"/>
      <c r="D56" s="1181"/>
      <c r="E56" s="153"/>
      <c r="F56" s="35"/>
      <c r="G56" s="35"/>
      <c r="H56" s="35"/>
      <c r="I56" s="46"/>
    </row>
    <row r="57" spans="1:9">
      <c r="A57" s="2"/>
      <c r="B57" s="33"/>
      <c r="C57" s="35"/>
      <c r="D57" s="35"/>
      <c r="E57" s="35"/>
      <c r="F57" s="35"/>
      <c r="G57" s="35"/>
      <c r="H57" s="35"/>
      <c r="I57" s="36"/>
    </row>
    <row r="58" spans="1:9">
      <c r="A58" s="2"/>
      <c r="B58" s="42" t="s">
        <v>4</v>
      </c>
      <c r="C58" s="35"/>
      <c r="D58" s="35"/>
      <c r="E58" s="35"/>
      <c r="F58" s="35"/>
      <c r="G58" s="35"/>
      <c r="H58" s="35"/>
      <c r="I58" s="1182">
        <f>0.03*(I40+I48+I51)</f>
        <v>0.63</v>
      </c>
    </row>
    <row r="59" spans="1:9">
      <c r="A59" s="2"/>
      <c r="B59" s="33" t="s">
        <v>467</v>
      </c>
      <c r="C59" s="35"/>
      <c r="D59" s="35"/>
      <c r="E59" s="35"/>
      <c r="F59" s="35"/>
      <c r="G59" s="35"/>
      <c r="H59" s="35"/>
      <c r="I59" s="36"/>
    </row>
    <row r="60" spans="1:9">
      <c r="A60" s="2"/>
      <c r="B60" s="37"/>
      <c r="C60" s="35"/>
      <c r="D60" s="35"/>
      <c r="E60" s="35"/>
      <c r="F60" s="35"/>
      <c r="G60" s="35"/>
      <c r="H60" s="35"/>
      <c r="I60" s="36"/>
    </row>
    <row r="61" spans="1:9">
      <c r="A61" s="2"/>
      <c r="B61" s="42" t="s">
        <v>468</v>
      </c>
      <c r="C61" s="35"/>
      <c r="D61" s="35"/>
      <c r="E61" s="35"/>
      <c r="F61" s="35"/>
      <c r="G61" s="35"/>
      <c r="H61" s="35"/>
      <c r="I61" s="1182">
        <v>0</v>
      </c>
    </row>
    <row r="62" spans="1:9">
      <c r="A62" s="2"/>
      <c r="B62" s="756" t="s">
        <v>104</v>
      </c>
      <c r="C62" s="35"/>
      <c r="D62" s="35"/>
      <c r="E62" s="35"/>
      <c r="F62" s="35"/>
      <c r="G62" s="35"/>
      <c r="H62" s="35"/>
      <c r="I62" s="36"/>
    </row>
    <row r="63" spans="1:9">
      <c r="A63" s="2"/>
      <c r="B63" s="37"/>
      <c r="C63" s="35"/>
      <c r="D63" s="35"/>
      <c r="E63" s="35"/>
      <c r="F63" s="35"/>
      <c r="G63" s="35"/>
      <c r="H63" s="35"/>
      <c r="I63" s="36"/>
    </row>
    <row r="64" spans="1:9">
      <c r="A64" s="2"/>
      <c r="B64" s="42" t="s">
        <v>7</v>
      </c>
      <c r="C64" s="35"/>
      <c r="D64" s="35"/>
      <c r="E64" s="35"/>
      <c r="F64" s="35"/>
      <c r="G64" s="35"/>
      <c r="H64" s="35"/>
      <c r="I64" s="1166">
        <v>0</v>
      </c>
    </row>
    <row r="65" spans="1:9">
      <c r="A65" s="2"/>
      <c r="B65" s="33" t="s">
        <v>104</v>
      </c>
      <c r="C65" s="35"/>
      <c r="D65" s="35"/>
      <c r="E65" s="35"/>
      <c r="F65" s="35"/>
      <c r="G65" s="35"/>
      <c r="H65" s="35"/>
      <c r="I65" s="36"/>
    </row>
    <row r="66" spans="1:9">
      <c r="A66" s="2"/>
      <c r="B66" s="37"/>
      <c r="C66" s="35"/>
      <c r="D66" s="35"/>
      <c r="E66" s="35"/>
      <c r="F66" s="35"/>
      <c r="G66" s="35"/>
      <c r="H66" s="35"/>
      <c r="I66" s="36"/>
    </row>
    <row r="67" spans="1:9">
      <c r="A67" s="2"/>
      <c r="B67" s="42" t="s">
        <v>471</v>
      </c>
      <c r="C67" s="35"/>
      <c r="D67" s="35"/>
      <c r="E67" s="35"/>
      <c r="F67" s="39"/>
      <c r="G67" s="35"/>
      <c r="H67" s="35"/>
      <c r="I67" s="1166">
        <v>0</v>
      </c>
    </row>
    <row r="68" spans="1:9">
      <c r="A68" s="2"/>
      <c r="B68" s="756" t="s">
        <v>104</v>
      </c>
      <c r="C68" s="35"/>
      <c r="D68" s="35"/>
      <c r="E68" s="35"/>
      <c r="F68" s="35"/>
      <c r="G68" s="35"/>
      <c r="H68" s="35"/>
      <c r="I68" s="47"/>
    </row>
    <row r="69" spans="1:9">
      <c r="A69" s="2"/>
      <c r="B69" s="37"/>
      <c r="C69" s="35"/>
      <c r="D69" s="35"/>
      <c r="E69" s="35"/>
      <c r="F69" s="35"/>
      <c r="G69" s="35"/>
      <c r="H69" s="35"/>
      <c r="I69" s="36"/>
    </row>
    <row r="70" spans="1:9">
      <c r="A70" s="2"/>
      <c r="B70" s="42" t="s">
        <v>5</v>
      </c>
      <c r="C70" s="35"/>
      <c r="D70" s="35"/>
      <c r="E70" s="35"/>
      <c r="F70" s="35"/>
      <c r="G70" s="35"/>
      <c r="H70" s="35"/>
      <c r="I70" s="1166">
        <v>0</v>
      </c>
    </row>
    <row r="71" spans="1:9">
      <c r="A71" s="2"/>
      <c r="B71" s="33" t="s">
        <v>104</v>
      </c>
      <c r="C71" s="35"/>
      <c r="D71" s="35"/>
      <c r="E71" s="35"/>
      <c r="F71" s="35"/>
      <c r="G71" s="35"/>
      <c r="H71" s="35"/>
      <c r="I71" s="47"/>
    </row>
    <row r="72" spans="1:9">
      <c r="A72" s="2"/>
      <c r="B72" s="37"/>
      <c r="C72" s="35"/>
      <c r="D72" s="35"/>
      <c r="E72" s="35"/>
      <c r="F72" s="35"/>
      <c r="G72" s="35"/>
      <c r="H72" s="35"/>
      <c r="I72" s="36"/>
    </row>
    <row r="73" spans="1:9">
      <c r="A73" s="2"/>
      <c r="B73" s="42" t="s">
        <v>20</v>
      </c>
      <c r="C73" s="35"/>
      <c r="D73" s="35"/>
      <c r="E73" s="35"/>
      <c r="F73" s="35"/>
      <c r="G73" s="35"/>
      <c r="H73" s="35"/>
      <c r="I73" s="1166">
        <v>0</v>
      </c>
    </row>
    <row r="74" spans="1:9">
      <c r="A74" s="2"/>
      <c r="B74" s="33" t="s">
        <v>104</v>
      </c>
      <c r="C74" s="35"/>
      <c r="D74" s="35"/>
      <c r="E74" s="35"/>
      <c r="F74" s="35"/>
      <c r="G74" s="35"/>
      <c r="H74" s="35"/>
      <c r="I74" s="36"/>
    </row>
    <row r="75" spans="1:9">
      <c r="A75" s="2"/>
      <c r="B75" s="40"/>
      <c r="C75" s="35"/>
      <c r="D75" s="35"/>
      <c r="E75" s="35"/>
      <c r="F75" s="35"/>
      <c r="G75" s="35"/>
      <c r="H75" s="35"/>
      <c r="I75" s="36"/>
    </row>
    <row r="76" spans="1:9">
      <c r="A76" s="2"/>
      <c r="B76" s="42" t="s">
        <v>473</v>
      </c>
      <c r="C76" s="35"/>
      <c r="D76" s="35"/>
      <c r="E76" s="35"/>
      <c r="F76" s="35"/>
      <c r="G76" s="35"/>
      <c r="H76" s="35"/>
      <c r="I76" s="1183">
        <f>+I40+I48+I51+I58+I64+I73</f>
        <v>21.63</v>
      </c>
    </row>
    <row r="77" spans="1:9" ht="15.75">
      <c r="A77" s="2"/>
      <c r="B77" s="33" t="s">
        <v>474</v>
      </c>
      <c r="C77" s="35"/>
      <c r="D77" s="35"/>
      <c r="E77" s="35"/>
      <c r="F77" s="35"/>
      <c r="G77" s="35"/>
      <c r="H77" s="35"/>
      <c r="I77" s="36"/>
    </row>
    <row r="78" spans="1:9">
      <c r="A78" s="2"/>
      <c r="B78" s="40"/>
      <c r="C78" s="35"/>
      <c r="D78" s="35"/>
      <c r="E78" s="35"/>
      <c r="F78" s="35"/>
      <c r="G78" s="35"/>
      <c r="H78" s="35"/>
      <c r="I78" s="36"/>
    </row>
    <row r="79" spans="1:9">
      <c r="A79" s="2"/>
      <c r="B79" s="43" t="s">
        <v>11</v>
      </c>
      <c r="C79" s="44"/>
      <c r="D79" s="44"/>
      <c r="E79" s="44"/>
      <c r="F79" s="44"/>
      <c r="G79" s="44"/>
      <c r="H79" s="44"/>
      <c r="I79" s="621">
        <f>SUM(I40:I73)</f>
        <v>21.63</v>
      </c>
    </row>
  </sheetData>
  <mergeCells count="3">
    <mergeCell ref="B1:D1"/>
    <mergeCell ref="B29:I31"/>
    <mergeCell ref="E48:H48"/>
  </mergeCells>
  <pageMargins left="0.75" right="0.75" top="1" bottom="1" header="0.5" footer="0.5"/>
  <pageSetup scale="56" orientation="portrait" r:id="rId1"/>
  <headerFooter alignWithMargins="0"/>
</worksheet>
</file>

<file path=xl/worksheets/sheet207.xml><?xml version="1.0" encoding="utf-8"?>
<worksheet xmlns="http://schemas.openxmlformats.org/spreadsheetml/2006/main" xmlns:r="http://schemas.openxmlformats.org/officeDocument/2006/relationships">
  <dimension ref="A1:L99"/>
  <sheetViews>
    <sheetView topLeftCell="A52" zoomScale="75" zoomScaleNormal="75" workbookViewId="0">
      <selection activeCell="B54" sqref="B54:I55"/>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9.8554687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612</v>
      </c>
      <c r="C6" s="7" t="str">
        <f>+E12</f>
        <v>EQIP</v>
      </c>
      <c r="D6" s="53" t="s">
        <v>1448</v>
      </c>
      <c r="E6" s="110" t="s">
        <v>2382</v>
      </c>
      <c r="F6" s="7" t="s">
        <v>394</v>
      </c>
      <c r="G6" s="85">
        <f>+I25</f>
        <v>127.46250000000001</v>
      </c>
    </row>
    <row r="7" spans="1:12" ht="25.5">
      <c r="A7" s="2"/>
      <c r="B7" s="54">
        <f>+B6</f>
        <v>612</v>
      </c>
      <c r="C7" s="7" t="str">
        <f>+C6</f>
        <v>EQIP</v>
      </c>
      <c r="D7" s="53" t="s">
        <v>1448</v>
      </c>
      <c r="E7" s="110" t="str">
        <f>CONCATENATE(E6, "-HU")</f>
        <v>Tree &amp; Shrub Est.-Enrichment Planting no herb. Req'd 100-200 seedlings-HU</v>
      </c>
      <c r="F7" s="7" t="str">
        <f>+F6</f>
        <v>Acre</v>
      </c>
      <c r="G7" s="85">
        <f>+J25</f>
        <v>152.95500000000004</v>
      </c>
    </row>
    <row r="8" spans="1:12" ht="25.5">
      <c r="A8" s="2"/>
      <c r="B8" s="54">
        <v>612</v>
      </c>
      <c r="C8" s="7" t="str">
        <f>+G12</f>
        <v>WHIP</v>
      </c>
      <c r="D8" s="53" t="s">
        <v>1448</v>
      </c>
      <c r="E8" s="110" t="s">
        <v>2382</v>
      </c>
      <c r="F8" s="7" t="s">
        <v>394</v>
      </c>
      <c r="G8" s="85">
        <f>+K25</f>
        <v>127.46250000000001</v>
      </c>
    </row>
    <row r="9" spans="1:12" ht="25.5">
      <c r="A9" s="2"/>
      <c r="B9" s="8">
        <f>+B8</f>
        <v>612</v>
      </c>
      <c r="C9" s="10" t="str">
        <f>+C8</f>
        <v>WHIP</v>
      </c>
      <c r="D9" s="9" t="s">
        <v>1448</v>
      </c>
      <c r="E9" s="110" t="s">
        <v>2383</v>
      </c>
      <c r="F9" s="10" t="str">
        <f>+F8</f>
        <v>Acre</v>
      </c>
      <c r="G9" s="86">
        <f>+L25</f>
        <v>152.95500000000004</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75</v>
      </c>
      <c r="E16" s="160">
        <f>+'[10]Payment Factors'!D42</f>
        <v>0.75</v>
      </c>
      <c r="F16" s="160">
        <f>+'[10]Payment Factors'!E42</f>
        <v>0.9</v>
      </c>
      <c r="G16" s="160">
        <f>+'[10]Payment Factors'!F42</f>
        <v>0.75</v>
      </c>
      <c r="H16" s="160">
        <f>+'[10]Payment Factors'!G42</f>
        <v>0.9</v>
      </c>
      <c r="I16" s="1154">
        <f t="shared" ref="I16:L24" si="0">+$D16*E16</f>
        <v>56.25</v>
      </c>
      <c r="J16" s="1154">
        <f t="shared" si="0"/>
        <v>67.5</v>
      </c>
      <c r="K16" s="1154">
        <f t="shared" si="0"/>
        <v>56.25</v>
      </c>
      <c r="L16" s="1155">
        <f t="shared" si="0"/>
        <v>67.5</v>
      </c>
    </row>
    <row r="17" spans="1:12">
      <c r="A17" s="2"/>
      <c r="B17" s="15" t="s">
        <v>2</v>
      </c>
      <c r="C17" s="16"/>
      <c r="D17" s="24">
        <f>+I56</f>
        <v>76.5</v>
      </c>
      <c r="E17" s="160">
        <f t="shared" ref="E17:H19" si="1">+E16</f>
        <v>0.75</v>
      </c>
      <c r="F17" s="160">
        <f t="shared" si="1"/>
        <v>0.9</v>
      </c>
      <c r="G17" s="160">
        <f t="shared" si="1"/>
        <v>0.75</v>
      </c>
      <c r="H17" s="160">
        <f t="shared" si="1"/>
        <v>0.9</v>
      </c>
      <c r="I17" s="1154">
        <f t="shared" si="0"/>
        <v>57.375</v>
      </c>
      <c r="J17" s="1154">
        <f t="shared" si="0"/>
        <v>68.850000000000009</v>
      </c>
      <c r="K17" s="1154">
        <f t="shared" si="0"/>
        <v>57.375</v>
      </c>
      <c r="L17" s="1155">
        <f t="shared" si="0"/>
        <v>68.850000000000009</v>
      </c>
    </row>
    <row r="18" spans="1:12">
      <c r="A18" s="2"/>
      <c r="B18" s="15" t="s">
        <v>3</v>
      </c>
      <c r="C18" s="16"/>
      <c r="D18" s="24">
        <f>+I71</f>
        <v>13.5</v>
      </c>
      <c r="E18" s="160">
        <f t="shared" si="1"/>
        <v>0.75</v>
      </c>
      <c r="F18" s="160">
        <f t="shared" si="1"/>
        <v>0.9</v>
      </c>
      <c r="G18" s="160">
        <f t="shared" si="1"/>
        <v>0.75</v>
      </c>
      <c r="H18" s="160">
        <f t="shared" si="1"/>
        <v>0.9</v>
      </c>
      <c r="I18" s="1154">
        <f t="shared" si="0"/>
        <v>10.125</v>
      </c>
      <c r="J18" s="1154">
        <f t="shared" si="0"/>
        <v>12.15</v>
      </c>
      <c r="K18" s="1154">
        <f t="shared" si="0"/>
        <v>10.125</v>
      </c>
      <c r="L18" s="1155">
        <f t="shared" si="0"/>
        <v>12.15</v>
      </c>
    </row>
    <row r="19" spans="1:12">
      <c r="A19" s="2"/>
      <c r="B19" s="15" t="s">
        <v>4</v>
      </c>
      <c r="C19" s="16"/>
      <c r="D19" s="24">
        <f>+I77</f>
        <v>4.95</v>
      </c>
      <c r="E19" s="160">
        <f t="shared" si="1"/>
        <v>0.75</v>
      </c>
      <c r="F19" s="160">
        <f t="shared" si="1"/>
        <v>0.9</v>
      </c>
      <c r="G19" s="160">
        <f t="shared" si="1"/>
        <v>0.75</v>
      </c>
      <c r="H19" s="160">
        <f t="shared" si="1"/>
        <v>0.9</v>
      </c>
      <c r="I19" s="1154">
        <f t="shared" si="0"/>
        <v>3.7125000000000004</v>
      </c>
      <c r="J19" s="1154">
        <f t="shared" si="0"/>
        <v>4.4550000000000001</v>
      </c>
      <c r="K19" s="1154">
        <f t="shared" si="0"/>
        <v>3.7125000000000004</v>
      </c>
      <c r="L19" s="1155">
        <f t="shared" si="0"/>
        <v>4.4550000000000001</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785.45</v>
      </c>
      <c r="E25" s="28"/>
      <c r="F25" s="28"/>
      <c r="G25" s="28"/>
      <c r="H25" s="28"/>
      <c r="I25" s="1159">
        <f>SUM(I16:I24)</f>
        <v>127.46250000000001</v>
      </c>
      <c r="J25" s="1159">
        <f>SUM(J16:J24)</f>
        <v>152.95500000000004</v>
      </c>
      <c r="K25" s="1159">
        <f>SUM(K16:K24)</f>
        <v>127.46250000000001</v>
      </c>
      <c r="L25" s="1160">
        <f>SUM(L16:L24)</f>
        <v>152.95500000000004</v>
      </c>
    </row>
    <row r="27" spans="1:12" ht="15.75">
      <c r="A27" s="2"/>
      <c r="B27" s="50" t="s">
        <v>28</v>
      </c>
      <c r="C27" s="2"/>
      <c r="D27" s="2"/>
      <c r="E27" s="2"/>
      <c r="F27" s="2"/>
      <c r="G27" s="2"/>
      <c r="H27" s="2"/>
      <c r="I27" s="5"/>
    </row>
    <row r="28" spans="1:12">
      <c r="A28" s="2"/>
      <c r="B28" s="29" t="s">
        <v>2384</v>
      </c>
      <c r="C28" s="30"/>
      <c r="D28" s="30"/>
      <c r="E28" s="31"/>
      <c r="F28" s="31"/>
      <c r="G28" s="31"/>
      <c r="H28" s="31"/>
      <c r="I28" s="32"/>
    </row>
    <row r="29" spans="1:12" ht="12.75" customHeight="1">
      <c r="A29" s="2"/>
      <c r="B29" s="2023" t="s">
        <v>2385</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75</v>
      </c>
    </row>
    <row r="41" spans="1:9">
      <c r="A41" s="2"/>
      <c r="B41" s="1174"/>
      <c r="C41" s="35"/>
      <c r="D41" s="1167" t="s">
        <v>447</v>
      </c>
      <c r="E41" s="1167" t="s">
        <v>448</v>
      </c>
      <c r="F41" s="1167" t="s">
        <v>449</v>
      </c>
      <c r="G41" s="1167" t="s">
        <v>450</v>
      </c>
      <c r="H41" s="35"/>
      <c r="I41" s="46"/>
    </row>
    <row r="42" spans="1:9">
      <c r="A42" s="2"/>
      <c r="B42" s="40" t="s">
        <v>451</v>
      </c>
      <c r="C42" s="6"/>
      <c r="D42" s="1168" t="s">
        <v>452</v>
      </c>
      <c r="E42" s="1169">
        <f>+'[37]Core Rates'!C203</f>
        <v>8.75</v>
      </c>
      <c r="F42" s="1170">
        <v>0</v>
      </c>
      <c r="G42" s="1171">
        <f t="shared" ref="G42:G50" si="2">+F42*E42</f>
        <v>0</v>
      </c>
      <c r="H42" s="35"/>
      <c r="I42" s="36"/>
    </row>
    <row r="43" spans="1:9">
      <c r="A43" s="2"/>
      <c r="B43" s="1184" t="s">
        <v>453</v>
      </c>
      <c r="C43" s="6"/>
      <c r="D43" s="1185" t="s">
        <v>454</v>
      </c>
      <c r="E43" s="1169">
        <f>+'[37]Core Rates'!C228</f>
        <v>0.82427536231884069</v>
      </c>
      <c r="F43" s="1170">
        <v>0</v>
      </c>
      <c r="G43" s="1171">
        <f t="shared" si="2"/>
        <v>0</v>
      </c>
      <c r="H43" s="35"/>
      <c r="I43" s="36"/>
    </row>
    <row r="44" spans="1:9">
      <c r="A44" s="2"/>
      <c r="B44" s="1186" t="s">
        <v>455</v>
      </c>
      <c r="C44" s="1187"/>
      <c r="D44" s="1185" t="s">
        <v>454</v>
      </c>
      <c r="E44" s="1169">
        <f>+'[37]Core Rates'!C235</f>
        <v>1.1702898550724636</v>
      </c>
      <c r="F44" s="1170">
        <v>0</v>
      </c>
      <c r="G44" s="1171">
        <f t="shared" si="2"/>
        <v>0</v>
      </c>
      <c r="H44" s="35"/>
      <c r="I44" s="36"/>
    </row>
    <row r="45" spans="1:9">
      <c r="A45" s="2"/>
      <c r="B45" s="1186" t="s">
        <v>456</v>
      </c>
      <c r="C45" s="1187"/>
      <c r="D45" s="1168" t="s">
        <v>454</v>
      </c>
      <c r="E45" s="1169">
        <f>+'[37]Core Rates'!C246</f>
        <v>0.58825136612021856</v>
      </c>
      <c r="F45" s="1170">
        <v>0</v>
      </c>
      <c r="G45" s="1171">
        <f t="shared" si="2"/>
        <v>0</v>
      </c>
      <c r="H45" s="35"/>
      <c r="I45" s="36"/>
    </row>
    <row r="46" spans="1:9">
      <c r="A46" s="2"/>
      <c r="B46" s="1188" t="str">
        <f>+'[37]Core Rates'!A342</f>
        <v>Tree seedlings</v>
      </c>
      <c r="C46" s="1187"/>
      <c r="D46" s="1189" t="str">
        <f>+'[37]Core Rates'!B342</f>
        <v>Ea</v>
      </c>
      <c r="E46" s="1169">
        <f>+'[37]Core Rates'!C342</f>
        <v>0.5</v>
      </c>
      <c r="F46" s="1170">
        <v>150</v>
      </c>
      <c r="G46" s="1171">
        <f t="shared" si="2"/>
        <v>75</v>
      </c>
      <c r="H46" s="35"/>
      <c r="I46" s="36"/>
    </row>
    <row r="47" spans="1:9">
      <c r="A47" s="2"/>
      <c r="B47" s="1186" t="str">
        <f>+'[37]Core Rates'!A310</f>
        <v>Seed (Orchard grass)</v>
      </c>
      <c r="C47" s="1187"/>
      <c r="D47" s="1185" t="s">
        <v>454</v>
      </c>
      <c r="E47" s="1169">
        <f>+'[37]Core Rates 2011'!BE307</f>
        <v>1.68</v>
      </c>
      <c r="F47" s="1170">
        <v>0</v>
      </c>
      <c r="G47" s="1171">
        <f t="shared" si="2"/>
        <v>0</v>
      </c>
      <c r="H47" s="35"/>
      <c r="I47" s="36"/>
    </row>
    <row r="48" spans="1:9">
      <c r="A48" s="2"/>
      <c r="B48" s="1186" t="str">
        <f>+'[37]Core Rates'!A312</f>
        <v>Seed (Red Clover)</v>
      </c>
      <c r="C48" s="1187"/>
      <c r="D48" s="1185" t="s">
        <v>454</v>
      </c>
      <c r="E48" s="1169">
        <f>+'[37]Core Rates 2011'!BE309</f>
        <v>2.75</v>
      </c>
      <c r="F48" s="1170">
        <v>0</v>
      </c>
      <c r="G48" s="1171">
        <f t="shared" si="2"/>
        <v>0</v>
      </c>
      <c r="H48" s="35"/>
      <c r="I48" s="36"/>
    </row>
    <row r="49" spans="1:9">
      <c r="A49" s="2"/>
      <c r="B49" s="1186" t="str">
        <f>+'[37]Core Rates'!A315</f>
        <v>Seed (Wheat)</v>
      </c>
      <c r="C49" s="1187"/>
      <c r="D49" s="1185" t="s">
        <v>454</v>
      </c>
      <c r="E49" s="1169">
        <f>+'[37]Core Rates 2011'!BE312</f>
        <v>0.31</v>
      </c>
      <c r="F49" s="1170">
        <v>0</v>
      </c>
      <c r="G49" s="1171">
        <f t="shared" si="2"/>
        <v>0</v>
      </c>
      <c r="H49" s="35"/>
      <c r="I49" s="36"/>
    </row>
    <row r="50" spans="1:9">
      <c r="A50" s="2"/>
      <c r="B50" s="1186" t="str">
        <f>+'[37]Core Rates'!A314</f>
        <v>Seed (Redtop)</v>
      </c>
      <c r="C50" s="1187"/>
      <c r="D50" s="1185" t="s">
        <v>454</v>
      </c>
      <c r="E50" s="1169">
        <f>+'[37]Core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76.5</v>
      </c>
    </row>
    <row r="57" spans="1:9">
      <c r="A57" s="2"/>
      <c r="B57" s="1174"/>
      <c r="C57" s="35"/>
      <c r="D57" s="1167" t="s">
        <v>447</v>
      </c>
      <c r="E57" s="1167" t="s">
        <v>448</v>
      </c>
      <c r="F57" s="1167" t="s">
        <v>449</v>
      </c>
      <c r="G57" s="1167" t="s">
        <v>450</v>
      </c>
      <c r="H57" s="35"/>
      <c r="I57" s="46"/>
    </row>
    <row r="58" spans="1:9">
      <c r="A58" s="2"/>
      <c r="B58" s="1191" t="s">
        <v>460</v>
      </c>
      <c r="C58" s="6"/>
      <c r="D58" s="1168" t="s">
        <v>408</v>
      </c>
      <c r="E58" s="1169">
        <f>+'[37]Core Rates 2011'!BE145</f>
        <v>36.5</v>
      </c>
      <c r="F58" s="1170">
        <v>0</v>
      </c>
      <c r="G58" s="1171">
        <f t="shared" ref="G58:G64" si="3">+F58*E58</f>
        <v>0</v>
      </c>
      <c r="H58" s="35"/>
      <c r="I58" s="47"/>
    </row>
    <row r="59" spans="1:9">
      <c r="A59" s="2"/>
      <c r="B59" s="1191" t="str">
        <f>+'[37]Core Rates'!A340</f>
        <v>Tree Planting</v>
      </c>
      <c r="C59" s="6"/>
      <c r="D59" s="1168" t="s">
        <v>408</v>
      </c>
      <c r="E59" s="1169">
        <f>+'[37]Core Rates'!C340</f>
        <v>90</v>
      </c>
      <c r="F59" s="1170">
        <v>1</v>
      </c>
      <c r="G59" s="1171">
        <f t="shared" si="3"/>
        <v>90</v>
      </c>
      <c r="H59" s="35"/>
      <c r="I59" s="47"/>
    </row>
    <row r="60" spans="1:9">
      <c r="A60" s="2"/>
      <c r="B60" s="40" t="s">
        <v>461</v>
      </c>
      <c r="C60" s="6"/>
      <c r="D60" s="1168" t="s">
        <v>408</v>
      </c>
      <c r="E60" s="1169">
        <f>+'[37]Core Rates'!C104</f>
        <v>20</v>
      </c>
      <c r="F60" s="1170">
        <v>0</v>
      </c>
      <c r="G60" s="1171">
        <f t="shared" si="3"/>
        <v>0</v>
      </c>
      <c r="H60" s="35"/>
      <c r="I60" s="47"/>
    </row>
    <row r="61" spans="1:9">
      <c r="A61" s="2"/>
      <c r="B61" s="1191" t="str">
        <f>+'[37]Core Rates'!A216</f>
        <v>Mowing</v>
      </c>
      <c r="C61" s="6"/>
      <c r="D61" s="1189" t="s">
        <v>408</v>
      </c>
      <c r="E61" s="1189">
        <f>+'[37]Core Rates'!C216</f>
        <v>15.5</v>
      </c>
      <c r="F61" s="1170">
        <v>0</v>
      </c>
      <c r="G61" s="1171">
        <f t="shared" si="3"/>
        <v>0</v>
      </c>
      <c r="H61" s="35"/>
      <c r="I61" s="47"/>
    </row>
    <row r="62" spans="1:9">
      <c r="A62" s="2"/>
      <c r="B62" s="40" t="s">
        <v>462</v>
      </c>
      <c r="C62" s="6"/>
      <c r="D62" s="1168" t="s">
        <v>408</v>
      </c>
      <c r="E62" s="1169">
        <f>+'[37]Core Rates'!AN33</f>
        <v>5.416666666666667</v>
      </c>
      <c r="F62" s="1170">
        <v>0</v>
      </c>
      <c r="G62" s="1171">
        <f t="shared" si="3"/>
        <v>0</v>
      </c>
      <c r="H62" s="35"/>
      <c r="I62" s="47"/>
    </row>
    <row r="63" spans="1:9">
      <c r="A63" s="2"/>
      <c r="B63" s="40" t="s">
        <v>463</v>
      </c>
      <c r="C63" s="6"/>
      <c r="D63" s="1168" t="s">
        <v>452</v>
      </c>
      <c r="E63" s="1169">
        <f>+'[37]Core Rates'!AN34</f>
        <v>5.5</v>
      </c>
      <c r="F63" s="1170">
        <v>0</v>
      </c>
      <c r="G63" s="1171">
        <f t="shared" si="3"/>
        <v>0</v>
      </c>
      <c r="H63" s="35"/>
      <c r="I63" s="47"/>
    </row>
    <row r="64" spans="1:9">
      <c r="A64" s="2"/>
      <c r="B64" s="40" t="s">
        <v>464</v>
      </c>
      <c r="C64" s="6"/>
      <c r="D64" s="1168" t="s">
        <v>452</v>
      </c>
      <c r="E64" s="1169">
        <f>+'[37]Core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13.5</v>
      </c>
    </row>
    <row r="72" spans="1:9">
      <c r="A72" s="2"/>
      <c r="B72" s="2007" t="s">
        <v>465</v>
      </c>
      <c r="C72" s="2008"/>
      <c r="D72" s="35"/>
      <c r="E72" s="35"/>
      <c r="F72" s="35"/>
      <c r="G72" s="35"/>
      <c r="H72" s="35"/>
      <c r="I72" s="48"/>
    </row>
    <row r="73" spans="1:9">
      <c r="A73" s="2"/>
      <c r="B73" s="37" t="s">
        <v>466</v>
      </c>
      <c r="C73" s="39"/>
      <c r="D73" s="39"/>
      <c r="E73" s="153">
        <f>SUM(G58:G64)*0.15</f>
        <v>13.5</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4.95</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+'[37]Core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169.95</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785.45</v>
      </c>
    </row>
  </sheetData>
  <mergeCells count="5">
    <mergeCell ref="B1:D1"/>
    <mergeCell ref="B29:I31"/>
    <mergeCell ref="E56:H56"/>
    <mergeCell ref="B67:I68"/>
    <mergeCell ref="B72:C72"/>
  </mergeCells>
  <pageMargins left="0.7" right="0.7" top="0.75" bottom="0.75" header="0.3" footer="0.3"/>
</worksheet>
</file>

<file path=xl/worksheets/sheet208.xml><?xml version="1.0" encoding="utf-8"?>
<worksheet xmlns="http://schemas.openxmlformats.org/spreadsheetml/2006/main" xmlns:r="http://schemas.openxmlformats.org/officeDocument/2006/relationships">
  <dimension ref="A1:L99"/>
  <sheetViews>
    <sheetView topLeftCell="A52" zoomScale="75" zoomScaleNormal="75" workbookViewId="0">
      <selection activeCell="B54" sqref="B54:I55"/>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9.8554687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612</v>
      </c>
      <c r="C6" s="7" t="str">
        <f>+E12</f>
        <v>EQIP</v>
      </c>
      <c r="D6" s="53" t="s">
        <v>1448</v>
      </c>
      <c r="E6" s="110" t="s">
        <v>2386</v>
      </c>
      <c r="F6" s="7" t="s">
        <v>394</v>
      </c>
      <c r="G6" s="85">
        <f>+I25</f>
        <v>166.08750000000001</v>
      </c>
    </row>
    <row r="7" spans="1:12" ht="25.5">
      <c r="A7" s="2"/>
      <c r="B7" s="54">
        <f>+B6</f>
        <v>612</v>
      </c>
      <c r="C7" s="7" t="str">
        <f>+C6</f>
        <v>EQIP</v>
      </c>
      <c r="D7" s="53" t="s">
        <v>1448</v>
      </c>
      <c r="E7" s="110" t="str">
        <f>CONCATENATE(E6, "-HU")</f>
        <v>Tree &amp; Shrub Est.-Enrichment Planting no herb. Req'd 201-300 seedlings-HU</v>
      </c>
      <c r="F7" s="7" t="str">
        <f>+F6</f>
        <v>Acre</v>
      </c>
      <c r="G7" s="85">
        <f>+J25</f>
        <v>199.30500000000004</v>
      </c>
    </row>
    <row r="8" spans="1:12" ht="25.5">
      <c r="A8" s="2"/>
      <c r="B8" s="54">
        <v>612</v>
      </c>
      <c r="C8" s="7" t="str">
        <f>+G12</f>
        <v>WHIP</v>
      </c>
      <c r="D8" s="53" t="s">
        <v>1448</v>
      </c>
      <c r="E8" s="110" t="s">
        <v>2386</v>
      </c>
      <c r="F8" s="7" t="s">
        <v>394</v>
      </c>
      <c r="G8" s="85">
        <f>+K25</f>
        <v>166.08750000000001</v>
      </c>
    </row>
    <row r="9" spans="1:12" ht="25.5">
      <c r="A9" s="2"/>
      <c r="B9" s="8">
        <f>+B8</f>
        <v>612</v>
      </c>
      <c r="C9" s="10" t="str">
        <f>+C8</f>
        <v>WHIP</v>
      </c>
      <c r="D9" s="9" t="s">
        <v>1448</v>
      </c>
      <c r="E9" s="110" t="s">
        <v>2387</v>
      </c>
      <c r="F9" s="10" t="str">
        <f>+F8</f>
        <v>Acre</v>
      </c>
      <c r="G9" s="86">
        <f>+L25</f>
        <v>199.30500000000004</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125</v>
      </c>
      <c r="E16" s="160">
        <f>+'[10]Payment Factors'!D42</f>
        <v>0.75</v>
      </c>
      <c r="F16" s="160">
        <f>+'[10]Payment Factors'!E42</f>
        <v>0.9</v>
      </c>
      <c r="G16" s="160">
        <f>+'[10]Payment Factors'!F42</f>
        <v>0.75</v>
      </c>
      <c r="H16" s="160">
        <f>+'[10]Payment Factors'!G42</f>
        <v>0.9</v>
      </c>
      <c r="I16" s="1154">
        <f t="shared" ref="I16:L24" si="0">+$D16*E16</f>
        <v>93.75</v>
      </c>
      <c r="J16" s="1154">
        <f t="shared" si="0"/>
        <v>112.5</v>
      </c>
      <c r="K16" s="1154">
        <f t="shared" si="0"/>
        <v>93.75</v>
      </c>
      <c r="L16" s="1155">
        <f t="shared" si="0"/>
        <v>112.5</v>
      </c>
    </row>
    <row r="17" spans="1:12">
      <c r="A17" s="2"/>
      <c r="B17" s="15" t="s">
        <v>2</v>
      </c>
      <c r="C17" s="16"/>
      <c r="D17" s="24">
        <f>+I56</f>
        <v>76.5</v>
      </c>
      <c r="E17" s="160">
        <f t="shared" ref="E17:H19" si="1">+E16</f>
        <v>0.75</v>
      </c>
      <c r="F17" s="160">
        <f t="shared" si="1"/>
        <v>0.9</v>
      </c>
      <c r="G17" s="160">
        <f t="shared" si="1"/>
        <v>0.75</v>
      </c>
      <c r="H17" s="160">
        <f t="shared" si="1"/>
        <v>0.9</v>
      </c>
      <c r="I17" s="1154">
        <f t="shared" si="0"/>
        <v>57.375</v>
      </c>
      <c r="J17" s="1154">
        <f t="shared" si="0"/>
        <v>68.850000000000009</v>
      </c>
      <c r="K17" s="1154">
        <f t="shared" si="0"/>
        <v>57.375</v>
      </c>
      <c r="L17" s="1155">
        <f t="shared" si="0"/>
        <v>68.850000000000009</v>
      </c>
    </row>
    <row r="18" spans="1:12">
      <c r="A18" s="2"/>
      <c r="B18" s="15" t="s">
        <v>3</v>
      </c>
      <c r="C18" s="16"/>
      <c r="D18" s="24">
        <f>+I71</f>
        <v>13.5</v>
      </c>
      <c r="E18" s="160">
        <f t="shared" si="1"/>
        <v>0.75</v>
      </c>
      <c r="F18" s="160">
        <f t="shared" si="1"/>
        <v>0.9</v>
      </c>
      <c r="G18" s="160">
        <f t="shared" si="1"/>
        <v>0.75</v>
      </c>
      <c r="H18" s="160">
        <f t="shared" si="1"/>
        <v>0.9</v>
      </c>
      <c r="I18" s="1154">
        <f t="shared" si="0"/>
        <v>10.125</v>
      </c>
      <c r="J18" s="1154">
        <f t="shared" si="0"/>
        <v>12.15</v>
      </c>
      <c r="K18" s="1154">
        <f t="shared" si="0"/>
        <v>10.125</v>
      </c>
      <c r="L18" s="1155">
        <f t="shared" si="0"/>
        <v>12.15</v>
      </c>
    </row>
    <row r="19" spans="1:12">
      <c r="A19" s="2"/>
      <c r="B19" s="15" t="s">
        <v>4</v>
      </c>
      <c r="C19" s="16"/>
      <c r="D19" s="24">
        <f>+I77</f>
        <v>6.45</v>
      </c>
      <c r="E19" s="160">
        <f t="shared" si="1"/>
        <v>0.75</v>
      </c>
      <c r="F19" s="160">
        <f t="shared" si="1"/>
        <v>0.9</v>
      </c>
      <c r="G19" s="160">
        <f t="shared" si="1"/>
        <v>0.75</v>
      </c>
      <c r="H19" s="160">
        <f t="shared" si="1"/>
        <v>0.9</v>
      </c>
      <c r="I19" s="1154">
        <f t="shared" si="0"/>
        <v>4.8375000000000004</v>
      </c>
      <c r="J19" s="1154">
        <f t="shared" si="0"/>
        <v>5.8050000000000006</v>
      </c>
      <c r="K19" s="1154">
        <f t="shared" si="0"/>
        <v>4.8375000000000004</v>
      </c>
      <c r="L19" s="1155">
        <f t="shared" si="0"/>
        <v>5.8050000000000006</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836.95</v>
      </c>
      <c r="E25" s="28"/>
      <c r="F25" s="28"/>
      <c r="G25" s="28"/>
      <c r="H25" s="28"/>
      <c r="I25" s="1159">
        <f>SUM(I16:I24)</f>
        <v>166.08750000000001</v>
      </c>
      <c r="J25" s="1159">
        <f>SUM(J16:J24)</f>
        <v>199.30500000000004</v>
      </c>
      <c r="K25" s="1159">
        <f>SUM(K16:K24)</f>
        <v>166.08750000000001</v>
      </c>
      <c r="L25" s="1160">
        <f>SUM(L16:L24)</f>
        <v>199.30500000000004</v>
      </c>
    </row>
    <row r="27" spans="1:12" ht="15.75">
      <c r="A27" s="2"/>
      <c r="B27" s="50" t="s">
        <v>28</v>
      </c>
      <c r="C27" s="2"/>
      <c r="D27" s="2"/>
      <c r="E27" s="2"/>
      <c r="F27" s="2"/>
      <c r="G27" s="2"/>
      <c r="H27" s="2"/>
      <c r="I27" s="5"/>
    </row>
    <row r="28" spans="1:12">
      <c r="A28" s="2"/>
      <c r="B28" s="29" t="s">
        <v>2384</v>
      </c>
      <c r="C28" s="30"/>
      <c r="D28" s="30"/>
      <c r="E28" s="31"/>
      <c r="F28" s="31"/>
      <c r="G28" s="31"/>
      <c r="H28" s="31"/>
      <c r="I28" s="32"/>
    </row>
    <row r="29" spans="1:12" ht="12.75" customHeight="1">
      <c r="A29" s="2"/>
      <c r="B29" s="2023" t="s">
        <v>2388</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125</v>
      </c>
    </row>
    <row r="41" spans="1:9">
      <c r="A41" s="2"/>
      <c r="B41" s="1174"/>
      <c r="C41" s="35"/>
      <c r="D41" s="1167" t="s">
        <v>447</v>
      </c>
      <c r="E41" s="1167" t="s">
        <v>448</v>
      </c>
      <c r="F41" s="1167" t="s">
        <v>449</v>
      </c>
      <c r="G41" s="1167" t="s">
        <v>450</v>
      </c>
      <c r="H41" s="35"/>
      <c r="I41" s="46"/>
    </row>
    <row r="42" spans="1:9">
      <c r="A42" s="2"/>
      <c r="B42" s="40" t="s">
        <v>451</v>
      </c>
      <c r="C42" s="6"/>
      <c r="D42" s="1168" t="s">
        <v>452</v>
      </c>
      <c r="E42" s="1169">
        <f>+'[37]Core Rates'!C203</f>
        <v>8.75</v>
      </c>
      <c r="F42" s="1170">
        <v>0</v>
      </c>
      <c r="G42" s="1171">
        <f t="shared" ref="G42:G50" si="2">+F42*E42</f>
        <v>0</v>
      </c>
      <c r="H42" s="35"/>
      <c r="I42" s="36"/>
    </row>
    <row r="43" spans="1:9">
      <c r="A43" s="2"/>
      <c r="B43" s="1184" t="s">
        <v>453</v>
      </c>
      <c r="C43" s="6"/>
      <c r="D43" s="1185" t="s">
        <v>454</v>
      </c>
      <c r="E43" s="1169">
        <f>+'[37]Core Rates'!C228</f>
        <v>0.82427536231884069</v>
      </c>
      <c r="F43" s="1170">
        <v>0</v>
      </c>
      <c r="G43" s="1171">
        <f t="shared" si="2"/>
        <v>0</v>
      </c>
      <c r="H43" s="35"/>
      <c r="I43" s="36"/>
    </row>
    <row r="44" spans="1:9">
      <c r="A44" s="2"/>
      <c r="B44" s="1186" t="s">
        <v>455</v>
      </c>
      <c r="C44" s="1187"/>
      <c r="D44" s="1185" t="s">
        <v>454</v>
      </c>
      <c r="E44" s="1169">
        <f>+'[37]Core Rates'!C235</f>
        <v>1.1702898550724636</v>
      </c>
      <c r="F44" s="1170">
        <v>0</v>
      </c>
      <c r="G44" s="1171">
        <f t="shared" si="2"/>
        <v>0</v>
      </c>
      <c r="H44" s="35"/>
      <c r="I44" s="36"/>
    </row>
    <row r="45" spans="1:9">
      <c r="A45" s="2"/>
      <c r="B45" s="1186" t="s">
        <v>456</v>
      </c>
      <c r="C45" s="1187"/>
      <c r="D45" s="1168" t="s">
        <v>454</v>
      </c>
      <c r="E45" s="1169">
        <f>+'[37]Core Rates'!C246</f>
        <v>0.58825136612021856</v>
      </c>
      <c r="F45" s="1170">
        <v>0</v>
      </c>
      <c r="G45" s="1171">
        <f t="shared" si="2"/>
        <v>0</v>
      </c>
      <c r="H45" s="35"/>
      <c r="I45" s="36"/>
    </row>
    <row r="46" spans="1:9">
      <c r="A46" s="2"/>
      <c r="B46" s="1188" t="str">
        <f>+'[37]Core Rates'!A342</f>
        <v>Tree seedlings</v>
      </c>
      <c r="C46" s="1187"/>
      <c r="D46" s="1189" t="str">
        <f>+'[37]Core Rates'!B342</f>
        <v>Ea</v>
      </c>
      <c r="E46" s="1169">
        <f>+'[37]Core Rates'!C342</f>
        <v>0.5</v>
      </c>
      <c r="F46" s="1170">
        <v>250</v>
      </c>
      <c r="G46" s="1171">
        <f t="shared" si="2"/>
        <v>125</v>
      </c>
      <c r="H46" s="35"/>
      <c r="I46" s="36"/>
    </row>
    <row r="47" spans="1:9">
      <c r="A47" s="2"/>
      <c r="B47" s="1186" t="str">
        <f>+'[37]Core Rates'!A310</f>
        <v>Seed (Orchard grass)</v>
      </c>
      <c r="C47" s="1187"/>
      <c r="D47" s="1185" t="s">
        <v>454</v>
      </c>
      <c r="E47" s="1169">
        <f>+'[37]Core Rates 2011'!BE307</f>
        <v>1.68</v>
      </c>
      <c r="F47" s="1170">
        <v>0</v>
      </c>
      <c r="G47" s="1171">
        <f t="shared" si="2"/>
        <v>0</v>
      </c>
      <c r="H47" s="35"/>
      <c r="I47" s="36"/>
    </row>
    <row r="48" spans="1:9">
      <c r="A48" s="2"/>
      <c r="B48" s="1186" t="str">
        <f>+'[37]Core Rates'!A312</f>
        <v>Seed (Red Clover)</v>
      </c>
      <c r="C48" s="1187"/>
      <c r="D48" s="1185" t="s">
        <v>454</v>
      </c>
      <c r="E48" s="1169">
        <f>+'[37]Core Rates 2011'!BE309</f>
        <v>2.75</v>
      </c>
      <c r="F48" s="1170">
        <v>0</v>
      </c>
      <c r="G48" s="1171">
        <f t="shared" si="2"/>
        <v>0</v>
      </c>
      <c r="H48" s="35"/>
      <c r="I48" s="36"/>
    </row>
    <row r="49" spans="1:9">
      <c r="A49" s="2"/>
      <c r="B49" s="1186" t="str">
        <f>+'[37]Core Rates'!A315</f>
        <v>Seed (Wheat)</v>
      </c>
      <c r="C49" s="1187"/>
      <c r="D49" s="1185" t="s">
        <v>454</v>
      </c>
      <c r="E49" s="1169">
        <f>+'[37]Core Rates 2011'!BE312</f>
        <v>0.31</v>
      </c>
      <c r="F49" s="1170">
        <v>0</v>
      </c>
      <c r="G49" s="1171">
        <f t="shared" si="2"/>
        <v>0</v>
      </c>
      <c r="H49" s="35"/>
      <c r="I49" s="36"/>
    </row>
    <row r="50" spans="1:9">
      <c r="A50" s="2"/>
      <c r="B50" s="1186" t="str">
        <f>+'[37]Core Rates'!A314</f>
        <v>Seed (Redtop)</v>
      </c>
      <c r="C50" s="1187"/>
      <c r="D50" s="1185" t="s">
        <v>454</v>
      </c>
      <c r="E50" s="1169">
        <f>+'[37]Core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76.5</v>
      </c>
    </row>
    <row r="57" spans="1:9">
      <c r="A57" s="2"/>
      <c r="B57" s="1174"/>
      <c r="C57" s="35"/>
      <c r="D57" s="1167" t="s">
        <v>447</v>
      </c>
      <c r="E57" s="1167" t="s">
        <v>448</v>
      </c>
      <c r="F57" s="1167" t="s">
        <v>449</v>
      </c>
      <c r="G57" s="1167" t="s">
        <v>450</v>
      </c>
      <c r="H57" s="35"/>
      <c r="I57" s="46"/>
    </row>
    <row r="58" spans="1:9">
      <c r="A58" s="2"/>
      <c r="B58" s="1191" t="s">
        <v>460</v>
      </c>
      <c r="C58" s="6"/>
      <c r="D58" s="1168" t="s">
        <v>408</v>
      </c>
      <c r="E58" s="1169">
        <f>+'[37]Core Rates 2011'!BE145</f>
        <v>36.5</v>
      </c>
      <c r="F58" s="1170">
        <v>0</v>
      </c>
      <c r="G58" s="1171">
        <f t="shared" ref="G58:G64" si="3">+F58*E58</f>
        <v>0</v>
      </c>
      <c r="H58" s="35"/>
      <c r="I58" s="47"/>
    </row>
    <row r="59" spans="1:9">
      <c r="A59" s="2"/>
      <c r="B59" s="1191" t="str">
        <f>+'[37]Core Rates'!A340</f>
        <v>Tree Planting</v>
      </c>
      <c r="C59" s="6"/>
      <c r="D59" s="1168" t="s">
        <v>408</v>
      </c>
      <c r="E59" s="1169">
        <f>+'[37]Core Rates'!C340</f>
        <v>90</v>
      </c>
      <c r="F59" s="1170">
        <v>1</v>
      </c>
      <c r="G59" s="1171">
        <f t="shared" si="3"/>
        <v>90</v>
      </c>
      <c r="H59" s="35"/>
      <c r="I59" s="47"/>
    </row>
    <row r="60" spans="1:9">
      <c r="A60" s="2"/>
      <c r="B60" s="40" t="s">
        <v>461</v>
      </c>
      <c r="C60" s="6"/>
      <c r="D60" s="1168" t="s">
        <v>408</v>
      </c>
      <c r="E60" s="1169">
        <f>+'[37]Core Rates'!C104</f>
        <v>20</v>
      </c>
      <c r="F60" s="1170">
        <v>0</v>
      </c>
      <c r="G60" s="1171">
        <f t="shared" si="3"/>
        <v>0</v>
      </c>
      <c r="H60" s="35"/>
      <c r="I60" s="47"/>
    </row>
    <row r="61" spans="1:9">
      <c r="A61" s="2"/>
      <c r="B61" s="1191" t="str">
        <f>+'[37]Core Rates'!A216</f>
        <v>Mowing</v>
      </c>
      <c r="C61" s="6"/>
      <c r="D61" s="1189" t="s">
        <v>408</v>
      </c>
      <c r="E61" s="1189">
        <f>+'[37]Core Rates'!C216</f>
        <v>15.5</v>
      </c>
      <c r="F61" s="1170">
        <v>0</v>
      </c>
      <c r="G61" s="1171">
        <f t="shared" si="3"/>
        <v>0</v>
      </c>
      <c r="H61" s="35"/>
      <c r="I61" s="47"/>
    </row>
    <row r="62" spans="1:9">
      <c r="A62" s="2"/>
      <c r="B62" s="40" t="s">
        <v>462</v>
      </c>
      <c r="C62" s="6"/>
      <c r="D62" s="1168" t="s">
        <v>408</v>
      </c>
      <c r="E62" s="1169">
        <f>+'[37]Core Rates'!AN33</f>
        <v>5.416666666666667</v>
      </c>
      <c r="F62" s="1170">
        <v>0</v>
      </c>
      <c r="G62" s="1171">
        <f t="shared" si="3"/>
        <v>0</v>
      </c>
      <c r="H62" s="35"/>
      <c r="I62" s="47"/>
    </row>
    <row r="63" spans="1:9">
      <c r="A63" s="2"/>
      <c r="B63" s="40" t="s">
        <v>463</v>
      </c>
      <c r="C63" s="6"/>
      <c r="D63" s="1168" t="s">
        <v>452</v>
      </c>
      <c r="E63" s="1169">
        <f>+'[37]Core Rates'!AN34</f>
        <v>5.5</v>
      </c>
      <c r="F63" s="1170">
        <v>0</v>
      </c>
      <c r="G63" s="1171">
        <f t="shared" si="3"/>
        <v>0</v>
      </c>
      <c r="H63" s="35"/>
      <c r="I63" s="47"/>
    </row>
    <row r="64" spans="1:9">
      <c r="A64" s="2"/>
      <c r="B64" s="40" t="s">
        <v>464</v>
      </c>
      <c r="C64" s="6"/>
      <c r="D64" s="1168" t="s">
        <v>452</v>
      </c>
      <c r="E64" s="1169">
        <f>+'[37]Core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13.5</v>
      </c>
    </row>
    <row r="72" spans="1:9">
      <c r="A72" s="2"/>
      <c r="B72" s="2007" t="s">
        <v>465</v>
      </c>
      <c r="C72" s="2008"/>
      <c r="D72" s="35"/>
      <c r="E72" s="35"/>
      <c r="F72" s="35"/>
      <c r="G72" s="35"/>
      <c r="H72" s="35"/>
      <c r="I72" s="48"/>
    </row>
    <row r="73" spans="1:9">
      <c r="A73" s="2"/>
      <c r="B73" s="37" t="s">
        <v>466</v>
      </c>
      <c r="C73" s="39"/>
      <c r="D73" s="39"/>
      <c r="E73" s="153">
        <f>SUM(G58:G64)*0.15</f>
        <v>13.5</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6.45</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+'[37]Core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221.45</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836.95</v>
      </c>
    </row>
  </sheetData>
  <mergeCells count="5">
    <mergeCell ref="B1:D1"/>
    <mergeCell ref="B29:I31"/>
    <mergeCell ref="E56:H56"/>
    <mergeCell ref="B67:I68"/>
    <mergeCell ref="B72:C72"/>
  </mergeCells>
  <pageMargins left="0.7" right="0.7" top="0.75" bottom="0.75" header="0.3" footer="0.3"/>
</worksheet>
</file>

<file path=xl/worksheets/sheet209.xml><?xml version="1.0" encoding="utf-8"?>
<worksheet xmlns="http://schemas.openxmlformats.org/spreadsheetml/2006/main" xmlns:r="http://schemas.openxmlformats.org/officeDocument/2006/relationships">
  <dimension ref="A1:L99"/>
  <sheetViews>
    <sheetView topLeftCell="A37" zoomScale="75" zoomScaleNormal="75" workbookViewId="0">
      <selection activeCell="B54" sqref="B54:I55"/>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9.8554687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612</v>
      </c>
      <c r="C6" s="7" t="str">
        <f>+E12</f>
        <v>EQIP</v>
      </c>
      <c r="D6" s="53" t="s">
        <v>1448</v>
      </c>
      <c r="E6" s="110" t="s">
        <v>2389</v>
      </c>
      <c r="F6" s="7" t="s">
        <v>394</v>
      </c>
      <c r="G6" s="85">
        <f>+I25</f>
        <v>169.75687500000001</v>
      </c>
    </row>
    <row r="7" spans="1:12" ht="25.5">
      <c r="A7" s="2"/>
      <c r="B7" s="54">
        <f>+B6</f>
        <v>612</v>
      </c>
      <c r="C7" s="7" t="str">
        <f>+C6</f>
        <v>EQIP</v>
      </c>
      <c r="D7" s="53" t="s">
        <v>1448</v>
      </c>
      <c r="E7" s="110" t="str">
        <f>CONCATENATE(E6, "-HU")</f>
        <v>Tree &amp; Shrub Est.-Enrichment Planting w/herb. Req'd 100-200 seedlings-HU</v>
      </c>
      <c r="F7" s="7" t="str">
        <f>+F6</f>
        <v>Acre</v>
      </c>
      <c r="G7" s="85">
        <f>+J25</f>
        <v>203.70824999999996</v>
      </c>
    </row>
    <row r="8" spans="1:12" ht="25.5">
      <c r="A8" s="2"/>
      <c r="B8" s="54">
        <v>612</v>
      </c>
      <c r="C8" s="7" t="str">
        <f>+G12</f>
        <v>WHIP</v>
      </c>
      <c r="D8" s="53" t="s">
        <v>1448</v>
      </c>
      <c r="E8" s="110" t="s">
        <v>2389</v>
      </c>
      <c r="F8" s="7" t="s">
        <v>394</v>
      </c>
      <c r="G8" s="85">
        <f>+K25</f>
        <v>169.75687500000001</v>
      </c>
    </row>
    <row r="9" spans="1:12" ht="25.5">
      <c r="A9" s="2"/>
      <c r="B9" s="8">
        <f>+B8</f>
        <v>612</v>
      </c>
      <c r="C9" s="10" t="str">
        <f>+C8</f>
        <v>WHIP</v>
      </c>
      <c r="D9" s="9" t="s">
        <v>1448</v>
      </c>
      <c r="E9" s="110" t="s">
        <v>2383</v>
      </c>
      <c r="F9" s="10" t="str">
        <f>+F8</f>
        <v>Acre</v>
      </c>
      <c r="G9" s="86">
        <f>+L25</f>
        <v>203.70824999999996</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75</v>
      </c>
      <c r="E16" s="160">
        <f>+'[10]Payment Factors'!D42</f>
        <v>0.75</v>
      </c>
      <c r="F16" s="160">
        <f>+'[10]Payment Factors'!E42</f>
        <v>0.9</v>
      </c>
      <c r="G16" s="160">
        <f>+'[10]Payment Factors'!F42</f>
        <v>0.75</v>
      </c>
      <c r="H16" s="160">
        <f>+'[10]Payment Factors'!G42</f>
        <v>0.9</v>
      </c>
      <c r="I16" s="1154">
        <f t="shared" ref="I16:L24" si="0">+$D16*E16</f>
        <v>56.25</v>
      </c>
      <c r="J16" s="1154">
        <f t="shared" si="0"/>
        <v>67.5</v>
      </c>
      <c r="K16" s="1154">
        <f t="shared" si="0"/>
        <v>56.25</v>
      </c>
      <c r="L16" s="1155">
        <f t="shared" si="0"/>
        <v>67.5</v>
      </c>
    </row>
    <row r="17" spans="1:12">
      <c r="A17" s="2"/>
      <c r="B17" s="15" t="s">
        <v>2</v>
      </c>
      <c r="C17" s="16"/>
      <c r="D17" s="24">
        <f>+I56</f>
        <v>123.03749999999999</v>
      </c>
      <c r="E17" s="160">
        <f t="shared" ref="E17:H19" si="1">+E16</f>
        <v>0.75</v>
      </c>
      <c r="F17" s="160">
        <f t="shared" si="1"/>
        <v>0.9</v>
      </c>
      <c r="G17" s="160">
        <f t="shared" si="1"/>
        <v>0.75</v>
      </c>
      <c r="H17" s="160">
        <f t="shared" si="1"/>
        <v>0.9</v>
      </c>
      <c r="I17" s="1154">
        <f t="shared" si="0"/>
        <v>92.278124999999989</v>
      </c>
      <c r="J17" s="1154">
        <f t="shared" si="0"/>
        <v>110.73375</v>
      </c>
      <c r="K17" s="1154">
        <f t="shared" si="0"/>
        <v>92.278124999999989</v>
      </c>
      <c r="L17" s="1155">
        <f t="shared" si="0"/>
        <v>110.73375</v>
      </c>
    </row>
    <row r="18" spans="1:12">
      <c r="A18" s="2"/>
      <c r="B18" s="15" t="s">
        <v>3</v>
      </c>
      <c r="C18" s="16"/>
      <c r="D18" s="24">
        <f>+I71</f>
        <v>21.712499999999999</v>
      </c>
      <c r="E18" s="160">
        <f t="shared" si="1"/>
        <v>0.75</v>
      </c>
      <c r="F18" s="160">
        <f t="shared" si="1"/>
        <v>0.9</v>
      </c>
      <c r="G18" s="160">
        <f t="shared" si="1"/>
        <v>0.75</v>
      </c>
      <c r="H18" s="160">
        <f t="shared" si="1"/>
        <v>0.9</v>
      </c>
      <c r="I18" s="1154">
        <f t="shared" si="0"/>
        <v>16.284374999999997</v>
      </c>
      <c r="J18" s="1154">
        <f t="shared" si="0"/>
        <v>19.541249999999998</v>
      </c>
      <c r="K18" s="1154">
        <f t="shared" si="0"/>
        <v>16.284374999999997</v>
      </c>
      <c r="L18" s="1155">
        <f t="shared" si="0"/>
        <v>19.541249999999998</v>
      </c>
    </row>
    <row r="19" spans="1:12">
      <c r="A19" s="2"/>
      <c r="B19" s="15" t="s">
        <v>4</v>
      </c>
      <c r="C19" s="16"/>
      <c r="D19" s="24">
        <f>+I77</f>
        <v>6.5924999999999994</v>
      </c>
      <c r="E19" s="160">
        <f t="shared" si="1"/>
        <v>0.75</v>
      </c>
      <c r="F19" s="160">
        <f t="shared" si="1"/>
        <v>0.9</v>
      </c>
      <c r="G19" s="160">
        <f t="shared" si="1"/>
        <v>0.75</v>
      </c>
      <c r="H19" s="160">
        <f t="shared" si="1"/>
        <v>0.9</v>
      </c>
      <c r="I19" s="1154">
        <f t="shared" si="0"/>
        <v>4.9443749999999991</v>
      </c>
      <c r="J19" s="1154">
        <f t="shared" si="0"/>
        <v>5.9332499999999992</v>
      </c>
      <c r="K19" s="1154">
        <f t="shared" si="0"/>
        <v>4.9443749999999991</v>
      </c>
      <c r="L19" s="1155">
        <f t="shared" si="0"/>
        <v>5.9332499999999992</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841.84249999999997</v>
      </c>
      <c r="E25" s="28"/>
      <c r="F25" s="28"/>
      <c r="G25" s="28"/>
      <c r="H25" s="28"/>
      <c r="I25" s="1159">
        <f>SUM(I16:I24)</f>
        <v>169.75687500000001</v>
      </c>
      <c r="J25" s="1159">
        <f>SUM(J16:J24)</f>
        <v>203.70824999999996</v>
      </c>
      <c r="K25" s="1159">
        <f>SUM(K16:K24)</f>
        <v>169.75687500000001</v>
      </c>
      <c r="L25" s="1160">
        <f>SUM(L16:L24)</f>
        <v>203.70824999999996</v>
      </c>
    </row>
    <row r="27" spans="1:12" ht="15.75">
      <c r="A27" s="2"/>
      <c r="B27" s="50" t="s">
        <v>28</v>
      </c>
      <c r="C27" s="2"/>
      <c r="D27" s="2"/>
      <c r="E27" s="2"/>
      <c r="F27" s="2"/>
      <c r="G27" s="2"/>
      <c r="H27" s="2"/>
      <c r="I27" s="5"/>
    </row>
    <row r="28" spans="1:12">
      <c r="A28" s="2"/>
      <c r="B28" s="29" t="s">
        <v>2390</v>
      </c>
      <c r="C28" s="30"/>
      <c r="D28" s="30"/>
      <c r="E28" s="31"/>
      <c r="F28" s="31"/>
      <c r="G28" s="31"/>
      <c r="H28" s="31"/>
      <c r="I28" s="32"/>
    </row>
    <row r="29" spans="1:12">
      <c r="A29" s="2"/>
      <c r="B29" s="2023" t="s">
        <v>2391</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75</v>
      </c>
    </row>
    <row r="41" spans="1:9">
      <c r="A41" s="2"/>
      <c r="B41" s="1174"/>
      <c r="C41" s="35"/>
      <c r="D41" s="1167" t="s">
        <v>447</v>
      </c>
      <c r="E41" s="1167" t="s">
        <v>448</v>
      </c>
      <c r="F41" s="1167" t="s">
        <v>449</v>
      </c>
      <c r="G41" s="1167" t="s">
        <v>450</v>
      </c>
      <c r="H41" s="35"/>
      <c r="I41" s="46"/>
    </row>
    <row r="42" spans="1:9">
      <c r="A42" s="2"/>
      <c r="B42" s="40" t="s">
        <v>451</v>
      </c>
      <c r="C42" s="6"/>
      <c r="D42" s="1168" t="s">
        <v>452</v>
      </c>
      <c r="E42" s="1169">
        <f>+'[37]Core Rates'!C203</f>
        <v>8.75</v>
      </c>
      <c r="F42" s="1170">
        <v>0</v>
      </c>
      <c r="G42" s="1171">
        <f t="shared" ref="G42:G50" si="2">+F42*E42</f>
        <v>0</v>
      </c>
      <c r="H42" s="35"/>
      <c r="I42" s="36"/>
    </row>
    <row r="43" spans="1:9">
      <c r="A43" s="2"/>
      <c r="B43" s="1184" t="s">
        <v>453</v>
      </c>
      <c r="C43" s="6"/>
      <c r="D43" s="1185" t="s">
        <v>454</v>
      </c>
      <c r="E43" s="1169">
        <f>+'[37]Core Rates'!C228</f>
        <v>0.82427536231884069</v>
      </c>
      <c r="F43" s="1170">
        <v>0</v>
      </c>
      <c r="G43" s="1171">
        <f t="shared" si="2"/>
        <v>0</v>
      </c>
      <c r="H43" s="35"/>
      <c r="I43" s="36"/>
    </row>
    <row r="44" spans="1:9">
      <c r="A44" s="2"/>
      <c r="B44" s="1186" t="s">
        <v>455</v>
      </c>
      <c r="C44" s="1187"/>
      <c r="D44" s="1185" t="s">
        <v>454</v>
      </c>
      <c r="E44" s="1169">
        <f>+'[37]Core Rates'!C235</f>
        <v>1.1702898550724636</v>
      </c>
      <c r="F44" s="1170">
        <v>0</v>
      </c>
      <c r="G44" s="1171">
        <f t="shared" si="2"/>
        <v>0</v>
      </c>
      <c r="H44" s="35"/>
      <c r="I44" s="36"/>
    </row>
    <row r="45" spans="1:9">
      <c r="A45" s="2"/>
      <c r="B45" s="1186" t="s">
        <v>456</v>
      </c>
      <c r="C45" s="1187"/>
      <c r="D45" s="1168" t="s">
        <v>454</v>
      </c>
      <c r="E45" s="1169">
        <f>+'[37]Core Rates'!C246</f>
        <v>0.58825136612021856</v>
      </c>
      <c r="F45" s="1170">
        <v>0</v>
      </c>
      <c r="G45" s="1171">
        <f t="shared" si="2"/>
        <v>0</v>
      </c>
      <c r="H45" s="35"/>
      <c r="I45" s="36"/>
    </row>
    <row r="46" spans="1:9">
      <c r="A46" s="2"/>
      <c r="B46" s="1188" t="str">
        <f>+'[37]Core Rates'!A342</f>
        <v>Tree seedlings</v>
      </c>
      <c r="C46" s="1187"/>
      <c r="D46" s="1189" t="str">
        <f>+'[37]Core Rates'!B342</f>
        <v>Ea</v>
      </c>
      <c r="E46" s="1169">
        <f>+'[37]Core Rates'!C342</f>
        <v>0.5</v>
      </c>
      <c r="F46" s="1170">
        <v>150</v>
      </c>
      <c r="G46" s="1171">
        <f t="shared" si="2"/>
        <v>75</v>
      </c>
      <c r="H46" s="35"/>
      <c r="I46" s="36"/>
    </row>
    <row r="47" spans="1:9">
      <c r="A47" s="2"/>
      <c r="B47" s="1186" t="str">
        <f>+'[37]Core Rates'!A310</f>
        <v>Seed (Orchard grass)</v>
      </c>
      <c r="C47" s="1187"/>
      <c r="D47" s="1185" t="s">
        <v>454</v>
      </c>
      <c r="E47" s="1169">
        <f>+'[37]Core Rates 2011'!BE307</f>
        <v>1.68</v>
      </c>
      <c r="F47" s="1170">
        <v>0</v>
      </c>
      <c r="G47" s="1171">
        <f t="shared" si="2"/>
        <v>0</v>
      </c>
      <c r="H47" s="35"/>
      <c r="I47" s="36"/>
    </row>
    <row r="48" spans="1:9">
      <c r="A48" s="2"/>
      <c r="B48" s="1186" t="str">
        <f>+'[37]Core Rates'!A312</f>
        <v>Seed (Red Clover)</v>
      </c>
      <c r="C48" s="1187"/>
      <c r="D48" s="1185" t="s">
        <v>454</v>
      </c>
      <c r="E48" s="1169">
        <f>+'[37]Core Rates 2011'!BE309</f>
        <v>2.75</v>
      </c>
      <c r="F48" s="1170">
        <v>0</v>
      </c>
      <c r="G48" s="1171">
        <f t="shared" si="2"/>
        <v>0</v>
      </c>
      <c r="H48" s="35"/>
      <c r="I48" s="36"/>
    </row>
    <row r="49" spans="1:9">
      <c r="A49" s="2"/>
      <c r="B49" s="1186" t="str">
        <f>+'[37]Core Rates'!A315</f>
        <v>Seed (Wheat)</v>
      </c>
      <c r="C49" s="1187"/>
      <c r="D49" s="1185" t="s">
        <v>454</v>
      </c>
      <c r="E49" s="1169">
        <f>+'[37]Core Rates 2011'!BE312</f>
        <v>0.31</v>
      </c>
      <c r="F49" s="1170">
        <v>0</v>
      </c>
      <c r="G49" s="1171">
        <f t="shared" si="2"/>
        <v>0</v>
      </c>
      <c r="H49" s="35"/>
      <c r="I49" s="36"/>
    </row>
    <row r="50" spans="1:9">
      <c r="A50" s="2"/>
      <c r="B50" s="1186" t="str">
        <f>+'[37]Core Rates'!A314</f>
        <v>Seed (Redtop)</v>
      </c>
      <c r="C50" s="1187"/>
      <c r="D50" s="1185" t="s">
        <v>454</v>
      </c>
      <c r="E50" s="1169">
        <f>+'[37]Core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123.03749999999999</v>
      </c>
    </row>
    <row r="57" spans="1:9">
      <c r="A57" s="2"/>
      <c r="B57" s="1174"/>
      <c r="C57" s="35"/>
      <c r="D57" s="1167" t="s">
        <v>447</v>
      </c>
      <c r="E57" s="1167" t="s">
        <v>448</v>
      </c>
      <c r="F57" s="1167" t="s">
        <v>449</v>
      </c>
      <c r="G57" s="1167" t="s">
        <v>450</v>
      </c>
      <c r="H57" s="35"/>
      <c r="I57" s="46"/>
    </row>
    <row r="58" spans="1:9">
      <c r="A58" s="2"/>
      <c r="B58" s="1191" t="s">
        <v>460</v>
      </c>
      <c r="C58" s="6"/>
      <c r="D58" s="1168" t="s">
        <v>408</v>
      </c>
      <c r="E58" s="1169">
        <f>+'[37]Core Rates 2011'!BE145</f>
        <v>36.5</v>
      </c>
      <c r="F58" s="1170">
        <v>1.5</v>
      </c>
      <c r="G58" s="1171">
        <f t="shared" ref="G58:G64" si="3">+F58*E58</f>
        <v>54.75</v>
      </c>
      <c r="H58" s="35"/>
      <c r="I58" s="47"/>
    </row>
    <row r="59" spans="1:9">
      <c r="A59" s="2"/>
      <c r="B59" s="1191" t="str">
        <f>+'[37]Core Rates'!A340</f>
        <v>Tree Planting</v>
      </c>
      <c r="C59" s="6"/>
      <c r="D59" s="1168" t="s">
        <v>408</v>
      </c>
      <c r="E59" s="1169">
        <f>+'[37]Core Rates'!C340</f>
        <v>90</v>
      </c>
      <c r="F59" s="1170">
        <v>1</v>
      </c>
      <c r="G59" s="1171">
        <f t="shared" si="3"/>
        <v>90</v>
      </c>
      <c r="H59" s="35"/>
      <c r="I59" s="47"/>
    </row>
    <row r="60" spans="1:9">
      <c r="A60" s="2"/>
      <c r="B60" s="40" t="s">
        <v>461</v>
      </c>
      <c r="C60" s="6"/>
      <c r="D60" s="1168" t="s">
        <v>408</v>
      </c>
      <c r="E60" s="1169">
        <f>+'[37]Core Rates'!C104</f>
        <v>20</v>
      </c>
      <c r="F60" s="1170">
        <v>0</v>
      </c>
      <c r="G60" s="1171">
        <f t="shared" si="3"/>
        <v>0</v>
      </c>
      <c r="H60" s="35"/>
      <c r="I60" s="47"/>
    </row>
    <row r="61" spans="1:9">
      <c r="A61" s="2"/>
      <c r="B61" s="1191" t="str">
        <f>+'[37]Core Rates'!A216</f>
        <v>Mowing</v>
      </c>
      <c r="C61" s="6"/>
      <c r="D61" s="1189" t="s">
        <v>408</v>
      </c>
      <c r="E61" s="1189">
        <f>+'[37]Core Rates'!C216</f>
        <v>15.5</v>
      </c>
      <c r="F61" s="1170">
        <v>0</v>
      </c>
      <c r="G61" s="1171">
        <f t="shared" si="3"/>
        <v>0</v>
      </c>
      <c r="H61" s="35"/>
      <c r="I61" s="47"/>
    </row>
    <row r="62" spans="1:9">
      <c r="A62" s="2"/>
      <c r="B62" s="40" t="s">
        <v>462</v>
      </c>
      <c r="C62" s="6"/>
      <c r="D62" s="1168" t="s">
        <v>408</v>
      </c>
      <c r="E62" s="1169">
        <f>+'[37]Core Rates'!AN33</f>
        <v>5.416666666666667</v>
      </c>
      <c r="F62" s="1170">
        <v>0</v>
      </c>
      <c r="G62" s="1171">
        <f t="shared" si="3"/>
        <v>0</v>
      </c>
      <c r="H62" s="35"/>
      <c r="I62" s="47"/>
    </row>
    <row r="63" spans="1:9">
      <c r="A63" s="2"/>
      <c r="B63" s="40" t="s">
        <v>463</v>
      </c>
      <c r="C63" s="6"/>
      <c r="D63" s="1168" t="s">
        <v>452</v>
      </c>
      <c r="E63" s="1169">
        <f>+'[37]Core Rates'!AN34</f>
        <v>5.5</v>
      </c>
      <c r="F63" s="1170">
        <v>0</v>
      </c>
      <c r="G63" s="1171">
        <f t="shared" si="3"/>
        <v>0</v>
      </c>
      <c r="H63" s="35"/>
      <c r="I63" s="47"/>
    </row>
    <row r="64" spans="1:9">
      <c r="A64" s="2"/>
      <c r="B64" s="40" t="s">
        <v>464</v>
      </c>
      <c r="C64" s="6"/>
      <c r="D64" s="1168" t="s">
        <v>452</v>
      </c>
      <c r="E64" s="1169">
        <f>+'[37]Core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21.712499999999999</v>
      </c>
    </row>
    <row r="72" spans="1:9">
      <c r="A72" s="2"/>
      <c r="B72" s="2007" t="s">
        <v>465</v>
      </c>
      <c r="C72" s="2008"/>
      <c r="D72" s="35"/>
      <c r="E72" s="35"/>
      <c r="F72" s="35"/>
      <c r="G72" s="35"/>
      <c r="H72" s="35"/>
      <c r="I72" s="48"/>
    </row>
    <row r="73" spans="1:9">
      <c r="A73" s="2"/>
      <c r="B73" s="37" t="s">
        <v>466</v>
      </c>
      <c r="C73" s="39"/>
      <c r="D73" s="39"/>
      <c r="E73" s="153">
        <f>SUM(G58:G64)*0.15</f>
        <v>21.712499999999999</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6.5924999999999994</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+'[37]Core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226.3425</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841.84249999999997</v>
      </c>
    </row>
  </sheetData>
  <mergeCells count="5">
    <mergeCell ref="B1:D1"/>
    <mergeCell ref="B29:I31"/>
    <mergeCell ref="E56:H56"/>
    <mergeCell ref="B67:I68"/>
    <mergeCell ref="B72:C72"/>
  </mergeCells>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B1:P107"/>
  <sheetViews>
    <sheetView zoomScaleNormal="100" workbookViewId="0">
      <selection activeCell="L28" sqref="L28"/>
    </sheetView>
  </sheetViews>
  <sheetFormatPr defaultRowHeight="12.75"/>
  <cols>
    <col min="1" max="1" width="1.85546875" style="2" customWidth="1"/>
    <col min="2" max="2" width="11.5703125" style="2" customWidth="1"/>
    <col min="3" max="3" width="18.7109375" style="2" customWidth="1"/>
    <col min="4" max="4" width="23.5703125" style="2" customWidth="1"/>
    <col min="5" max="5" width="21.5703125" style="2" customWidth="1"/>
    <col min="6" max="6" width="10.85546875" style="2" customWidth="1"/>
    <col min="7" max="7" width="10.42578125" style="2" customWidth="1"/>
    <col min="8" max="8" width="9.140625" style="2" bestFit="1" customWidth="1"/>
    <col min="9" max="9" width="11" style="2" customWidth="1"/>
    <col min="10" max="10" width="1.4257812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5.5">
      <c r="B2" s="177" t="s">
        <v>42</v>
      </c>
      <c r="C2" s="79">
        <v>110</v>
      </c>
      <c r="D2" s="107" t="s">
        <v>163</v>
      </c>
      <c r="E2" s="107" t="s">
        <v>176</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25.5">
      <c r="B6" s="54">
        <v>110</v>
      </c>
      <c r="C6" s="7" t="str">
        <f>+E10</f>
        <v>EQIP</v>
      </c>
      <c r="D6" s="110" t="s">
        <v>163</v>
      </c>
      <c r="E6" s="110" t="s">
        <v>176</v>
      </c>
      <c r="F6" s="7" t="s">
        <v>38</v>
      </c>
      <c r="G6" s="85">
        <f>G23</f>
        <v>2940</v>
      </c>
      <c r="H6" s="89"/>
      <c r="I6" s="89"/>
      <c r="J6"/>
    </row>
    <row r="7" spans="2:10" ht="25.5" customHeight="1">
      <c r="B7" s="8">
        <v>110</v>
      </c>
      <c r="C7" s="10" t="s">
        <v>15</v>
      </c>
      <c r="D7" s="111" t="s">
        <v>163</v>
      </c>
      <c r="E7" s="111" t="s">
        <v>177</v>
      </c>
      <c r="F7" s="10" t="s">
        <v>38</v>
      </c>
      <c r="G7" s="86">
        <f>$H$23</f>
        <v>3528</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3920</v>
      </c>
      <c r="E16" s="160">
        <v>0.75</v>
      </c>
      <c r="F16" s="160">
        <v>0.9</v>
      </c>
      <c r="G16" s="73">
        <f t="shared" si="0"/>
        <v>2940</v>
      </c>
      <c r="H16" s="74">
        <f t="shared" si="0"/>
        <v>3528</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I60</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3920</v>
      </c>
      <c r="E23" s="28"/>
      <c r="F23" s="28"/>
      <c r="G23" s="51">
        <f>SUM(G14:G22)</f>
        <v>2940</v>
      </c>
      <c r="H23" s="77">
        <f>SUM(H14:H22)</f>
        <v>3528</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166</v>
      </c>
      <c r="E28" s="1955"/>
      <c r="F28" s="1955"/>
      <c r="G28" s="1955"/>
      <c r="H28" s="1955"/>
      <c r="I28" s="36"/>
    </row>
    <row r="29" spans="2:16" ht="7.5" customHeight="1">
      <c r="B29" s="42"/>
      <c r="C29" s="34"/>
      <c r="D29" s="115"/>
      <c r="E29" s="97"/>
      <c r="F29" s="97"/>
      <c r="G29" s="97"/>
      <c r="H29" s="97"/>
      <c r="I29" s="36"/>
    </row>
    <row r="30" spans="2:16">
      <c r="B30" s="37" t="s">
        <v>41</v>
      </c>
      <c r="C30" s="34"/>
      <c r="D30" s="1956" t="s">
        <v>167</v>
      </c>
      <c r="E30" s="1957"/>
      <c r="F30" s="1957"/>
      <c r="G30" s="1957"/>
      <c r="H30" s="1957"/>
      <c r="I30" s="36"/>
    </row>
    <row r="31" spans="2:16">
      <c r="B31" s="91" t="s">
        <v>40</v>
      </c>
      <c r="C31" s="34"/>
      <c r="D31" s="1956" t="s">
        <v>178</v>
      </c>
      <c r="E31" s="1957"/>
      <c r="F31" s="1957"/>
      <c r="G31" s="1957"/>
      <c r="H31" s="1957"/>
      <c r="I31" s="36"/>
    </row>
    <row r="32" spans="2:16" ht="56.25" customHeight="1">
      <c r="B32" s="91" t="s">
        <v>33</v>
      </c>
      <c r="C32" s="90"/>
      <c r="D32" s="1956" t="s">
        <v>169</v>
      </c>
      <c r="E32" s="1957"/>
      <c r="F32" s="1957"/>
      <c r="G32" s="1957"/>
      <c r="H32" s="1957"/>
      <c r="I32" s="36"/>
    </row>
    <row r="33" spans="2:15" ht="87.75" customHeight="1">
      <c r="B33" s="91" t="s">
        <v>35</v>
      </c>
      <c r="C33" s="90"/>
      <c r="D33" s="1956" t="s">
        <v>170</v>
      </c>
      <c r="E33" s="1957"/>
      <c r="F33" s="1957"/>
      <c r="G33" s="1957"/>
      <c r="H33" s="1957"/>
      <c r="I33" s="36"/>
    </row>
    <row r="34" spans="2:15" ht="45" customHeight="1">
      <c r="B34" s="91" t="s">
        <v>34</v>
      </c>
      <c r="C34" s="90"/>
      <c r="D34" s="1956" t="s">
        <v>171</v>
      </c>
      <c r="E34" s="1957"/>
      <c r="F34" s="1957"/>
      <c r="G34" s="1957"/>
      <c r="H34" s="1957"/>
      <c r="I34" s="36"/>
    </row>
    <row r="35" spans="2:15" ht="6" customHeight="1">
      <c r="B35" s="37"/>
      <c r="C35" s="34"/>
      <c r="D35" s="34"/>
      <c r="E35" s="35"/>
      <c r="F35" s="35"/>
      <c r="G35" s="35"/>
      <c r="H35" s="35"/>
      <c r="I35" s="36"/>
    </row>
    <row r="36" spans="2:15">
      <c r="B36" s="38" t="s">
        <v>25</v>
      </c>
      <c r="C36" s="34"/>
      <c r="D36" s="1958" t="s">
        <v>42</v>
      </c>
      <c r="E36" s="1952"/>
      <c r="F36" s="1952"/>
      <c r="G36" s="1952"/>
      <c r="H36" s="1952"/>
      <c r="I36" s="36"/>
      <c r="J36" s="49"/>
    </row>
    <row r="37" spans="2:15">
      <c r="B37" s="38" t="s">
        <v>8</v>
      </c>
      <c r="C37" s="34"/>
      <c r="D37" s="39" t="s">
        <v>38</v>
      </c>
      <c r="E37" s="35"/>
      <c r="F37" s="35"/>
      <c r="G37" s="35"/>
      <c r="H37" s="35"/>
      <c r="I37" s="36"/>
    </row>
    <row r="38" spans="2:15">
      <c r="B38" s="38" t="s">
        <v>9</v>
      </c>
      <c r="C38" s="34"/>
      <c r="D38" s="92">
        <v>1</v>
      </c>
      <c r="E38" s="35"/>
      <c r="F38" s="35"/>
      <c r="G38" s="35"/>
      <c r="H38" s="35"/>
      <c r="I38" s="36"/>
    </row>
    <row r="39" spans="2:15">
      <c r="B39" s="38" t="s">
        <v>10</v>
      </c>
      <c r="C39" s="35"/>
      <c r="D39" s="93">
        <v>0</v>
      </c>
      <c r="E39" s="35"/>
      <c r="F39" s="35"/>
      <c r="G39" s="35"/>
      <c r="H39" s="35"/>
      <c r="I39" s="96" t="s">
        <v>6</v>
      </c>
    </row>
    <row r="40" spans="2:15">
      <c r="B40" s="40"/>
      <c r="C40" s="35"/>
      <c r="D40" s="35"/>
      <c r="E40" s="41"/>
      <c r="F40" s="35"/>
      <c r="G40" s="35"/>
      <c r="H40" s="35"/>
      <c r="I40" s="149"/>
      <c r="L40" s="64"/>
      <c r="M40" s="64"/>
      <c r="N40" s="61"/>
      <c r="O40" s="61"/>
    </row>
    <row r="41" spans="2:15">
      <c r="B41" s="42" t="s">
        <v>0</v>
      </c>
      <c r="C41" s="35"/>
      <c r="D41" s="35"/>
      <c r="E41" s="35"/>
      <c r="F41" s="35"/>
      <c r="G41" s="35"/>
      <c r="H41" s="35"/>
      <c r="I41" s="46">
        <v>0</v>
      </c>
      <c r="L41" s="64"/>
      <c r="M41" s="64"/>
      <c r="N41" s="61"/>
      <c r="O41" s="61"/>
    </row>
    <row r="42" spans="2:15" ht="14.25" customHeight="1">
      <c r="B42" s="37" t="s">
        <v>39</v>
      </c>
      <c r="C42" s="35"/>
      <c r="D42" s="166"/>
      <c r="E42" s="35"/>
      <c r="F42" s="35"/>
      <c r="G42" s="35"/>
      <c r="H42" s="35"/>
      <c r="I42" s="46"/>
      <c r="L42" s="64"/>
      <c r="M42" s="61"/>
    </row>
    <row r="43" spans="2:15" ht="6" customHeight="1">
      <c r="B43" s="62"/>
      <c r="C43" s="6"/>
      <c r="D43" s="63"/>
      <c r="E43" s="35"/>
      <c r="F43" s="35"/>
      <c r="G43" s="35"/>
      <c r="H43" s="35"/>
      <c r="I43" s="46"/>
      <c r="L43" s="64"/>
      <c r="M43" s="61"/>
    </row>
    <row r="44" spans="2:15">
      <c r="B44" s="42" t="s">
        <v>2</v>
      </c>
      <c r="C44" s="35"/>
      <c r="D44" s="66"/>
      <c r="E44" s="35"/>
      <c r="F44" s="35"/>
      <c r="G44" s="35"/>
      <c r="H44" s="35"/>
      <c r="I44" s="46">
        <v>0</v>
      </c>
      <c r="L44" s="64"/>
      <c r="M44" s="61"/>
    </row>
    <row r="45" spans="2:15" ht="12.75" customHeight="1">
      <c r="B45" s="1959" t="s">
        <v>39</v>
      </c>
      <c r="C45" s="1955"/>
      <c r="D45" s="1955"/>
      <c r="E45" s="1955"/>
      <c r="F45" s="1955"/>
      <c r="G45" s="1955"/>
      <c r="H45" s="1955"/>
      <c r="I45" s="46"/>
      <c r="L45" s="64"/>
      <c r="M45" s="61"/>
    </row>
    <row r="46" spans="2:15" ht="6" customHeight="1">
      <c r="B46" s="33"/>
      <c r="C46" s="35"/>
      <c r="D46" s="35"/>
      <c r="E46" s="60"/>
      <c r="F46" s="60"/>
      <c r="G46" s="60"/>
      <c r="H46" s="35"/>
      <c r="I46" s="46"/>
      <c r="L46" s="64"/>
      <c r="M46" s="61"/>
    </row>
    <row r="47" spans="2:15" ht="4.5" customHeight="1">
      <c r="B47" s="42"/>
      <c r="C47" s="35"/>
      <c r="D47" s="35"/>
      <c r="E47" s="35"/>
      <c r="F47" s="35"/>
      <c r="G47" s="58"/>
      <c r="H47" s="59"/>
      <c r="I47" s="46"/>
      <c r="L47" s="64"/>
      <c r="M47" s="61"/>
    </row>
    <row r="48" spans="2:15">
      <c r="B48" s="42" t="s">
        <v>3</v>
      </c>
      <c r="C48" s="35"/>
      <c r="D48" s="35"/>
      <c r="E48" s="35"/>
      <c r="F48" s="35"/>
      <c r="G48" s="35"/>
      <c r="H48" s="35"/>
      <c r="I48" s="46">
        <f>$H$51</f>
        <v>3920</v>
      </c>
      <c r="L48" s="64"/>
      <c r="M48" s="61"/>
    </row>
    <row r="49" spans="2:15" ht="12.75" customHeight="1">
      <c r="B49" s="1959" t="s">
        <v>44</v>
      </c>
      <c r="C49" s="1955"/>
      <c r="D49" s="1955"/>
      <c r="E49" s="1955"/>
      <c r="F49" s="1955"/>
      <c r="G49" s="1955"/>
      <c r="H49" s="1955"/>
      <c r="I49" s="46"/>
      <c r="L49" s="64"/>
      <c r="M49" s="61"/>
    </row>
    <row r="50" spans="2:15" ht="12.75" customHeight="1">
      <c r="B50" s="101"/>
      <c r="C50" s="102"/>
      <c r="D50" s="103" t="s">
        <v>45</v>
      </c>
      <c r="E50" s="104" t="s">
        <v>46</v>
      </c>
      <c r="F50" s="104" t="s">
        <v>6</v>
      </c>
      <c r="G50" s="104" t="s">
        <v>47</v>
      </c>
      <c r="H50" s="104" t="s">
        <v>48</v>
      </c>
      <c r="I50" s="46"/>
      <c r="L50" s="64"/>
      <c r="M50" s="61"/>
    </row>
    <row r="51" spans="2:15" ht="12.75" customHeight="1">
      <c r="B51" s="101"/>
      <c r="C51" s="97"/>
      <c r="D51" s="97" t="s">
        <v>3</v>
      </c>
      <c r="E51" s="105" t="s">
        <v>49</v>
      </c>
      <c r="F51" s="106">
        <v>56</v>
      </c>
      <c r="G51" s="97">
        <v>70</v>
      </c>
      <c r="H51" s="106">
        <f>F51*G51</f>
        <v>3920</v>
      </c>
      <c r="I51" s="46"/>
      <c r="L51" s="64"/>
      <c r="M51" s="61"/>
    </row>
    <row r="52" spans="2:15" ht="11.25" customHeight="1">
      <c r="B52" s="33"/>
      <c r="C52" s="35"/>
      <c r="D52" s="35"/>
      <c r="E52" s="35"/>
      <c r="F52" s="35"/>
      <c r="G52" s="35"/>
      <c r="H52" s="35"/>
      <c r="I52" s="48"/>
      <c r="L52" s="64"/>
      <c r="M52" s="61"/>
    </row>
    <row r="53" spans="2:15">
      <c r="B53" s="42" t="s">
        <v>4</v>
      </c>
      <c r="C53" s="35"/>
      <c r="D53" s="35"/>
      <c r="E53" s="35"/>
      <c r="F53" s="35"/>
      <c r="G53" s="35"/>
      <c r="H53" s="35"/>
      <c r="I53" s="48">
        <v>0</v>
      </c>
      <c r="L53" s="64"/>
      <c r="M53" s="61"/>
    </row>
    <row r="54" spans="2:15" ht="12" customHeight="1">
      <c r="B54" s="37" t="s">
        <v>39</v>
      </c>
      <c r="C54" s="35"/>
      <c r="D54" s="35"/>
      <c r="E54" s="35"/>
      <c r="F54" s="35"/>
      <c r="G54" s="35"/>
      <c r="H54" s="35"/>
      <c r="I54" s="36"/>
      <c r="L54" s="64"/>
      <c r="M54" s="61"/>
    </row>
    <row r="55" spans="2:15" ht="5.25" customHeight="1">
      <c r="B55" s="37"/>
      <c r="C55" s="35"/>
      <c r="D55" s="35"/>
      <c r="E55" s="35"/>
      <c r="F55" s="35"/>
      <c r="G55" s="35"/>
      <c r="H55" s="35"/>
      <c r="I55" s="36"/>
      <c r="L55" s="64"/>
      <c r="M55" s="61"/>
    </row>
    <row r="56" spans="2:15">
      <c r="B56" s="42" t="s">
        <v>26</v>
      </c>
      <c r="C56" s="35"/>
      <c r="D56" s="35"/>
      <c r="E56" s="35"/>
      <c r="F56" s="35"/>
      <c r="G56" s="35"/>
      <c r="H56" s="35"/>
      <c r="I56" s="46">
        <v>0</v>
      </c>
      <c r="L56" s="64"/>
      <c r="M56" s="61"/>
    </row>
    <row r="57" spans="2:15" ht="14.25" customHeight="1">
      <c r="B57" s="1959" t="s">
        <v>39</v>
      </c>
      <c r="C57" s="1960"/>
      <c r="D57" s="1960"/>
      <c r="E57" s="1960"/>
      <c r="F57" s="1960"/>
      <c r="G57" s="1960"/>
      <c r="H57" s="1960"/>
      <c r="I57" s="48"/>
      <c r="L57" s="64"/>
      <c r="M57" s="61"/>
    </row>
    <row r="58" spans="2:15" ht="12" customHeight="1">
      <c r="B58" s="1943"/>
      <c r="C58" s="1944"/>
      <c r="D58" s="1944"/>
      <c r="E58" s="1944"/>
      <c r="F58" s="1944"/>
      <c r="G58" s="1944"/>
      <c r="H58" s="35"/>
      <c r="I58" s="48"/>
      <c r="L58" s="64"/>
      <c r="M58" s="61"/>
    </row>
    <row r="59" spans="2:15" ht="9.75" customHeight="1">
      <c r="B59" s="37"/>
      <c r="C59" s="35"/>
      <c r="D59" s="35"/>
      <c r="E59" s="35"/>
      <c r="F59" s="35"/>
      <c r="G59" s="35"/>
      <c r="H59" s="35"/>
      <c r="I59" s="36"/>
      <c r="L59" s="64"/>
      <c r="M59" s="64"/>
    </row>
    <row r="60" spans="2:15">
      <c r="B60" s="42" t="s">
        <v>7</v>
      </c>
      <c r="C60" s="35"/>
      <c r="D60" s="35"/>
      <c r="E60" s="35"/>
      <c r="F60" s="35"/>
      <c r="G60" s="35"/>
      <c r="H60" s="35"/>
      <c r="I60" s="46">
        <v>0</v>
      </c>
      <c r="L60" s="64"/>
      <c r="M60" s="64"/>
      <c r="N60" s="64"/>
      <c r="O60" s="64"/>
    </row>
    <row r="61" spans="2:15" ht="12" customHeight="1">
      <c r="B61" s="33"/>
      <c r="C61" s="35"/>
      <c r="D61" s="35"/>
      <c r="E61" s="35"/>
      <c r="F61" s="35"/>
      <c r="G61" s="35"/>
      <c r="H61" s="35"/>
      <c r="I61" s="36"/>
      <c r="L61" s="64"/>
      <c r="M61" s="64"/>
      <c r="N61" s="61"/>
      <c r="O61" s="61"/>
    </row>
    <row r="62" spans="2:15" ht="6" customHeight="1">
      <c r="B62" s="37"/>
      <c r="C62" s="35"/>
      <c r="D62" s="35"/>
      <c r="E62" s="35"/>
      <c r="F62" s="35"/>
      <c r="G62" s="35"/>
      <c r="H62" s="35"/>
      <c r="I62" s="36"/>
      <c r="L62" s="64"/>
      <c r="M62" s="64"/>
      <c r="N62" s="65"/>
      <c r="O62" s="65"/>
    </row>
    <row r="63" spans="2:15">
      <c r="B63" s="42" t="s">
        <v>27</v>
      </c>
      <c r="C63" s="35"/>
      <c r="D63" s="35"/>
      <c r="E63" s="35"/>
      <c r="F63" s="35"/>
      <c r="G63" s="35"/>
      <c r="H63" s="35"/>
      <c r="I63" s="46">
        <v>0</v>
      </c>
      <c r="L63" s="64"/>
      <c r="M63" s="64"/>
      <c r="N63" s="61"/>
      <c r="O63" s="61"/>
    </row>
    <row r="64" spans="2:15" ht="13.5" customHeight="1">
      <c r="B64" s="37" t="s">
        <v>39</v>
      </c>
      <c r="C64" s="35"/>
      <c r="D64" s="35"/>
      <c r="E64" s="35"/>
      <c r="F64" s="35"/>
      <c r="G64" s="35"/>
      <c r="H64" s="35"/>
      <c r="I64" s="47"/>
      <c r="L64" s="64"/>
      <c r="M64" s="64"/>
      <c r="N64" s="65"/>
      <c r="O64" s="65"/>
    </row>
    <row r="65" spans="2:15" ht="3.75" customHeight="1">
      <c r="B65" s="37"/>
      <c r="C65" s="35"/>
      <c r="D65" s="35"/>
      <c r="E65" s="35"/>
      <c r="F65" s="35"/>
      <c r="G65" s="35"/>
      <c r="H65" s="35"/>
      <c r="I65" s="36"/>
      <c r="L65" s="64"/>
      <c r="M65" s="64"/>
      <c r="N65" s="61"/>
      <c r="O65" s="61"/>
    </row>
    <row r="66" spans="2:15">
      <c r="B66" s="42" t="s">
        <v>5</v>
      </c>
      <c r="C66" s="35"/>
      <c r="D66" s="35"/>
      <c r="E66" s="35"/>
      <c r="F66" s="35"/>
      <c r="G66" s="35"/>
      <c r="H66" s="35"/>
      <c r="I66" s="46">
        <v>0</v>
      </c>
      <c r="L66" s="64"/>
      <c r="M66" s="64"/>
      <c r="N66" s="61"/>
      <c r="O66" s="61"/>
    </row>
    <row r="67" spans="2:15" ht="11.25" customHeight="1">
      <c r="B67" s="37" t="s">
        <v>39</v>
      </c>
      <c r="C67" s="35"/>
      <c r="D67" s="35"/>
      <c r="E67" s="35"/>
      <c r="F67" s="35"/>
      <c r="G67" s="35"/>
      <c r="H67" s="35"/>
      <c r="I67" s="47"/>
      <c r="L67" s="64"/>
      <c r="M67" s="64"/>
      <c r="N67" s="64"/>
      <c r="O67" s="64"/>
    </row>
    <row r="68" spans="2:15" ht="4.5" customHeight="1">
      <c r="B68" s="37"/>
      <c r="C68" s="35"/>
      <c r="D68" s="35"/>
      <c r="E68" s="35"/>
      <c r="F68" s="35"/>
      <c r="G68" s="35"/>
      <c r="H68" s="35"/>
      <c r="I68" s="36"/>
      <c r="L68" s="64"/>
      <c r="M68" s="64"/>
      <c r="N68" s="64"/>
      <c r="O68" s="64"/>
    </row>
    <row r="69" spans="2:15">
      <c r="B69" s="42" t="s">
        <v>20</v>
      </c>
      <c r="C69" s="35"/>
      <c r="D69" s="35"/>
      <c r="E69" s="35"/>
      <c r="F69" s="35"/>
      <c r="G69" s="35"/>
      <c r="H69" s="35"/>
      <c r="I69" s="46">
        <v>0</v>
      </c>
      <c r="L69" s="64"/>
      <c r="M69" s="64"/>
      <c r="N69" s="61"/>
      <c r="O69" s="61"/>
    </row>
    <row r="70" spans="2:15" ht="12" customHeight="1">
      <c r="B70" s="37" t="s">
        <v>39</v>
      </c>
      <c r="C70" s="35"/>
      <c r="D70" s="35"/>
      <c r="E70" s="35"/>
      <c r="F70" s="35"/>
      <c r="G70" s="35"/>
      <c r="H70" s="35"/>
      <c r="I70" s="46"/>
      <c r="L70" s="64"/>
      <c r="M70" s="64"/>
      <c r="N70" s="61"/>
      <c r="O70" s="61"/>
    </row>
    <row r="71" spans="2:15" ht="6.75" customHeight="1">
      <c r="B71" s="42"/>
      <c r="C71" s="35"/>
      <c r="D71" s="35"/>
      <c r="E71" s="35"/>
      <c r="F71" s="35"/>
      <c r="G71" s="35"/>
      <c r="H71" s="35"/>
      <c r="I71" s="46"/>
      <c r="L71" s="64"/>
      <c r="M71" s="64"/>
      <c r="N71" s="61"/>
      <c r="O71" s="61"/>
    </row>
    <row r="72" spans="2:15" ht="5.25" customHeight="1">
      <c r="B72" s="40"/>
      <c r="C72" s="35"/>
      <c r="D72" s="35"/>
      <c r="E72" s="35"/>
      <c r="F72" s="35"/>
      <c r="G72" s="35"/>
      <c r="H72" s="35"/>
      <c r="I72" s="36"/>
      <c r="L72" s="64"/>
      <c r="M72" s="64"/>
      <c r="N72" s="64"/>
      <c r="O72" s="64"/>
    </row>
    <row r="73" spans="2:15">
      <c r="B73" s="43" t="s">
        <v>11</v>
      </c>
      <c r="C73" s="44"/>
      <c r="D73" s="44"/>
      <c r="E73" s="44"/>
      <c r="F73" s="44"/>
      <c r="G73" s="44"/>
      <c r="H73" s="44"/>
      <c r="I73" s="52">
        <f>+I69+I66+I63+I60+I56+I53+I48+I44+I41</f>
        <v>3920</v>
      </c>
      <c r="L73" s="64"/>
      <c r="M73" s="64"/>
      <c r="N73" s="64"/>
      <c r="O73" s="64"/>
    </row>
    <row r="96" spans="5:5">
      <c r="E96" s="57"/>
    </row>
    <row r="97" spans="5:5">
      <c r="E97" s="57"/>
    </row>
    <row r="98" spans="5:5">
      <c r="E98" s="57"/>
    </row>
    <row r="99" spans="5:5">
      <c r="E99" s="57"/>
    </row>
    <row r="100" spans="5:5">
      <c r="E100" s="57"/>
    </row>
    <row r="101" spans="5:5">
      <c r="E101" s="57"/>
    </row>
    <row r="103" spans="5:5">
      <c r="E103" s="57"/>
    </row>
    <row r="105" spans="5:5">
      <c r="E105" s="56"/>
    </row>
    <row r="107" spans="5:5">
      <c r="E107" s="57"/>
    </row>
  </sheetData>
  <mergeCells count="11">
    <mergeCell ref="D36:H36"/>
    <mergeCell ref="B45:H45"/>
    <mergeCell ref="B49:H49"/>
    <mergeCell ref="B57:H57"/>
    <mergeCell ref="B58:G58"/>
    <mergeCell ref="D34:H34"/>
    <mergeCell ref="D28:H28"/>
    <mergeCell ref="D30:H30"/>
    <mergeCell ref="D31:H31"/>
    <mergeCell ref="D32:H32"/>
    <mergeCell ref="D33:H33"/>
  </mergeCells>
  <pageMargins left="0.36" right="0.3" top="0.43" bottom="0.64" header="0.28000000000000003" footer="0.36"/>
  <pageSetup scale="71" orientation="portrait" r:id="rId1"/>
  <headerFooter alignWithMargins="0"/>
</worksheet>
</file>

<file path=xl/worksheets/sheet210.xml><?xml version="1.0" encoding="utf-8"?>
<worksheet xmlns="http://schemas.openxmlformats.org/spreadsheetml/2006/main" xmlns:r="http://schemas.openxmlformats.org/officeDocument/2006/relationships">
  <dimension ref="A1:L99"/>
  <sheetViews>
    <sheetView topLeftCell="A28" zoomScale="75" zoomScaleNormal="75" workbookViewId="0">
      <selection activeCell="B54" sqref="B54:I55"/>
    </sheetView>
  </sheetViews>
  <sheetFormatPr defaultRowHeight="12.75"/>
  <cols>
    <col min="1" max="1" width="1.85546875" customWidth="1"/>
    <col min="3" max="3" width="24.140625" customWidth="1"/>
    <col min="4" max="4" width="29" bestFit="1" customWidth="1"/>
    <col min="5" max="5" width="57.28515625" customWidth="1"/>
    <col min="6" max="6" width="10.42578125" customWidth="1"/>
    <col min="9" max="9" width="9.8554687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612</v>
      </c>
      <c r="C6" s="7" t="str">
        <f>+E12</f>
        <v>EQIP</v>
      </c>
      <c r="D6" s="53" t="s">
        <v>1448</v>
      </c>
      <c r="E6" s="110" t="s">
        <v>2392</v>
      </c>
      <c r="F6" s="7" t="s">
        <v>394</v>
      </c>
      <c r="G6" s="85">
        <f>+I25</f>
        <v>208.38187500000001</v>
      </c>
    </row>
    <row r="7" spans="1:12" ht="25.5">
      <c r="A7" s="2"/>
      <c r="B7" s="54">
        <f>+B6</f>
        <v>612</v>
      </c>
      <c r="C7" s="7" t="str">
        <f>+C6</f>
        <v>EQIP</v>
      </c>
      <c r="D7" s="53" t="s">
        <v>1448</v>
      </c>
      <c r="E7" s="110" t="str">
        <f>CONCATENATE(E6, "-HU")</f>
        <v>Tree &amp; Shrub Est.-Enrichment Planting w/herb. Req'd 201-300 seedlings-HU</v>
      </c>
      <c r="F7" s="7" t="str">
        <f>+F6</f>
        <v>Acre</v>
      </c>
      <c r="G7" s="85">
        <f>+J25</f>
        <v>250.05824999999999</v>
      </c>
    </row>
    <row r="8" spans="1:12" ht="25.5">
      <c r="A8" s="2"/>
      <c r="B8" s="54">
        <v>612</v>
      </c>
      <c r="C8" s="7" t="str">
        <f>+G12</f>
        <v>WHIP</v>
      </c>
      <c r="D8" s="53" t="s">
        <v>1448</v>
      </c>
      <c r="E8" s="110" t="s">
        <v>2392</v>
      </c>
      <c r="F8" s="7" t="s">
        <v>394</v>
      </c>
      <c r="G8" s="85">
        <f>+K25</f>
        <v>208.38187500000001</v>
      </c>
    </row>
    <row r="9" spans="1:12" ht="25.5">
      <c r="A9" s="2"/>
      <c r="B9" s="8">
        <f>+B8</f>
        <v>612</v>
      </c>
      <c r="C9" s="10" t="str">
        <f>+C8</f>
        <v>WHIP</v>
      </c>
      <c r="D9" s="9" t="s">
        <v>1448</v>
      </c>
      <c r="E9" s="110" t="s">
        <v>2387</v>
      </c>
      <c r="F9" s="10" t="str">
        <f>+F8</f>
        <v>Acre</v>
      </c>
      <c r="G9" s="86">
        <f>+L25</f>
        <v>250.05824999999999</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125</v>
      </c>
      <c r="E16" s="160">
        <f>+'[10]Payment Factors'!D42</f>
        <v>0.75</v>
      </c>
      <c r="F16" s="160">
        <f>+'[10]Payment Factors'!E42</f>
        <v>0.9</v>
      </c>
      <c r="G16" s="160">
        <f>+'[10]Payment Factors'!F42</f>
        <v>0.75</v>
      </c>
      <c r="H16" s="160">
        <f>+'[10]Payment Factors'!G42</f>
        <v>0.9</v>
      </c>
      <c r="I16" s="1154">
        <f t="shared" ref="I16:L24" si="0">+$D16*E16</f>
        <v>93.75</v>
      </c>
      <c r="J16" s="1154">
        <f t="shared" si="0"/>
        <v>112.5</v>
      </c>
      <c r="K16" s="1154">
        <f t="shared" si="0"/>
        <v>93.75</v>
      </c>
      <c r="L16" s="1155">
        <f t="shared" si="0"/>
        <v>112.5</v>
      </c>
    </row>
    <row r="17" spans="1:12">
      <c r="A17" s="2"/>
      <c r="B17" s="15" t="s">
        <v>2</v>
      </c>
      <c r="C17" s="16"/>
      <c r="D17" s="24">
        <f>+I56</f>
        <v>123.03749999999999</v>
      </c>
      <c r="E17" s="160">
        <f t="shared" ref="E17:H19" si="1">+E16</f>
        <v>0.75</v>
      </c>
      <c r="F17" s="160">
        <f t="shared" si="1"/>
        <v>0.9</v>
      </c>
      <c r="G17" s="160">
        <f t="shared" si="1"/>
        <v>0.75</v>
      </c>
      <c r="H17" s="160">
        <f t="shared" si="1"/>
        <v>0.9</v>
      </c>
      <c r="I17" s="1154">
        <f t="shared" si="0"/>
        <v>92.278124999999989</v>
      </c>
      <c r="J17" s="1154">
        <f t="shared" si="0"/>
        <v>110.73375</v>
      </c>
      <c r="K17" s="1154">
        <f t="shared" si="0"/>
        <v>92.278124999999989</v>
      </c>
      <c r="L17" s="1155">
        <f t="shared" si="0"/>
        <v>110.73375</v>
      </c>
    </row>
    <row r="18" spans="1:12">
      <c r="A18" s="2"/>
      <c r="B18" s="15" t="s">
        <v>3</v>
      </c>
      <c r="C18" s="16"/>
      <c r="D18" s="24">
        <f>+I71</f>
        <v>21.712499999999999</v>
      </c>
      <c r="E18" s="160">
        <f t="shared" si="1"/>
        <v>0.75</v>
      </c>
      <c r="F18" s="160">
        <f t="shared" si="1"/>
        <v>0.9</v>
      </c>
      <c r="G18" s="160">
        <f t="shared" si="1"/>
        <v>0.75</v>
      </c>
      <c r="H18" s="160">
        <f t="shared" si="1"/>
        <v>0.9</v>
      </c>
      <c r="I18" s="1154">
        <f t="shared" si="0"/>
        <v>16.284374999999997</v>
      </c>
      <c r="J18" s="1154">
        <f t="shared" si="0"/>
        <v>19.541249999999998</v>
      </c>
      <c r="K18" s="1154">
        <f t="shared" si="0"/>
        <v>16.284374999999997</v>
      </c>
      <c r="L18" s="1155">
        <f t="shared" si="0"/>
        <v>19.541249999999998</v>
      </c>
    </row>
    <row r="19" spans="1:12">
      <c r="A19" s="2"/>
      <c r="B19" s="15" t="s">
        <v>4</v>
      </c>
      <c r="C19" s="16"/>
      <c r="D19" s="24">
        <f>+I77</f>
        <v>8.0924999999999994</v>
      </c>
      <c r="E19" s="160">
        <f t="shared" si="1"/>
        <v>0.75</v>
      </c>
      <c r="F19" s="160">
        <f t="shared" si="1"/>
        <v>0.9</v>
      </c>
      <c r="G19" s="160">
        <f t="shared" si="1"/>
        <v>0.75</v>
      </c>
      <c r="H19" s="160">
        <f t="shared" si="1"/>
        <v>0.9</v>
      </c>
      <c r="I19" s="1154">
        <f t="shared" si="0"/>
        <v>6.0693749999999991</v>
      </c>
      <c r="J19" s="1154">
        <f t="shared" si="0"/>
        <v>7.2832499999999998</v>
      </c>
      <c r="K19" s="1154">
        <f t="shared" si="0"/>
        <v>6.0693749999999991</v>
      </c>
      <c r="L19" s="1155">
        <f t="shared" si="0"/>
        <v>7.2832499999999998</v>
      </c>
    </row>
    <row r="20" spans="1:12">
      <c r="A20" s="2"/>
      <c r="B20" s="15" t="s">
        <v>26</v>
      </c>
      <c r="C20" s="16"/>
      <c r="D20" s="24">
        <f>+I80</f>
        <v>15.5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893.34249999999997</v>
      </c>
      <c r="E25" s="28"/>
      <c r="F25" s="28"/>
      <c r="G25" s="28"/>
      <c r="H25" s="28"/>
      <c r="I25" s="1159">
        <f>SUM(I16:I24)</f>
        <v>208.38187500000001</v>
      </c>
      <c r="J25" s="1159">
        <f>SUM(J16:J24)</f>
        <v>250.05824999999999</v>
      </c>
      <c r="K25" s="1159">
        <f>SUM(K16:K24)</f>
        <v>208.38187500000001</v>
      </c>
      <c r="L25" s="1160">
        <f>SUM(L16:L24)</f>
        <v>250.05824999999999</v>
      </c>
    </row>
    <row r="27" spans="1:12" ht="15.75">
      <c r="A27" s="2"/>
      <c r="B27" s="50" t="s">
        <v>28</v>
      </c>
      <c r="C27" s="2"/>
      <c r="D27" s="2"/>
      <c r="E27" s="2"/>
      <c r="F27" s="2"/>
      <c r="G27" s="2"/>
      <c r="H27" s="2"/>
      <c r="I27" s="5"/>
    </row>
    <row r="28" spans="1:12">
      <c r="A28" s="2"/>
      <c r="B28" s="29" t="s">
        <v>2390</v>
      </c>
      <c r="C28" s="30"/>
      <c r="D28" s="30"/>
      <c r="E28" s="31"/>
      <c r="F28" s="31"/>
      <c r="G28" s="31"/>
      <c r="H28" s="31"/>
      <c r="I28" s="32"/>
    </row>
    <row r="29" spans="1:12" ht="12.75" customHeight="1">
      <c r="A29" s="2"/>
      <c r="B29" s="2023" t="s">
        <v>2393</v>
      </c>
      <c r="C29" s="2024"/>
      <c r="D29" s="2024"/>
      <c r="E29" s="2024"/>
      <c r="F29" s="2024"/>
      <c r="G29" s="2024"/>
      <c r="H29" s="2024"/>
      <c r="I29" s="2025"/>
    </row>
    <row r="30" spans="1:12">
      <c r="A30" s="2"/>
      <c r="B30" s="2026"/>
      <c r="C30" s="2024"/>
      <c r="D30" s="2024"/>
      <c r="E30" s="2024"/>
      <c r="F30" s="2024"/>
      <c r="G30" s="2024"/>
      <c r="H30" s="2024"/>
      <c r="I30" s="2025"/>
    </row>
    <row r="31" spans="1:12">
      <c r="A31" s="2"/>
      <c r="B31" s="2026"/>
      <c r="C31" s="2024"/>
      <c r="D31" s="2024"/>
      <c r="E31" s="2024"/>
      <c r="F31" s="2024"/>
      <c r="G31" s="2024"/>
      <c r="H31" s="2024"/>
      <c r="I31" s="2025"/>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759</v>
      </c>
      <c r="E36" s="6"/>
      <c r="F36" s="35"/>
      <c r="G36" s="35"/>
      <c r="H36" s="35"/>
      <c r="I36" s="36"/>
    </row>
    <row r="37" spans="1:9">
      <c r="A37" s="2"/>
      <c r="B37" s="38" t="s">
        <v>9</v>
      </c>
      <c r="C37" s="34"/>
      <c r="D37" s="1164">
        <f>+'[10]Payment Factors'!C42</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125</v>
      </c>
    </row>
    <row r="41" spans="1:9">
      <c r="A41" s="2"/>
      <c r="B41" s="1174"/>
      <c r="C41" s="35"/>
      <c r="D41" s="1167" t="s">
        <v>447</v>
      </c>
      <c r="E41" s="1167" t="s">
        <v>448</v>
      </c>
      <c r="F41" s="1167" t="s">
        <v>449</v>
      </c>
      <c r="G41" s="1167" t="s">
        <v>450</v>
      </c>
      <c r="H41" s="35"/>
      <c r="I41" s="46"/>
    </row>
    <row r="42" spans="1:9">
      <c r="A42" s="2"/>
      <c r="B42" s="40" t="s">
        <v>451</v>
      </c>
      <c r="C42" s="6"/>
      <c r="D42" s="1168" t="s">
        <v>452</v>
      </c>
      <c r="E42" s="1169">
        <f>+'[37]Core Rates'!C203</f>
        <v>8.75</v>
      </c>
      <c r="F42" s="1170">
        <v>0</v>
      </c>
      <c r="G42" s="1171">
        <f t="shared" ref="G42:G50" si="2">+F42*E42</f>
        <v>0</v>
      </c>
      <c r="H42" s="35"/>
      <c r="I42" s="36"/>
    </row>
    <row r="43" spans="1:9">
      <c r="A43" s="2"/>
      <c r="B43" s="1184" t="s">
        <v>453</v>
      </c>
      <c r="C43" s="6"/>
      <c r="D43" s="1185" t="s">
        <v>454</v>
      </c>
      <c r="E43" s="1169">
        <f>+'[37]Core Rates'!C228</f>
        <v>0.82427536231884069</v>
      </c>
      <c r="F43" s="1170">
        <v>0</v>
      </c>
      <c r="G43" s="1171">
        <f t="shared" si="2"/>
        <v>0</v>
      </c>
      <c r="H43" s="35"/>
      <c r="I43" s="36"/>
    </row>
    <row r="44" spans="1:9">
      <c r="A44" s="2"/>
      <c r="B44" s="1186" t="s">
        <v>455</v>
      </c>
      <c r="C44" s="1187"/>
      <c r="D44" s="1185" t="s">
        <v>454</v>
      </c>
      <c r="E44" s="1169">
        <f>+'[37]Core Rates'!C235</f>
        <v>1.1702898550724636</v>
      </c>
      <c r="F44" s="1170">
        <v>0</v>
      </c>
      <c r="G44" s="1171">
        <f t="shared" si="2"/>
        <v>0</v>
      </c>
      <c r="H44" s="35"/>
      <c r="I44" s="36"/>
    </row>
    <row r="45" spans="1:9">
      <c r="A45" s="2"/>
      <c r="B45" s="1186" t="s">
        <v>456</v>
      </c>
      <c r="C45" s="1187"/>
      <c r="D45" s="1168" t="s">
        <v>454</v>
      </c>
      <c r="E45" s="1169">
        <f>+'[37]Core Rates'!C246</f>
        <v>0.58825136612021856</v>
      </c>
      <c r="F45" s="1170">
        <v>0</v>
      </c>
      <c r="G45" s="1171">
        <f t="shared" si="2"/>
        <v>0</v>
      </c>
      <c r="H45" s="35"/>
      <c r="I45" s="36"/>
    </row>
    <row r="46" spans="1:9">
      <c r="A46" s="2"/>
      <c r="B46" s="1188" t="str">
        <f>+'[37]Core Rates'!A342</f>
        <v>Tree seedlings</v>
      </c>
      <c r="C46" s="1187"/>
      <c r="D46" s="1189" t="str">
        <f>+'[37]Core Rates'!B342</f>
        <v>Ea</v>
      </c>
      <c r="E46" s="1169">
        <f>+'[37]Core Rates'!C342</f>
        <v>0.5</v>
      </c>
      <c r="F46" s="1170">
        <v>250</v>
      </c>
      <c r="G46" s="1171">
        <f t="shared" si="2"/>
        <v>125</v>
      </c>
      <c r="H46" s="35"/>
      <c r="I46" s="36"/>
    </row>
    <row r="47" spans="1:9">
      <c r="A47" s="2"/>
      <c r="B47" s="1186" t="str">
        <f>+'[37]Core Rates'!A310</f>
        <v>Seed (Orchard grass)</v>
      </c>
      <c r="C47" s="1187"/>
      <c r="D47" s="1185" t="s">
        <v>454</v>
      </c>
      <c r="E47" s="1169">
        <f>+'[37]Core Rates 2011'!BE307</f>
        <v>1.68</v>
      </c>
      <c r="F47" s="1170">
        <v>0</v>
      </c>
      <c r="G47" s="1171">
        <f t="shared" si="2"/>
        <v>0</v>
      </c>
      <c r="H47" s="35"/>
      <c r="I47" s="36"/>
    </row>
    <row r="48" spans="1:9">
      <c r="A48" s="2"/>
      <c r="B48" s="1186" t="str">
        <f>+'[37]Core Rates'!A312</f>
        <v>Seed (Red Clover)</v>
      </c>
      <c r="C48" s="1187"/>
      <c r="D48" s="1185" t="s">
        <v>454</v>
      </c>
      <c r="E48" s="1169">
        <f>+'[37]Core Rates 2011'!BE309</f>
        <v>2.75</v>
      </c>
      <c r="F48" s="1170">
        <v>0</v>
      </c>
      <c r="G48" s="1171">
        <f t="shared" si="2"/>
        <v>0</v>
      </c>
      <c r="H48" s="35"/>
      <c r="I48" s="36"/>
    </row>
    <row r="49" spans="1:9">
      <c r="A49" s="2"/>
      <c r="B49" s="1186" t="str">
        <f>+'[37]Core Rates'!A315</f>
        <v>Seed (Wheat)</v>
      </c>
      <c r="C49" s="1187"/>
      <c r="D49" s="1185" t="s">
        <v>454</v>
      </c>
      <c r="E49" s="1169">
        <f>+'[37]Core Rates 2011'!BE312</f>
        <v>0.31</v>
      </c>
      <c r="F49" s="1170">
        <v>0</v>
      </c>
      <c r="G49" s="1171">
        <f t="shared" si="2"/>
        <v>0</v>
      </c>
      <c r="H49" s="35"/>
      <c r="I49" s="36"/>
    </row>
    <row r="50" spans="1:9">
      <c r="A50" s="2"/>
      <c r="B50" s="1186" t="str">
        <f>+'[37]Core Rates'!A314</f>
        <v>Seed (Redtop)</v>
      </c>
      <c r="C50" s="1187"/>
      <c r="D50" s="1185" t="s">
        <v>454</v>
      </c>
      <c r="E50" s="1169">
        <f>+'[37]Core Rates 2011'!BE311</f>
        <v>7</v>
      </c>
      <c r="F50" s="1170">
        <v>0</v>
      </c>
      <c r="G50" s="1171">
        <f t="shared" si="2"/>
        <v>0</v>
      </c>
      <c r="H50" s="35"/>
      <c r="I50" s="36"/>
    </row>
    <row r="51" spans="1:9">
      <c r="A51" s="2"/>
      <c r="B51" s="1172"/>
      <c r="C51" s="6"/>
      <c r="D51" s="1173"/>
      <c r="E51" s="35"/>
      <c r="F51" s="35"/>
      <c r="G51" s="35"/>
      <c r="H51" s="35"/>
      <c r="I51" s="36"/>
    </row>
    <row r="52" spans="1:9">
      <c r="A52" s="2"/>
      <c r="B52" s="37" t="s">
        <v>43</v>
      </c>
      <c r="C52" s="6"/>
      <c r="D52" s="1173"/>
      <c r="E52" s="35"/>
      <c r="F52" s="35"/>
      <c r="G52" s="35"/>
      <c r="H52" s="35"/>
      <c r="I52" s="36"/>
    </row>
    <row r="53" spans="1:9">
      <c r="A53" s="2"/>
      <c r="B53" s="40" t="s">
        <v>457</v>
      </c>
      <c r="C53" s="6"/>
      <c r="D53" s="1173"/>
      <c r="E53" s="35"/>
      <c r="F53" s="35"/>
      <c r="G53" s="35"/>
      <c r="H53" s="35"/>
      <c r="I53" s="36"/>
    </row>
    <row r="54" spans="1:9">
      <c r="A54" s="2"/>
      <c r="B54" s="40" t="s">
        <v>458</v>
      </c>
      <c r="C54" s="6"/>
      <c r="D54" s="1173"/>
      <c r="E54" s="1190"/>
      <c r="F54" s="35"/>
      <c r="G54" s="35"/>
      <c r="H54" s="35"/>
      <c r="I54" s="36"/>
    </row>
    <row r="55" spans="1:9">
      <c r="A55" s="2"/>
      <c r="B55" s="40"/>
      <c r="C55" s="6"/>
      <c r="D55" s="1173"/>
      <c r="E55" s="1190"/>
      <c r="F55" s="35"/>
      <c r="G55" s="35"/>
      <c r="H55" s="35"/>
      <c r="I55" s="36"/>
    </row>
    <row r="56" spans="1:9">
      <c r="A56" s="2"/>
      <c r="B56" s="42" t="s">
        <v>2</v>
      </c>
      <c r="C56" s="35"/>
      <c r="D56" s="35"/>
      <c r="E56" s="2003" t="s">
        <v>459</v>
      </c>
      <c r="F56" s="2003"/>
      <c r="G56" s="2003"/>
      <c r="H56" s="2003"/>
      <c r="I56" s="1166">
        <f>(SUM(G58:G64)*0.85)</f>
        <v>123.03749999999999</v>
      </c>
    </row>
    <row r="57" spans="1:9">
      <c r="A57" s="2"/>
      <c r="B57" s="1174"/>
      <c r="C57" s="35"/>
      <c r="D57" s="1167" t="s">
        <v>447</v>
      </c>
      <c r="E57" s="1167" t="s">
        <v>448</v>
      </c>
      <c r="F57" s="1167" t="s">
        <v>449</v>
      </c>
      <c r="G57" s="1167" t="s">
        <v>450</v>
      </c>
      <c r="H57" s="35"/>
      <c r="I57" s="46"/>
    </row>
    <row r="58" spans="1:9">
      <c r="A58" s="2"/>
      <c r="B58" s="1191" t="s">
        <v>460</v>
      </c>
      <c r="C58" s="6"/>
      <c r="D58" s="1168" t="s">
        <v>408</v>
      </c>
      <c r="E58" s="1169">
        <f>+'[37]Core Rates 2011'!BE145</f>
        <v>36.5</v>
      </c>
      <c r="F58" s="1170">
        <v>1.5</v>
      </c>
      <c r="G58" s="1171">
        <f t="shared" ref="G58:G64" si="3">+F58*E58</f>
        <v>54.75</v>
      </c>
      <c r="H58" s="35"/>
      <c r="I58" s="47"/>
    </row>
    <row r="59" spans="1:9">
      <c r="A59" s="2"/>
      <c r="B59" s="1191" t="str">
        <f>+'[37]Core Rates'!A340</f>
        <v>Tree Planting</v>
      </c>
      <c r="C59" s="6"/>
      <c r="D59" s="1168" t="s">
        <v>408</v>
      </c>
      <c r="E59" s="1169">
        <f>+'[37]Core Rates'!C340</f>
        <v>90</v>
      </c>
      <c r="F59" s="1170">
        <v>1</v>
      </c>
      <c r="G59" s="1171">
        <f t="shared" si="3"/>
        <v>90</v>
      </c>
      <c r="H59" s="35"/>
      <c r="I59" s="47"/>
    </row>
    <row r="60" spans="1:9">
      <c r="A60" s="2"/>
      <c r="B60" s="40" t="s">
        <v>461</v>
      </c>
      <c r="C60" s="6"/>
      <c r="D60" s="1168" t="s">
        <v>408</v>
      </c>
      <c r="E60" s="1169">
        <f>+'[37]Core Rates'!C104</f>
        <v>20</v>
      </c>
      <c r="F60" s="1170">
        <v>0</v>
      </c>
      <c r="G60" s="1171">
        <f t="shared" si="3"/>
        <v>0</v>
      </c>
      <c r="H60" s="35"/>
      <c r="I60" s="47"/>
    </row>
    <row r="61" spans="1:9">
      <c r="A61" s="2"/>
      <c r="B61" s="1191" t="str">
        <f>+'[37]Core Rates'!A216</f>
        <v>Mowing</v>
      </c>
      <c r="C61" s="6"/>
      <c r="D61" s="1189" t="s">
        <v>408</v>
      </c>
      <c r="E61" s="1189">
        <f>+'[37]Core Rates'!C216</f>
        <v>15.5</v>
      </c>
      <c r="F61" s="1170">
        <v>0</v>
      </c>
      <c r="G61" s="1171">
        <f t="shared" si="3"/>
        <v>0</v>
      </c>
      <c r="H61" s="35"/>
      <c r="I61" s="47"/>
    </row>
    <row r="62" spans="1:9">
      <c r="A62" s="2"/>
      <c r="B62" s="40" t="s">
        <v>462</v>
      </c>
      <c r="C62" s="6"/>
      <c r="D62" s="1168" t="s">
        <v>408</v>
      </c>
      <c r="E62" s="1169">
        <f>+'[37]Core Rates'!AN33</f>
        <v>5.416666666666667</v>
      </c>
      <c r="F62" s="1170">
        <v>0</v>
      </c>
      <c r="G62" s="1171">
        <f t="shared" si="3"/>
        <v>0</v>
      </c>
      <c r="H62" s="35"/>
      <c r="I62" s="47"/>
    </row>
    <row r="63" spans="1:9">
      <c r="A63" s="2"/>
      <c r="B63" s="40" t="s">
        <v>463</v>
      </c>
      <c r="C63" s="6"/>
      <c r="D63" s="1168" t="s">
        <v>452</v>
      </c>
      <c r="E63" s="1169">
        <f>+'[37]Core Rates'!AN34</f>
        <v>5.5</v>
      </c>
      <c r="F63" s="1170">
        <v>0</v>
      </c>
      <c r="G63" s="1171">
        <f t="shared" si="3"/>
        <v>0</v>
      </c>
      <c r="H63" s="35"/>
      <c r="I63" s="47"/>
    </row>
    <row r="64" spans="1:9">
      <c r="A64" s="2"/>
      <c r="B64" s="40" t="s">
        <v>464</v>
      </c>
      <c r="C64" s="6"/>
      <c r="D64" s="1168" t="s">
        <v>452</v>
      </c>
      <c r="E64" s="1169">
        <f>+'[37]Core Rates'!AN32</f>
        <v>6.3125</v>
      </c>
      <c r="F64" s="1170">
        <v>0</v>
      </c>
      <c r="G64" s="1171">
        <f t="shared" si="3"/>
        <v>0</v>
      </c>
      <c r="H64" s="35"/>
      <c r="I64" s="47"/>
    </row>
    <row r="65" spans="1:9">
      <c r="A65" s="2"/>
      <c r="B65" s="40"/>
      <c r="C65" s="6"/>
      <c r="D65" s="63"/>
      <c r="E65" s="150"/>
      <c r="F65" s="150"/>
      <c r="G65" s="1169"/>
      <c r="H65" s="35"/>
      <c r="I65" s="47"/>
    </row>
    <row r="66" spans="1:9">
      <c r="A66" s="2"/>
      <c r="B66" s="37" t="s">
        <v>43</v>
      </c>
      <c r="C66" s="6"/>
      <c r="D66" s="1173"/>
      <c r="E66" s="35"/>
      <c r="F66" s="35"/>
      <c r="G66" s="35"/>
      <c r="H66" s="35"/>
      <c r="I66" s="36"/>
    </row>
    <row r="67" spans="1:9">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21.712499999999999</v>
      </c>
    </row>
    <row r="72" spans="1:9">
      <c r="A72" s="2"/>
      <c r="B72" s="2007" t="s">
        <v>465</v>
      </c>
      <c r="C72" s="2008"/>
      <c r="D72" s="35"/>
      <c r="E72" s="35"/>
      <c r="F72" s="35"/>
      <c r="G72" s="35"/>
      <c r="H72" s="35"/>
      <c r="I72" s="48"/>
    </row>
    <row r="73" spans="1:9">
      <c r="A73" s="2"/>
      <c r="B73" s="37" t="s">
        <v>466</v>
      </c>
      <c r="C73" s="39"/>
      <c r="D73" s="39"/>
      <c r="E73" s="153">
        <f>SUM(G58:G64)*0.15</f>
        <v>21.712499999999999</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0.03*(I40+I56+I71)</f>
        <v>8.0924999999999994</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+'[37]Core Rates'!C216</f>
        <v>15.5</v>
      </c>
    </row>
    <row r="81" spans="1:9">
      <c r="A81" s="2"/>
      <c r="B81" s="33" t="s">
        <v>469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470</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104</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104</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+I40+I56+I71+I77+I83+I93</f>
        <v>277.84249999999997</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893.34249999999997</v>
      </c>
    </row>
  </sheetData>
  <mergeCells count="5">
    <mergeCell ref="B1:D1"/>
    <mergeCell ref="B29:I31"/>
    <mergeCell ref="E56:H56"/>
    <mergeCell ref="B67:I68"/>
    <mergeCell ref="B72:C72"/>
  </mergeCells>
  <pageMargins left="0.7" right="0.7" top="0.75" bottom="0.75" header="0.3" footer="0.3"/>
</worksheet>
</file>

<file path=xl/worksheets/sheet211.xml><?xml version="1.0" encoding="utf-8"?>
<worksheet xmlns="http://schemas.openxmlformats.org/spreadsheetml/2006/main" xmlns:r="http://schemas.openxmlformats.org/officeDocument/2006/relationships">
  <dimension ref="A1:H106"/>
  <sheetViews>
    <sheetView topLeftCell="A13" zoomScale="80" zoomScaleNormal="80" workbookViewId="0">
      <selection activeCell="B43" sqref="B43"/>
    </sheetView>
  </sheetViews>
  <sheetFormatPr defaultRowHeight="12.75"/>
  <cols>
    <col min="1" max="1" width="34.5703125" style="2" customWidth="1"/>
    <col min="2" max="2" width="25.42578125" style="2" customWidth="1"/>
    <col min="3" max="3" width="29.42578125" style="2" customWidth="1"/>
    <col min="4" max="4" width="16.140625" style="2" customWidth="1"/>
    <col min="5" max="5" width="15.140625" style="2" customWidth="1"/>
    <col min="6" max="6" width="11" style="2" customWidth="1"/>
    <col min="7" max="7" width="10.7109375" style="2" bestFit="1" customWidth="1"/>
    <col min="8"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1094</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1095</v>
      </c>
      <c r="D8" s="461"/>
      <c r="E8" s="457"/>
      <c r="F8" s="457"/>
      <c r="G8" s="461"/>
    </row>
    <row r="9" spans="1:7" ht="135.75" customHeight="1">
      <c r="A9" s="454" t="s">
        <v>382</v>
      </c>
      <c r="B9" s="454" t="s">
        <v>385</v>
      </c>
      <c r="C9" s="2009" t="s">
        <v>1096</v>
      </c>
      <c r="D9" s="2010"/>
      <c r="E9" s="2010"/>
      <c r="F9" s="2010"/>
      <c r="G9" s="2011"/>
    </row>
    <row r="10" spans="1:7" ht="73.5" customHeight="1">
      <c r="A10" s="454" t="s">
        <v>382</v>
      </c>
      <c r="B10" s="454" t="s">
        <v>387</v>
      </c>
      <c r="C10" s="2009" t="s">
        <v>1097</v>
      </c>
      <c r="D10" s="2010"/>
      <c r="E10" s="2010"/>
      <c r="F10" s="2010"/>
      <c r="G10" s="2011"/>
    </row>
    <row r="11" spans="1:7" ht="144" customHeight="1">
      <c r="A11" s="454" t="s">
        <v>382</v>
      </c>
      <c r="B11" s="454" t="s">
        <v>389</v>
      </c>
      <c r="C11" s="2009" t="s">
        <v>1098</v>
      </c>
      <c r="D11" s="2010"/>
      <c r="E11" s="2010"/>
      <c r="F11" s="2010"/>
      <c r="G11" s="2011"/>
    </row>
    <row r="12" spans="1:7" ht="51.75" customHeight="1">
      <c r="A12" s="454" t="s">
        <v>382</v>
      </c>
      <c r="B12" s="454" t="s">
        <v>391</v>
      </c>
      <c r="C12" s="2009" t="s">
        <v>1099</v>
      </c>
      <c r="D12" s="2010"/>
      <c r="E12" s="2010"/>
      <c r="F12" s="2010"/>
      <c r="G12" s="2011"/>
    </row>
    <row r="13" spans="1:7" ht="21" customHeight="1">
      <c r="A13" s="454" t="s">
        <v>382</v>
      </c>
      <c r="B13" s="454" t="s">
        <v>393</v>
      </c>
      <c r="C13" s="455" t="s">
        <v>712</v>
      </c>
      <c r="D13" s="456"/>
      <c r="E13" s="457"/>
      <c r="F13" s="457"/>
      <c r="G13" s="456"/>
    </row>
    <row r="14" spans="1:7" ht="21" customHeight="1">
      <c r="A14" s="454" t="s">
        <v>382</v>
      </c>
      <c r="B14" s="454" t="s">
        <v>395</v>
      </c>
      <c r="C14" s="459">
        <v>1</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SUM(H31:H34)</f>
        <v>563.14435928143712</v>
      </c>
      <c r="C18" s="466">
        <f>B18/C$14</f>
        <v>563.14435928143712</v>
      </c>
      <c r="D18" s="49"/>
      <c r="E18" s="89"/>
      <c r="F18" s="89"/>
      <c r="G18" s="49"/>
    </row>
    <row r="19" spans="1:8" ht="15">
      <c r="A19" s="454" t="s">
        <v>2</v>
      </c>
      <c r="B19" s="465">
        <f>SUM(H35:H36)</f>
        <v>149.63999999999999</v>
      </c>
      <c r="C19" s="466">
        <f t="shared" ref="C19:C27" si="0">B19/C$14</f>
        <v>149.63999999999999</v>
      </c>
      <c r="D19" s="49"/>
      <c r="E19" s="89"/>
      <c r="F19" s="89"/>
      <c r="G19" s="49"/>
    </row>
    <row r="20" spans="1:8" ht="15">
      <c r="A20" s="454" t="s">
        <v>3</v>
      </c>
      <c r="B20" s="465">
        <f>SUM(H37:H39)</f>
        <v>123.24000000000001</v>
      </c>
      <c r="C20" s="466">
        <f t="shared" si="0"/>
        <v>123.24000000000001</v>
      </c>
      <c r="D20" s="49"/>
      <c r="E20" s="89"/>
      <c r="F20" s="89"/>
      <c r="G20" s="49"/>
    </row>
    <row r="21" spans="1:8" ht="15">
      <c r="A21" s="454" t="s">
        <v>4</v>
      </c>
      <c r="B21" s="465">
        <f>H40</f>
        <v>41.80121796407186</v>
      </c>
      <c r="C21" s="466">
        <f t="shared" si="0"/>
        <v>41.80121796407186</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877.82557724550895</v>
      </c>
      <c r="C27" s="466">
        <f t="shared" si="0"/>
        <v>877.82557724550895</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278</v>
      </c>
      <c r="C31" s="1337" t="s">
        <v>1100</v>
      </c>
      <c r="D31" s="1337" t="s">
        <v>1101</v>
      </c>
      <c r="E31" s="1338" t="s">
        <v>778</v>
      </c>
      <c r="F31" s="472">
        <v>175</v>
      </c>
      <c r="G31" s="1339">
        <v>1</v>
      </c>
      <c r="H31" s="474">
        <f>IF(G31&lt;=0, 0, F31*G31)</f>
        <v>175</v>
      </c>
    </row>
    <row r="32" spans="1:8" ht="15">
      <c r="A32" s="454" t="s">
        <v>0</v>
      </c>
      <c r="B32" s="470">
        <v>46</v>
      </c>
      <c r="C32" s="471" t="s">
        <v>1102</v>
      </c>
      <c r="D32" s="471" t="s">
        <v>1102</v>
      </c>
      <c r="E32" s="470" t="s">
        <v>1103</v>
      </c>
      <c r="F32" s="472">
        <v>32.33</v>
      </c>
      <c r="G32" s="1339">
        <v>8</v>
      </c>
      <c r="H32" s="474">
        <f t="shared" ref="H32:H49" si="1">IF(G32&lt;=0, 0, F32*G32)</f>
        <v>258.64</v>
      </c>
    </row>
    <row r="33" spans="1:8" ht="15">
      <c r="A33" s="454" t="s">
        <v>0</v>
      </c>
      <c r="B33" s="470">
        <v>242</v>
      </c>
      <c r="C33" s="1337" t="s">
        <v>1104</v>
      </c>
      <c r="D33" s="1337" t="s">
        <v>1105</v>
      </c>
      <c r="E33" s="1338" t="s">
        <v>778</v>
      </c>
      <c r="F33" s="472">
        <v>29.5</v>
      </c>
      <c r="G33" s="1339">
        <v>1</v>
      </c>
      <c r="H33" s="474">
        <f t="shared" si="1"/>
        <v>29.5</v>
      </c>
    </row>
    <row r="34" spans="1:8" ht="15">
      <c r="A34" s="454" t="s">
        <v>0</v>
      </c>
      <c r="B34" s="470">
        <v>42</v>
      </c>
      <c r="C34" s="1337" t="s">
        <v>984</v>
      </c>
      <c r="D34" s="1337" t="s">
        <v>985</v>
      </c>
      <c r="E34" s="1338" t="s">
        <v>986</v>
      </c>
      <c r="F34" s="472">
        <v>2.27282634730539</v>
      </c>
      <c r="G34" s="1339">
        <v>44</v>
      </c>
      <c r="H34" s="474">
        <f t="shared" si="1"/>
        <v>100.00435928143716</v>
      </c>
    </row>
    <row r="35" spans="1:8" ht="15">
      <c r="A35" s="454" t="s">
        <v>2</v>
      </c>
      <c r="B35" s="470">
        <v>933</v>
      </c>
      <c r="C35" s="470" t="s">
        <v>987</v>
      </c>
      <c r="D35" s="471" t="s">
        <v>430</v>
      </c>
      <c r="E35" s="1201" t="s">
        <v>411</v>
      </c>
      <c r="F35" s="472">
        <v>37.409999999999997</v>
      </c>
      <c r="G35" s="486">
        <v>4</v>
      </c>
      <c r="H35" s="474">
        <f t="shared" si="1"/>
        <v>149.63999999999999</v>
      </c>
    </row>
    <row r="36" spans="1:8" ht="15">
      <c r="A36" s="454" t="s">
        <v>2</v>
      </c>
      <c r="B36" s="1340"/>
      <c r="C36" s="1337"/>
      <c r="D36" s="1337"/>
      <c r="E36" s="1338"/>
      <c r="F36" s="472"/>
      <c r="G36" s="1339"/>
      <c r="H36" s="474">
        <f t="shared" si="1"/>
        <v>0</v>
      </c>
    </row>
    <row r="37" spans="1:8" ht="15">
      <c r="A37" s="454" t="s">
        <v>3</v>
      </c>
      <c r="B37" s="1340"/>
      <c r="C37" s="1337"/>
      <c r="D37" s="1337"/>
      <c r="E37" s="1338"/>
      <c r="F37" s="472"/>
      <c r="G37" s="1339"/>
      <c r="H37" s="474">
        <f t="shared" si="1"/>
        <v>0</v>
      </c>
    </row>
    <row r="38" spans="1:8" ht="15">
      <c r="A38" s="454" t="s">
        <v>3</v>
      </c>
      <c r="B38" s="470">
        <v>231</v>
      </c>
      <c r="C38" s="1337" t="s">
        <v>578</v>
      </c>
      <c r="D38" s="1337" t="s">
        <v>579</v>
      </c>
      <c r="E38" s="1338" t="s">
        <v>533</v>
      </c>
      <c r="F38" s="472">
        <v>20.94</v>
      </c>
      <c r="G38" s="1339">
        <v>2</v>
      </c>
      <c r="H38" s="474">
        <f t="shared" si="1"/>
        <v>41.88</v>
      </c>
    </row>
    <row r="39" spans="1:8" ht="15">
      <c r="A39" s="454" t="s">
        <v>3</v>
      </c>
      <c r="B39" s="470">
        <v>232</v>
      </c>
      <c r="C39" s="1337" t="s">
        <v>790</v>
      </c>
      <c r="D39" s="1337" t="s">
        <v>1106</v>
      </c>
      <c r="E39" s="1338" t="s">
        <v>411</v>
      </c>
      <c r="F39" s="472">
        <v>20.34</v>
      </c>
      <c r="G39" s="1339">
        <v>4</v>
      </c>
      <c r="H39" s="474">
        <f t="shared" si="1"/>
        <v>81.36</v>
      </c>
    </row>
    <row r="40" spans="1:8" ht="15">
      <c r="A40" s="454" t="s">
        <v>4</v>
      </c>
      <c r="B40" s="470">
        <v>1043</v>
      </c>
      <c r="C40" s="1337" t="s">
        <v>4</v>
      </c>
      <c r="D40" s="1337"/>
      <c r="E40" s="1338"/>
      <c r="F40" s="1341">
        <v>0.05</v>
      </c>
      <c r="G40" s="1342">
        <f>SUM(H31:H39)</f>
        <v>836.02435928143711</v>
      </c>
      <c r="H40" s="474">
        <f t="shared" si="1"/>
        <v>41.80121796407186</v>
      </c>
    </row>
    <row r="41" spans="1:8" ht="16.5" customHeight="1">
      <c r="A41" s="454" t="s">
        <v>419</v>
      </c>
      <c r="B41" s="1340"/>
      <c r="C41" s="470"/>
      <c r="D41" s="471"/>
      <c r="E41" s="471"/>
      <c r="F41" s="481"/>
      <c r="G41" s="486"/>
      <c r="H41" s="474">
        <f t="shared" si="1"/>
        <v>0</v>
      </c>
    </row>
    <row r="42" spans="1:8" ht="15">
      <c r="A42" s="454" t="s">
        <v>7</v>
      </c>
      <c r="B42" s="1340"/>
      <c r="C42" s="470"/>
      <c r="D42" s="471"/>
      <c r="E42" s="471"/>
      <c r="F42" s="472"/>
      <c r="G42" s="486"/>
      <c r="H42" s="474">
        <f t="shared" si="1"/>
        <v>0</v>
      </c>
    </row>
    <row r="43" spans="1:8" ht="15">
      <c r="A43" s="454" t="s">
        <v>7</v>
      </c>
      <c r="B43" s="134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pageSetup scale="80" orientation="landscape" horizontalDpi="1200" verticalDpi="1200" r:id="rId1"/>
</worksheet>
</file>

<file path=xl/worksheets/sheet212.xml><?xml version="1.0" encoding="utf-8"?>
<worksheet xmlns="http://schemas.openxmlformats.org/spreadsheetml/2006/main" xmlns:r="http://schemas.openxmlformats.org/officeDocument/2006/relationships">
  <dimension ref="A1:O108"/>
  <sheetViews>
    <sheetView topLeftCell="A4" zoomScale="80" zoomScaleNormal="80" workbookViewId="0">
      <selection activeCell="B43" sqref="B43"/>
    </sheetView>
  </sheetViews>
  <sheetFormatPr defaultRowHeight="12.75"/>
  <cols>
    <col min="1" max="1" width="34.5703125" style="2" customWidth="1"/>
    <col min="2" max="2" width="25.42578125" style="2" customWidth="1"/>
    <col min="3" max="3" width="35.7109375" style="2" customWidth="1"/>
    <col min="4" max="4" width="30.28515625" style="2" customWidth="1"/>
    <col min="5" max="5" width="15.140625" style="2" customWidth="1"/>
    <col min="6" max="6" width="11" style="2" customWidth="1"/>
    <col min="7" max="7" width="11.28515625" style="2" bestFit="1" customWidth="1"/>
    <col min="8" max="8" width="10" style="2" customWidth="1"/>
    <col min="9" max="10" width="9.140625" style="2"/>
    <col min="11" max="11" width="10.5703125" style="2" bestFit="1" customWidth="1"/>
    <col min="12"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1094</v>
      </c>
      <c r="D6" s="456"/>
      <c r="E6" s="457"/>
      <c r="F6" s="458"/>
      <c r="G6" s="458"/>
    </row>
    <row r="7" spans="1:7" ht="21" customHeight="1">
      <c r="A7" s="454" t="s">
        <v>1</v>
      </c>
      <c r="B7" s="454" t="s">
        <v>381</v>
      </c>
      <c r="C7" s="459">
        <v>20</v>
      </c>
      <c r="D7" s="456"/>
      <c r="E7" s="457"/>
      <c r="F7" s="458"/>
      <c r="G7" s="458"/>
    </row>
    <row r="8" spans="1:7" ht="21" customHeight="1">
      <c r="A8" s="454" t="s">
        <v>382</v>
      </c>
      <c r="B8" s="454" t="s">
        <v>383</v>
      </c>
      <c r="C8" s="459" t="s">
        <v>1107</v>
      </c>
      <c r="D8" s="461"/>
      <c r="E8" s="457"/>
      <c r="F8" s="457"/>
      <c r="G8" s="461"/>
    </row>
    <row r="9" spans="1:7" ht="88.5" customHeight="1">
      <c r="A9" s="454" t="s">
        <v>382</v>
      </c>
      <c r="B9" s="454" t="s">
        <v>385</v>
      </c>
      <c r="C9" s="2009" t="s">
        <v>1108</v>
      </c>
      <c r="D9" s="2010"/>
      <c r="E9" s="2010"/>
      <c r="F9" s="2010"/>
      <c r="G9" s="2011"/>
    </row>
    <row r="10" spans="1:7" ht="43.5" customHeight="1">
      <c r="A10" s="454" t="s">
        <v>382</v>
      </c>
      <c r="B10" s="454" t="s">
        <v>387</v>
      </c>
      <c r="C10" s="2009" t="s">
        <v>1109</v>
      </c>
      <c r="D10" s="2010"/>
      <c r="E10" s="2010"/>
      <c r="F10" s="2010"/>
      <c r="G10" s="2011"/>
    </row>
    <row r="11" spans="1:7" ht="79.5" customHeight="1">
      <c r="A11" s="454" t="s">
        <v>382</v>
      </c>
      <c r="B11" s="454" t="s">
        <v>389</v>
      </c>
      <c r="C11" s="2009" t="s">
        <v>1110</v>
      </c>
      <c r="D11" s="2010"/>
      <c r="E11" s="2010"/>
      <c r="F11" s="2010"/>
      <c r="G11" s="2011"/>
    </row>
    <row r="12" spans="1:7" ht="51.75" customHeight="1">
      <c r="A12" s="454" t="s">
        <v>382</v>
      </c>
      <c r="B12" s="454" t="s">
        <v>391</v>
      </c>
      <c r="C12" s="2009" t="s">
        <v>1099</v>
      </c>
      <c r="D12" s="2010"/>
      <c r="E12" s="2010"/>
      <c r="F12" s="2010"/>
      <c r="G12" s="2011"/>
    </row>
    <row r="13" spans="1:7" ht="21" customHeight="1">
      <c r="A13" s="454" t="s">
        <v>382</v>
      </c>
      <c r="B13" s="454" t="s">
        <v>393</v>
      </c>
      <c r="C13" s="455" t="s">
        <v>712</v>
      </c>
      <c r="D13" s="456"/>
      <c r="E13" s="457"/>
      <c r="F13" s="457"/>
      <c r="G13" s="456"/>
    </row>
    <row r="14" spans="1:7" ht="21" customHeight="1">
      <c r="A14" s="454" t="s">
        <v>382</v>
      </c>
      <c r="B14" s="454" t="s">
        <v>395</v>
      </c>
      <c r="C14" s="459">
        <v>1</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SUM(H31:H35)</f>
        <v>1299.7</v>
      </c>
      <c r="C18" s="466">
        <f>B18/C$14</f>
        <v>1299.7</v>
      </c>
      <c r="D18" s="49"/>
      <c r="E18" s="89"/>
      <c r="F18" s="89"/>
      <c r="G18" s="49"/>
    </row>
    <row r="19" spans="1:8" ht="15">
      <c r="A19" s="454" t="s">
        <v>2</v>
      </c>
      <c r="B19" s="465">
        <f>SUM(H36:H38)</f>
        <v>74.819999999999993</v>
      </c>
      <c r="C19" s="466">
        <f t="shared" ref="C19:C27" si="0">B19/C$14</f>
        <v>74.819999999999993</v>
      </c>
      <c r="D19" s="49"/>
      <c r="E19" s="89"/>
      <c r="F19" s="89"/>
      <c r="G19" s="49"/>
    </row>
    <row r="20" spans="1:8" ht="15">
      <c r="A20" s="454" t="s">
        <v>3</v>
      </c>
      <c r="B20" s="465">
        <f>SUM(H39:H41)</f>
        <v>127.57999999999998</v>
      </c>
      <c r="C20" s="466">
        <f t="shared" si="0"/>
        <v>127.57999999999998</v>
      </c>
      <c r="D20" s="49"/>
      <c r="E20" s="89"/>
      <c r="F20" s="89"/>
      <c r="G20" s="49"/>
    </row>
    <row r="21" spans="1:8" ht="15">
      <c r="A21" s="454" t="s">
        <v>4</v>
      </c>
      <c r="B21" s="465">
        <f>H42</f>
        <v>75.105000000000004</v>
      </c>
      <c r="C21" s="466">
        <f t="shared" si="0"/>
        <v>75.105000000000004</v>
      </c>
      <c r="D21" s="49"/>
      <c r="E21" s="89"/>
      <c r="F21" s="89"/>
      <c r="G21" s="49"/>
    </row>
    <row r="22" spans="1:8" ht="15">
      <c r="A22" s="454" t="s">
        <v>26</v>
      </c>
      <c r="B22" s="465">
        <f>H43</f>
        <v>0</v>
      </c>
      <c r="C22" s="466">
        <f t="shared" si="0"/>
        <v>0</v>
      </c>
      <c r="D22" s="49"/>
      <c r="E22" s="89"/>
      <c r="F22" s="89"/>
      <c r="G22" s="49"/>
    </row>
    <row r="23" spans="1:8" ht="15">
      <c r="A23" s="454" t="s">
        <v>7</v>
      </c>
      <c r="B23" s="465">
        <f>SUM(H44:H46)</f>
        <v>0</v>
      </c>
      <c r="C23" s="466">
        <f t="shared" si="0"/>
        <v>0</v>
      </c>
      <c r="D23" s="49"/>
      <c r="E23" s="89"/>
      <c r="F23" s="89"/>
      <c r="G23" s="49"/>
    </row>
    <row r="24" spans="1:8" ht="15">
      <c r="A24" s="454" t="s">
        <v>27</v>
      </c>
      <c r="B24" s="465">
        <f>SUM(H47:H49)</f>
        <v>0</v>
      </c>
      <c r="C24" s="466">
        <f t="shared" si="0"/>
        <v>0</v>
      </c>
      <c r="D24" s="49"/>
      <c r="E24" s="89"/>
      <c r="F24" s="89"/>
      <c r="G24" s="49"/>
    </row>
    <row r="25" spans="1:8" ht="15">
      <c r="A25" s="454" t="s">
        <v>5</v>
      </c>
      <c r="B25" s="465">
        <f>G50</f>
        <v>0</v>
      </c>
      <c r="C25" s="466">
        <f t="shared" si="0"/>
        <v>0</v>
      </c>
      <c r="D25" s="49"/>
      <c r="E25" s="89"/>
      <c r="F25" s="89"/>
      <c r="G25" s="49"/>
    </row>
    <row r="26" spans="1:8" ht="15">
      <c r="A26" s="454" t="s">
        <v>20</v>
      </c>
      <c r="B26" s="465">
        <f>H51</f>
        <v>0</v>
      </c>
      <c r="C26" s="466">
        <f t="shared" si="0"/>
        <v>0</v>
      </c>
      <c r="D26" s="49"/>
      <c r="E26" s="89"/>
      <c r="F26" s="89"/>
      <c r="G26" s="49"/>
    </row>
    <row r="27" spans="1:8" ht="15">
      <c r="A27" s="454" t="s">
        <v>399</v>
      </c>
      <c r="B27" s="465">
        <f>SUM(B18:B26)</f>
        <v>1577.2049999999999</v>
      </c>
      <c r="C27" s="466">
        <f t="shared" si="0"/>
        <v>1577.2049999999999</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27.75" customHeight="1">
      <c r="A30" s="452" t="s">
        <v>16</v>
      </c>
      <c r="B30" s="469" t="s">
        <v>401</v>
      </c>
      <c r="C30" s="469" t="s">
        <v>402</v>
      </c>
      <c r="D30" s="469" t="s">
        <v>403</v>
      </c>
      <c r="E30" s="469" t="s">
        <v>46</v>
      </c>
      <c r="F30" s="469" t="s">
        <v>404</v>
      </c>
      <c r="G30" s="469" t="s">
        <v>405</v>
      </c>
      <c r="H30" s="469" t="s">
        <v>397</v>
      </c>
    </row>
    <row r="31" spans="1:8" ht="15">
      <c r="A31" s="454" t="s">
        <v>0</v>
      </c>
      <c r="B31" s="470">
        <v>42</v>
      </c>
      <c r="C31" s="470" t="s">
        <v>984</v>
      </c>
      <c r="D31" s="471" t="s">
        <v>1111</v>
      </c>
      <c r="E31" s="471" t="s">
        <v>1112</v>
      </c>
      <c r="F31" s="472">
        <v>2.27</v>
      </c>
      <c r="G31" s="486">
        <v>54</v>
      </c>
      <c r="H31" s="474">
        <f>IF(G31&lt;=0, 0, F31*G31)</f>
        <v>122.58</v>
      </c>
    </row>
    <row r="32" spans="1:8" ht="15">
      <c r="A32" s="454" t="s">
        <v>0</v>
      </c>
      <c r="B32" s="470">
        <v>46</v>
      </c>
      <c r="C32" s="470" t="s">
        <v>947</v>
      </c>
      <c r="D32" s="471" t="s">
        <v>1102</v>
      </c>
      <c r="E32" s="471" t="s">
        <v>1103</v>
      </c>
      <c r="F32" s="472">
        <v>32.33</v>
      </c>
      <c r="G32" s="486">
        <v>10</v>
      </c>
      <c r="H32" s="474">
        <f t="shared" ref="H32:H51" si="1">IF(G32&lt;=0, 0, F32*G32)</f>
        <v>323.29999999999995</v>
      </c>
    </row>
    <row r="33" spans="1:15" ht="15">
      <c r="A33" s="454" t="s">
        <v>0</v>
      </c>
      <c r="B33" s="470">
        <v>1049</v>
      </c>
      <c r="C33" s="470" t="s">
        <v>1113</v>
      </c>
      <c r="D33" s="471" t="s">
        <v>1114</v>
      </c>
      <c r="E33" s="471" t="s">
        <v>778</v>
      </c>
      <c r="F33" s="472">
        <v>768.43</v>
      </c>
      <c r="G33" s="486">
        <v>1</v>
      </c>
      <c r="H33" s="474">
        <f t="shared" si="1"/>
        <v>768.43</v>
      </c>
      <c r="K33" s="2" t="s">
        <v>1115</v>
      </c>
    </row>
    <row r="34" spans="1:15" ht="15">
      <c r="A34" s="454" t="s">
        <v>0</v>
      </c>
      <c r="B34" s="470"/>
      <c r="C34" s="470"/>
      <c r="D34" s="471"/>
      <c r="E34" s="471"/>
      <c r="F34" s="472"/>
      <c r="G34" s="486"/>
      <c r="H34" s="474">
        <f t="shared" si="1"/>
        <v>0</v>
      </c>
      <c r="K34" s="1343" t="s">
        <v>1116</v>
      </c>
      <c r="L34" s="1343"/>
      <c r="M34" s="1344" t="s">
        <v>778</v>
      </c>
      <c r="N34" s="1273">
        <v>20</v>
      </c>
      <c r="O34" s="1345">
        <v>1</v>
      </c>
    </row>
    <row r="35" spans="1:15" ht="15">
      <c r="A35" s="454" t="s">
        <v>0</v>
      </c>
      <c r="B35" s="470">
        <v>1077</v>
      </c>
      <c r="C35" s="470" t="s">
        <v>1117</v>
      </c>
      <c r="D35" s="470" t="s">
        <v>1118</v>
      </c>
      <c r="E35" s="1346" t="s">
        <v>778</v>
      </c>
      <c r="F35" s="1347">
        <v>85.39</v>
      </c>
      <c r="G35" s="1348">
        <v>1</v>
      </c>
      <c r="H35" s="474">
        <f t="shared" si="1"/>
        <v>85.39</v>
      </c>
      <c r="K35" s="1343" t="s">
        <v>1119</v>
      </c>
      <c r="L35" s="1343" t="s">
        <v>1120</v>
      </c>
      <c r="M35" s="1343" t="s">
        <v>785</v>
      </c>
      <c r="N35" s="1349">
        <v>2.64</v>
      </c>
      <c r="O35" s="1349">
        <v>10</v>
      </c>
    </row>
    <row r="36" spans="1:15" ht="15">
      <c r="A36" s="454" t="s">
        <v>2</v>
      </c>
      <c r="B36" s="470">
        <v>933</v>
      </c>
      <c r="C36" s="470" t="s">
        <v>987</v>
      </c>
      <c r="D36" s="471" t="s">
        <v>430</v>
      </c>
      <c r="E36" s="1201" t="s">
        <v>411</v>
      </c>
      <c r="F36" s="472">
        <v>37.409999999999997</v>
      </c>
      <c r="G36" s="486">
        <v>2</v>
      </c>
      <c r="H36" s="474">
        <f t="shared" si="1"/>
        <v>74.819999999999993</v>
      </c>
    </row>
    <row r="37" spans="1:15" ht="15">
      <c r="A37" s="454" t="s">
        <v>2</v>
      </c>
      <c r="B37" s="470"/>
      <c r="C37" s="470"/>
      <c r="D37" s="471"/>
      <c r="E37" s="471"/>
      <c r="F37" s="472"/>
      <c r="G37" s="486"/>
      <c r="H37" s="474">
        <f t="shared" si="1"/>
        <v>0</v>
      </c>
      <c r="K37" s="1343" t="s">
        <v>1119</v>
      </c>
    </row>
    <row r="38" spans="1:15" ht="15">
      <c r="A38" s="454" t="s">
        <v>2</v>
      </c>
      <c r="B38" s="470"/>
      <c r="C38" s="470"/>
      <c r="D38" s="471"/>
      <c r="E38" s="471"/>
      <c r="F38" s="472"/>
      <c r="G38" s="486"/>
      <c r="H38" s="474">
        <f t="shared" si="1"/>
        <v>0</v>
      </c>
    </row>
    <row r="39" spans="1:15" ht="15">
      <c r="A39" s="454" t="s">
        <v>3</v>
      </c>
      <c r="B39" s="470">
        <v>232</v>
      </c>
      <c r="C39" s="470" t="s">
        <v>790</v>
      </c>
      <c r="D39" s="471" t="s">
        <v>1121</v>
      </c>
      <c r="E39" s="471" t="s">
        <v>411</v>
      </c>
      <c r="F39" s="472">
        <v>22.63</v>
      </c>
      <c r="G39" s="486">
        <v>2</v>
      </c>
      <c r="H39" s="474">
        <f t="shared" si="1"/>
        <v>45.26</v>
      </c>
    </row>
    <row r="40" spans="1:15" ht="15">
      <c r="A40" s="454" t="s">
        <v>3</v>
      </c>
      <c r="B40" s="470">
        <v>231</v>
      </c>
      <c r="C40" s="470" t="s">
        <v>578</v>
      </c>
      <c r="D40" s="471" t="s">
        <v>579</v>
      </c>
      <c r="E40" s="471" t="s">
        <v>411</v>
      </c>
      <c r="F40" s="472">
        <v>20.58</v>
      </c>
      <c r="G40" s="486">
        <v>4</v>
      </c>
      <c r="H40" s="474">
        <f t="shared" si="1"/>
        <v>82.32</v>
      </c>
    </row>
    <row r="41" spans="1:15" ht="15">
      <c r="A41" s="454" t="s">
        <v>3</v>
      </c>
      <c r="B41" s="470"/>
      <c r="C41" s="471"/>
      <c r="D41" s="471"/>
      <c r="E41" s="471"/>
      <c r="F41" s="472"/>
      <c r="G41" s="486"/>
      <c r="H41" s="474">
        <f t="shared" si="1"/>
        <v>0</v>
      </c>
      <c r="K41" s="1203"/>
    </row>
    <row r="42" spans="1:15" ht="15">
      <c r="A42" s="454" t="s">
        <v>4</v>
      </c>
      <c r="B42" s="470">
        <v>1043</v>
      </c>
      <c r="C42" s="470" t="s">
        <v>4</v>
      </c>
      <c r="D42" s="471" t="s">
        <v>1122</v>
      </c>
      <c r="E42" s="471" t="s">
        <v>418</v>
      </c>
      <c r="F42" s="481">
        <v>0.05</v>
      </c>
      <c r="G42" s="1342">
        <f>SUM(H31:H41)</f>
        <v>1502.1</v>
      </c>
      <c r="H42" s="474">
        <f t="shared" si="1"/>
        <v>75.105000000000004</v>
      </c>
    </row>
    <row r="43" spans="1:15" ht="16.5" customHeight="1">
      <c r="A43" s="454" t="s">
        <v>419</v>
      </c>
      <c r="B43" s="470"/>
      <c r="C43" s="470"/>
      <c r="D43" s="471" t="s">
        <v>420</v>
      </c>
      <c r="E43" s="471" t="s">
        <v>418</v>
      </c>
      <c r="F43" s="481"/>
      <c r="G43" s="486"/>
      <c r="H43" s="474">
        <f t="shared" si="1"/>
        <v>0</v>
      </c>
    </row>
    <row r="44" spans="1:15" ht="15">
      <c r="A44" s="454" t="s">
        <v>7</v>
      </c>
      <c r="B44" s="470"/>
      <c r="C44" s="470"/>
      <c r="D44" s="471"/>
      <c r="E44" s="471"/>
      <c r="F44" s="472"/>
      <c r="G44" s="473"/>
      <c r="H44" s="474">
        <f t="shared" si="1"/>
        <v>0</v>
      </c>
    </row>
    <row r="45" spans="1:15" ht="15">
      <c r="A45" s="454" t="s">
        <v>7</v>
      </c>
      <c r="B45" s="470"/>
      <c r="C45" s="470"/>
      <c r="D45" s="471"/>
      <c r="E45" s="471"/>
      <c r="F45" s="472"/>
      <c r="G45" s="473"/>
      <c r="H45" s="474">
        <f t="shared" si="1"/>
        <v>0</v>
      </c>
    </row>
    <row r="46" spans="1:15" ht="15">
      <c r="A46" s="454" t="s">
        <v>7</v>
      </c>
      <c r="B46" s="470"/>
      <c r="C46" s="470"/>
      <c r="D46" s="471"/>
      <c r="E46" s="471"/>
      <c r="F46" s="472"/>
      <c r="G46" s="473"/>
      <c r="H46" s="474">
        <f t="shared" si="1"/>
        <v>0</v>
      </c>
    </row>
    <row r="47" spans="1:15" ht="15">
      <c r="A47" s="454" t="s">
        <v>421</v>
      </c>
      <c r="B47" s="470"/>
      <c r="C47" s="470"/>
      <c r="D47" s="471"/>
      <c r="E47" s="471"/>
      <c r="F47" s="472"/>
      <c r="G47" s="473"/>
      <c r="H47" s="474">
        <f t="shared" si="1"/>
        <v>0</v>
      </c>
    </row>
    <row r="48" spans="1:15" ht="15">
      <c r="A48" s="454" t="s">
        <v>421</v>
      </c>
      <c r="B48" s="470"/>
      <c r="C48" s="470"/>
      <c r="D48" s="471"/>
      <c r="E48" s="471"/>
      <c r="F48" s="472"/>
      <c r="G48" s="473"/>
      <c r="H48" s="474">
        <f t="shared" si="1"/>
        <v>0</v>
      </c>
    </row>
    <row r="49" spans="1:8" ht="15">
      <c r="A49" s="454" t="s">
        <v>421</v>
      </c>
      <c r="B49" s="470"/>
      <c r="C49" s="470"/>
      <c r="D49" s="471"/>
      <c r="E49" s="471"/>
      <c r="F49" s="472"/>
      <c r="G49" s="473"/>
      <c r="H49" s="474">
        <f t="shared" si="1"/>
        <v>0</v>
      </c>
    </row>
    <row r="50" spans="1:8" ht="15">
      <c r="A50" s="454" t="s">
        <v>5</v>
      </c>
      <c r="B50" s="470"/>
      <c r="C50" s="470"/>
      <c r="D50" s="471"/>
      <c r="E50" s="471"/>
      <c r="F50" s="472"/>
      <c r="G50" s="473"/>
      <c r="H50" s="474">
        <f t="shared" si="1"/>
        <v>0</v>
      </c>
    </row>
    <row r="51" spans="1:8" ht="15">
      <c r="A51" s="454" t="s">
        <v>20</v>
      </c>
      <c r="B51" s="470"/>
      <c r="C51" s="470"/>
      <c r="D51" s="471"/>
      <c r="E51" s="471"/>
      <c r="F51" s="472"/>
      <c r="G51" s="473"/>
      <c r="H51" s="474">
        <f t="shared" si="1"/>
        <v>0</v>
      </c>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96" spans="1:7">
      <c r="D96" s="57"/>
    </row>
    <row r="97" spans="4:4">
      <c r="D97" s="57"/>
    </row>
    <row r="98" spans="4:4">
      <c r="D98" s="57"/>
    </row>
    <row r="99" spans="4:4">
      <c r="D99" s="57"/>
    </row>
    <row r="100" spans="4:4">
      <c r="D100" s="57"/>
    </row>
    <row r="101" spans="4:4">
      <c r="D101" s="57"/>
    </row>
    <row r="102" spans="4:4">
      <c r="D102" s="57"/>
    </row>
    <row r="104" spans="4:4">
      <c r="D104" s="57"/>
    </row>
    <row r="106" spans="4:4">
      <c r="D106" s="56"/>
    </row>
    <row r="108" spans="4:4">
      <c r="D108"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60" orientation="landscape" r:id="rId1"/>
  <headerFooter alignWithMargins="0"/>
</worksheet>
</file>

<file path=xl/worksheets/sheet213.xml><?xml version="1.0" encoding="utf-8"?>
<worksheet xmlns="http://schemas.openxmlformats.org/spreadsheetml/2006/main" xmlns:r="http://schemas.openxmlformats.org/officeDocument/2006/relationships">
  <dimension ref="A1:K107"/>
  <sheetViews>
    <sheetView zoomScale="80" zoomScaleNormal="80" workbookViewId="0">
      <selection activeCell="M49" sqref="M49"/>
    </sheetView>
  </sheetViews>
  <sheetFormatPr defaultRowHeight="12.75"/>
  <cols>
    <col min="1" max="1" width="34.5703125" style="2" customWidth="1"/>
    <col min="2" max="2" width="20.28515625" style="2" customWidth="1"/>
    <col min="3" max="3" width="38" style="2" customWidth="1"/>
    <col min="4" max="4" width="26.85546875" style="2" customWidth="1"/>
    <col min="5" max="5" width="15.140625" style="2" customWidth="1"/>
    <col min="6" max="6" width="8.5703125" style="2" customWidth="1"/>
    <col min="7" max="7" width="9.5703125" style="2" customWidth="1"/>
    <col min="8" max="8" width="9.140625" style="2" customWidth="1"/>
    <col min="9" max="16384" width="9.140625" style="2"/>
  </cols>
  <sheetData>
    <row r="1" spans="1:7" ht="18.75">
      <c r="A1" s="449" t="s">
        <v>373</v>
      </c>
      <c r="B1" s="449" t="s">
        <v>373</v>
      </c>
    </row>
    <row r="3" spans="1:7" ht="15.75">
      <c r="A3" s="450" t="s">
        <v>374</v>
      </c>
      <c r="B3" s="450" t="s">
        <v>374</v>
      </c>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1094</v>
      </c>
      <c r="D6" s="456"/>
      <c r="E6" s="457"/>
      <c r="F6" s="458"/>
      <c r="G6" s="458"/>
    </row>
    <row r="7" spans="1:7" ht="21" customHeight="1">
      <c r="A7" s="454" t="s">
        <v>1</v>
      </c>
      <c r="B7" s="454" t="s">
        <v>381</v>
      </c>
      <c r="C7" s="459">
        <v>20</v>
      </c>
      <c r="D7" s="456"/>
      <c r="E7" s="457"/>
      <c r="F7" s="458"/>
      <c r="G7" s="458"/>
    </row>
    <row r="8" spans="1:7" ht="21" customHeight="1">
      <c r="A8" s="454" t="s">
        <v>382</v>
      </c>
      <c r="B8" s="454" t="s">
        <v>383</v>
      </c>
      <c r="C8" s="460" t="s">
        <v>1123</v>
      </c>
      <c r="D8" s="461"/>
      <c r="E8" s="457"/>
      <c r="F8" s="457"/>
      <c r="G8" s="461"/>
    </row>
    <row r="9" spans="1:7" ht="98.25" customHeight="1">
      <c r="A9" s="454" t="s">
        <v>382</v>
      </c>
      <c r="B9" s="454" t="s">
        <v>385</v>
      </c>
      <c r="C9" s="2009" t="s">
        <v>1124</v>
      </c>
      <c r="D9" s="2010"/>
      <c r="E9" s="2010"/>
      <c r="F9" s="2010"/>
      <c r="G9" s="2011"/>
    </row>
    <row r="10" spans="1:7" ht="97.5" customHeight="1">
      <c r="A10" s="454" t="s">
        <v>382</v>
      </c>
      <c r="B10" s="454" t="s">
        <v>387</v>
      </c>
      <c r="C10" s="2009" t="s">
        <v>1125</v>
      </c>
      <c r="D10" s="2010"/>
      <c r="E10" s="2010"/>
      <c r="F10" s="2010"/>
      <c r="G10" s="2011"/>
    </row>
    <row r="11" spans="1:7" ht="118.5" customHeight="1">
      <c r="A11" s="454" t="s">
        <v>382</v>
      </c>
      <c r="B11" s="454" t="s">
        <v>389</v>
      </c>
      <c r="C11" s="2009" t="s">
        <v>1126</v>
      </c>
      <c r="D11" s="2010"/>
      <c r="E11" s="2010"/>
      <c r="F11" s="2010"/>
      <c r="G11" s="2011"/>
    </row>
    <row r="12" spans="1:7" ht="51.75" customHeight="1">
      <c r="A12" s="454" t="s">
        <v>382</v>
      </c>
      <c r="B12" s="454" t="s">
        <v>391</v>
      </c>
      <c r="C12" s="2009" t="s">
        <v>1127</v>
      </c>
      <c r="D12" s="2010"/>
      <c r="E12" s="2010"/>
      <c r="F12" s="2010"/>
      <c r="G12" s="2011"/>
    </row>
    <row r="13" spans="1:7" ht="21" customHeight="1">
      <c r="A13" s="454" t="s">
        <v>382</v>
      </c>
      <c r="B13" s="454" t="s">
        <v>393</v>
      </c>
      <c r="C13" s="455" t="s">
        <v>778</v>
      </c>
      <c r="D13" s="456"/>
      <c r="E13" s="457"/>
      <c r="F13" s="457"/>
      <c r="G13" s="456"/>
    </row>
    <row r="14" spans="1:7" ht="21" customHeight="1">
      <c r="A14" s="454" t="s">
        <v>382</v>
      </c>
      <c r="B14" s="454" t="s">
        <v>395</v>
      </c>
      <c r="C14" s="459">
        <v>1</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11" ht="15">
      <c r="A17" s="452" t="s">
        <v>16</v>
      </c>
      <c r="B17" s="453" t="s">
        <v>397</v>
      </c>
      <c r="C17" s="453" t="s">
        <v>398</v>
      </c>
      <c r="D17" s="49"/>
      <c r="E17" s="89"/>
      <c r="F17" s="89"/>
      <c r="G17" s="49"/>
    </row>
    <row r="18" spans="1:11" ht="15">
      <c r="A18" s="454" t="s">
        <v>0</v>
      </c>
      <c r="B18" s="465">
        <f>SUM(H31:H34)</f>
        <v>1041.2707554320987</v>
      </c>
      <c r="C18" s="466">
        <f>B18/C$14</f>
        <v>1041.2707554320987</v>
      </c>
      <c r="D18" s="49"/>
      <c r="E18" s="89"/>
      <c r="F18" s="89"/>
      <c r="G18" s="49"/>
    </row>
    <row r="19" spans="1:11" ht="15">
      <c r="A19" s="454" t="s">
        <v>2</v>
      </c>
      <c r="B19" s="465">
        <f>SUM(H35:H37)</f>
        <v>298.32</v>
      </c>
      <c r="C19" s="466">
        <f t="shared" ref="C19:C27" si="0">B19/C$14</f>
        <v>298.32</v>
      </c>
      <c r="D19" s="49"/>
      <c r="E19" s="89"/>
      <c r="F19" s="89"/>
      <c r="G19" s="49"/>
    </row>
    <row r="20" spans="1:11" ht="15">
      <c r="A20" s="454" t="s">
        <v>3</v>
      </c>
      <c r="B20" s="465">
        <f>SUM(H38:H40)</f>
        <v>300.41999999999996</v>
      </c>
      <c r="C20" s="466">
        <f t="shared" si="0"/>
        <v>300.41999999999996</v>
      </c>
      <c r="D20" s="49"/>
      <c r="E20" s="89"/>
      <c r="F20" s="89"/>
      <c r="G20" s="49"/>
    </row>
    <row r="21" spans="1:11" ht="15">
      <c r="A21" s="454" t="s">
        <v>4</v>
      </c>
      <c r="B21" s="465">
        <f>H41</f>
        <v>82.000537771604954</v>
      </c>
      <c r="C21" s="466">
        <f t="shared" si="0"/>
        <v>82.000537771604954</v>
      </c>
      <c r="D21" s="49"/>
      <c r="E21" s="89"/>
      <c r="F21" s="89"/>
      <c r="G21" s="49"/>
    </row>
    <row r="22" spans="1:11" ht="15">
      <c r="A22" s="454" t="s">
        <v>26</v>
      </c>
      <c r="B22" s="465">
        <f>H42</f>
        <v>0</v>
      </c>
      <c r="C22" s="466">
        <f t="shared" si="0"/>
        <v>0</v>
      </c>
      <c r="D22" s="49"/>
      <c r="E22" s="89"/>
      <c r="F22" s="89"/>
      <c r="G22" s="49"/>
    </row>
    <row r="23" spans="1:11" ht="15">
      <c r="A23" s="454" t="s">
        <v>7</v>
      </c>
      <c r="B23" s="465">
        <f>SUM(H43:H45)</f>
        <v>0</v>
      </c>
      <c r="C23" s="466">
        <f t="shared" si="0"/>
        <v>0</v>
      </c>
      <c r="D23" s="49"/>
      <c r="E23" s="89"/>
      <c r="F23" s="89"/>
      <c r="G23" s="49"/>
    </row>
    <row r="24" spans="1:11" ht="15">
      <c r="A24" s="454" t="s">
        <v>27</v>
      </c>
      <c r="B24" s="465">
        <f>SUM(H46:H48)</f>
        <v>0</v>
      </c>
      <c r="C24" s="466">
        <f t="shared" si="0"/>
        <v>0</v>
      </c>
      <c r="D24" s="49"/>
      <c r="E24" s="89"/>
      <c r="F24" s="89"/>
      <c r="G24" s="49"/>
    </row>
    <row r="25" spans="1:11" ht="15">
      <c r="A25" s="454" t="s">
        <v>5</v>
      </c>
      <c r="B25" s="465">
        <f>G49</f>
        <v>0</v>
      </c>
      <c r="C25" s="466">
        <f t="shared" si="0"/>
        <v>0</v>
      </c>
      <c r="D25" s="49"/>
      <c r="E25" s="89"/>
      <c r="F25" s="89"/>
      <c r="G25" s="49"/>
    </row>
    <row r="26" spans="1:11" ht="15">
      <c r="A26" s="454" t="s">
        <v>20</v>
      </c>
      <c r="B26" s="465">
        <f>H49</f>
        <v>0</v>
      </c>
      <c r="C26" s="466">
        <f t="shared" si="0"/>
        <v>0</v>
      </c>
      <c r="D26" s="49"/>
      <c r="E26" s="89"/>
      <c r="F26" s="89"/>
      <c r="G26" s="49"/>
    </row>
    <row r="27" spans="1:11" ht="15">
      <c r="A27" s="454" t="s">
        <v>399</v>
      </c>
      <c r="B27" s="465">
        <f>SUM(B18:B26)</f>
        <v>1722.0112932037034</v>
      </c>
      <c r="C27" s="466">
        <f t="shared" si="0"/>
        <v>1722.0112932037034</v>
      </c>
      <c r="D27" s="49"/>
      <c r="E27" s="89"/>
      <c r="F27" s="89"/>
      <c r="G27" s="49"/>
    </row>
    <row r="28" spans="1:11">
      <c r="A28" s="467"/>
      <c r="B28" s="126"/>
      <c r="C28" s="126"/>
      <c r="D28" s="49"/>
      <c r="E28" s="49"/>
      <c r="F28" s="49"/>
      <c r="G28" s="49"/>
    </row>
    <row r="29" spans="1:11" ht="15.75">
      <c r="A29" s="468" t="s">
        <v>400</v>
      </c>
      <c r="B29" s="49"/>
      <c r="C29" s="49"/>
      <c r="D29" s="126"/>
      <c r="E29" s="49"/>
      <c r="F29" s="49"/>
      <c r="G29" s="49"/>
    </row>
    <row r="30" spans="1:11" ht="15">
      <c r="A30" s="452" t="s">
        <v>16</v>
      </c>
      <c r="B30" s="452" t="s">
        <v>401</v>
      </c>
      <c r="C30" s="453" t="s">
        <v>402</v>
      </c>
      <c r="D30" s="453" t="s">
        <v>403</v>
      </c>
      <c r="E30" s="452" t="s">
        <v>46</v>
      </c>
      <c r="F30" s="453" t="s">
        <v>404</v>
      </c>
      <c r="G30" s="453" t="s">
        <v>405</v>
      </c>
      <c r="H30" s="453" t="s">
        <v>397</v>
      </c>
      <c r="K30" s="2" t="s">
        <v>1128</v>
      </c>
    </row>
    <row r="31" spans="1:11" ht="15">
      <c r="A31" s="454" t="s">
        <v>0</v>
      </c>
      <c r="B31" s="470">
        <v>42</v>
      </c>
      <c r="C31" s="470" t="s">
        <v>984</v>
      </c>
      <c r="D31" s="471" t="s">
        <v>1129</v>
      </c>
      <c r="E31" s="471" t="s">
        <v>1112</v>
      </c>
      <c r="F31" s="472">
        <v>2.27</v>
      </c>
      <c r="G31" s="486">
        <f>22*2.44444444444444</f>
        <v>53.777777777777686</v>
      </c>
      <c r="H31" s="474">
        <f>IF(G31&lt;=0, 0, F31*G31)</f>
        <v>122.07555555555535</v>
      </c>
    </row>
    <row r="32" spans="1:11" ht="15">
      <c r="A32" s="454" t="s">
        <v>0</v>
      </c>
      <c r="B32" s="470">
        <v>46</v>
      </c>
      <c r="C32" s="470" t="s">
        <v>947</v>
      </c>
      <c r="D32" s="471" t="s">
        <v>1130</v>
      </c>
      <c r="E32" s="471" t="s">
        <v>949</v>
      </c>
      <c r="F32" s="472">
        <v>32.33</v>
      </c>
      <c r="G32" s="486">
        <f>11*11*3.1415*0.666666666666667/27</f>
        <v>9.3857160493827205</v>
      </c>
      <c r="H32" s="474">
        <f t="shared" ref="H32:H50" si="1">IF(G32&lt;=0, 0, F32*G32)</f>
        <v>303.44019987654332</v>
      </c>
    </row>
    <row r="33" spans="1:11" ht="15">
      <c r="A33" s="454" t="s">
        <v>0</v>
      </c>
      <c r="B33" s="470">
        <v>281</v>
      </c>
      <c r="C33" s="470" t="s">
        <v>1131</v>
      </c>
      <c r="D33" s="471" t="s">
        <v>1132</v>
      </c>
      <c r="E33" s="471" t="s">
        <v>778</v>
      </c>
      <c r="F33" s="472">
        <v>518</v>
      </c>
      <c r="G33" s="486">
        <v>1</v>
      </c>
      <c r="H33" s="474">
        <f t="shared" si="1"/>
        <v>518</v>
      </c>
    </row>
    <row r="34" spans="1:11" ht="15">
      <c r="A34" s="454" t="s">
        <v>0</v>
      </c>
      <c r="B34" s="470">
        <v>37</v>
      </c>
      <c r="C34" s="470" t="s">
        <v>1133</v>
      </c>
      <c r="D34" s="471" t="s">
        <v>1134</v>
      </c>
      <c r="E34" s="471" t="s">
        <v>949</v>
      </c>
      <c r="F34" s="472">
        <v>195.51</v>
      </c>
      <c r="G34" s="1242">
        <v>0.5</v>
      </c>
      <c r="H34" s="474">
        <f t="shared" si="1"/>
        <v>97.754999999999995</v>
      </c>
      <c r="K34" s="1350" t="s">
        <v>1135</v>
      </c>
    </row>
    <row r="35" spans="1:11" ht="15">
      <c r="A35" s="454" t="s">
        <v>2</v>
      </c>
      <c r="B35" s="470">
        <v>926</v>
      </c>
      <c r="C35" s="470" t="s">
        <v>1136</v>
      </c>
      <c r="D35" s="471" t="s">
        <v>1137</v>
      </c>
      <c r="E35" s="1201" t="s">
        <v>411</v>
      </c>
      <c r="F35" s="472">
        <v>50.04</v>
      </c>
      <c r="G35" s="486">
        <v>4</v>
      </c>
      <c r="H35" s="474">
        <f t="shared" si="1"/>
        <v>200.16</v>
      </c>
    </row>
    <row r="36" spans="1:11" ht="15">
      <c r="A36" s="454" t="s">
        <v>2</v>
      </c>
      <c r="B36" s="470">
        <v>939</v>
      </c>
      <c r="C36" s="470" t="s">
        <v>788</v>
      </c>
      <c r="D36" s="471" t="s">
        <v>430</v>
      </c>
      <c r="E36" s="471" t="s">
        <v>411</v>
      </c>
      <c r="F36" s="472">
        <v>24.54</v>
      </c>
      <c r="G36" s="486">
        <v>4</v>
      </c>
      <c r="H36" s="474">
        <f t="shared" si="1"/>
        <v>98.16</v>
      </c>
    </row>
    <row r="37" spans="1:11" ht="15">
      <c r="A37" s="454" t="s">
        <v>2</v>
      </c>
      <c r="B37" s="470"/>
      <c r="C37" s="470"/>
      <c r="D37" s="471"/>
      <c r="E37" s="471"/>
      <c r="F37" s="472"/>
      <c r="G37" s="486"/>
      <c r="H37" s="474">
        <f t="shared" si="1"/>
        <v>0</v>
      </c>
    </row>
    <row r="38" spans="1:11" ht="15">
      <c r="A38" s="454" t="s">
        <v>3</v>
      </c>
      <c r="B38" s="470">
        <v>232</v>
      </c>
      <c r="C38" s="470" t="s">
        <v>790</v>
      </c>
      <c r="D38" s="471" t="s">
        <v>1121</v>
      </c>
      <c r="E38" s="471" t="s">
        <v>411</v>
      </c>
      <c r="F38" s="472">
        <v>22.63</v>
      </c>
      <c r="G38" s="486">
        <v>6</v>
      </c>
      <c r="H38" s="474">
        <f t="shared" si="1"/>
        <v>135.78</v>
      </c>
    </row>
    <row r="39" spans="1:11" ht="15">
      <c r="A39" s="454" t="s">
        <v>3</v>
      </c>
      <c r="B39" s="470">
        <v>231</v>
      </c>
      <c r="C39" s="470" t="s">
        <v>578</v>
      </c>
      <c r="D39" s="471" t="s">
        <v>579</v>
      </c>
      <c r="E39" s="471" t="s">
        <v>411</v>
      </c>
      <c r="F39" s="472">
        <v>20.58</v>
      </c>
      <c r="G39" s="486">
        <v>8</v>
      </c>
      <c r="H39" s="474">
        <f t="shared" si="1"/>
        <v>164.64</v>
      </c>
    </row>
    <row r="40" spans="1:11" ht="15">
      <c r="A40" s="454" t="s">
        <v>3</v>
      </c>
      <c r="B40" s="470"/>
      <c r="C40" s="470"/>
      <c r="D40" s="471"/>
      <c r="E40" s="471"/>
      <c r="F40" s="472"/>
      <c r="G40" s="486"/>
      <c r="H40" s="474">
        <f t="shared" si="1"/>
        <v>0</v>
      </c>
    </row>
    <row r="41" spans="1:11" ht="15">
      <c r="A41" s="454" t="s">
        <v>4</v>
      </c>
      <c r="B41" s="470"/>
      <c r="C41" s="470" t="s">
        <v>4</v>
      </c>
      <c r="D41" s="471" t="s">
        <v>1122</v>
      </c>
      <c r="E41" s="471" t="s">
        <v>418</v>
      </c>
      <c r="F41" s="481">
        <v>0.05</v>
      </c>
      <c r="G41" s="482">
        <f>SUM(H31:H40)</f>
        <v>1640.0107554320989</v>
      </c>
      <c r="H41" s="474">
        <f t="shared" si="1"/>
        <v>82.000537771604954</v>
      </c>
    </row>
    <row r="42" spans="1:11" ht="16.5" customHeight="1">
      <c r="A42" s="454" t="s">
        <v>419</v>
      </c>
      <c r="B42" s="470"/>
      <c r="C42" s="470"/>
      <c r="D42" s="471"/>
      <c r="E42" s="471"/>
      <c r="F42" s="481"/>
      <c r="G42" s="486"/>
      <c r="H42" s="474">
        <f t="shared" si="1"/>
        <v>0</v>
      </c>
    </row>
    <row r="43" spans="1:11" ht="15">
      <c r="A43" s="454" t="s">
        <v>7</v>
      </c>
      <c r="B43" s="470"/>
      <c r="C43" s="470"/>
      <c r="D43" s="471"/>
      <c r="E43" s="471"/>
      <c r="F43" s="472"/>
      <c r="G43" s="482"/>
      <c r="H43" s="474">
        <f t="shared" si="1"/>
        <v>0</v>
      </c>
    </row>
    <row r="44" spans="1:11" ht="15">
      <c r="A44" s="454" t="s">
        <v>7</v>
      </c>
      <c r="B44" s="470"/>
      <c r="C44" s="470"/>
      <c r="D44" s="471"/>
      <c r="E44" s="471"/>
      <c r="F44" s="472"/>
      <c r="G44" s="482"/>
      <c r="H44" s="474">
        <f t="shared" si="1"/>
        <v>0</v>
      </c>
    </row>
    <row r="45" spans="1:11" ht="15">
      <c r="A45" s="454" t="s">
        <v>7</v>
      </c>
      <c r="B45" s="470"/>
      <c r="C45" s="470"/>
      <c r="D45" s="471"/>
      <c r="E45" s="471"/>
      <c r="F45" s="472"/>
      <c r="G45" s="482"/>
      <c r="H45" s="474">
        <f t="shared" si="1"/>
        <v>0</v>
      </c>
    </row>
    <row r="46" spans="1:11" ht="15">
      <c r="A46" s="454" t="s">
        <v>421</v>
      </c>
      <c r="B46" s="470"/>
      <c r="C46" s="470"/>
      <c r="D46" s="471"/>
      <c r="E46" s="471"/>
      <c r="F46" s="472"/>
      <c r="G46" s="482"/>
      <c r="H46" s="474">
        <f t="shared" si="1"/>
        <v>0</v>
      </c>
    </row>
    <row r="47" spans="1:11" ht="15">
      <c r="A47" s="454" t="s">
        <v>421</v>
      </c>
      <c r="B47" s="470"/>
      <c r="C47" s="470"/>
      <c r="D47" s="471"/>
      <c r="E47" s="471"/>
      <c r="F47" s="472"/>
      <c r="G47" s="482"/>
      <c r="H47" s="474">
        <f t="shared" si="1"/>
        <v>0</v>
      </c>
    </row>
    <row r="48" spans="1:11" ht="15">
      <c r="A48" s="454" t="s">
        <v>421</v>
      </c>
      <c r="B48" s="470"/>
      <c r="C48" s="470"/>
      <c r="D48" s="471"/>
      <c r="E48" s="471"/>
      <c r="F48" s="472"/>
      <c r="G48" s="482"/>
      <c r="H48" s="474">
        <f t="shared" si="1"/>
        <v>0</v>
      </c>
    </row>
    <row r="49" spans="1:8" ht="15">
      <c r="A49" s="454" t="s">
        <v>5</v>
      </c>
      <c r="B49" s="470"/>
      <c r="C49" s="470"/>
      <c r="D49" s="471"/>
      <c r="E49" s="471"/>
      <c r="F49" s="472"/>
      <c r="G49" s="482"/>
      <c r="H49" s="474">
        <f t="shared" si="1"/>
        <v>0</v>
      </c>
    </row>
    <row r="50" spans="1:8" ht="15">
      <c r="A50" s="454" t="s">
        <v>20</v>
      </c>
      <c r="B50" s="470"/>
      <c r="C50" s="470"/>
      <c r="D50" s="471"/>
      <c r="E50" s="471"/>
      <c r="F50" s="472"/>
      <c r="G50" s="482"/>
      <c r="H50" s="474">
        <f t="shared" si="1"/>
        <v>0</v>
      </c>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95" spans="1:7">
      <c r="D95" s="57"/>
    </row>
    <row r="96" spans="1:7">
      <c r="D96" s="57"/>
    </row>
    <row r="97" spans="4:4">
      <c r="D97" s="57"/>
    </row>
    <row r="98" spans="4:4">
      <c r="D98" s="57"/>
    </row>
    <row r="99" spans="4:4">
      <c r="D99" s="57"/>
    </row>
    <row r="100" spans="4:4">
      <c r="D100" s="57"/>
    </row>
    <row r="101" spans="4:4">
      <c r="D101" s="57"/>
    </row>
    <row r="103" spans="4:4">
      <c r="D103" s="57"/>
    </row>
    <row r="105" spans="4:4">
      <c r="D105" s="56"/>
    </row>
    <row r="107" spans="4:4">
      <c r="D107"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ageMargins left="0.7" right="0.7" top="0.75" bottom="0.75" header="0.3" footer="0.3"/>
  <pageSetup scale="70" orientation="landscape" r:id="rId1"/>
</worksheet>
</file>

<file path=xl/worksheets/sheet214.xml><?xml version="1.0" encoding="utf-8"?>
<worksheet xmlns="http://schemas.openxmlformats.org/spreadsheetml/2006/main" xmlns:r="http://schemas.openxmlformats.org/officeDocument/2006/relationships">
  <dimension ref="A1:M105"/>
  <sheetViews>
    <sheetView topLeftCell="A31" zoomScaleNormal="100" workbookViewId="0">
      <selection activeCell="D49" sqref="D49"/>
    </sheetView>
  </sheetViews>
  <sheetFormatPr defaultRowHeight="12.75"/>
  <cols>
    <col min="1" max="1" width="11.42578125" style="637" customWidth="1"/>
    <col min="2" max="2" width="17.5703125" style="637" customWidth="1"/>
    <col min="3" max="3" width="12.28515625" style="637" customWidth="1"/>
    <col min="4" max="4" width="11.140625" style="637" customWidth="1"/>
    <col min="5" max="12" width="15.7109375" style="637" customWidth="1"/>
    <col min="13" max="16384" width="9.140625" style="637"/>
  </cols>
  <sheetData>
    <row r="1" spans="1:13" ht="15.75" customHeight="1">
      <c r="A1" s="2027" t="s">
        <v>493</v>
      </c>
      <c r="B1" s="2028"/>
      <c r="C1" s="2028"/>
      <c r="D1" s="2029"/>
      <c r="E1" s="2029"/>
      <c r="F1" s="2029"/>
      <c r="G1" s="2029"/>
      <c r="H1" s="2030"/>
      <c r="I1" s="636"/>
      <c r="J1" s="636"/>
      <c r="K1" s="636"/>
      <c r="L1" s="636"/>
      <c r="M1" s="636"/>
    </row>
    <row r="2" spans="1:13" ht="15.75">
      <c r="A2" s="2031" t="s">
        <v>494</v>
      </c>
      <c r="B2" s="2032"/>
      <c r="C2" s="2032"/>
      <c r="D2" s="2033"/>
      <c r="E2" s="2033"/>
      <c r="F2" s="2033"/>
      <c r="G2" s="2033"/>
      <c r="H2" s="2034"/>
      <c r="I2" s="636"/>
      <c r="J2" s="636"/>
      <c r="K2" s="636"/>
      <c r="L2" s="636"/>
      <c r="M2" s="636"/>
    </row>
    <row r="3" spans="1:13" ht="15.75">
      <c r="A3" s="2031" t="s">
        <v>1138</v>
      </c>
      <c r="B3" s="2032"/>
      <c r="C3" s="2032"/>
      <c r="D3" s="2033"/>
      <c r="E3" s="2033"/>
      <c r="F3" s="2033"/>
      <c r="G3" s="2033"/>
      <c r="H3" s="2034"/>
      <c r="I3" s="636"/>
      <c r="J3" s="636"/>
      <c r="K3" s="636"/>
      <c r="L3" s="636"/>
      <c r="M3" s="636"/>
    </row>
    <row r="4" spans="1:13" ht="16.5" thickBot="1">
      <c r="A4" s="2031" t="s">
        <v>1139</v>
      </c>
      <c r="B4" s="2032"/>
      <c r="C4" s="2032"/>
      <c r="D4" s="2033"/>
      <c r="E4" s="2033"/>
      <c r="F4" s="2033"/>
      <c r="G4" s="2033"/>
      <c r="H4" s="2034"/>
      <c r="I4" s="636"/>
      <c r="J4" s="636"/>
      <c r="K4" s="636"/>
      <c r="L4" s="636"/>
      <c r="M4" s="636"/>
    </row>
    <row r="5" spans="1:13" ht="17.25" thickBot="1">
      <c r="A5" s="2035" t="s">
        <v>17</v>
      </c>
      <c r="B5" s="2036"/>
      <c r="C5" s="2036"/>
      <c r="D5" s="2037"/>
      <c r="E5" s="2037"/>
      <c r="F5" s="2037"/>
      <c r="G5" s="2037"/>
      <c r="H5" s="2037"/>
      <c r="I5" s="636"/>
      <c r="J5" s="636"/>
      <c r="K5" s="636"/>
      <c r="L5" s="636"/>
      <c r="M5" s="636"/>
    </row>
    <row r="6" spans="1:13" ht="33">
      <c r="A6" s="638" t="s">
        <v>37</v>
      </c>
      <c r="B6" s="639" t="s">
        <v>22</v>
      </c>
      <c r="C6" s="2038" t="s">
        <v>497</v>
      </c>
      <c r="D6" s="2038"/>
      <c r="E6" s="2038" t="s">
        <v>30</v>
      </c>
      <c r="F6" s="2038"/>
      <c r="G6" s="639" t="s">
        <v>498</v>
      </c>
      <c r="H6" s="640" t="s">
        <v>76</v>
      </c>
      <c r="I6" s="641"/>
    </row>
    <row r="7" spans="1:13" ht="16.5">
      <c r="A7" s="642">
        <f>D27</f>
        <v>620</v>
      </c>
      <c r="B7" s="643" t="s">
        <v>15</v>
      </c>
      <c r="C7" s="2041" t="str">
        <f>E27</f>
        <v>Underground Outlet</v>
      </c>
      <c r="D7" s="2041"/>
      <c r="E7" s="2042" t="str">
        <f>D28</f>
        <v>Pipe Diameter Less than 6"</v>
      </c>
      <c r="F7" s="2042"/>
      <c r="G7" s="644" t="str">
        <f>H35</f>
        <v>Foot</v>
      </c>
      <c r="H7" s="645">
        <f>F24</f>
        <v>1.863140909090909</v>
      </c>
    </row>
    <row r="8" spans="1:13" ht="16.5">
      <c r="A8" s="642">
        <f>D27</f>
        <v>620</v>
      </c>
      <c r="B8" s="643" t="s">
        <v>15</v>
      </c>
      <c r="C8" s="2042" t="str">
        <f>E27</f>
        <v>Underground Outlet</v>
      </c>
      <c r="D8" s="2042"/>
      <c r="E8" s="2042" t="s">
        <v>1140</v>
      </c>
      <c r="F8" s="2042"/>
      <c r="G8" s="644" t="str">
        <f>H35</f>
        <v>Foot</v>
      </c>
      <c r="H8" s="645">
        <f>H24</f>
        <v>2.2357690909090913</v>
      </c>
    </row>
    <row r="9" spans="1:13" ht="16.5">
      <c r="A9" s="1351">
        <f>D27</f>
        <v>620</v>
      </c>
      <c r="B9" s="644" t="s">
        <v>1141</v>
      </c>
      <c r="C9" s="2042" t="str">
        <f>E27</f>
        <v>Underground Outlet</v>
      </c>
      <c r="D9" s="2041"/>
      <c r="E9" s="2042" t="str">
        <f>E7</f>
        <v>Pipe Diameter Less than 6"</v>
      </c>
      <c r="F9" s="2041"/>
      <c r="G9" s="644" t="str">
        <f>H35</f>
        <v>Foot</v>
      </c>
      <c r="H9" s="645">
        <f>F24</f>
        <v>1.863140909090909</v>
      </c>
    </row>
    <row r="10" spans="1:13" ht="16.5">
      <c r="A10" s="1351">
        <f>D27</f>
        <v>620</v>
      </c>
      <c r="B10" s="644" t="s">
        <v>1141</v>
      </c>
      <c r="C10" s="2042" t="str">
        <f>E27</f>
        <v>Underground Outlet</v>
      </c>
      <c r="D10" s="2041"/>
      <c r="E10" s="2041" t="s">
        <v>1140</v>
      </c>
      <c r="F10" s="2041"/>
      <c r="G10" s="644" t="str">
        <f>H35</f>
        <v>Foot</v>
      </c>
      <c r="H10" s="645">
        <f>H24</f>
        <v>2.2357690909090913</v>
      </c>
    </row>
    <row r="11" spans="1:13" ht="16.5">
      <c r="A11" s="1351">
        <f>D27</f>
        <v>620</v>
      </c>
      <c r="B11" s="644" t="s">
        <v>1142</v>
      </c>
      <c r="C11" s="2042" t="str">
        <f>E27</f>
        <v>Underground Outlet</v>
      </c>
      <c r="D11" s="2042"/>
      <c r="E11" s="2042" t="str">
        <f>D28</f>
        <v>Pipe Diameter Less than 6"</v>
      </c>
      <c r="F11" s="2042"/>
      <c r="G11" s="644" t="str">
        <f>H35</f>
        <v>Foot</v>
      </c>
      <c r="H11" s="645">
        <f>F24</f>
        <v>1.863140909090909</v>
      </c>
    </row>
    <row r="12" spans="1:13" ht="17.25" thickBot="1">
      <c r="A12" s="1352">
        <f>D27</f>
        <v>620</v>
      </c>
      <c r="B12" s="647" t="s">
        <v>1142</v>
      </c>
      <c r="C12" s="2043" t="str">
        <f>E27</f>
        <v>Underground Outlet</v>
      </c>
      <c r="D12" s="2043"/>
      <c r="E12" s="2043" t="str">
        <f>E8</f>
        <v>Pipe Diameter Less than 6" - HU</v>
      </c>
      <c r="F12" s="2043"/>
      <c r="G12" s="647" t="str">
        <f>H35</f>
        <v>Foot</v>
      </c>
      <c r="H12" s="648">
        <f>H24</f>
        <v>2.2357690909090913</v>
      </c>
    </row>
    <row r="13" spans="1:13" ht="15.75" customHeight="1" thickBot="1">
      <c r="A13" s="2044" t="s">
        <v>18</v>
      </c>
      <c r="B13" s="2045"/>
      <c r="C13" s="2045"/>
      <c r="D13" s="2046"/>
      <c r="E13" s="2046"/>
      <c r="F13" s="2046"/>
      <c r="G13" s="2046"/>
      <c r="H13" s="2046"/>
    </row>
    <row r="14" spans="1:13" ht="49.5">
      <c r="A14" s="2047" t="s">
        <v>16</v>
      </c>
      <c r="B14" s="2048"/>
      <c r="C14" s="2048"/>
      <c r="D14" s="649" t="s">
        <v>6</v>
      </c>
      <c r="E14" s="649" t="s">
        <v>501</v>
      </c>
      <c r="F14" s="649" t="s">
        <v>502</v>
      </c>
      <c r="G14" s="649" t="s">
        <v>503</v>
      </c>
      <c r="H14" s="650" t="s">
        <v>504</v>
      </c>
    </row>
    <row r="15" spans="1:13" ht="16.5">
      <c r="A15" s="2039" t="s">
        <v>0</v>
      </c>
      <c r="B15" s="2040"/>
      <c r="C15" s="2040"/>
      <c r="D15" s="651">
        <f>G46</f>
        <v>1.1641878787878788</v>
      </c>
      <c r="E15" s="652">
        <v>0.75</v>
      </c>
      <c r="F15" s="651">
        <f>D15*E15</f>
        <v>0.87314090909090902</v>
      </c>
      <c r="G15" s="652">
        <v>0.9</v>
      </c>
      <c r="H15" s="653">
        <f>D15*G15</f>
        <v>1.0477690909090909</v>
      </c>
    </row>
    <row r="16" spans="1:13" ht="16.5">
      <c r="A16" s="2039" t="s">
        <v>505</v>
      </c>
      <c r="B16" s="2040"/>
      <c r="C16" s="2040"/>
      <c r="D16" s="651">
        <f>G53</f>
        <v>1.32</v>
      </c>
      <c r="E16" s="652">
        <v>0.75</v>
      </c>
      <c r="F16" s="651">
        <f t="shared" ref="F16:F23" si="0">D16*E16</f>
        <v>0.99</v>
      </c>
      <c r="G16" s="652">
        <v>0.9</v>
      </c>
      <c r="H16" s="653">
        <f t="shared" ref="H16:H23" si="1">D16*G16</f>
        <v>1.1880000000000002</v>
      </c>
    </row>
    <row r="17" spans="1:12" ht="16.5">
      <c r="A17" s="2039" t="s">
        <v>3</v>
      </c>
      <c r="B17" s="2040"/>
      <c r="C17" s="2040"/>
      <c r="D17" s="651">
        <f>G60</f>
        <v>0</v>
      </c>
      <c r="E17" s="652">
        <v>0.75</v>
      </c>
      <c r="F17" s="651">
        <f t="shared" si="0"/>
        <v>0</v>
      </c>
      <c r="G17" s="652">
        <v>0.9</v>
      </c>
      <c r="H17" s="653">
        <f t="shared" si="1"/>
        <v>0</v>
      </c>
    </row>
    <row r="18" spans="1:12" ht="16.5">
      <c r="A18" s="2039" t="s">
        <v>4</v>
      </c>
      <c r="B18" s="2040"/>
      <c r="C18" s="2040"/>
      <c r="D18" s="651">
        <f>G66</f>
        <v>0</v>
      </c>
      <c r="E18" s="652">
        <v>0.75</v>
      </c>
      <c r="F18" s="651">
        <f t="shared" si="0"/>
        <v>0</v>
      </c>
      <c r="G18" s="652">
        <v>0.9</v>
      </c>
      <c r="H18" s="653">
        <f t="shared" si="1"/>
        <v>0</v>
      </c>
    </row>
    <row r="19" spans="1:12" ht="16.5">
      <c r="A19" s="2039" t="s">
        <v>506</v>
      </c>
      <c r="B19" s="2040"/>
      <c r="C19" s="2040"/>
      <c r="D19" s="651">
        <f>G72</f>
        <v>4.9683757575757576E-2</v>
      </c>
      <c r="E19" s="652">
        <v>0</v>
      </c>
      <c r="F19" s="651">
        <f t="shared" si="0"/>
        <v>0</v>
      </c>
      <c r="G19" s="652">
        <v>0</v>
      </c>
      <c r="H19" s="653">
        <f t="shared" si="1"/>
        <v>0</v>
      </c>
    </row>
    <row r="20" spans="1:12" ht="16.5">
      <c r="A20" s="2039" t="s">
        <v>507</v>
      </c>
      <c r="B20" s="2040"/>
      <c r="C20" s="2040"/>
      <c r="D20" s="651">
        <f>G78</f>
        <v>0</v>
      </c>
      <c r="E20" s="652">
        <v>0.75</v>
      </c>
      <c r="F20" s="651">
        <f t="shared" si="0"/>
        <v>0</v>
      </c>
      <c r="G20" s="652">
        <v>0.9</v>
      </c>
      <c r="H20" s="653">
        <f t="shared" si="1"/>
        <v>0</v>
      </c>
    </row>
    <row r="21" spans="1:12" ht="16.5">
      <c r="A21" s="2039" t="s">
        <v>27</v>
      </c>
      <c r="B21" s="2040"/>
      <c r="C21" s="2040"/>
      <c r="D21" s="651">
        <f>G84</f>
        <v>0</v>
      </c>
      <c r="E21" s="652">
        <v>0.75</v>
      </c>
      <c r="F21" s="651">
        <f t="shared" si="0"/>
        <v>0</v>
      </c>
      <c r="G21" s="652">
        <v>0.9</v>
      </c>
      <c r="H21" s="653">
        <f t="shared" si="1"/>
        <v>0</v>
      </c>
      <c r="I21" s="641"/>
    </row>
    <row r="22" spans="1:12" ht="16.5">
      <c r="A22" s="2039" t="s">
        <v>5</v>
      </c>
      <c r="B22" s="2040"/>
      <c r="C22" s="2040"/>
      <c r="D22" s="651">
        <f>G90</f>
        <v>0</v>
      </c>
      <c r="E22" s="652">
        <v>0</v>
      </c>
      <c r="F22" s="651">
        <f t="shared" si="0"/>
        <v>0</v>
      </c>
      <c r="G22" s="652">
        <v>0</v>
      </c>
      <c r="H22" s="653">
        <f t="shared" si="1"/>
        <v>0</v>
      </c>
    </row>
    <row r="23" spans="1:12" ht="16.5">
      <c r="A23" s="2039" t="s">
        <v>508</v>
      </c>
      <c r="B23" s="2040"/>
      <c r="C23" s="2040"/>
      <c r="D23" s="651">
        <f>G96</f>
        <v>0</v>
      </c>
      <c r="E23" s="652">
        <v>0</v>
      </c>
      <c r="F23" s="651">
        <f t="shared" si="0"/>
        <v>0</v>
      </c>
      <c r="G23" s="652">
        <v>0</v>
      </c>
      <c r="H23" s="653">
        <f t="shared" si="1"/>
        <v>0</v>
      </c>
    </row>
    <row r="24" spans="1:12" ht="17.25" thickBot="1">
      <c r="A24" s="2063" t="s">
        <v>509</v>
      </c>
      <c r="B24" s="2064"/>
      <c r="C24" s="2064"/>
      <c r="D24" s="654">
        <f>SUM(D15:D23)</f>
        <v>2.5338716363636364</v>
      </c>
      <c r="E24" s="655"/>
      <c r="F24" s="654">
        <f>SUM(F15:F23)</f>
        <v>1.863140909090909</v>
      </c>
      <c r="G24" s="656"/>
      <c r="H24" s="657">
        <f>SUM(H15:H23)</f>
        <v>2.2357690909090913</v>
      </c>
    </row>
    <row r="25" spans="1:12" ht="15">
      <c r="A25" s="658"/>
      <c r="B25" s="658"/>
      <c r="C25" s="658"/>
      <c r="D25" s="659"/>
      <c r="E25" s="660"/>
      <c r="F25" s="659"/>
      <c r="G25" s="661"/>
      <c r="H25" s="659"/>
      <c r="I25" s="661"/>
      <c r="J25" s="659"/>
      <c r="K25" s="661"/>
      <c r="L25" s="659"/>
    </row>
    <row r="26" spans="1:12" ht="17.25" thickBot="1">
      <c r="A26" s="2044" t="s">
        <v>510</v>
      </c>
      <c r="B26" s="2045"/>
      <c r="C26" s="2045"/>
      <c r="D26" s="2046"/>
      <c r="E26" s="2046"/>
      <c r="F26" s="2046"/>
      <c r="G26" s="2046"/>
      <c r="H26" s="2046"/>
    </row>
    <row r="27" spans="1:12" ht="16.5">
      <c r="A27" s="2180" t="s">
        <v>511</v>
      </c>
      <c r="B27" s="2181"/>
      <c r="C27" s="2182"/>
      <c r="D27" s="662">
        <v>620</v>
      </c>
      <c r="E27" s="2068" t="s">
        <v>1143</v>
      </c>
      <c r="F27" s="2069"/>
      <c r="G27" s="2069"/>
      <c r="H27" s="2070"/>
    </row>
    <row r="28" spans="1:12" ht="16.5">
      <c r="A28" s="2094" t="s">
        <v>513</v>
      </c>
      <c r="B28" s="2095"/>
      <c r="C28" s="2183"/>
      <c r="D28" s="2052" t="s">
        <v>1139</v>
      </c>
      <c r="E28" s="2053"/>
      <c r="F28" s="2053"/>
      <c r="G28" s="2053"/>
      <c r="H28" s="2054"/>
    </row>
    <row r="29" spans="1:12" ht="16.5">
      <c r="A29" s="2055" t="s">
        <v>385</v>
      </c>
      <c r="B29" s="2056"/>
      <c r="C29" s="2056"/>
      <c r="D29" s="2056"/>
      <c r="E29" s="2056"/>
      <c r="F29" s="2056"/>
      <c r="G29" s="2056"/>
      <c r="H29" s="2057"/>
    </row>
    <row r="30" spans="1:12" ht="89.25" customHeight="1">
      <c r="A30" s="2058" t="s">
        <v>1144</v>
      </c>
      <c r="B30" s="2059"/>
      <c r="C30" s="2059"/>
      <c r="D30" s="2059"/>
      <c r="E30" s="2059"/>
      <c r="F30" s="2059"/>
      <c r="G30" s="2059"/>
      <c r="H30" s="2060"/>
    </row>
    <row r="31" spans="1:12" ht="12.75" customHeight="1">
      <c r="A31" s="2055" t="s">
        <v>391</v>
      </c>
      <c r="B31" s="2056"/>
      <c r="C31" s="2056"/>
      <c r="D31" s="2056"/>
      <c r="E31" s="2056"/>
      <c r="F31" s="2056"/>
      <c r="G31" s="2056"/>
      <c r="H31" s="2057"/>
    </row>
    <row r="32" spans="1:12" ht="16.5" customHeight="1">
      <c r="A32" s="2058" t="s">
        <v>1145</v>
      </c>
      <c r="B32" s="2059"/>
      <c r="C32" s="2059"/>
      <c r="D32" s="2061"/>
      <c r="E32" s="2061"/>
      <c r="F32" s="2061"/>
      <c r="G32" s="2061"/>
      <c r="H32" s="2062"/>
    </row>
    <row r="33" spans="1:8">
      <c r="A33" s="663"/>
      <c r="B33" s="664"/>
      <c r="C33" s="664"/>
      <c r="D33" s="664"/>
      <c r="E33" s="664"/>
      <c r="F33" s="664"/>
      <c r="G33" s="664"/>
      <c r="H33" s="665"/>
    </row>
    <row r="34" spans="1:8" ht="16.5">
      <c r="A34" s="2090" t="s">
        <v>516</v>
      </c>
      <c r="B34" s="2091"/>
      <c r="C34" s="2091"/>
      <c r="D34" s="2092"/>
      <c r="E34" s="2092"/>
      <c r="F34" s="2092"/>
      <c r="G34" s="2093"/>
      <c r="H34" s="666" t="s">
        <v>91</v>
      </c>
    </row>
    <row r="35" spans="1:8" ht="16.5">
      <c r="A35" s="2094" t="s">
        <v>517</v>
      </c>
      <c r="B35" s="2095"/>
      <c r="C35" s="2095"/>
      <c r="D35" s="2096"/>
      <c r="E35" s="2096"/>
      <c r="F35" s="2096"/>
      <c r="G35" s="2097"/>
      <c r="H35" s="666" t="s">
        <v>1146</v>
      </c>
    </row>
    <row r="36" spans="1:8" ht="16.5">
      <c r="A36" s="2084" t="s">
        <v>518</v>
      </c>
      <c r="B36" s="2085"/>
      <c r="C36" s="2085"/>
      <c r="D36" s="2098"/>
      <c r="E36" s="2098"/>
      <c r="F36" s="2098"/>
      <c r="G36" s="2099"/>
      <c r="H36" s="2100">
        <v>1300</v>
      </c>
    </row>
    <row r="37" spans="1:8">
      <c r="A37" s="2102" t="s">
        <v>519</v>
      </c>
      <c r="B37" s="2103"/>
      <c r="C37" s="2103"/>
      <c r="D37" s="2103"/>
      <c r="E37" s="2103"/>
      <c r="F37" s="2103"/>
      <c r="G37" s="2104"/>
      <c r="H37" s="2101"/>
    </row>
    <row r="38" spans="1:8" ht="13.5">
      <c r="A38" s="2105" t="s">
        <v>520</v>
      </c>
      <c r="B38" s="2106"/>
      <c r="C38" s="2107"/>
      <c r="D38" s="667">
        <v>20</v>
      </c>
      <c r="E38" s="2108" t="s">
        <v>521</v>
      </c>
      <c r="F38" s="2109"/>
      <c r="G38" s="2110"/>
      <c r="H38" s="668">
        <v>0.06</v>
      </c>
    </row>
    <row r="39" spans="1:8" ht="5.25" customHeight="1">
      <c r="A39" s="669"/>
      <c r="B39" s="670"/>
      <c r="C39" s="670"/>
      <c r="D39" s="670"/>
      <c r="E39" s="670"/>
      <c r="F39" s="670"/>
      <c r="G39" s="670"/>
      <c r="H39" s="671"/>
    </row>
    <row r="40" spans="1:8" ht="16.5">
      <c r="A40" s="2071" t="s">
        <v>0</v>
      </c>
      <c r="B40" s="2072"/>
      <c r="C40" s="2072"/>
      <c r="D40" s="2072"/>
      <c r="E40" s="2072"/>
      <c r="F40" s="2072"/>
      <c r="G40" s="2072"/>
      <c r="H40" s="2073"/>
    </row>
    <row r="41" spans="1:8" ht="33">
      <c r="A41" s="2074" t="s">
        <v>522</v>
      </c>
      <c r="B41" s="2075"/>
      <c r="C41" s="2076"/>
      <c r="D41" s="672" t="s">
        <v>447</v>
      </c>
      <c r="E41" s="672" t="s">
        <v>6</v>
      </c>
      <c r="F41" s="672" t="s">
        <v>523</v>
      </c>
      <c r="G41" s="672" t="s">
        <v>524</v>
      </c>
      <c r="H41" s="673" t="s">
        <v>525</v>
      </c>
    </row>
    <row r="42" spans="1:8">
      <c r="A42" s="2184" t="s">
        <v>1147</v>
      </c>
      <c r="B42" s="2185"/>
      <c r="C42" s="2186"/>
      <c r="D42" s="674" t="s">
        <v>778</v>
      </c>
      <c r="E42" s="675">
        <v>78.099999999999994</v>
      </c>
      <c r="F42" s="674">
        <f>H36/250</f>
        <v>5.2</v>
      </c>
      <c r="G42" s="675">
        <f>E42*F42/H36</f>
        <v>0.31240000000000001</v>
      </c>
      <c r="H42" s="676"/>
    </row>
    <row r="43" spans="1:8" ht="25.5" customHeight="1">
      <c r="A43" s="2184" t="s">
        <v>1148</v>
      </c>
      <c r="B43" s="2185"/>
      <c r="C43" s="2186"/>
      <c r="D43" s="674" t="s">
        <v>778</v>
      </c>
      <c r="E43" s="679">
        <v>61.3</v>
      </c>
      <c r="F43" s="1353">
        <f>H36/660</f>
        <v>1.9696969696969697</v>
      </c>
      <c r="G43" s="675">
        <f>E43*F43/H36</f>
        <v>9.2878787878787866E-2</v>
      </c>
      <c r="H43" s="676"/>
    </row>
    <row r="44" spans="1:8">
      <c r="A44" s="2184" t="s">
        <v>1149</v>
      </c>
      <c r="B44" s="2185"/>
      <c r="C44" s="2186"/>
      <c r="D44" s="674" t="s">
        <v>778</v>
      </c>
      <c r="E44" s="679">
        <v>12.48</v>
      </c>
      <c r="F44" s="1353">
        <f>H36/660</f>
        <v>1.9696969696969697</v>
      </c>
      <c r="G44" s="675">
        <f>E44*F44/H36</f>
        <v>1.890909090909091E-2</v>
      </c>
      <c r="H44" s="676"/>
    </row>
    <row r="45" spans="1:8" ht="13.5" thickBot="1">
      <c r="A45" s="2077" t="s">
        <v>1150</v>
      </c>
      <c r="B45" s="2078"/>
      <c r="C45" s="2079"/>
      <c r="D45" s="674" t="s">
        <v>785</v>
      </c>
      <c r="E45" s="679">
        <v>0.74</v>
      </c>
      <c r="F45" s="674">
        <v>1300</v>
      </c>
      <c r="G45" s="675">
        <f>E45*F45/H36</f>
        <v>0.74</v>
      </c>
      <c r="H45" s="676"/>
    </row>
    <row r="46" spans="1:8" ht="17.25" thickTop="1">
      <c r="A46" s="2080" t="s">
        <v>527</v>
      </c>
      <c r="B46" s="2081"/>
      <c r="C46" s="2081"/>
      <c r="D46" s="2082"/>
      <c r="E46" s="2082"/>
      <c r="F46" s="2083"/>
      <c r="G46" s="677">
        <f>SUM(G42:G45)</f>
        <v>1.1641878787878788</v>
      </c>
      <c r="H46" s="678">
        <f>SUM(H42:H42)</f>
        <v>0</v>
      </c>
    </row>
    <row r="47" spans="1:8" ht="16.5" customHeight="1">
      <c r="A47" s="2084" t="s">
        <v>528</v>
      </c>
      <c r="B47" s="2085"/>
      <c r="C47" s="2086"/>
      <c r="D47" s="2114" t="s">
        <v>1151</v>
      </c>
      <c r="E47" s="2115"/>
      <c r="F47" s="2115"/>
      <c r="G47" s="2115"/>
      <c r="H47" s="2116"/>
    </row>
    <row r="48" spans="1:8">
      <c r="A48" s="2049"/>
      <c r="B48" s="2050"/>
      <c r="C48" s="2051"/>
      <c r="D48" s="2117"/>
      <c r="E48" s="2118"/>
      <c r="F48" s="2118"/>
      <c r="G48" s="2118"/>
      <c r="H48" s="2119"/>
    </row>
    <row r="49" spans="1:8" ht="5.25" customHeight="1">
      <c r="A49" s="669"/>
      <c r="B49" s="670"/>
      <c r="C49" s="670"/>
      <c r="D49" s="670"/>
      <c r="E49" s="670"/>
      <c r="F49" s="670"/>
      <c r="G49" s="670"/>
      <c r="H49" s="671"/>
    </row>
    <row r="50" spans="1:8" ht="16.5">
      <c r="A50" s="2071" t="s">
        <v>2</v>
      </c>
      <c r="B50" s="2072"/>
      <c r="C50" s="2072"/>
      <c r="D50" s="2072"/>
      <c r="E50" s="2072"/>
      <c r="F50" s="2072"/>
      <c r="G50" s="2072"/>
      <c r="H50" s="2073"/>
    </row>
    <row r="51" spans="1:8" ht="33">
      <c r="A51" s="2074" t="s">
        <v>529</v>
      </c>
      <c r="B51" s="2075"/>
      <c r="C51" s="2076"/>
      <c r="D51" s="672" t="s">
        <v>447</v>
      </c>
      <c r="E51" s="672" t="s">
        <v>6</v>
      </c>
      <c r="F51" s="672" t="s">
        <v>523</v>
      </c>
      <c r="G51" s="672" t="s">
        <v>524</v>
      </c>
      <c r="H51" s="673" t="s">
        <v>525</v>
      </c>
    </row>
    <row r="52" spans="1:8" ht="13.5" thickBot="1">
      <c r="A52" s="2120" t="s">
        <v>1152</v>
      </c>
      <c r="B52" s="2121"/>
      <c r="C52" s="2122"/>
      <c r="D52" s="674" t="s">
        <v>785</v>
      </c>
      <c r="E52" s="679">
        <v>1.32</v>
      </c>
      <c r="F52" s="674">
        <v>1300</v>
      </c>
      <c r="G52" s="675">
        <f>E52*F52/H36</f>
        <v>1.32</v>
      </c>
      <c r="H52" s="676"/>
    </row>
    <row r="53" spans="1:8" ht="17.25" thickTop="1">
      <c r="A53" s="2080" t="s">
        <v>530</v>
      </c>
      <c r="B53" s="2081"/>
      <c r="C53" s="2081"/>
      <c r="D53" s="2082"/>
      <c r="E53" s="2082"/>
      <c r="F53" s="2083"/>
      <c r="G53" s="677">
        <f>SUM(G52:G52)</f>
        <v>1.32</v>
      </c>
      <c r="H53" s="678">
        <f>SUM(H52:H52)</f>
        <v>0</v>
      </c>
    </row>
    <row r="54" spans="1:8" ht="16.5" customHeight="1">
      <c r="A54" s="2084" t="s">
        <v>528</v>
      </c>
      <c r="B54" s="2085"/>
      <c r="C54" s="2086"/>
      <c r="D54" s="2114" t="s">
        <v>1153</v>
      </c>
      <c r="E54" s="2115"/>
      <c r="F54" s="2115"/>
      <c r="G54" s="2115"/>
      <c r="H54" s="2116"/>
    </row>
    <row r="55" spans="1:8">
      <c r="A55" s="2049"/>
      <c r="B55" s="2050"/>
      <c r="C55" s="2051"/>
      <c r="D55" s="2117"/>
      <c r="E55" s="2118"/>
      <c r="F55" s="2118"/>
      <c r="G55" s="2118"/>
      <c r="H55" s="2119"/>
    </row>
    <row r="56" spans="1:8" ht="5.25" customHeight="1">
      <c r="A56" s="669"/>
      <c r="B56" s="670"/>
      <c r="C56" s="670"/>
      <c r="D56" s="670"/>
      <c r="E56" s="670"/>
      <c r="F56" s="670"/>
      <c r="G56" s="670"/>
      <c r="H56" s="671"/>
    </row>
    <row r="57" spans="1:8" ht="16.5">
      <c r="A57" s="2071" t="s">
        <v>3</v>
      </c>
      <c r="B57" s="2072"/>
      <c r="C57" s="2072"/>
      <c r="D57" s="2072"/>
      <c r="E57" s="2072"/>
      <c r="F57" s="2072"/>
      <c r="G57" s="2072"/>
      <c r="H57" s="2073"/>
    </row>
    <row r="58" spans="1:8" ht="33">
      <c r="A58" s="2074" t="s">
        <v>531</v>
      </c>
      <c r="B58" s="2075"/>
      <c r="C58" s="2076"/>
      <c r="D58" s="672" t="s">
        <v>447</v>
      </c>
      <c r="E58" s="672" t="s">
        <v>6</v>
      </c>
      <c r="F58" s="672" t="s">
        <v>523</v>
      </c>
      <c r="G58" s="672" t="s">
        <v>524</v>
      </c>
      <c r="H58" s="673" t="s">
        <v>525</v>
      </c>
    </row>
    <row r="59" spans="1:8" ht="13.5" thickBot="1">
      <c r="A59" s="2120" t="s">
        <v>1154</v>
      </c>
      <c r="B59" s="2121"/>
      <c r="C59" s="2122"/>
      <c r="D59" s="674"/>
      <c r="E59" s="675"/>
      <c r="F59" s="674"/>
      <c r="G59" s="675"/>
      <c r="H59" s="676"/>
    </row>
    <row r="60" spans="1:8" ht="17.25" thickTop="1">
      <c r="A60" s="2080" t="s">
        <v>534</v>
      </c>
      <c r="B60" s="2081"/>
      <c r="C60" s="2081"/>
      <c r="D60" s="2082"/>
      <c r="E60" s="2082"/>
      <c r="F60" s="2083"/>
      <c r="G60" s="677">
        <f>SUM(G59:G59)</f>
        <v>0</v>
      </c>
      <c r="H60" s="678">
        <f>SUM(H59:H59)</f>
        <v>0</v>
      </c>
    </row>
    <row r="61" spans="1:8" ht="16.5">
      <c r="A61" s="2084" t="s">
        <v>528</v>
      </c>
      <c r="B61" s="2085"/>
      <c r="C61" s="2086"/>
      <c r="D61" s="2087"/>
      <c r="E61" s="2088"/>
      <c r="F61" s="2088"/>
      <c r="G61" s="2088"/>
      <c r="H61" s="2089"/>
    </row>
    <row r="62" spans="1:8" ht="5.25" customHeight="1">
      <c r="A62" s="669"/>
      <c r="B62" s="670"/>
      <c r="C62" s="670"/>
      <c r="D62" s="670"/>
      <c r="E62" s="670"/>
      <c r="F62" s="670"/>
      <c r="G62" s="670"/>
      <c r="H62" s="671"/>
    </row>
    <row r="63" spans="1:8" ht="16.5">
      <c r="A63" s="2071" t="s">
        <v>4</v>
      </c>
      <c r="B63" s="2072"/>
      <c r="C63" s="2072"/>
      <c r="D63" s="2072"/>
      <c r="E63" s="2072"/>
      <c r="F63" s="2072"/>
      <c r="G63" s="2072"/>
      <c r="H63" s="2073"/>
    </row>
    <row r="64" spans="1:8" ht="60" customHeight="1">
      <c r="A64" s="2074" t="s">
        <v>536</v>
      </c>
      <c r="B64" s="2075"/>
      <c r="C64" s="2076"/>
      <c r="D64" s="672" t="s">
        <v>447</v>
      </c>
      <c r="E64" s="672" t="s">
        <v>537</v>
      </c>
      <c r="F64" s="672" t="s">
        <v>538</v>
      </c>
      <c r="G64" s="672" t="s">
        <v>524</v>
      </c>
      <c r="H64" s="673" t="s">
        <v>525</v>
      </c>
    </row>
    <row r="65" spans="1:8" ht="13.5" thickBot="1">
      <c r="A65" s="2120" t="s">
        <v>1155</v>
      </c>
      <c r="B65" s="2121"/>
      <c r="C65" s="2122"/>
      <c r="D65" s="674"/>
      <c r="E65" s="680"/>
      <c r="F65" s="675"/>
      <c r="G65" s="675">
        <f>E65*F65</f>
        <v>0</v>
      </c>
      <c r="H65" s="676"/>
    </row>
    <row r="66" spans="1:8" ht="17.25" thickTop="1">
      <c r="A66" s="2080" t="s">
        <v>539</v>
      </c>
      <c r="B66" s="2081"/>
      <c r="C66" s="2081"/>
      <c r="D66" s="2082"/>
      <c r="E66" s="2082"/>
      <c r="F66" s="2083"/>
      <c r="G66" s="677">
        <f>SUM(G65:G65)</f>
        <v>0</v>
      </c>
      <c r="H66" s="678">
        <f>SUM(H65:H65)</f>
        <v>0</v>
      </c>
    </row>
    <row r="67" spans="1:8" ht="16.5">
      <c r="A67" s="2084" t="s">
        <v>528</v>
      </c>
      <c r="B67" s="2085"/>
      <c r="C67" s="2086"/>
      <c r="D67" s="2087"/>
      <c r="E67" s="2088"/>
      <c r="F67" s="2088"/>
      <c r="G67" s="2088"/>
      <c r="H67" s="2089"/>
    </row>
    <row r="68" spans="1:8" ht="5.25" customHeight="1">
      <c r="A68" s="669"/>
      <c r="B68" s="670"/>
      <c r="C68" s="670"/>
      <c r="D68" s="670"/>
      <c r="E68" s="670"/>
      <c r="F68" s="670"/>
      <c r="G68" s="670"/>
      <c r="H68" s="671"/>
    </row>
    <row r="69" spans="1:8" ht="16.5">
      <c r="A69" s="2071" t="s">
        <v>468</v>
      </c>
      <c r="B69" s="2072"/>
      <c r="C69" s="2072"/>
      <c r="D69" s="2072"/>
      <c r="E69" s="2072"/>
      <c r="F69" s="2072"/>
      <c r="G69" s="2072"/>
      <c r="H69" s="2073"/>
    </row>
    <row r="70" spans="1:8" ht="56.25" customHeight="1">
      <c r="A70" s="2074" t="s">
        <v>540</v>
      </c>
      <c r="B70" s="2075"/>
      <c r="C70" s="2076"/>
      <c r="D70" s="672" t="s">
        <v>447</v>
      </c>
      <c r="E70" s="672" t="s">
        <v>541</v>
      </c>
      <c r="F70" s="672" t="s">
        <v>538</v>
      </c>
      <c r="G70" s="672" t="s">
        <v>524</v>
      </c>
      <c r="H70" s="673" t="s">
        <v>525</v>
      </c>
    </row>
    <row r="71" spans="1:8" ht="42.75" customHeight="1" thickBot="1">
      <c r="A71" s="2077" t="s">
        <v>1156</v>
      </c>
      <c r="B71" s="2078"/>
      <c r="C71" s="2079"/>
      <c r="D71" s="674" t="s">
        <v>785</v>
      </c>
      <c r="E71" s="680">
        <v>0.02</v>
      </c>
      <c r="F71" s="675">
        <f>G46+G53+G60</f>
        <v>2.4841878787878788</v>
      </c>
      <c r="G71" s="675">
        <f>E71*F71</f>
        <v>4.9683757575757576E-2</v>
      </c>
      <c r="H71" s="676"/>
    </row>
    <row r="72" spans="1:8" ht="17.25" thickTop="1">
      <c r="A72" s="2080" t="s">
        <v>543</v>
      </c>
      <c r="B72" s="2081"/>
      <c r="C72" s="2081"/>
      <c r="D72" s="2082"/>
      <c r="E72" s="2082"/>
      <c r="F72" s="2083"/>
      <c r="G72" s="677">
        <f>SUM(G71:G71)</f>
        <v>4.9683757575757576E-2</v>
      </c>
      <c r="H72" s="678">
        <f>SUM(H71:H71)</f>
        <v>0</v>
      </c>
    </row>
    <row r="73" spans="1:8" ht="16.5">
      <c r="A73" s="2084" t="s">
        <v>528</v>
      </c>
      <c r="B73" s="2085"/>
      <c r="C73" s="2086"/>
      <c r="D73" s="2087"/>
      <c r="E73" s="2088"/>
      <c r="F73" s="2088"/>
      <c r="G73" s="2088"/>
      <c r="H73" s="2089"/>
    </row>
    <row r="74" spans="1:8" ht="5.25" customHeight="1">
      <c r="A74" s="669"/>
      <c r="B74" s="670"/>
      <c r="C74" s="670"/>
      <c r="D74" s="670"/>
      <c r="E74" s="670"/>
      <c r="F74" s="670"/>
      <c r="G74" s="670"/>
      <c r="H74" s="671"/>
    </row>
    <row r="75" spans="1:8" ht="16.5">
      <c r="A75" s="2071" t="s">
        <v>507</v>
      </c>
      <c r="B75" s="2072"/>
      <c r="C75" s="2072"/>
      <c r="D75" s="2072"/>
      <c r="E75" s="2072"/>
      <c r="F75" s="2072"/>
      <c r="G75" s="2072"/>
      <c r="H75" s="2073"/>
    </row>
    <row r="76" spans="1:8" ht="61.5" customHeight="1">
      <c r="A76" s="2074" t="s">
        <v>544</v>
      </c>
      <c r="B76" s="2075"/>
      <c r="C76" s="2076"/>
      <c r="D76" s="672" t="s">
        <v>447</v>
      </c>
      <c r="E76" s="672" t="s">
        <v>6</v>
      </c>
      <c r="F76" s="672" t="s">
        <v>523</v>
      </c>
      <c r="G76" s="672" t="s">
        <v>524</v>
      </c>
      <c r="H76" s="673" t="s">
        <v>525</v>
      </c>
    </row>
    <row r="77" spans="1:8" ht="13.5" thickBot="1">
      <c r="A77" s="2120" t="s">
        <v>526</v>
      </c>
      <c r="B77" s="2121"/>
      <c r="C77" s="2122"/>
      <c r="D77" s="674"/>
      <c r="E77" s="675"/>
      <c r="F77" s="674"/>
      <c r="G77" s="675"/>
      <c r="H77" s="676"/>
    </row>
    <row r="78" spans="1:8" ht="17.25" thickTop="1">
      <c r="A78" s="2080" t="s">
        <v>546</v>
      </c>
      <c r="B78" s="2081"/>
      <c r="C78" s="2081"/>
      <c r="D78" s="2082"/>
      <c r="E78" s="2082"/>
      <c r="F78" s="2083"/>
      <c r="G78" s="677">
        <f>SUM(G77:G77)</f>
        <v>0</v>
      </c>
      <c r="H78" s="678">
        <f>SUM(H77:H77)</f>
        <v>0</v>
      </c>
    </row>
    <row r="79" spans="1:8" ht="16.5">
      <c r="A79" s="2084" t="s">
        <v>528</v>
      </c>
      <c r="B79" s="2085"/>
      <c r="C79" s="2086"/>
      <c r="D79" s="2087"/>
      <c r="E79" s="2088"/>
      <c r="F79" s="2088"/>
      <c r="G79" s="2088"/>
      <c r="H79" s="2089"/>
    </row>
    <row r="80" spans="1:8" ht="5.25" customHeight="1">
      <c r="A80" s="669"/>
      <c r="B80" s="670"/>
      <c r="C80" s="670"/>
      <c r="D80" s="670"/>
      <c r="E80" s="670"/>
      <c r="F80" s="670"/>
      <c r="G80" s="670"/>
      <c r="H80" s="671"/>
    </row>
    <row r="81" spans="1:8" ht="16.5">
      <c r="A81" s="2071" t="s">
        <v>421</v>
      </c>
      <c r="B81" s="2072"/>
      <c r="C81" s="2072"/>
      <c r="D81" s="2072"/>
      <c r="E81" s="2072"/>
      <c r="F81" s="2072"/>
      <c r="G81" s="2072"/>
      <c r="H81" s="2073"/>
    </row>
    <row r="82" spans="1:8" ht="60.75" customHeight="1">
      <c r="A82" s="2074" t="s">
        <v>548</v>
      </c>
      <c r="B82" s="2075"/>
      <c r="C82" s="2076"/>
      <c r="D82" s="672" t="s">
        <v>447</v>
      </c>
      <c r="E82" s="672" t="s">
        <v>6</v>
      </c>
      <c r="F82" s="672" t="s">
        <v>523</v>
      </c>
      <c r="G82" s="672" t="s">
        <v>524</v>
      </c>
      <c r="H82" s="673" t="s">
        <v>525</v>
      </c>
    </row>
    <row r="83" spans="1:8" ht="13.5" thickBot="1">
      <c r="A83" s="2120" t="s">
        <v>526</v>
      </c>
      <c r="B83" s="2121"/>
      <c r="C83" s="2122"/>
      <c r="D83" s="674"/>
      <c r="E83" s="675"/>
      <c r="F83" s="680"/>
      <c r="G83" s="675">
        <f>E83*F83</f>
        <v>0</v>
      </c>
      <c r="H83" s="676"/>
    </row>
    <row r="84" spans="1:8" ht="17.25" thickTop="1">
      <c r="A84" s="2080" t="s">
        <v>550</v>
      </c>
      <c r="B84" s="2081"/>
      <c r="C84" s="2081"/>
      <c r="D84" s="2082"/>
      <c r="E84" s="2082"/>
      <c r="F84" s="2083"/>
      <c r="G84" s="677">
        <f>SUM(G83:G83)</f>
        <v>0</v>
      </c>
      <c r="H84" s="678">
        <f>SUM(H83:H83)</f>
        <v>0</v>
      </c>
    </row>
    <row r="85" spans="1:8" ht="16.5">
      <c r="A85" s="2084" t="s">
        <v>528</v>
      </c>
      <c r="B85" s="2085"/>
      <c r="C85" s="2086"/>
      <c r="D85" s="2114"/>
      <c r="E85" s="2115"/>
      <c r="F85" s="2115"/>
      <c r="G85" s="2115"/>
      <c r="H85" s="2116"/>
    </row>
    <row r="86" spans="1:8" ht="5.25" customHeight="1">
      <c r="A86" s="669"/>
      <c r="B86" s="670"/>
      <c r="C86" s="670"/>
      <c r="D86" s="670"/>
      <c r="E86" s="670"/>
      <c r="F86" s="670"/>
      <c r="G86" s="670"/>
      <c r="H86" s="671"/>
    </row>
    <row r="87" spans="1:8" ht="16.5">
      <c r="A87" s="2071" t="s">
        <v>5</v>
      </c>
      <c r="B87" s="2072"/>
      <c r="C87" s="2072"/>
      <c r="D87" s="2072"/>
      <c r="E87" s="2072"/>
      <c r="F87" s="2072"/>
      <c r="G87" s="2072"/>
      <c r="H87" s="2073"/>
    </row>
    <row r="88" spans="1:8" ht="70.5" customHeight="1">
      <c r="A88" s="2074" t="s">
        <v>552</v>
      </c>
      <c r="B88" s="2075"/>
      <c r="C88" s="2076"/>
      <c r="D88" s="672" t="s">
        <v>447</v>
      </c>
      <c r="E88" s="672" t="s">
        <v>6</v>
      </c>
      <c r="F88" s="672" t="s">
        <v>523</v>
      </c>
      <c r="G88" s="672" t="s">
        <v>524</v>
      </c>
      <c r="H88" s="673" t="s">
        <v>525</v>
      </c>
    </row>
    <row r="89" spans="1:8" ht="13.5" thickBot="1">
      <c r="A89" s="2120" t="s">
        <v>526</v>
      </c>
      <c r="B89" s="2121"/>
      <c r="C89" s="2122"/>
      <c r="D89" s="674"/>
      <c r="E89" s="675"/>
      <c r="F89" s="674"/>
      <c r="G89" s="675"/>
      <c r="H89" s="676"/>
    </row>
    <row r="90" spans="1:8" ht="17.25" thickTop="1">
      <c r="A90" s="2080" t="s">
        <v>553</v>
      </c>
      <c r="B90" s="2081"/>
      <c r="C90" s="2081"/>
      <c r="D90" s="2082"/>
      <c r="E90" s="2082"/>
      <c r="F90" s="2083"/>
      <c r="G90" s="677">
        <f>SUM(G89:G89)</f>
        <v>0</v>
      </c>
      <c r="H90" s="678">
        <f>SUM(H89:H89)</f>
        <v>0</v>
      </c>
    </row>
    <row r="91" spans="1:8" ht="16.5">
      <c r="A91" s="2084" t="s">
        <v>528</v>
      </c>
      <c r="B91" s="2085"/>
      <c r="C91" s="2086"/>
      <c r="D91" s="2087"/>
      <c r="E91" s="2088"/>
      <c r="F91" s="2088"/>
      <c r="G91" s="2088"/>
      <c r="H91" s="2089"/>
    </row>
    <row r="92" spans="1:8" ht="5.25" customHeight="1">
      <c r="A92" s="669"/>
      <c r="B92" s="670"/>
      <c r="C92" s="670"/>
      <c r="D92" s="670"/>
      <c r="E92" s="670"/>
      <c r="F92" s="670"/>
      <c r="G92" s="670"/>
      <c r="H92" s="671"/>
    </row>
    <row r="93" spans="1:8" ht="16.5">
      <c r="A93" s="2071" t="s">
        <v>554</v>
      </c>
      <c r="B93" s="2072"/>
      <c r="C93" s="2072"/>
      <c r="D93" s="2072"/>
      <c r="E93" s="2072"/>
      <c r="F93" s="2072"/>
      <c r="G93" s="2072"/>
      <c r="H93" s="2073"/>
    </row>
    <row r="94" spans="1:8" ht="57.75" customHeight="1">
      <c r="A94" s="2074" t="s">
        <v>555</v>
      </c>
      <c r="B94" s="2075"/>
      <c r="C94" s="2076"/>
      <c r="D94" s="672" t="s">
        <v>447</v>
      </c>
      <c r="E94" s="672" t="s">
        <v>6</v>
      </c>
      <c r="F94" s="672" t="s">
        <v>523</v>
      </c>
      <c r="G94" s="672" t="s">
        <v>524</v>
      </c>
      <c r="H94" s="673" t="s">
        <v>525</v>
      </c>
    </row>
    <row r="95" spans="1:8" ht="13.5" thickBot="1">
      <c r="A95" s="2120" t="s">
        <v>526</v>
      </c>
      <c r="B95" s="2121"/>
      <c r="C95" s="2122"/>
      <c r="D95" s="674"/>
      <c r="E95" s="675"/>
      <c r="F95" s="674"/>
      <c r="G95" s="675"/>
      <c r="H95" s="676"/>
    </row>
    <row r="96" spans="1:8" ht="17.25" thickTop="1">
      <c r="A96" s="2080" t="s">
        <v>556</v>
      </c>
      <c r="B96" s="2081"/>
      <c r="C96" s="2081"/>
      <c r="D96" s="2082"/>
      <c r="E96" s="2082"/>
      <c r="F96" s="2083"/>
      <c r="G96" s="677">
        <f>SUM(G95:G95)</f>
        <v>0</v>
      </c>
      <c r="H96" s="678">
        <f>SUM(H95:H95)</f>
        <v>0</v>
      </c>
    </row>
    <row r="97" spans="1:8" ht="16.5">
      <c r="A97" s="2084" t="s">
        <v>528</v>
      </c>
      <c r="B97" s="2085"/>
      <c r="C97" s="2086"/>
      <c r="D97" s="2087"/>
      <c r="E97" s="2088"/>
      <c r="F97" s="2088"/>
      <c r="G97" s="2088"/>
      <c r="H97" s="2089"/>
    </row>
    <row r="98" spans="1:8" ht="5.25" customHeight="1">
      <c r="A98" s="669"/>
      <c r="B98" s="670"/>
      <c r="C98" s="670"/>
      <c r="D98" s="670"/>
      <c r="E98" s="670"/>
      <c r="F98" s="670"/>
      <c r="G98" s="670"/>
      <c r="H98" s="671"/>
    </row>
    <row r="99" spans="1:8" ht="16.5">
      <c r="A99" s="2071" t="s">
        <v>557</v>
      </c>
      <c r="B99" s="2072"/>
      <c r="C99" s="2072"/>
      <c r="D99" s="2072"/>
      <c r="E99" s="2072"/>
      <c r="F99" s="2072"/>
      <c r="G99" s="2072"/>
      <c r="H99" s="2073"/>
    </row>
    <row r="100" spans="1:8" ht="16.5">
      <c r="A100" s="2090" t="s">
        <v>558</v>
      </c>
      <c r="B100" s="2091"/>
      <c r="C100" s="2136"/>
      <c r="D100" s="681">
        <f>G46+G53+G60+G66+G72+G78+G84+G90+G96</f>
        <v>2.5338716363636364</v>
      </c>
      <c r="E100" s="2137" t="s">
        <v>559</v>
      </c>
      <c r="F100" s="2137"/>
      <c r="G100" s="2137"/>
      <c r="H100" s="682">
        <f>H46+H53+H60+H66+H72+H78+H84+H90+H96</f>
        <v>0</v>
      </c>
    </row>
    <row r="101" spans="1:8" ht="16.5">
      <c r="A101" s="2090" t="s">
        <v>560</v>
      </c>
      <c r="B101" s="2091"/>
      <c r="C101" s="2136"/>
      <c r="D101" s="683"/>
      <c r="E101" s="2138" t="s">
        <v>561</v>
      </c>
      <c r="F101" s="2139"/>
      <c r="G101" s="2139"/>
      <c r="H101" s="2140">
        <f>H100*D101</f>
        <v>0</v>
      </c>
    </row>
    <row r="102" spans="1:8" ht="16.5">
      <c r="A102" s="2090" t="s">
        <v>562</v>
      </c>
      <c r="B102" s="2091"/>
      <c r="C102" s="2136"/>
      <c r="D102" s="681">
        <f>D100*D101</f>
        <v>0</v>
      </c>
      <c r="E102" s="2139"/>
      <c r="F102" s="2139"/>
      <c r="G102" s="2139"/>
      <c r="H102" s="2141"/>
    </row>
    <row r="103" spans="1:8" ht="5.25" customHeight="1">
      <c r="A103" s="669"/>
      <c r="B103" s="670"/>
      <c r="C103" s="670"/>
      <c r="D103" s="670"/>
      <c r="E103" s="670"/>
      <c r="F103" s="670"/>
      <c r="G103" s="670"/>
      <c r="H103" s="671"/>
    </row>
    <row r="104" spans="1:8" ht="16.5">
      <c r="A104" s="2071" t="s">
        <v>563</v>
      </c>
      <c r="B104" s="2072"/>
      <c r="C104" s="2072"/>
      <c r="D104" s="2072"/>
      <c r="E104" s="2072"/>
      <c r="F104" s="2072"/>
      <c r="G104" s="2072"/>
      <c r="H104" s="2073"/>
    </row>
    <row r="105" spans="1:8" ht="30" customHeight="1" thickBot="1">
      <c r="A105" s="2132"/>
      <c r="B105" s="2133"/>
      <c r="C105" s="2133"/>
      <c r="D105" s="2134"/>
      <c r="E105" s="2134"/>
      <c r="F105" s="2134"/>
      <c r="G105" s="2134"/>
      <c r="H105" s="2135"/>
    </row>
  </sheetData>
  <mergeCells count="113">
    <mergeCell ref="A104:H104"/>
    <mergeCell ref="A105:H105"/>
    <mergeCell ref="A100:C100"/>
    <mergeCell ref="E100:G100"/>
    <mergeCell ref="A101:C101"/>
    <mergeCell ref="E101:G102"/>
    <mergeCell ref="H101:H102"/>
    <mergeCell ref="A102:C102"/>
    <mergeCell ref="A94:C94"/>
    <mergeCell ref="A95:C95"/>
    <mergeCell ref="A96:F96"/>
    <mergeCell ref="A97:C97"/>
    <mergeCell ref="D97:H97"/>
    <mergeCell ref="A99:H99"/>
    <mergeCell ref="A88:C88"/>
    <mergeCell ref="A89:C89"/>
    <mergeCell ref="A90:F90"/>
    <mergeCell ref="A91:C91"/>
    <mergeCell ref="D91:H91"/>
    <mergeCell ref="A93:H93"/>
    <mergeCell ref="A82:C82"/>
    <mergeCell ref="A83:C83"/>
    <mergeCell ref="A84:F84"/>
    <mergeCell ref="A85:C85"/>
    <mergeCell ref="D85:H85"/>
    <mergeCell ref="A87:H87"/>
    <mergeCell ref="A76:C76"/>
    <mergeCell ref="A77:C77"/>
    <mergeCell ref="A78:F78"/>
    <mergeCell ref="A79:C79"/>
    <mergeCell ref="D79:H79"/>
    <mergeCell ref="A81:H81"/>
    <mergeCell ref="A70:C70"/>
    <mergeCell ref="A71:C71"/>
    <mergeCell ref="A72:F72"/>
    <mergeCell ref="A73:C73"/>
    <mergeCell ref="D73:H73"/>
    <mergeCell ref="A75:H75"/>
    <mergeCell ref="A64:C64"/>
    <mergeCell ref="A65:C65"/>
    <mergeCell ref="A66:F66"/>
    <mergeCell ref="A67:C67"/>
    <mergeCell ref="D67:H67"/>
    <mergeCell ref="A69:H69"/>
    <mergeCell ref="A58:C58"/>
    <mergeCell ref="A59:C59"/>
    <mergeCell ref="A60:F60"/>
    <mergeCell ref="A61:C61"/>
    <mergeCell ref="D61:H61"/>
    <mergeCell ref="A63:H63"/>
    <mergeCell ref="A51:C51"/>
    <mergeCell ref="A52:C52"/>
    <mergeCell ref="A53:F53"/>
    <mergeCell ref="A54:C55"/>
    <mergeCell ref="D54:H55"/>
    <mergeCell ref="A57:H57"/>
    <mergeCell ref="A44:C44"/>
    <mergeCell ref="A45:C45"/>
    <mergeCell ref="A46:F46"/>
    <mergeCell ref="A47:C48"/>
    <mergeCell ref="D47:H48"/>
    <mergeCell ref="A50:H50"/>
    <mergeCell ref="A38:C38"/>
    <mergeCell ref="E38:G38"/>
    <mergeCell ref="A40:H40"/>
    <mergeCell ref="A41:C41"/>
    <mergeCell ref="A42:C42"/>
    <mergeCell ref="A43:C43"/>
    <mergeCell ref="A30:H30"/>
    <mergeCell ref="A31:H31"/>
    <mergeCell ref="A32:H32"/>
    <mergeCell ref="A34:G34"/>
    <mergeCell ref="A35:G35"/>
    <mergeCell ref="A36:G36"/>
    <mergeCell ref="H36:H37"/>
    <mergeCell ref="A37:G37"/>
    <mergeCell ref="A26:H26"/>
    <mergeCell ref="A27:C27"/>
    <mergeCell ref="E27:H27"/>
    <mergeCell ref="A28:C28"/>
    <mergeCell ref="D28:H28"/>
    <mergeCell ref="A29:H29"/>
    <mergeCell ref="A19:C19"/>
    <mergeCell ref="A20:C20"/>
    <mergeCell ref="A21:C21"/>
    <mergeCell ref="A22:C22"/>
    <mergeCell ref="A23:C23"/>
    <mergeCell ref="A24:C24"/>
    <mergeCell ref="A13:H13"/>
    <mergeCell ref="A14:C14"/>
    <mergeCell ref="A15:C15"/>
    <mergeCell ref="A16:C16"/>
    <mergeCell ref="A17:C17"/>
    <mergeCell ref="A18:C18"/>
    <mergeCell ref="C10:D10"/>
    <mergeCell ref="E10:F10"/>
    <mergeCell ref="C11:D11"/>
    <mergeCell ref="E11:F11"/>
    <mergeCell ref="C12:D12"/>
    <mergeCell ref="E12:F12"/>
    <mergeCell ref="C7:D7"/>
    <mergeCell ref="E7:F7"/>
    <mergeCell ref="C8:D8"/>
    <mergeCell ref="E8:F8"/>
    <mergeCell ref="C9:D9"/>
    <mergeCell ref="E9:F9"/>
    <mergeCell ref="A1:H1"/>
    <mergeCell ref="A2:H2"/>
    <mergeCell ref="A3:H3"/>
    <mergeCell ref="A4:H4"/>
    <mergeCell ref="A5:H5"/>
    <mergeCell ref="C6:D6"/>
    <mergeCell ref="E6:F6"/>
  </mergeCells>
  <pageMargins left="0.75" right="0.75" top="1" bottom="1" header="0.5" footer="0.5"/>
  <pageSetup scale="78" orientation="portrait" r:id="rId1"/>
  <headerFooter alignWithMargins="0"/>
  <rowBreaks count="2" manualBreakCount="2">
    <brk id="25" max="16383" man="1"/>
    <brk id="67" max="5" man="1"/>
  </rowBreaks>
  <legacyDrawing r:id="rId2"/>
</worksheet>
</file>

<file path=xl/worksheets/sheet215.xml><?xml version="1.0" encoding="utf-8"?>
<worksheet xmlns="http://schemas.openxmlformats.org/spreadsheetml/2006/main" xmlns:r="http://schemas.openxmlformats.org/officeDocument/2006/relationships">
  <dimension ref="A1:M105"/>
  <sheetViews>
    <sheetView topLeftCell="A31" zoomScaleNormal="100" workbookViewId="0">
      <selection activeCell="D49" sqref="D49"/>
    </sheetView>
  </sheetViews>
  <sheetFormatPr defaultRowHeight="12.75"/>
  <cols>
    <col min="1" max="1" width="11.42578125" style="637" customWidth="1"/>
    <col min="2" max="2" width="17.5703125" style="637" customWidth="1"/>
    <col min="3" max="3" width="12.28515625" style="637" customWidth="1"/>
    <col min="4" max="4" width="11.140625" style="637" customWidth="1"/>
    <col min="5" max="12" width="15.7109375" style="637" customWidth="1"/>
    <col min="13" max="16384" width="9.140625" style="637"/>
  </cols>
  <sheetData>
    <row r="1" spans="1:13" ht="15.75" customHeight="1">
      <c r="A1" s="2027" t="s">
        <v>493</v>
      </c>
      <c r="B1" s="2028"/>
      <c r="C1" s="2028"/>
      <c r="D1" s="2029"/>
      <c r="E1" s="2029"/>
      <c r="F1" s="2029"/>
      <c r="G1" s="2029"/>
      <c r="H1" s="2030"/>
      <c r="I1" s="636"/>
      <c r="J1" s="636"/>
      <c r="K1" s="636"/>
      <c r="L1" s="636"/>
      <c r="M1" s="636"/>
    </row>
    <row r="2" spans="1:13" ht="15.75">
      <c r="A2" s="2031" t="s">
        <v>494</v>
      </c>
      <c r="B2" s="2032"/>
      <c r="C2" s="2032"/>
      <c r="D2" s="2033"/>
      <c r="E2" s="2033"/>
      <c r="F2" s="2033"/>
      <c r="G2" s="2033"/>
      <c r="H2" s="2034"/>
      <c r="I2" s="636"/>
      <c r="J2" s="636"/>
      <c r="K2" s="636"/>
      <c r="L2" s="636"/>
      <c r="M2" s="636"/>
    </row>
    <row r="3" spans="1:13" ht="15.75">
      <c r="A3" s="2031" t="s">
        <v>1138</v>
      </c>
      <c r="B3" s="2032"/>
      <c r="C3" s="2032"/>
      <c r="D3" s="2033"/>
      <c r="E3" s="2033"/>
      <c r="F3" s="2033"/>
      <c r="G3" s="2033"/>
      <c r="H3" s="2034"/>
      <c r="I3" s="636"/>
      <c r="J3" s="636"/>
      <c r="K3" s="636"/>
      <c r="L3" s="636"/>
      <c r="M3" s="636"/>
    </row>
    <row r="4" spans="1:13" ht="16.5" thickBot="1">
      <c r="A4" s="2031" t="s">
        <v>1157</v>
      </c>
      <c r="B4" s="2032"/>
      <c r="C4" s="2032"/>
      <c r="D4" s="2033"/>
      <c r="E4" s="2033"/>
      <c r="F4" s="2033"/>
      <c r="G4" s="2033"/>
      <c r="H4" s="2034"/>
      <c r="I4" s="636"/>
      <c r="J4" s="636"/>
      <c r="K4" s="636"/>
      <c r="L4" s="636"/>
      <c r="M4" s="636"/>
    </row>
    <row r="5" spans="1:13" ht="17.25" thickBot="1">
      <c r="A5" s="2035" t="s">
        <v>17</v>
      </c>
      <c r="B5" s="2036"/>
      <c r="C5" s="2036"/>
      <c r="D5" s="2037"/>
      <c r="E5" s="2037"/>
      <c r="F5" s="2037"/>
      <c r="G5" s="2037"/>
      <c r="H5" s="2037"/>
      <c r="I5" s="636"/>
      <c r="J5" s="636"/>
      <c r="K5" s="636"/>
      <c r="L5" s="636"/>
      <c r="M5" s="636"/>
    </row>
    <row r="6" spans="1:13" ht="33">
      <c r="A6" s="638" t="s">
        <v>37</v>
      </c>
      <c r="B6" s="639" t="s">
        <v>22</v>
      </c>
      <c r="C6" s="2038" t="s">
        <v>497</v>
      </c>
      <c r="D6" s="2038"/>
      <c r="E6" s="2038" t="s">
        <v>30</v>
      </c>
      <c r="F6" s="2038"/>
      <c r="G6" s="639" t="s">
        <v>498</v>
      </c>
      <c r="H6" s="640" t="s">
        <v>76</v>
      </c>
      <c r="I6" s="641"/>
    </row>
    <row r="7" spans="1:13" ht="16.5">
      <c r="A7" s="642">
        <f>D27</f>
        <v>620</v>
      </c>
      <c r="B7" s="643" t="s">
        <v>15</v>
      </c>
      <c r="C7" s="2041" t="str">
        <f>E27</f>
        <v>Underground Outlet</v>
      </c>
      <c r="D7" s="2041"/>
      <c r="E7" s="2042" t="str">
        <f>D28</f>
        <v xml:space="preserve">Pipe Diameter 6" to 8" </v>
      </c>
      <c r="F7" s="2042"/>
      <c r="G7" s="644" t="str">
        <f>H35</f>
        <v>Foot</v>
      </c>
      <c r="H7" s="645">
        <f>F24</f>
        <v>2.5540000000000003</v>
      </c>
    </row>
    <row r="8" spans="1:13" ht="16.5">
      <c r="A8" s="642">
        <f>D27</f>
        <v>620</v>
      </c>
      <c r="B8" s="643" t="s">
        <v>15</v>
      </c>
      <c r="C8" s="2042" t="str">
        <f>E27</f>
        <v>Underground Outlet</v>
      </c>
      <c r="D8" s="2042"/>
      <c r="E8" s="2042" t="s">
        <v>1158</v>
      </c>
      <c r="F8" s="2042"/>
      <c r="G8" s="644" t="str">
        <f>H35</f>
        <v>Foot</v>
      </c>
      <c r="H8" s="645">
        <f>H24</f>
        <v>3.0648</v>
      </c>
    </row>
    <row r="9" spans="1:13" ht="16.5">
      <c r="A9" s="1351">
        <f>D27</f>
        <v>620</v>
      </c>
      <c r="B9" s="644" t="s">
        <v>1141</v>
      </c>
      <c r="C9" s="2042" t="str">
        <f>E27</f>
        <v>Underground Outlet</v>
      </c>
      <c r="D9" s="2041"/>
      <c r="E9" s="2042" t="str">
        <f>E7</f>
        <v xml:space="preserve">Pipe Diameter 6" to 8" </v>
      </c>
      <c r="F9" s="2041"/>
      <c r="G9" s="644" t="str">
        <f>H35</f>
        <v>Foot</v>
      </c>
      <c r="H9" s="645">
        <f>F24</f>
        <v>2.5540000000000003</v>
      </c>
    </row>
    <row r="10" spans="1:13" ht="16.5">
      <c r="A10" s="1351">
        <f>D27</f>
        <v>620</v>
      </c>
      <c r="B10" s="644" t="s">
        <v>1141</v>
      </c>
      <c r="C10" s="2042" t="str">
        <f>E27</f>
        <v>Underground Outlet</v>
      </c>
      <c r="D10" s="2041"/>
      <c r="E10" s="2041" t="s">
        <v>1158</v>
      </c>
      <c r="F10" s="2041"/>
      <c r="G10" s="644" t="str">
        <f>H35</f>
        <v>Foot</v>
      </c>
      <c r="H10" s="645">
        <f>H24</f>
        <v>3.0648</v>
      </c>
    </row>
    <row r="11" spans="1:13" ht="16.5">
      <c r="A11" s="1351">
        <f>D27</f>
        <v>620</v>
      </c>
      <c r="B11" s="644" t="s">
        <v>1142</v>
      </c>
      <c r="C11" s="2042" t="str">
        <f>E27</f>
        <v>Underground Outlet</v>
      </c>
      <c r="D11" s="2042"/>
      <c r="E11" s="2042" t="str">
        <f>D28</f>
        <v xml:space="preserve">Pipe Diameter 6" to 8" </v>
      </c>
      <c r="F11" s="2042"/>
      <c r="G11" s="644" t="str">
        <f>H35</f>
        <v>Foot</v>
      </c>
      <c r="H11" s="645">
        <f>F24</f>
        <v>2.5540000000000003</v>
      </c>
    </row>
    <row r="12" spans="1:13" ht="17.25" thickBot="1">
      <c r="A12" s="1352">
        <f>D27</f>
        <v>620</v>
      </c>
      <c r="B12" s="647" t="s">
        <v>1142</v>
      </c>
      <c r="C12" s="2043" t="str">
        <f>E27</f>
        <v>Underground Outlet</v>
      </c>
      <c r="D12" s="2043"/>
      <c r="E12" s="2043" t="str">
        <f>E8</f>
        <v>Pipe Diameter 6" to 8"  - HU</v>
      </c>
      <c r="F12" s="2043"/>
      <c r="G12" s="647" t="str">
        <f>H35</f>
        <v>Foot</v>
      </c>
      <c r="H12" s="648">
        <f>H24</f>
        <v>3.0648</v>
      </c>
    </row>
    <row r="13" spans="1:13" ht="15.75" customHeight="1" thickBot="1">
      <c r="A13" s="2216" t="s">
        <v>18</v>
      </c>
      <c r="B13" s="2217"/>
      <c r="C13" s="2217"/>
      <c r="D13" s="2218"/>
      <c r="E13" s="2218"/>
      <c r="F13" s="2218"/>
      <c r="G13" s="2218"/>
      <c r="H13" s="2218"/>
    </row>
    <row r="14" spans="1:13" ht="49.5">
      <c r="A14" s="2047" t="s">
        <v>16</v>
      </c>
      <c r="B14" s="2048"/>
      <c r="C14" s="2048"/>
      <c r="D14" s="649" t="s">
        <v>6</v>
      </c>
      <c r="E14" s="649" t="s">
        <v>501</v>
      </c>
      <c r="F14" s="649" t="s">
        <v>502</v>
      </c>
      <c r="G14" s="649" t="s">
        <v>503</v>
      </c>
      <c r="H14" s="650" t="s">
        <v>504</v>
      </c>
    </row>
    <row r="15" spans="1:13" ht="16.5">
      <c r="A15" s="2039" t="s">
        <v>0</v>
      </c>
      <c r="B15" s="2040"/>
      <c r="C15" s="2040"/>
      <c r="D15" s="651">
        <f>G46</f>
        <v>2.0853333333333333</v>
      </c>
      <c r="E15" s="652">
        <v>0.75</v>
      </c>
      <c r="F15" s="651">
        <f>D15*E15</f>
        <v>1.5640000000000001</v>
      </c>
      <c r="G15" s="652">
        <v>0.9</v>
      </c>
      <c r="H15" s="653">
        <f>D15*G15</f>
        <v>1.8768</v>
      </c>
    </row>
    <row r="16" spans="1:13" ht="16.5">
      <c r="A16" s="2039" t="s">
        <v>505</v>
      </c>
      <c r="B16" s="2040"/>
      <c r="C16" s="2040"/>
      <c r="D16" s="651">
        <f>G53</f>
        <v>1.32</v>
      </c>
      <c r="E16" s="652">
        <v>0.75</v>
      </c>
      <c r="F16" s="651">
        <f t="shared" ref="F16:F23" si="0">D16*E16</f>
        <v>0.99</v>
      </c>
      <c r="G16" s="652">
        <v>0.9</v>
      </c>
      <c r="H16" s="653">
        <f t="shared" ref="H16:H23" si="1">D16*G16</f>
        <v>1.1880000000000002</v>
      </c>
    </row>
    <row r="17" spans="1:12" ht="16.5">
      <c r="A17" s="2039" t="s">
        <v>3</v>
      </c>
      <c r="B17" s="2040"/>
      <c r="C17" s="2040"/>
      <c r="D17" s="651">
        <f>G60</f>
        <v>0</v>
      </c>
      <c r="E17" s="652">
        <v>0.75</v>
      </c>
      <c r="F17" s="651">
        <f t="shared" si="0"/>
        <v>0</v>
      </c>
      <c r="G17" s="652">
        <v>0.9</v>
      </c>
      <c r="H17" s="653">
        <f t="shared" si="1"/>
        <v>0</v>
      </c>
    </row>
    <row r="18" spans="1:12" ht="16.5">
      <c r="A18" s="2039" t="s">
        <v>4</v>
      </c>
      <c r="B18" s="2040"/>
      <c r="C18" s="2040"/>
      <c r="D18" s="651">
        <f>G66</f>
        <v>0</v>
      </c>
      <c r="E18" s="652">
        <v>0.75</v>
      </c>
      <c r="F18" s="651">
        <f t="shared" si="0"/>
        <v>0</v>
      </c>
      <c r="G18" s="652">
        <v>0.9</v>
      </c>
      <c r="H18" s="653">
        <f t="shared" si="1"/>
        <v>0</v>
      </c>
    </row>
    <row r="19" spans="1:12" ht="16.5">
      <c r="A19" s="2039" t="s">
        <v>506</v>
      </c>
      <c r="B19" s="2040"/>
      <c r="C19" s="2040"/>
      <c r="D19" s="651">
        <f>G72</f>
        <v>6.8106666666666663E-2</v>
      </c>
      <c r="E19" s="652">
        <v>0</v>
      </c>
      <c r="F19" s="651">
        <f t="shared" si="0"/>
        <v>0</v>
      </c>
      <c r="G19" s="652">
        <v>0</v>
      </c>
      <c r="H19" s="653">
        <f t="shared" si="1"/>
        <v>0</v>
      </c>
    </row>
    <row r="20" spans="1:12" ht="16.5">
      <c r="A20" s="2039" t="s">
        <v>507</v>
      </c>
      <c r="B20" s="2040"/>
      <c r="C20" s="2040"/>
      <c r="D20" s="651">
        <f>G78</f>
        <v>0</v>
      </c>
      <c r="E20" s="652">
        <v>0.75</v>
      </c>
      <c r="F20" s="651">
        <f t="shared" si="0"/>
        <v>0</v>
      </c>
      <c r="G20" s="652">
        <v>0.9</v>
      </c>
      <c r="H20" s="653">
        <f t="shared" si="1"/>
        <v>0</v>
      </c>
    </row>
    <row r="21" spans="1:12" ht="16.5">
      <c r="A21" s="2039" t="s">
        <v>27</v>
      </c>
      <c r="B21" s="2040"/>
      <c r="C21" s="2040"/>
      <c r="D21" s="651">
        <f>G84</f>
        <v>0</v>
      </c>
      <c r="E21" s="652">
        <v>0.75</v>
      </c>
      <c r="F21" s="651">
        <f t="shared" si="0"/>
        <v>0</v>
      </c>
      <c r="G21" s="652">
        <v>0.9</v>
      </c>
      <c r="H21" s="653">
        <f t="shared" si="1"/>
        <v>0</v>
      </c>
      <c r="I21" s="641"/>
    </row>
    <row r="22" spans="1:12" ht="16.5">
      <c r="A22" s="2039" t="s">
        <v>5</v>
      </c>
      <c r="B22" s="2040"/>
      <c r="C22" s="2040"/>
      <c r="D22" s="651">
        <f>G90</f>
        <v>0</v>
      </c>
      <c r="E22" s="652">
        <v>0</v>
      </c>
      <c r="F22" s="651">
        <f t="shared" si="0"/>
        <v>0</v>
      </c>
      <c r="G22" s="652">
        <v>0</v>
      </c>
      <c r="H22" s="653">
        <f t="shared" si="1"/>
        <v>0</v>
      </c>
    </row>
    <row r="23" spans="1:12" ht="16.5">
      <c r="A23" s="2039" t="s">
        <v>508</v>
      </c>
      <c r="B23" s="2040"/>
      <c r="C23" s="2040"/>
      <c r="D23" s="651">
        <f>G96</f>
        <v>0</v>
      </c>
      <c r="E23" s="652">
        <v>0</v>
      </c>
      <c r="F23" s="651">
        <f t="shared" si="0"/>
        <v>0</v>
      </c>
      <c r="G23" s="652">
        <v>0</v>
      </c>
      <c r="H23" s="653">
        <f t="shared" si="1"/>
        <v>0</v>
      </c>
    </row>
    <row r="24" spans="1:12" ht="17.25" thickBot="1">
      <c r="A24" s="2063" t="s">
        <v>509</v>
      </c>
      <c r="B24" s="2064"/>
      <c r="C24" s="2064"/>
      <c r="D24" s="654">
        <f>SUM(D15:D23)</f>
        <v>3.4734399999999996</v>
      </c>
      <c r="E24" s="655"/>
      <c r="F24" s="654">
        <f>SUM(F15:F23)</f>
        <v>2.5540000000000003</v>
      </c>
      <c r="G24" s="656"/>
      <c r="H24" s="657">
        <f>SUM(H15:H23)</f>
        <v>3.0648</v>
      </c>
    </row>
    <row r="25" spans="1:12" ht="15">
      <c r="A25" s="658"/>
      <c r="B25" s="658"/>
      <c r="C25" s="658"/>
      <c r="D25" s="659"/>
      <c r="E25" s="660"/>
      <c r="F25" s="659"/>
      <c r="G25" s="661"/>
      <c r="H25" s="659"/>
      <c r="I25" s="661"/>
      <c r="J25" s="659"/>
      <c r="K25" s="661"/>
      <c r="L25" s="659"/>
    </row>
    <row r="26" spans="1:12" ht="17.25" thickBot="1">
      <c r="A26" s="2044" t="s">
        <v>510</v>
      </c>
      <c r="B26" s="2045"/>
      <c r="C26" s="2045"/>
      <c r="D26" s="2046"/>
      <c r="E26" s="2046"/>
      <c r="F26" s="2046"/>
      <c r="G26" s="2046"/>
      <c r="H26" s="2046"/>
    </row>
    <row r="27" spans="1:12" ht="16.5">
      <c r="A27" s="2180" t="s">
        <v>511</v>
      </c>
      <c r="B27" s="2181"/>
      <c r="C27" s="2182"/>
      <c r="D27" s="662">
        <v>620</v>
      </c>
      <c r="E27" s="2068" t="s">
        <v>1143</v>
      </c>
      <c r="F27" s="2069"/>
      <c r="G27" s="2069"/>
      <c r="H27" s="2070"/>
    </row>
    <row r="28" spans="1:12" ht="16.5">
      <c r="A28" s="2094" t="s">
        <v>513</v>
      </c>
      <c r="B28" s="2095"/>
      <c r="C28" s="2183"/>
      <c r="D28" s="2052" t="s">
        <v>1157</v>
      </c>
      <c r="E28" s="2053"/>
      <c r="F28" s="2053"/>
      <c r="G28" s="2053"/>
      <c r="H28" s="2054"/>
    </row>
    <row r="29" spans="1:12" ht="16.5">
      <c r="A29" s="2055" t="s">
        <v>385</v>
      </c>
      <c r="B29" s="2056"/>
      <c r="C29" s="2056"/>
      <c r="D29" s="2056"/>
      <c r="E29" s="2056"/>
      <c r="F29" s="2056"/>
      <c r="G29" s="2056"/>
      <c r="H29" s="2057"/>
    </row>
    <row r="30" spans="1:12" ht="89.25" customHeight="1">
      <c r="A30" s="2058" t="s">
        <v>1159</v>
      </c>
      <c r="B30" s="2059"/>
      <c r="C30" s="2059"/>
      <c r="D30" s="2059"/>
      <c r="E30" s="2059"/>
      <c r="F30" s="2059"/>
      <c r="G30" s="2059"/>
      <c r="H30" s="2060"/>
    </row>
    <row r="31" spans="1:12" ht="12.75" customHeight="1">
      <c r="A31" s="2055" t="s">
        <v>391</v>
      </c>
      <c r="B31" s="2056"/>
      <c r="C31" s="2056"/>
      <c r="D31" s="2056"/>
      <c r="E31" s="2056"/>
      <c r="F31" s="2056"/>
      <c r="G31" s="2056"/>
      <c r="H31" s="2057"/>
    </row>
    <row r="32" spans="1:12" ht="17.25" customHeight="1">
      <c r="A32" s="2058" t="s">
        <v>1145</v>
      </c>
      <c r="B32" s="2059"/>
      <c r="C32" s="2059"/>
      <c r="D32" s="2061"/>
      <c r="E32" s="2061"/>
      <c r="F32" s="2061"/>
      <c r="G32" s="2061"/>
      <c r="H32" s="2062"/>
    </row>
    <row r="33" spans="1:8">
      <c r="A33" s="663"/>
      <c r="B33" s="664"/>
      <c r="C33" s="664"/>
      <c r="D33" s="664"/>
      <c r="E33" s="664"/>
      <c r="F33" s="664"/>
      <c r="G33" s="664"/>
      <c r="H33" s="665"/>
    </row>
    <row r="34" spans="1:8" ht="16.5">
      <c r="A34" s="2090" t="s">
        <v>516</v>
      </c>
      <c r="B34" s="2091"/>
      <c r="C34" s="2091"/>
      <c r="D34" s="2092"/>
      <c r="E34" s="2092"/>
      <c r="F34" s="2092"/>
      <c r="G34" s="2093"/>
      <c r="H34" s="666" t="s">
        <v>91</v>
      </c>
    </row>
    <row r="35" spans="1:8" ht="16.5">
      <c r="A35" s="2094" t="s">
        <v>517</v>
      </c>
      <c r="B35" s="2095"/>
      <c r="C35" s="2095"/>
      <c r="D35" s="2096"/>
      <c r="E35" s="2096"/>
      <c r="F35" s="2096"/>
      <c r="G35" s="2097"/>
      <c r="H35" s="666" t="s">
        <v>1146</v>
      </c>
    </row>
    <row r="36" spans="1:8" ht="16.5">
      <c r="A36" s="2084" t="s">
        <v>518</v>
      </c>
      <c r="B36" s="2085"/>
      <c r="C36" s="2085"/>
      <c r="D36" s="2098"/>
      <c r="E36" s="2098"/>
      <c r="F36" s="2098"/>
      <c r="G36" s="2099"/>
      <c r="H36" s="2100">
        <v>1300</v>
      </c>
    </row>
    <row r="37" spans="1:8">
      <c r="A37" s="2102" t="s">
        <v>519</v>
      </c>
      <c r="B37" s="2103"/>
      <c r="C37" s="2103"/>
      <c r="D37" s="2103"/>
      <c r="E37" s="2103"/>
      <c r="F37" s="2103"/>
      <c r="G37" s="2104"/>
      <c r="H37" s="2101"/>
    </row>
    <row r="38" spans="1:8" ht="13.5">
      <c r="A38" s="2105" t="s">
        <v>520</v>
      </c>
      <c r="B38" s="2106"/>
      <c r="C38" s="2107"/>
      <c r="D38" s="667">
        <v>20</v>
      </c>
      <c r="E38" s="2108" t="s">
        <v>521</v>
      </c>
      <c r="F38" s="2109"/>
      <c r="G38" s="2110"/>
      <c r="H38" s="668">
        <v>0.06</v>
      </c>
    </row>
    <row r="39" spans="1:8" ht="5.25" customHeight="1">
      <c r="A39" s="669"/>
      <c r="B39" s="670"/>
      <c r="C39" s="670"/>
      <c r="D39" s="670"/>
      <c r="E39" s="670"/>
      <c r="F39" s="670"/>
      <c r="G39" s="670"/>
      <c r="H39" s="671"/>
    </row>
    <row r="40" spans="1:8" ht="16.5">
      <c r="A40" s="2071" t="s">
        <v>0</v>
      </c>
      <c r="B40" s="2072"/>
      <c r="C40" s="2072"/>
      <c r="D40" s="2072"/>
      <c r="E40" s="2072"/>
      <c r="F40" s="2072"/>
      <c r="G40" s="2072"/>
      <c r="H40" s="2073"/>
    </row>
    <row r="41" spans="1:8" ht="33">
      <c r="A41" s="2074" t="s">
        <v>522</v>
      </c>
      <c r="B41" s="2075"/>
      <c r="C41" s="2076"/>
      <c r="D41" s="672" t="s">
        <v>447</v>
      </c>
      <c r="E41" s="672" t="s">
        <v>6</v>
      </c>
      <c r="F41" s="672" t="s">
        <v>523</v>
      </c>
      <c r="G41" s="672" t="s">
        <v>524</v>
      </c>
      <c r="H41" s="673" t="s">
        <v>525</v>
      </c>
    </row>
    <row r="42" spans="1:8">
      <c r="A42" s="2184" t="s">
        <v>1160</v>
      </c>
      <c r="B42" s="2185"/>
      <c r="C42" s="2186"/>
      <c r="D42" s="674" t="s">
        <v>778</v>
      </c>
      <c r="E42" s="679">
        <v>116</v>
      </c>
      <c r="F42" s="674">
        <f>H36/250</f>
        <v>5.2</v>
      </c>
      <c r="G42" s="675">
        <f>E42*F42/H36</f>
        <v>0.46400000000000002</v>
      </c>
      <c r="H42" s="676"/>
    </row>
    <row r="43" spans="1:8" ht="25.5" customHeight="1">
      <c r="A43" s="2184" t="s">
        <v>1161</v>
      </c>
      <c r="B43" s="2185"/>
      <c r="C43" s="2186"/>
      <c r="D43" s="674" t="s">
        <v>778</v>
      </c>
      <c r="E43" s="679">
        <v>75.959999999999994</v>
      </c>
      <c r="F43" s="1353">
        <f>H36/660</f>
        <v>1.9696969696969697</v>
      </c>
      <c r="G43" s="675">
        <f>E43*F43/H36</f>
        <v>0.11509090909090908</v>
      </c>
      <c r="H43" s="676"/>
    </row>
    <row r="44" spans="1:8">
      <c r="A44" s="2184" t="s">
        <v>1162</v>
      </c>
      <c r="B44" s="2185"/>
      <c r="C44" s="2186"/>
      <c r="D44" s="674" t="s">
        <v>778</v>
      </c>
      <c r="E44" s="679">
        <v>10.72</v>
      </c>
      <c r="F44" s="1353">
        <f>H36/660</f>
        <v>1.9696969696969697</v>
      </c>
      <c r="G44" s="675">
        <f>E44*F44/H36</f>
        <v>1.6242424242424242E-2</v>
      </c>
      <c r="H44" s="676"/>
    </row>
    <row r="45" spans="1:8" ht="26.25" customHeight="1" thickBot="1">
      <c r="A45" s="2077" t="s">
        <v>1163</v>
      </c>
      <c r="B45" s="2078"/>
      <c r="C45" s="2079"/>
      <c r="D45" s="674" t="s">
        <v>785</v>
      </c>
      <c r="E45" s="679">
        <v>1.49</v>
      </c>
      <c r="F45" s="674">
        <v>1300</v>
      </c>
      <c r="G45" s="675">
        <f>E45*F45/H36</f>
        <v>1.49</v>
      </c>
      <c r="H45" s="676"/>
    </row>
    <row r="46" spans="1:8" ht="17.25" thickTop="1">
      <c r="A46" s="2080" t="s">
        <v>527</v>
      </c>
      <c r="B46" s="2081"/>
      <c r="C46" s="2081"/>
      <c r="D46" s="2082"/>
      <c r="E46" s="2082"/>
      <c r="F46" s="2083"/>
      <c r="G46" s="677">
        <f>SUM(G42:G45)</f>
        <v>2.0853333333333333</v>
      </c>
      <c r="H46" s="678">
        <f>SUM(H42:H42)</f>
        <v>0</v>
      </c>
    </row>
    <row r="47" spans="1:8" ht="16.5" customHeight="1">
      <c r="A47" s="2084" t="s">
        <v>528</v>
      </c>
      <c r="B47" s="2085"/>
      <c r="C47" s="2086"/>
      <c r="D47" s="2114" t="s">
        <v>1151</v>
      </c>
      <c r="E47" s="2115"/>
      <c r="F47" s="2115"/>
      <c r="G47" s="2115"/>
      <c r="H47" s="2116"/>
    </row>
    <row r="48" spans="1:8">
      <c r="A48" s="2049"/>
      <c r="B48" s="2050"/>
      <c r="C48" s="2051"/>
      <c r="D48" s="2117"/>
      <c r="E48" s="2118"/>
      <c r="F48" s="2118"/>
      <c r="G48" s="2118"/>
      <c r="H48" s="2119"/>
    </row>
    <row r="49" spans="1:8" ht="5.25" customHeight="1">
      <c r="A49" s="669"/>
      <c r="B49" s="670"/>
      <c r="C49" s="670"/>
      <c r="D49" s="670"/>
      <c r="E49" s="670"/>
      <c r="F49" s="670"/>
      <c r="G49" s="670"/>
      <c r="H49" s="671"/>
    </row>
    <row r="50" spans="1:8" ht="16.5">
      <c r="A50" s="2071" t="s">
        <v>2</v>
      </c>
      <c r="B50" s="2072"/>
      <c r="C50" s="2072"/>
      <c r="D50" s="2072"/>
      <c r="E50" s="2072"/>
      <c r="F50" s="2072"/>
      <c r="G50" s="2072"/>
      <c r="H50" s="2073"/>
    </row>
    <row r="51" spans="1:8" ht="42.75" customHeight="1">
      <c r="A51" s="2074" t="s">
        <v>529</v>
      </c>
      <c r="B51" s="2075"/>
      <c r="C51" s="2076"/>
      <c r="D51" s="672" t="s">
        <v>447</v>
      </c>
      <c r="E51" s="672" t="s">
        <v>6</v>
      </c>
      <c r="F51" s="672" t="s">
        <v>523</v>
      </c>
      <c r="G51" s="672" t="s">
        <v>524</v>
      </c>
      <c r="H51" s="673" t="s">
        <v>525</v>
      </c>
    </row>
    <row r="52" spans="1:8" ht="13.5" thickBot="1">
      <c r="A52" s="2120" t="s">
        <v>1152</v>
      </c>
      <c r="B52" s="2121"/>
      <c r="C52" s="2122"/>
      <c r="D52" s="674" t="s">
        <v>785</v>
      </c>
      <c r="E52" s="679">
        <v>1.32</v>
      </c>
      <c r="F52" s="674">
        <v>1300</v>
      </c>
      <c r="G52" s="675">
        <f>E52*F52/H36</f>
        <v>1.32</v>
      </c>
      <c r="H52" s="676"/>
    </row>
    <row r="53" spans="1:8" ht="17.25" thickTop="1">
      <c r="A53" s="2080" t="s">
        <v>530</v>
      </c>
      <c r="B53" s="2081"/>
      <c r="C53" s="2081"/>
      <c r="D53" s="2082"/>
      <c r="E53" s="2082"/>
      <c r="F53" s="2083"/>
      <c r="G53" s="677">
        <f>SUM(G52:G52)</f>
        <v>1.32</v>
      </c>
      <c r="H53" s="678">
        <f>SUM(H52:H52)</f>
        <v>0</v>
      </c>
    </row>
    <row r="54" spans="1:8" ht="16.5" customHeight="1">
      <c r="A54" s="2084" t="s">
        <v>528</v>
      </c>
      <c r="B54" s="2085"/>
      <c r="C54" s="2086"/>
      <c r="D54" s="2114" t="s">
        <v>1153</v>
      </c>
      <c r="E54" s="2115"/>
      <c r="F54" s="2115"/>
      <c r="G54" s="2115"/>
      <c r="H54" s="2116"/>
    </row>
    <row r="55" spans="1:8">
      <c r="A55" s="2049"/>
      <c r="B55" s="2050"/>
      <c r="C55" s="2051"/>
      <c r="D55" s="2117"/>
      <c r="E55" s="2118"/>
      <c r="F55" s="2118"/>
      <c r="G55" s="2118"/>
      <c r="H55" s="2119"/>
    </row>
    <row r="56" spans="1:8" ht="5.25" customHeight="1">
      <c r="A56" s="669"/>
      <c r="B56" s="670"/>
      <c r="C56" s="670"/>
      <c r="D56" s="670"/>
      <c r="E56" s="670"/>
      <c r="F56" s="670"/>
      <c r="G56" s="670"/>
      <c r="H56" s="671"/>
    </row>
    <row r="57" spans="1:8" ht="16.5">
      <c r="A57" s="2071" t="s">
        <v>3</v>
      </c>
      <c r="B57" s="2072"/>
      <c r="C57" s="2072"/>
      <c r="D57" s="2072"/>
      <c r="E57" s="2072"/>
      <c r="F57" s="2072"/>
      <c r="G57" s="2072"/>
      <c r="H57" s="2073"/>
    </row>
    <row r="58" spans="1:8" ht="33">
      <c r="A58" s="2074" t="s">
        <v>531</v>
      </c>
      <c r="B58" s="2075"/>
      <c r="C58" s="2076"/>
      <c r="D58" s="672" t="s">
        <v>447</v>
      </c>
      <c r="E58" s="672" t="s">
        <v>6</v>
      </c>
      <c r="F58" s="672" t="s">
        <v>523</v>
      </c>
      <c r="G58" s="672" t="s">
        <v>524</v>
      </c>
      <c r="H58" s="673" t="s">
        <v>525</v>
      </c>
    </row>
    <row r="59" spans="1:8" ht="13.5" thickBot="1">
      <c r="A59" s="2120" t="s">
        <v>1154</v>
      </c>
      <c r="B59" s="2121"/>
      <c r="C59" s="2122"/>
      <c r="D59" s="674"/>
      <c r="E59" s="675"/>
      <c r="F59" s="674"/>
      <c r="G59" s="675"/>
      <c r="H59" s="676"/>
    </row>
    <row r="60" spans="1:8" ht="17.25" thickTop="1">
      <c r="A60" s="2080" t="s">
        <v>534</v>
      </c>
      <c r="B60" s="2081"/>
      <c r="C60" s="2081"/>
      <c r="D60" s="2082"/>
      <c r="E60" s="2082"/>
      <c r="F60" s="2083"/>
      <c r="G60" s="677">
        <f>SUM(G59:G59)</f>
        <v>0</v>
      </c>
      <c r="H60" s="678">
        <f>SUM(H59:H59)</f>
        <v>0</v>
      </c>
    </row>
    <row r="61" spans="1:8" ht="16.5">
      <c r="A61" s="2084" t="s">
        <v>528</v>
      </c>
      <c r="B61" s="2085"/>
      <c r="C61" s="2086"/>
      <c r="D61" s="2087"/>
      <c r="E61" s="2088"/>
      <c r="F61" s="2088"/>
      <c r="G61" s="2088"/>
      <c r="H61" s="2089"/>
    </row>
    <row r="62" spans="1:8" ht="5.25" customHeight="1">
      <c r="A62" s="669"/>
      <c r="B62" s="670"/>
      <c r="C62" s="670"/>
      <c r="D62" s="670"/>
      <c r="E62" s="670"/>
      <c r="F62" s="670"/>
      <c r="G62" s="670"/>
      <c r="H62" s="671"/>
    </row>
    <row r="63" spans="1:8" ht="16.5">
      <c r="A63" s="2071" t="s">
        <v>4</v>
      </c>
      <c r="B63" s="2072"/>
      <c r="C63" s="2072"/>
      <c r="D63" s="2072"/>
      <c r="E63" s="2072"/>
      <c r="F63" s="2072"/>
      <c r="G63" s="2072"/>
      <c r="H63" s="2073"/>
    </row>
    <row r="64" spans="1:8" ht="59.25" customHeight="1">
      <c r="A64" s="2074" t="s">
        <v>536</v>
      </c>
      <c r="B64" s="2075"/>
      <c r="C64" s="2076"/>
      <c r="D64" s="672" t="s">
        <v>447</v>
      </c>
      <c r="E64" s="672" t="s">
        <v>537</v>
      </c>
      <c r="F64" s="672" t="s">
        <v>538</v>
      </c>
      <c r="G64" s="672" t="s">
        <v>524</v>
      </c>
      <c r="H64" s="673" t="s">
        <v>525</v>
      </c>
    </row>
    <row r="65" spans="1:8" ht="13.5" thickBot="1">
      <c r="A65" s="2120" t="s">
        <v>1155</v>
      </c>
      <c r="B65" s="2121"/>
      <c r="C65" s="2122"/>
      <c r="D65" s="674"/>
      <c r="E65" s="680"/>
      <c r="F65" s="675"/>
      <c r="G65" s="675">
        <f>E65*F65</f>
        <v>0</v>
      </c>
      <c r="H65" s="676"/>
    </row>
    <row r="66" spans="1:8" ht="17.25" thickTop="1">
      <c r="A66" s="2080" t="s">
        <v>539</v>
      </c>
      <c r="B66" s="2081"/>
      <c r="C66" s="2081"/>
      <c r="D66" s="2082"/>
      <c r="E66" s="2082"/>
      <c r="F66" s="2083"/>
      <c r="G66" s="677">
        <f>SUM(G65:G65)</f>
        <v>0</v>
      </c>
      <c r="H66" s="678">
        <f>SUM(H65:H65)</f>
        <v>0</v>
      </c>
    </row>
    <row r="67" spans="1:8" ht="16.5">
      <c r="A67" s="2084" t="s">
        <v>528</v>
      </c>
      <c r="B67" s="2085"/>
      <c r="C67" s="2086"/>
      <c r="D67" s="2087"/>
      <c r="E67" s="2088"/>
      <c r="F67" s="2088"/>
      <c r="G67" s="2088"/>
      <c r="H67" s="2089"/>
    </row>
    <row r="68" spans="1:8" ht="5.25" customHeight="1">
      <c r="A68" s="669"/>
      <c r="B68" s="670"/>
      <c r="C68" s="670"/>
      <c r="D68" s="670"/>
      <c r="E68" s="670"/>
      <c r="F68" s="670"/>
      <c r="G68" s="670"/>
      <c r="H68" s="671"/>
    </row>
    <row r="69" spans="1:8" ht="16.5">
      <c r="A69" s="2071" t="s">
        <v>468</v>
      </c>
      <c r="B69" s="2072"/>
      <c r="C69" s="2072"/>
      <c r="D69" s="2072"/>
      <c r="E69" s="2072"/>
      <c r="F69" s="2072"/>
      <c r="G69" s="2072"/>
      <c r="H69" s="2073"/>
    </row>
    <row r="70" spans="1:8" ht="57.75" customHeight="1">
      <c r="A70" s="2074" t="s">
        <v>540</v>
      </c>
      <c r="B70" s="2075"/>
      <c r="C70" s="2076"/>
      <c r="D70" s="672" t="s">
        <v>447</v>
      </c>
      <c r="E70" s="672" t="s">
        <v>541</v>
      </c>
      <c r="F70" s="672" t="s">
        <v>538</v>
      </c>
      <c r="G70" s="672" t="s">
        <v>524</v>
      </c>
      <c r="H70" s="673" t="s">
        <v>525</v>
      </c>
    </row>
    <row r="71" spans="1:8" ht="45" customHeight="1" thickBot="1">
      <c r="A71" s="2077" t="s">
        <v>1156</v>
      </c>
      <c r="B71" s="2078"/>
      <c r="C71" s="2079"/>
      <c r="D71" s="674" t="s">
        <v>785</v>
      </c>
      <c r="E71" s="680">
        <v>0.02</v>
      </c>
      <c r="F71" s="675">
        <f>G46+G53+G60</f>
        <v>3.4053333333333331</v>
      </c>
      <c r="G71" s="675">
        <f>E71*F71</f>
        <v>6.8106666666666663E-2</v>
      </c>
      <c r="H71" s="676"/>
    </row>
    <row r="72" spans="1:8" ht="17.25" thickTop="1">
      <c r="A72" s="2080" t="s">
        <v>543</v>
      </c>
      <c r="B72" s="2081"/>
      <c r="C72" s="2081"/>
      <c r="D72" s="2082"/>
      <c r="E72" s="2082"/>
      <c r="F72" s="2083"/>
      <c r="G72" s="677">
        <f>SUM(G71:G71)</f>
        <v>6.8106666666666663E-2</v>
      </c>
      <c r="H72" s="678">
        <f>SUM(H71:H71)</f>
        <v>0</v>
      </c>
    </row>
    <row r="73" spans="1:8" ht="16.5">
      <c r="A73" s="2084" t="s">
        <v>528</v>
      </c>
      <c r="B73" s="2085"/>
      <c r="C73" s="2086"/>
      <c r="D73" s="2087"/>
      <c r="E73" s="2088"/>
      <c r="F73" s="2088"/>
      <c r="G73" s="2088"/>
      <c r="H73" s="2089"/>
    </row>
    <row r="74" spans="1:8" ht="5.25" customHeight="1">
      <c r="A74" s="669"/>
      <c r="B74" s="670"/>
      <c r="C74" s="670"/>
      <c r="D74" s="670"/>
      <c r="E74" s="670"/>
      <c r="F74" s="670"/>
      <c r="G74" s="670"/>
      <c r="H74" s="671"/>
    </row>
    <row r="75" spans="1:8" ht="16.5">
      <c r="A75" s="2071" t="s">
        <v>507</v>
      </c>
      <c r="B75" s="2072"/>
      <c r="C75" s="2072"/>
      <c r="D75" s="2072"/>
      <c r="E75" s="2072"/>
      <c r="F75" s="2072"/>
      <c r="G75" s="2072"/>
      <c r="H75" s="2073"/>
    </row>
    <row r="76" spans="1:8" ht="56.25" customHeight="1">
      <c r="A76" s="2074" t="s">
        <v>544</v>
      </c>
      <c r="B76" s="2075"/>
      <c r="C76" s="2076"/>
      <c r="D76" s="672" t="s">
        <v>447</v>
      </c>
      <c r="E76" s="672" t="s">
        <v>6</v>
      </c>
      <c r="F76" s="672" t="s">
        <v>523</v>
      </c>
      <c r="G76" s="672" t="s">
        <v>524</v>
      </c>
      <c r="H76" s="673" t="s">
        <v>525</v>
      </c>
    </row>
    <row r="77" spans="1:8" ht="13.5" thickBot="1">
      <c r="A77" s="2120" t="s">
        <v>526</v>
      </c>
      <c r="B77" s="2121"/>
      <c r="C77" s="2122"/>
      <c r="D77" s="674"/>
      <c r="E77" s="675"/>
      <c r="F77" s="674"/>
      <c r="G77" s="675"/>
      <c r="H77" s="676"/>
    </row>
    <row r="78" spans="1:8" ht="17.25" thickTop="1">
      <c r="A78" s="2080" t="s">
        <v>546</v>
      </c>
      <c r="B78" s="2081"/>
      <c r="C78" s="2081"/>
      <c r="D78" s="2082"/>
      <c r="E78" s="2082"/>
      <c r="F78" s="2083"/>
      <c r="G78" s="677">
        <f>SUM(G77:G77)</f>
        <v>0</v>
      </c>
      <c r="H78" s="678">
        <f>SUM(H77:H77)</f>
        <v>0</v>
      </c>
    </row>
    <row r="79" spans="1:8" ht="16.5">
      <c r="A79" s="2084" t="s">
        <v>528</v>
      </c>
      <c r="B79" s="2085"/>
      <c r="C79" s="2086"/>
      <c r="D79" s="2087"/>
      <c r="E79" s="2088"/>
      <c r="F79" s="2088"/>
      <c r="G79" s="2088"/>
      <c r="H79" s="2089"/>
    </row>
    <row r="80" spans="1:8" ht="5.25" customHeight="1">
      <c r="A80" s="669"/>
      <c r="B80" s="670"/>
      <c r="C80" s="670"/>
      <c r="D80" s="670"/>
      <c r="E80" s="670"/>
      <c r="F80" s="670"/>
      <c r="G80" s="670"/>
      <c r="H80" s="671"/>
    </row>
    <row r="81" spans="1:8" ht="16.5">
      <c r="A81" s="2071" t="s">
        <v>421</v>
      </c>
      <c r="B81" s="2072"/>
      <c r="C81" s="2072"/>
      <c r="D81" s="2072"/>
      <c r="E81" s="2072"/>
      <c r="F81" s="2072"/>
      <c r="G81" s="2072"/>
      <c r="H81" s="2073"/>
    </row>
    <row r="82" spans="1:8" ht="57.75" customHeight="1">
      <c r="A82" s="2074" t="s">
        <v>548</v>
      </c>
      <c r="B82" s="2075"/>
      <c r="C82" s="2076"/>
      <c r="D82" s="672" t="s">
        <v>447</v>
      </c>
      <c r="E82" s="672" t="s">
        <v>6</v>
      </c>
      <c r="F82" s="672" t="s">
        <v>523</v>
      </c>
      <c r="G82" s="672" t="s">
        <v>524</v>
      </c>
      <c r="H82" s="673" t="s">
        <v>525</v>
      </c>
    </row>
    <row r="83" spans="1:8" ht="13.5" thickBot="1">
      <c r="A83" s="2120" t="s">
        <v>526</v>
      </c>
      <c r="B83" s="2121"/>
      <c r="C83" s="2122"/>
      <c r="D83" s="674"/>
      <c r="E83" s="675"/>
      <c r="F83" s="680"/>
      <c r="G83" s="675">
        <f>E83*F83</f>
        <v>0</v>
      </c>
      <c r="H83" s="676"/>
    </row>
    <row r="84" spans="1:8" ht="17.25" thickTop="1">
      <c r="A84" s="2080" t="s">
        <v>550</v>
      </c>
      <c r="B84" s="2081"/>
      <c r="C84" s="2081"/>
      <c r="D84" s="2082"/>
      <c r="E84" s="2082"/>
      <c r="F84" s="2083"/>
      <c r="G84" s="677">
        <f>SUM(G83:G83)</f>
        <v>0</v>
      </c>
      <c r="H84" s="678">
        <f>SUM(H83:H83)</f>
        <v>0</v>
      </c>
    </row>
    <row r="85" spans="1:8" ht="16.5">
      <c r="A85" s="2084" t="s">
        <v>528</v>
      </c>
      <c r="B85" s="2085"/>
      <c r="C85" s="2086"/>
      <c r="D85" s="2114"/>
      <c r="E85" s="2115"/>
      <c r="F85" s="2115"/>
      <c r="G85" s="2115"/>
      <c r="H85" s="2116"/>
    </row>
    <row r="86" spans="1:8" ht="5.25" customHeight="1">
      <c r="A86" s="669"/>
      <c r="B86" s="670"/>
      <c r="C86" s="670"/>
      <c r="D86" s="670"/>
      <c r="E86" s="670"/>
      <c r="F86" s="670"/>
      <c r="G86" s="670"/>
      <c r="H86" s="671"/>
    </row>
    <row r="87" spans="1:8" ht="16.5">
      <c r="A87" s="2071" t="s">
        <v>5</v>
      </c>
      <c r="B87" s="2072"/>
      <c r="C87" s="2072"/>
      <c r="D87" s="2072"/>
      <c r="E87" s="2072"/>
      <c r="F87" s="2072"/>
      <c r="G87" s="2072"/>
      <c r="H87" s="2073"/>
    </row>
    <row r="88" spans="1:8" ht="69.75" customHeight="1">
      <c r="A88" s="2074" t="s">
        <v>552</v>
      </c>
      <c r="B88" s="2075"/>
      <c r="C88" s="2076"/>
      <c r="D88" s="672" t="s">
        <v>447</v>
      </c>
      <c r="E88" s="672" t="s">
        <v>6</v>
      </c>
      <c r="F88" s="672" t="s">
        <v>523</v>
      </c>
      <c r="G88" s="672" t="s">
        <v>524</v>
      </c>
      <c r="H88" s="673" t="s">
        <v>525</v>
      </c>
    </row>
    <row r="89" spans="1:8" ht="13.5" thickBot="1">
      <c r="A89" s="2120" t="s">
        <v>526</v>
      </c>
      <c r="B89" s="2121"/>
      <c r="C89" s="2122"/>
      <c r="D89" s="674"/>
      <c r="E89" s="675"/>
      <c r="F89" s="674"/>
      <c r="G89" s="675"/>
      <c r="H89" s="676"/>
    </row>
    <row r="90" spans="1:8" ht="17.25" thickTop="1">
      <c r="A90" s="2080" t="s">
        <v>553</v>
      </c>
      <c r="B90" s="2081"/>
      <c r="C90" s="2081"/>
      <c r="D90" s="2082"/>
      <c r="E90" s="2082"/>
      <c r="F90" s="2083"/>
      <c r="G90" s="677">
        <f>SUM(G89:G89)</f>
        <v>0</v>
      </c>
      <c r="H90" s="678">
        <f>SUM(H89:H89)</f>
        <v>0</v>
      </c>
    </row>
    <row r="91" spans="1:8" ht="16.5">
      <c r="A91" s="2084" t="s">
        <v>528</v>
      </c>
      <c r="B91" s="2085"/>
      <c r="C91" s="2086"/>
      <c r="D91" s="2087"/>
      <c r="E91" s="2088"/>
      <c r="F91" s="2088"/>
      <c r="G91" s="2088"/>
      <c r="H91" s="2089"/>
    </row>
    <row r="92" spans="1:8" ht="5.25" customHeight="1">
      <c r="A92" s="669"/>
      <c r="B92" s="670"/>
      <c r="C92" s="670"/>
      <c r="D92" s="670"/>
      <c r="E92" s="670"/>
      <c r="F92" s="670"/>
      <c r="G92" s="670"/>
      <c r="H92" s="671"/>
    </row>
    <row r="93" spans="1:8" ht="16.5">
      <c r="A93" s="2071" t="s">
        <v>554</v>
      </c>
      <c r="B93" s="2072"/>
      <c r="C93" s="2072"/>
      <c r="D93" s="2072"/>
      <c r="E93" s="2072"/>
      <c r="F93" s="2072"/>
      <c r="G93" s="2072"/>
      <c r="H93" s="2073"/>
    </row>
    <row r="94" spans="1:8" ht="59.25" customHeight="1">
      <c r="A94" s="2074" t="s">
        <v>555</v>
      </c>
      <c r="B94" s="2075"/>
      <c r="C94" s="2076"/>
      <c r="D94" s="672" t="s">
        <v>447</v>
      </c>
      <c r="E94" s="672" t="s">
        <v>6</v>
      </c>
      <c r="F94" s="672" t="s">
        <v>523</v>
      </c>
      <c r="G94" s="672" t="s">
        <v>524</v>
      </c>
      <c r="H94" s="673" t="s">
        <v>525</v>
      </c>
    </row>
    <row r="95" spans="1:8" ht="13.5" thickBot="1">
      <c r="A95" s="2120" t="s">
        <v>526</v>
      </c>
      <c r="B95" s="2121"/>
      <c r="C95" s="2122"/>
      <c r="D95" s="674"/>
      <c r="E95" s="675"/>
      <c r="F95" s="674"/>
      <c r="G95" s="675"/>
      <c r="H95" s="676"/>
    </row>
    <row r="96" spans="1:8" ht="17.25" thickTop="1">
      <c r="A96" s="2080" t="s">
        <v>556</v>
      </c>
      <c r="B96" s="2081"/>
      <c r="C96" s="2081"/>
      <c r="D96" s="2082"/>
      <c r="E96" s="2082"/>
      <c r="F96" s="2083"/>
      <c r="G96" s="677">
        <f>SUM(G95:G95)</f>
        <v>0</v>
      </c>
      <c r="H96" s="678">
        <f>SUM(H95:H95)</f>
        <v>0</v>
      </c>
    </row>
    <row r="97" spans="1:8" ht="16.5">
      <c r="A97" s="2084" t="s">
        <v>528</v>
      </c>
      <c r="B97" s="2085"/>
      <c r="C97" s="2086"/>
      <c r="D97" s="2087"/>
      <c r="E97" s="2088"/>
      <c r="F97" s="2088"/>
      <c r="G97" s="2088"/>
      <c r="H97" s="2089"/>
    </row>
    <row r="98" spans="1:8" ht="5.25" customHeight="1">
      <c r="A98" s="669"/>
      <c r="B98" s="670"/>
      <c r="C98" s="670"/>
      <c r="D98" s="670"/>
      <c r="E98" s="670"/>
      <c r="F98" s="670"/>
      <c r="G98" s="670"/>
      <c r="H98" s="671"/>
    </row>
    <row r="99" spans="1:8" ht="16.5">
      <c r="A99" s="2071" t="s">
        <v>557</v>
      </c>
      <c r="B99" s="2072"/>
      <c r="C99" s="2072"/>
      <c r="D99" s="2072"/>
      <c r="E99" s="2072"/>
      <c r="F99" s="2072"/>
      <c r="G99" s="2072"/>
      <c r="H99" s="2073"/>
    </row>
    <row r="100" spans="1:8" ht="16.5">
      <c r="A100" s="2090" t="s">
        <v>558</v>
      </c>
      <c r="B100" s="2091"/>
      <c r="C100" s="2136"/>
      <c r="D100" s="681">
        <f>G46+G53+G60+G66+G72+G78+G84+G90+G96</f>
        <v>3.4734399999999996</v>
      </c>
      <c r="E100" s="2137" t="s">
        <v>559</v>
      </c>
      <c r="F100" s="2137"/>
      <c r="G100" s="2137"/>
      <c r="H100" s="682">
        <f>H46+H53+H60+H66+H72+H78+H84+H90+H96</f>
        <v>0</v>
      </c>
    </row>
    <row r="101" spans="1:8" ht="16.5">
      <c r="A101" s="2090" t="s">
        <v>560</v>
      </c>
      <c r="B101" s="2091"/>
      <c r="C101" s="2136"/>
      <c r="D101" s="683"/>
      <c r="E101" s="2138" t="s">
        <v>561</v>
      </c>
      <c r="F101" s="2139"/>
      <c r="G101" s="2139"/>
      <c r="H101" s="2140">
        <f>H100*D101</f>
        <v>0</v>
      </c>
    </row>
    <row r="102" spans="1:8" ht="16.5">
      <c r="A102" s="2090" t="s">
        <v>562</v>
      </c>
      <c r="B102" s="2091"/>
      <c r="C102" s="2136"/>
      <c r="D102" s="681">
        <f>D100*D101</f>
        <v>0</v>
      </c>
      <c r="E102" s="2139"/>
      <c r="F102" s="2139"/>
      <c r="G102" s="2139"/>
      <c r="H102" s="2141"/>
    </row>
    <row r="103" spans="1:8" ht="5.25" customHeight="1">
      <c r="A103" s="669"/>
      <c r="B103" s="670"/>
      <c r="C103" s="670"/>
      <c r="D103" s="670"/>
      <c r="E103" s="670"/>
      <c r="F103" s="670"/>
      <c r="G103" s="670"/>
      <c r="H103" s="671"/>
    </row>
    <row r="104" spans="1:8" ht="16.5">
      <c r="A104" s="2071" t="s">
        <v>563</v>
      </c>
      <c r="B104" s="2072"/>
      <c r="C104" s="2072"/>
      <c r="D104" s="2072"/>
      <c r="E104" s="2072"/>
      <c r="F104" s="2072"/>
      <c r="G104" s="2072"/>
      <c r="H104" s="2073"/>
    </row>
    <row r="105" spans="1:8" ht="30" customHeight="1" thickBot="1">
      <c r="A105" s="2132"/>
      <c r="B105" s="2133"/>
      <c r="C105" s="2133"/>
      <c r="D105" s="2134"/>
      <c r="E105" s="2134"/>
      <c r="F105" s="2134"/>
      <c r="G105" s="2134"/>
      <c r="H105" s="2135"/>
    </row>
  </sheetData>
  <mergeCells count="113">
    <mergeCell ref="A104:H104"/>
    <mergeCell ref="A105:H105"/>
    <mergeCell ref="A100:C100"/>
    <mergeCell ref="E100:G100"/>
    <mergeCell ref="A101:C101"/>
    <mergeCell ref="E101:G102"/>
    <mergeCell ref="H101:H102"/>
    <mergeCell ref="A102:C102"/>
    <mergeCell ref="A94:C94"/>
    <mergeCell ref="A95:C95"/>
    <mergeCell ref="A96:F96"/>
    <mergeCell ref="A97:C97"/>
    <mergeCell ref="D97:H97"/>
    <mergeCell ref="A99:H99"/>
    <mergeCell ref="A88:C88"/>
    <mergeCell ref="A89:C89"/>
    <mergeCell ref="A90:F90"/>
    <mergeCell ref="A91:C91"/>
    <mergeCell ref="D91:H91"/>
    <mergeCell ref="A93:H93"/>
    <mergeCell ref="A82:C82"/>
    <mergeCell ref="A83:C83"/>
    <mergeCell ref="A84:F84"/>
    <mergeCell ref="A85:C85"/>
    <mergeCell ref="D85:H85"/>
    <mergeCell ref="A87:H87"/>
    <mergeCell ref="A76:C76"/>
    <mergeCell ref="A77:C77"/>
    <mergeCell ref="A78:F78"/>
    <mergeCell ref="A79:C79"/>
    <mergeCell ref="D79:H79"/>
    <mergeCell ref="A81:H81"/>
    <mergeCell ref="A70:C70"/>
    <mergeCell ref="A71:C71"/>
    <mergeCell ref="A72:F72"/>
    <mergeCell ref="A73:C73"/>
    <mergeCell ref="D73:H73"/>
    <mergeCell ref="A75:H75"/>
    <mergeCell ref="A64:C64"/>
    <mergeCell ref="A65:C65"/>
    <mergeCell ref="A66:F66"/>
    <mergeCell ref="A67:C67"/>
    <mergeCell ref="D67:H67"/>
    <mergeCell ref="A69:H69"/>
    <mergeCell ref="A58:C58"/>
    <mergeCell ref="A59:C59"/>
    <mergeCell ref="A60:F60"/>
    <mergeCell ref="A61:C61"/>
    <mergeCell ref="D61:H61"/>
    <mergeCell ref="A63:H63"/>
    <mergeCell ref="A51:C51"/>
    <mergeCell ref="A52:C52"/>
    <mergeCell ref="A53:F53"/>
    <mergeCell ref="A54:C55"/>
    <mergeCell ref="D54:H55"/>
    <mergeCell ref="A57:H57"/>
    <mergeCell ref="A44:C44"/>
    <mergeCell ref="A45:C45"/>
    <mergeCell ref="A46:F46"/>
    <mergeCell ref="A47:C48"/>
    <mergeCell ref="D47:H48"/>
    <mergeCell ref="A50:H50"/>
    <mergeCell ref="A38:C38"/>
    <mergeCell ref="E38:G38"/>
    <mergeCell ref="A40:H40"/>
    <mergeCell ref="A41:C41"/>
    <mergeCell ref="A42:C42"/>
    <mergeCell ref="A43:C43"/>
    <mergeCell ref="A30:H30"/>
    <mergeCell ref="A31:H31"/>
    <mergeCell ref="A32:H32"/>
    <mergeCell ref="A34:G34"/>
    <mergeCell ref="A35:G35"/>
    <mergeCell ref="A36:G36"/>
    <mergeCell ref="H36:H37"/>
    <mergeCell ref="A37:G37"/>
    <mergeCell ref="A26:H26"/>
    <mergeCell ref="A27:C27"/>
    <mergeCell ref="E27:H27"/>
    <mergeCell ref="A28:C28"/>
    <mergeCell ref="D28:H28"/>
    <mergeCell ref="A29:H29"/>
    <mergeCell ref="A19:C19"/>
    <mergeCell ref="A20:C20"/>
    <mergeCell ref="A21:C21"/>
    <mergeCell ref="A22:C22"/>
    <mergeCell ref="A23:C23"/>
    <mergeCell ref="A24:C24"/>
    <mergeCell ref="A13:H13"/>
    <mergeCell ref="A14:C14"/>
    <mergeCell ref="A15:C15"/>
    <mergeCell ref="A16:C16"/>
    <mergeCell ref="A17:C17"/>
    <mergeCell ref="A18:C18"/>
    <mergeCell ref="C10:D10"/>
    <mergeCell ref="E10:F10"/>
    <mergeCell ref="C11:D11"/>
    <mergeCell ref="E11:F11"/>
    <mergeCell ref="C12:D12"/>
    <mergeCell ref="E12:F12"/>
    <mergeCell ref="C7:D7"/>
    <mergeCell ref="E7:F7"/>
    <mergeCell ref="C8:D8"/>
    <mergeCell ref="E8:F8"/>
    <mergeCell ref="C9:D9"/>
    <mergeCell ref="E9:F9"/>
    <mergeCell ref="A1:H1"/>
    <mergeCell ref="A2:H2"/>
    <mergeCell ref="A3:H3"/>
    <mergeCell ref="A4:H4"/>
    <mergeCell ref="A5:H5"/>
    <mergeCell ref="C6:D6"/>
    <mergeCell ref="E6:F6"/>
  </mergeCells>
  <pageMargins left="0.75" right="0.75" top="1" bottom="1" header="0.5" footer="0.5"/>
  <pageSetup scale="78" orientation="portrait" r:id="rId1"/>
  <headerFooter alignWithMargins="0"/>
  <rowBreaks count="2" manualBreakCount="2">
    <brk id="25" max="5" man="1"/>
    <brk id="67" max="5" man="1"/>
  </rowBreaks>
  <colBreaks count="1" manualBreakCount="1">
    <brk id="8" max="1048575" man="1"/>
  </colBreaks>
  <legacyDrawing r:id="rId2"/>
</worksheet>
</file>

<file path=xl/worksheets/sheet216.xml><?xml version="1.0" encoding="utf-8"?>
<worksheet xmlns="http://schemas.openxmlformats.org/spreadsheetml/2006/main" xmlns:r="http://schemas.openxmlformats.org/officeDocument/2006/relationships">
  <dimension ref="A1:M105"/>
  <sheetViews>
    <sheetView topLeftCell="A31" zoomScaleNormal="100" workbookViewId="0">
      <selection activeCell="D49" sqref="D49"/>
    </sheetView>
  </sheetViews>
  <sheetFormatPr defaultRowHeight="12.75"/>
  <cols>
    <col min="1" max="1" width="11.42578125" style="637" customWidth="1"/>
    <col min="2" max="2" width="17.5703125" style="637" customWidth="1"/>
    <col min="3" max="3" width="12.28515625" style="637" customWidth="1"/>
    <col min="4" max="4" width="11.140625" style="637" customWidth="1"/>
    <col min="5" max="12" width="15.7109375" style="637" customWidth="1"/>
    <col min="13" max="16384" width="9.140625" style="637"/>
  </cols>
  <sheetData>
    <row r="1" spans="1:13" ht="15.75" customHeight="1">
      <c r="A1" s="2027" t="s">
        <v>493</v>
      </c>
      <c r="B1" s="2028"/>
      <c r="C1" s="2028"/>
      <c r="D1" s="2029"/>
      <c r="E1" s="2029"/>
      <c r="F1" s="2029"/>
      <c r="G1" s="2029"/>
      <c r="H1" s="2030"/>
      <c r="I1" s="636"/>
      <c r="J1" s="636"/>
      <c r="K1" s="636"/>
      <c r="L1" s="636"/>
      <c r="M1" s="636"/>
    </row>
    <row r="2" spans="1:13" ht="15.75">
      <c r="A2" s="2031" t="s">
        <v>494</v>
      </c>
      <c r="B2" s="2032"/>
      <c r="C2" s="2032"/>
      <c r="D2" s="2033"/>
      <c r="E2" s="2033"/>
      <c r="F2" s="2033"/>
      <c r="G2" s="2033"/>
      <c r="H2" s="2034"/>
      <c r="I2" s="636"/>
      <c r="J2" s="636"/>
      <c r="K2" s="636"/>
      <c r="L2" s="636"/>
      <c r="M2" s="636"/>
    </row>
    <row r="3" spans="1:13" ht="15.75">
      <c r="A3" s="2031" t="s">
        <v>1138</v>
      </c>
      <c r="B3" s="2032"/>
      <c r="C3" s="2032"/>
      <c r="D3" s="2033"/>
      <c r="E3" s="2033"/>
      <c r="F3" s="2033"/>
      <c r="G3" s="2033"/>
      <c r="H3" s="2034"/>
      <c r="I3" s="636"/>
      <c r="J3" s="636"/>
      <c r="K3" s="636"/>
      <c r="L3" s="636"/>
      <c r="M3" s="636"/>
    </row>
    <row r="4" spans="1:13" ht="16.5" thickBot="1">
      <c r="A4" s="2031" t="s">
        <v>1164</v>
      </c>
      <c r="B4" s="2032"/>
      <c r="C4" s="2032"/>
      <c r="D4" s="2033"/>
      <c r="E4" s="2033"/>
      <c r="F4" s="2033"/>
      <c r="G4" s="2033"/>
      <c r="H4" s="2034"/>
      <c r="I4" s="636"/>
      <c r="J4" s="636"/>
      <c r="K4" s="636"/>
      <c r="L4" s="636"/>
      <c r="M4" s="636"/>
    </row>
    <row r="5" spans="1:13" ht="17.25" thickBot="1">
      <c r="A5" s="2035" t="s">
        <v>17</v>
      </c>
      <c r="B5" s="2036"/>
      <c r="C5" s="2036"/>
      <c r="D5" s="2037"/>
      <c r="E5" s="2037"/>
      <c r="F5" s="2037"/>
      <c r="G5" s="2037"/>
      <c r="H5" s="2037"/>
      <c r="I5" s="636"/>
      <c r="J5" s="636"/>
      <c r="K5" s="636"/>
      <c r="L5" s="636"/>
      <c r="M5" s="636"/>
    </row>
    <row r="6" spans="1:13" ht="33">
      <c r="A6" s="638" t="s">
        <v>37</v>
      </c>
      <c r="B6" s="639" t="s">
        <v>22</v>
      </c>
      <c r="C6" s="2038" t="s">
        <v>497</v>
      </c>
      <c r="D6" s="2038"/>
      <c r="E6" s="2038" t="s">
        <v>30</v>
      </c>
      <c r="F6" s="2038"/>
      <c r="G6" s="639" t="s">
        <v>498</v>
      </c>
      <c r="H6" s="640" t="s">
        <v>76</v>
      </c>
      <c r="I6" s="641"/>
    </row>
    <row r="7" spans="1:13" ht="16.5">
      <c r="A7" s="642">
        <f>D27</f>
        <v>620</v>
      </c>
      <c r="B7" s="643" t="s">
        <v>15</v>
      </c>
      <c r="C7" s="2041" t="str">
        <f>E27</f>
        <v>Underground Outlet</v>
      </c>
      <c r="D7" s="2041"/>
      <c r="E7" s="2042" t="str">
        <f>D28</f>
        <v xml:space="preserve">Pipe Diameter 10" </v>
      </c>
      <c r="F7" s="2042"/>
      <c r="G7" s="644" t="str">
        <f>H35</f>
        <v>Foot</v>
      </c>
      <c r="H7" s="645">
        <f>F24</f>
        <v>4.1164581818181825</v>
      </c>
    </row>
    <row r="8" spans="1:13" ht="16.5">
      <c r="A8" s="642">
        <f>D27</f>
        <v>620</v>
      </c>
      <c r="B8" s="643" t="s">
        <v>15</v>
      </c>
      <c r="C8" s="2042" t="str">
        <f>E27</f>
        <v>Underground Outlet</v>
      </c>
      <c r="D8" s="2042"/>
      <c r="E8" s="2042" t="s">
        <v>1165</v>
      </c>
      <c r="F8" s="2042"/>
      <c r="G8" s="644" t="str">
        <f>H35</f>
        <v>Foot</v>
      </c>
      <c r="H8" s="645">
        <f>H24</f>
        <v>4.9397498181818182</v>
      </c>
    </row>
    <row r="9" spans="1:13" ht="16.5">
      <c r="A9" s="1351">
        <f>D27</f>
        <v>620</v>
      </c>
      <c r="B9" s="644" t="s">
        <v>1141</v>
      </c>
      <c r="C9" s="2042" t="str">
        <f>E27</f>
        <v>Underground Outlet</v>
      </c>
      <c r="D9" s="2041"/>
      <c r="E9" s="2042" t="str">
        <f>E7</f>
        <v xml:space="preserve">Pipe Diameter 10" </v>
      </c>
      <c r="F9" s="2041"/>
      <c r="G9" s="644" t="str">
        <f>H35</f>
        <v>Foot</v>
      </c>
      <c r="H9" s="645">
        <f>F24</f>
        <v>4.1164581818181825</v>
      </c>
    </row>
    <row r="10" spans="1:13" ht="16.5">
      <c r="A10" s="1351">
        <f>D27</f>
        <v>620</v>
      </c>
      <c r="B10" s="644" t="s">
        <v>1141</v>
      </c>
      <c r="C10" s="2042" t="str">
        <f>E27</f>
        <v>Underground Outlet</v>
      </c>
      <c r="D10" s="2041"/>
      <c r="E10" s="2041" t="s">
        <v>1165</v>
      </c>
      <c r="F10" s="2041"/>
      <c r="G10" s="644" t="str">
        <f>H35</f>
        <v>Foot</v>
      </c>
      <c r="H10" s="645">
        <f>H24</f>
        <v>4.9397498181818182</v>
      </c>
    </row>
    <row r="11" spans="1:13" ht="16.5">
      <c r="A11" s="1351">
        <f>D27</f>
        <v>620</v>
      </c>
      <c r="B11" s="644" t="s">
        <v>1142</v>
      </c>
      <c r="C11" s="2042" t="str">
        <f>E27</f>
        <v>Underground Outlet</v>
      </c>
      <c r="D11" s="2042"/>
      <c r="E11" s="2042" t="str">
        <f>D28</f>
        <v xml:space="preserve">Pipe Diameter 10" </v>
      </c>
      <c r="F11" s="2042"/>
      <c r="G11" s="644" t="str">
        <f>H35</f>
        <v>Foot</v>
      </c>
      <c r="H11" s="645">
        <f>F24</f>
        <v>4.1164581818181825</v>
      </c>
    </row>
    <row r="12" spans="1:13" ht="17.25" thickBot="1">
      <c r="A12" s="1352">
        <f>D27</f>
        <v>620</v>
      </c>
      <c r="B12" s="647" t="s">
        <v>1142</v>
      </c>
      <c r="C12" s="2043" t="str">
        <f>E27</f>
        <v>Underground Outlet</v>
      </c>
      <c r="D12" s="2043"/>
      <c r="E12" s="2043" t="str">
        <f>E8</f>
        <v>Pipe Diameter 10"  - HU</v>
      </c>
      <c r="F12" s="2043"/>
      <c r="G12" s="647" t="str">
        <f>H35</f>
        <v>Foot</v>
      </c>
      <c r="H12" s="648">
        <f>H24</f>
        <v>4.9397498181818182</v>
      </c>
    </row>
    <row r="13" spans="1:13" ht="15.75" customHeight="1" thickBot="1">
      <c r="A13" s="2044" t="s">
        <v>18</v>
      </c>
      <c r="B13" s="2045"/>
      <c r="C13" s="2045"/>
      <c r="D13" s="2046"/>
      <c r="E13" s="2046"/>
      <c r="F13" s="2046"/>
      <c r="G13" s="2046"/>
      <c r="H13" s="2046"/>
    </row>
    <row r="14" spans="1:13" ht="49.5">
      <c r="A14" s="2047" t="s">
        <v>16</v>
      </c>
      <c r="B14" s="2048"/>
      <c r="C14" s="2048"/>
      <c r="D14" s="649" t="s">
        <v>6</v>
      </c>
      <c r="E14" s="649" t="s">
        <v>501</v>
      </c>
      <c r="F14" s="649" t="s">
        <v>502</v>
      </c>
      <c r="G14" s="649" t="s">
        <v>503</v>
      </c>
      <c r="H14" s="650" t="s">
        <v>504</v>
      </c>
    </row>
    <row r="15" spans="1:13" ht="16.5">
      <c r="A15" s="2039" t="s">
        <v>0</v>
      </c>
      <c r="B15" s="2040"/>
      <c r="C15" s="2040"/>
      <c r="D15" s="651">
        <f>G46</f>
        <v>4.1686109090909094</v>
      </c>
      <c r="E15" s="652">
        <v>0.75</v>
      </c>
      <c r="F15" s="651">
        <f>D15*E15</f>
        <v>3.1264581818181822</v>
      </c>
      <c r="G15" s="652">
        <v>0.9</v>
      </c>
      <c r="H15" s="653">
        <f>D15*G15</f>
        <v>3.7517498181818185</v>
      </c>
    </row>
    <row r="16" spans="1:13" ht="16.5">
      <c r="A16" s="2039" t="s">
        <v>505</v>
      </c>
      <c r="B16" s="2040"/>
      <c r="C16" s="2040"/>
      <c r="D16" s="651">
        <f>G53</f>
        <v>1.32</v>
      </c>
      <c r="E16" s="652">
        <v>0.75</v>
      </c>
      <c r="F16" s="651">
        <f t="shared" ref="F16:F23" si="0">D16*E16</f>
        <v>0.99</v>
      </c>
      <c r="G16" s="652">
        <v>0.9</v>
      </c>
      <c r="H16" s="653">
        <f t="shared" ref="H16:H23" si="1">D16*G16</f>
        <v>1.1880000000000002</v>
      </c>
    </row>
    <row r="17" spans="1:12" ht="16.5">
      <c r="A17" s="2039" t="s">
        <v>3</v>
      </c>
      <c r="B17" s="2040"/>
      <c r="C17" s="2040"/>
      <c r="D17" s="651">
        <f>G60</f>
        <v>0</v>
      </c>
      <c r="E17" s="652">
        <v>0.75</v>
      </c>
      <c r="F17" s="651">
        <f t="shared" si="0"/>
        <v>0</v>
      </c>
      <c r="G17" s="652">
        <v>0.9</v>
      </c>
      <c r="H17" s="653">
        <f t="shared" si="1"/>
        <v>0</v>
      </c>
    </row>
    <row r="18" spans="1:12" ht="16.5">
      <c r="A18" s="2039" t="s">
        <v>4</v>
      </c>
      <c r="B18" s="2040"/>
      <c r="C18" s="2040"/>
      <c r="D18" s="651">
        <f>G66</f>
        <v>0</v>
      </c>
      <c r="E18" s="652">
        <v>0.75</v>
      </c>
      <c r="F18" s="651">
        <f t="shared" si="0"/>
        <v>0</v>
      </c>
      <c r="G18" s="652">
        <v>0.9</v>
      </c>
      <c r="H18" s="653">
        <f t="shared" si="1"/>
        <v>0</v>
      </c>
    </row>
    <row r="19" spans="1:12" ht="16.5">
      <c r="A19" s="2039" t="s">
        <v>506</v>
      </c>
      <c r="B19" s="2040"/>
      <c r="C19" s="2040"/>
      <c r="D19" s="651">
        <f>G72</f>
        <v>0.10977221818181819</v>
      </c>
      <c r="E19" s="652">
        <v>0</v>
      </c>
      <c r="F19" s="651">
        <f t="shared" si="0"/>
        <v>0</v>
      </c>
      <c r="G19" s="652">
        <v>0</v>
      </c>
      <c r="H19" s="653">
        <f t="shared" si="1"/>
        <v>0</v>
      </c>
    </row>
    <row r="20" spans="1:12" ht="16.5">
      <c r="A20" s="2039" t="s">
        <v>507</v>
      </c>
      <c r="B20" s="2040"/>
      <c r="C20" s="2040"/>
      <c r="D20" s="651">
        <f>G78</f>
        <v>0</v>
      </c>
      <c r="E20" s="652">
        <v>0.75</v>
      </c>
      <c r="F20" s="651">
        <f t="shared" si="0"/>
        <v>0</v>
      </c>
      <c r="G20" s="652">
        <v>0.9</v>
      </c>
      <c r="H20" s="653">
        <f t="shared" si="1"/>
        <v>0</v>
      </c>
    </row>
    <row r="21" spans="1:12" ht="16.5">
      <c r="A21" s="2039" t="s">
        <v>27</v>
      </c>
      <c r="B21" s="2040"/>
      <c r="C21" s="2040"/>
      <c r="D21" s="651">
        <f>G84</f>
        <v>0</v>
      </c>
      <c r="E21" s="652">
        <v>0.75</v>
      </c>
      <c r="F21" s="651">
        <f t="shared" si="0"/>
        <v>0</v>
      </c>
      <c r="G21" s="652">
        <v>0.9</v>
      </c>
      <c r="H21" s="653">
        <f t="shared" si="1"/>
        <v>0</v>
      </c>
      <c r="I21" s="641"/>
    </row>
    <row r="22" spans="1:12" ht="16.5">
      <c r="A22" s="2039" t="s">
        <v>5</v>
      </c>
      <c r="B22" s="2040"/>
      <c r="C22" s="2040"/>
      <c r="D22" s="651">
        <f>G90</f>
        <v>0</v>
      </c>
      <c r="E22" s="652">
        <v>0</v>
      </c>
      <c r="F22" s="651">
        <f t="shared" si="0"/>
        <v>0</v>
      </c>
      <c r="G22" s="652">
        <v>0</v>
      </c>
      <c r="H22" s="653">
        <f t="shared" si="1"/>
        <v>0</v>
      </c>
    </row>
    <row r="23" spans="1:12" ht="16.5">
      <c r="A23" s="2039" t="s">
        <v>508</v>
      </c>
      <c r="B23" s="2040"/>
      <c r="C23" s="2040"/>
      <c r="D23" s="651">
        <f>G96</f>
        <v>0</v>
      </c>
      <c r="E23" s="652">
        <v>0</v>
      </c>
      <c r="F23" s="651">
        <f t="shared" si="0"/>
        <v>0</v>
      </c>
      <c r="G23" s="652">
        <v>0</v>
      </c>
      <c r="H23" s="653">
        <f t="shared" si="1"/>
        <v>0</v>
      </c>
    </row>
    <row r="24" spans="1:12" ht="17.25" thickBot="1">
      <c r="A24" s="2063" t="s">
        <v>509</v>
      </c>
      <c r="B24" s="2064"/>
      <c r="C24" s="2064"/>
      <c r="D24" s="654">
        <f>SUM(D15:D23)</f>
        <v>5.5983831272727276</v>
      </c>
      <c r="E24" s="655"/>
      <c r="F24" s="654">
        <f>SUM(F15:F23)</f>
        <v>4.1164581818181825</v>
      </c>
      <c r="G24" s="656"/>
      <c r="H24" s="657">
        <f>SUM(H15:H23)</f>
        <v>4.9397498181818182</v>
      </c>
    </row>
    <row r="25" spans="1:12" ht="15">
      <c r="A25" s="658"/>
      <c r="B25" s="658"/>
      <c r="C25" s="658"/>
      <c r="D25" s="659"/>
      <c r="E25" s="660"/>
      <c r="F25" s="659"/>
      <c r="G25" s="661"/>
      <c r="H25" s="659"/>
      <c r="I25" s="661"/>
      <c r="J25" s="659"/>
      <c r="K25" s="661"/>
      <c r="L25" s="659"/>
    </row>
    <row r="26" spans="1:12" ht="17.25" thickBot="1">
      <c r="A26" s="2044" t="s">
        <v>510</v>
      </c>
      <c r="B26" s="2045"/>
      <c r="C26" s="2045"/>
      <c r="D26" s="2046"/>
      <c r="E26" s="2046"/>
      <c r="F26" s="2046"/>
      <c r="G26" s="2046"/>
      <c r="H26" s="2046"/>
    </row>
    <row r="27" spans="1:12" ht="16.5">
      <c r="A27" s="2180" t="s">
        <v>511</v>
      </c>
      <c r="B27" s="2181"/>
      <c r="C27" s="2182"/>
      <c r="D27" s="662">
        <v>620</v>
      </c>
      <c r="E27" s="2068" t="s">
        <v>1143</v>
      </c>
      <c r="F27" s="2069"/>
      <c r="G27" s="2069"/>
      <c r="H27" s="2070"/>
    </row>
    <row r="28" spans="1:12" ht="16.5">
      <c r="A28" s="2094" t="s">
        <v>513</v>
      </c>
      <c r="B28" s="2095"/>
      <c r="C28" s="2183"/>
      <c r="D28" s="2052" t="s">
        <v>1164</v>
      </c>
      <c r="E28" s="2053"/>
      <c r="F28" s="2053"/>
      <c r="G28" s="2053"/>
      <c r="H28" s="2054"/>
    </row>
    <row r="29" spans="1:12" ht="16.5">
      <c r="A29" s="2055" t="s">
        <v>385</v>
      </c>
      <c r="B29" s="2056"/>
      <c r="C29" s="2056"/>
      <c r="D29" s="2056"/>
      <c r="E29" s="2056"/>
      <c r="F29" s="2056"/>
      <c r="G29" s="2056"/>
      <c r="H29" s="2057"/>
    </row>
    <row r="30" spans="1:12" ht="89.25" customHeight="1">
      <c r="A30" s="2058" t="s">
        <v>1166</v>
      </c>
      <c r="B30" s="2059"/>
      <c r="C30" s="2059"/>
      <c r="D30" s="2059"/>
      <c r="E30" s="2059"/>
      <c r="F30" s="2059"/>
      <c r="G30" s="2059"/>
      <c r="H30" s="2060"/>
    </row>
    <row r="31" spans="1:12" ht="12.75" customHeight="1">
      <c r="A31" s="2055" t="s">
        <v>391</v>
      </c>
      <c r="B31" s="2056"/>
      <c r="C31" s="2056"/>
      <c r="D31" s="2056"/>
      <c r="E31" s="2056"/>
      <c r="F31" s="2056"/>
      <c r="G31" s="2056"/>
      <c r="H31" s="2057"/>
    </row>
    <row r="32" spans="1:12" ht="18" customHeight="1">
      <c r="A32" s="2058" t="s">
        <v>1145</v>
      </c>
      <c r="B32" s="2059"/>
      <c r="C32" s="2059"/>
      <c r="D32" s="2061"/>
      <c r="E32" s="2061"/>
      <c r="F32" s="2061"/>
      <c r="G32" s="2061"/>
      <c r="H32" s="2062"/>
    </row>
    <row r="33" spans="1:8">
      <c r="A33" s="663"/>
      <c r="B33" s="664"/>
      <c r="C33" s="664"/>
      <c r="D33" s="664"/>
      <c r="E33" s="664"/>
      <c r="F33" s="664"/>
      <c r="G33" s="664"/>
      <c r="H33" s="665"/>
    </row>
    <row r="34" spans="1:8" ht="16.5">
      <c r="A34" s="2090" t="s">
        <v>516</v>
      </c>
      <c r="B34" s="2091"/>
      <c r="C34" s="2091"/>
      <c r="D34" s="2092"/>
      <c r="E34" s="2092"/>
      <c r="F34" s="2092"/>
      <c r="G34" s="2093"/>
      <c r="H34" s="666" t="s">
        <v>91</v>
      </c>
    </row>
    <row r="35" spans="1:8" ht="16.5">
      <c r="A35" s="2094" t="s">
        <v>517</v>
      </c>
      <c r="B35" s="2095"/>
      <c r="C35" s="2095"/>
      <c r="D35" s="2096"/>
      <c r="E35" s="2096"/>
      <c r="F35" s="2096"/>
      <c r="G35" s="2097"/>
      <c r="H35" s="666" t="s">
        <v>1146</v>
      </c>
    </row>
    <row r="36" spans="1:8" ht="16.5">
      <c r="A36" s="2084" t="s">
        <v>518</v>
      </c>
      <c r="B36" s="2085"/>
      <c r="C36" s="2085"/>
      <c r="D36" s="2098"/>
      <c r="E36" s="2098"/>
      <c r="F36" s="2098"/>
      <c r="G36" s="2099"/>
      <c r="H36" s="2100">
        <v>1300</v>
      </c>
    </row>
    <row r="37" spans="1:8">
      <c r="A37" s="2102" t="s">
        <v>519</v>
      </c>
      <c r="B37" s="2103"/>
      <c r="C37" s="2103"/>
      <c r="D37" s="2103"/>
      <c r="E37" s="2103"/>
      <c r="F37" s="2103"/>
      <c r="G37" s="2104"/>
      <c r="H37" s="2101"/>
    </row>
    <row r="38" spans="1:8" ht="13.5">
      <c r="A38" s="2105" t="s">
        <v>520</v>
      </c>
      <c r="B38" s="2106"/>
      <c r="C38" s="2107"/>
      <c r="D38" s="667">
        <v>20</v>
      </c>
      <c r="E38" s="2108" t="s">
        <v>521</v>
      </c>
      <c r="F38" s="2109"/>
      <c r="G38" s="2110"/>
      <c r="H38" s="668">
        <v>0.06</v>
      </c>
    </row>
    <row r="39" spans="1:8" ht="5.25" customHeight="1">
      <c r="A39" s="669"/>
      <c r="B39" s="670"/>
      <c r="C39" s="670"/>
      <c r="D39" s="670"/>
      <c r="E39" s="670"/>
      <c r="F39" s="670"/>
      <c r="G39" s="670"/>
      <c r="H39" s="671"/>
    </row>
    <row r="40" spans="1:8" ht="16.5">
      <c r="A40" s="2071" t="s">
        <v>0</v>
      </c>
      <c r="B40" s="2072"/>
      <c r="C40" s="2072"/>
      <c r="D40" s="2072"/>
      <c r="E40" s="2072"/>
      <c r="F40" s="2072"/>
      <c r="G40" s="2072"/>
      <c r="H40" s="2073"/>
    </row>
    <row r="41" spans="1:8" ht="33">
      <c r="A41" s="2074" t="s">
        <v>522</v>
      </c>
      <c r="B41" s="2075"/>
      <c r="C41" s="2076"/>
      <c r="D41" s="672" t="s">
        <v>447</v>
      </c>
      <c r="E41" s="672" t="s">
        <v>6</v>
      </c>
      <c r="F41" s="672" t="s">
        <v>523</v>
      </c>
      <c r="G41" s="672" t="s">
        <v>524</v>
      </c>
      <c r="H41" s="673" t="s">
        <v>525</v>
      </c>
    </row>
    <row r="42" spans="1:8">
      <c r="A42" s="2184" t="s">
        <v>1167</v>
      </c>
      <c r="B42" s="2185"/>
      <c r="C42" s="2186"/>
      <c r="D42" s="674" t="s">
        <v>778</v>
      </c>
      <c r="E42" s="679">
        <v>142.63</v>
      </c>
      <c r="F42" s="674">
        <f>H36/250</f>
        <v>5.2</v>
      </c>
      <c r="G42" s="675">
        <f>E42*F42/H36</f>
        <v>0.57052000000000003</v>
      </c>
      <c r="H42" s="676"/>
    </row>
    <row r="43" spans="1:8" ht="25.5" customHeight="1">
      <c r="A43" s="2184" t="s">
        <v>1168</v>
      </c>
      <c r="B43" s="2185"/>
      <c r="C43" s="2186"/>
      <c r="D43" s="674" t="s">
        <v>778</v>
      </c>
      <c r="E43" s="679">
        <v>102.51</v>
      </c>
      <c r="F43" s="1353">
        <f>H36/660</f>
        <v>1.9696969696969697</v>
      </c>
      <c r="G43" s="675">
        <f>E43*F43/H36</f>
        <v>0.15531818181818183</v>
      </c>
      <c r="H43" s="676"/>
    </row>
    <row r="44" spans="1:8" ht="25.5" customHeight="1">
      <c r="A44" s="2184" t="s">
        <v>1169</v>
      </c>
      <c r="B44" s="2185"/>
      <c r="C44" s="2186"/>
      <c r="D44" s="674" t="s">
        <v>778</v>
      </c>
      <c r="E44" s="679">
        <v>15.03</v>
      </c>
      <c r="F44" s="1353">
        <f>H36/660</f>
        <v>1.9696969696969697</v>
      </c>
      <c r="G44" s="675">
        <f>E44*F44/H36</f>
        <v>2.2772727272727274E-2</v>
      </c>
      <c r="H44" s="676"/>
    </row>
    <row r="45" spans="1:8" ht="13.5" thickBot="1">
      <c r="A45" s="2077" t="s">
        <v>1170</v>
      </c>
      <c r="B45" s="2078"/>
      <c r="C45" s="2079"/>
      <c r="D45" s="674" t="s">
        <v>785</v>
      </c>
      <c r="E45" s="679">
        <v>3.42</v>
      </c>
      <c r="F45" s="674">
        <v>1300</v>
      </c>
      <c r="G45" s="675">
        <f>E45*F45/H36</f>
        <v>3.42</v>
      </c>
      <c r="H45" s="676"/>
    </row>
    <row r="46" spans="1:8" ht="17.25" thickTop="1">
      <c r="A46" s="2080" t="s">
        <v>527</v>
      </c>
      <c r="B46" s="2081"/>
      <c r="C46" s="2081"/>
      <c r="D46" s="2082"/>
      <c r="E46" s="2082"/>
      <c r="F46" s="2083"/>
      <c r="G46" s="677">
        <f>SUM(G42:G45)</f>
        <v>4.1686109090909094</v>
      </c>
      <c r="H46" s="678">
        <f>SUM(H42:H42)</f>
        <v>0</v>
      </c>
    </row>
    <row r="47" spans="1:8" ht="16.5" customHeight="1">
      <c r="A47" s="2084" t="s">
        <v>528</v>
      </c>
      <c r="B47" s="2085"/>
      <c r="C47" s="2086"/>
      <c r="D47" s="2114" t="s">
        <v>1151</v>
      </c>
      <c r="E47" s="2115"/>
      <c r="F47" s="2115"/>
      <c r="G47" s="2115"/>
      <c r="H47" s="2116"/>
    </row>
    <row r="48" spans="1:8">
      <c r="A48" s="2049"/>
      <c r="B48" s="2050"/>
      <c r="C48" s="2051"/>
      <c r="D48" s="2117"/>
      <c r="E48" s="2118"/>
      <c r="F48" s="2118"/>
      <c r="G48" s="2118"/>
      <c r="H48" s="2119"/>
    </row>
    <row r="49" spans="1:8" ht="5.25" customHeight="1">
      <c r="A49" s="669"/>
      <c r="B49" s="670"/>
      <c r="C49" s="670"/>
      <c r="D49" s="670"/>
      <c r="E49" s="670"/>
      <c r="F49" s="670"/>
      <c r="G49" s="670"/>
      <c r="H49" s="671"/>
    </row>
    <row r="50" spans="1:8" ht="16.5">
      <c r="A50" s="2071" t="s">
        <v>2</v>
      </c>
      <c r="B50" s="2072"/>
      <c r="C50" s="2072"/>
      <c r="D50" s="2072"/>
      <c r="E50" s="2072"/>
      <c r="F50" s="2072"/>
      <c r="G50" s="2072"/>
      <c r="H50" s="2073"/>
    </row>
    <row r="51" spans="1:8" ht="42.75" customHeight="1">
      <c r="A51" s="2074" t="s">
        <v>529</v>
      </c>
      <c r="B51" s="2075"/>
      <c r="C51" s="2076"/>
      <c r="D51" s="672" t="s">
        <v>447</v>
      </c>
      <c r="E51" s="672" t="s">
        <v>6</v>
      </c>
      <c r="F51" s="672" t="s">
        <v>523</v>
      </c>
      <c r="G51" s="672" t="s">
        <v>524</v>
      </c>
      <c r="H51" s="673" t="s">
        <v>525</v>
      </c>
    </row>
    <row r="52" spans="1:8" ht="13.5" thickBot="1">
      <c r="A52" s="2120" t="s">
        <v>1152</v>
      </c>
      <c r="B52" s="2121"/>
      <c r="C52" s="2122"/>
      <c r="D52" s="674" t="s">
        <v>785</v>
      </c>
      <c r="E52" s="679">
        <v>1.32</v>
      </c>
      <c r="F52" s="674">
        <v>1300</v>
      </c>
      <c r="G52" s="675">
        <f>E52*F52/H36</f>
        <v>1.32</v>
      </c>
      <c r="H52" s="676"/>
    </row>
    <row r="53" spans="1:8" ht="17.25" thickTop="1">
      <c r="A53" s="2080" t="s">
        <v>530</v>
      </c>
      <c r="B53" s="2081"/>
      <c r="C53" s="2081"/>
      <c r="D53" s="2082"/>
      <c r="E53" s="2082"/>
      <c r="F53" s="2083"/>
      <c r="G53" s="677">
        <f>SUM(G52:G52)</f>
        <v>1.32</v>
      </c>
      <c r="H53" s="678">
        <f>SUM(H52:H52)</f>
        <v>0</v>
      </c>
    </row>
    <row r="54" spans="1:8" ht="16.5" customHeight="1">
      <c r="A54" s="2084" t="s">
        <v>528</v>
      </c>
      <c r="B54" s="2085"/>
      <c r="C54" s="2086"/>
      <c r="D54" s="2114" t="s">
        <v>1153</v>
      </c>
      <c r="E54" s="2115"/>
      <c r="F54" s="2115"/>
      <c r="G54" s="2115"/>
      <c r="H54" s="2116"/>
    </row>
    <row r="55" spans="1:8">
      <c r="A55" s="2049"/>
      <c r="B55" s="2050"/>
      <c r="C55" s="2051"/>
      <c r="D55" s="2117"/>
      <c r="E55" s="2118"/>
      <c r="F55" s="2118"/>
      <c r="G55" s="2118"/>
      <c r="H55" s="2119"/>
    </row>
    <row r="56" spans="1:8" ht="5.25" customHeight="1">
      <c r="A56" s="669"/>
      <c r="B56" s="670"/>
      <c r="C56" s="670"/>
      <c r="D56" s="670"/>
      <c r="E56" s="670"/>
      <c r="F56" s="670"/>
      <c r="G56" s="670"/>
      <c r="H56" s="671"/>
    </row>
    <row r="57" spans="1:8" ht="16.5">
      <c r="A57" s="2071" t="s">
        <v>3</v>
      </c>
      <c r="B57" s="2072"/>
      <c r="C57" s="2072"/>
      <c r="D57" s="2072"/>
      <c r="E57" s="2072"/>
      <c r="F57" s="2072"/>
      <c r="G57" s="2072"/>
      <c r="H57" s="2073"/>
    </row>
    <row r="58" spans="1:8" ht="33">
      <c r="A58" s="2074" t="s">
        <v>531</v>
      </c>
      <c r="B58" s="2075"/>
      <c r="C58" s="2076"/>
      <c r="D58" s="672" t="s">
        <v>447</v>
      </c>
      <c r="E58" s="672" t="s">
        <v>6</v>
      </c>
      <c r="F58" s="672" t="s">
        <v>523</v>
      </c>
      <c r="G58" s="672" t="s">
        <v>524</v>
      </c>
      <c r="H58" s="673" t="s">
        <v>525</v>
      </c>
    </row>
    <row r="59" spans="1:8" ht="13.5" thickBot="1">
      <c r="A59" s="2120" t="s">
        <v>1154</v>
      </c>
      <c r="B59" s="2121"/>
      <c r="C59" s="2122"/>
      <c r="D59" s="674"/>
      <c r="E59" s="675"/>
      <c r="F59" s="674"/>
      <c r="G59" s="675"/>
      <c r="H59" s="676"/>
    </row>
    <row r="60" spans="1:8" ht="17.25" thickTop="1">
      <c r="A60" s="2080" t="s">
        <v>534</v>
      </c>
      <c r="B60" s="2081"/>
      <c r="C60" s="2081"/>
      <c r="D60" s="2082"/>
      <c r="E60" s="2082"/>
      <c r="F60" s="2083"/>
      <c r="G60" s="677">
        <f>SUM(G59:G59)</f>
        <v>0</v>
      </c>
      <c r="H60" s="678">
        <f>SUM(H59:H59)</f>
        <v>0</v>
      </c>
    </row>
    <row r="61" spans="1:8" ht="16.5">
      <c r="A61" s="2084" t="s">
        <v>528</v>
      </c>
      <c r="B61" s="2085"/>
      <c r="C61" s="2086"/>
      <c r="D61" s="2087"/>
      <c r="E61" s="2088"/>
      <c r="F61" s="2088"/>
      <c r="G61" s="2088"/>
      <c r="H61" s="2089"/>
    </row>
    <row r="62" spans="1:8" ht="5.25" customHeight="1">
      <c r="A62" s="669"/>
      <c r="B62" s="670"/>
      <c r="C62" s="670"/>
      <c r="D62" s="670"/>
      <c r="E62" s="670"/>
      <c r="F62" s="670"/>
      <c r="G62" s="670"/>
      <c r="H62" s="671"/>
    </row>
    <row r="63" spans="1:8" ht="16.5">
      <c r="A63" s="2071" t="s">
        <v>4</v>
      </c>
      <c r="B63" s="2072"/>
      <c r="C63" s="2072"/>
      <c r="D63" s="2072"/>
      <c r="E63" s="2072"/>
      <c r="F63" s="2072"/>
      <c r="G63" s="2072"/>
      <c r="H63" s="2073"/>
    </row>
    <row r="64" spans="1:8" ht="60.75" customHeight="1">
      <c r="A64" s="2074" t="s">
        <v>536</v>
      </c>
      <c r="B64" s="2075"/>
      <c r="C64" s="2076"/>
      <c r="D64" s="672" t="s">
        <v>447</v>
      </c>
      <c r="E64" s="672" t="s">
        <v>537</v>
      </c>
      <c r="F64" s="672" t="s">
        <v>538</v>
      </c>
      <c r="G64" s="672" t="s">
        <v>524</v>
      </c>
      <c r="H64" s="673" t="s">
        <v>525</v>
      </c>
    </row>
    <row r="65" spans="1:8" ht="13.5" thickBot="1">
      <c r="A65" s="2120" t="s">
        <v>1155</v>
      </c>
      <c r="B65" s="2121"/>
      <c r="C65" s="2122"/>
      <c r="D65" s="674"/>
      <c r="E65" s="680"/>
      <c r="F65" s="675"/>
      <c r="G65" s="675">
        <f>E65*F65</f>
        <v>0</v>
      </c>
      <c r="H65" s="676"/>
    </row>
    <row r="66" spans="1:8" ht="17.25" thickTop="1">
      <c r="A66" s="2080" t="s">
        <v>539</v>
      </c>
      <c r="B66" s="2081"/>
      <c r="C66" s="2081"/>
      <c r="D66" s="2082"/>
      <c r="E66" s="2082"/>
      <c r="F66" s="2083"/>
      <c r="G66" s="677">
        <f>SUM(G65:G65)</f>
        <v>0</v>
      </c>
      <c r="H66" s="678">
        <f>SUM(H65:H65)</f>
        <v>0</v>
      </c>
    </row>
    <row r="67" spans="1:8" ht="16.5">
      <c r="A67" s="2084" t="s">
        <v>528</v>
      </c>
      <c r="B67" s="2085"/>
      <c r="C67" s="2086"/>
      <c r="D67" s="2087"/>
      <c r="E67" s="2088"/>
      <c r="F67" s="2088"/>
      <c r="G67" s="2088"/>
      <c r="H67" s="2089"/>
    </row>
    <row r="68" spans="1:8" ht="5.25" customHeight="1">
      <c r="A68" s="669"/>
      <c r="B68" s="670"/>
      <c r="C68" s="670"/>
      <c r="D68" s="670"/>
      <c r="E68" s="670"/>
      <c r="F68" s="670"/>
      <c r="G68" s="670"/>
      <c r="H68" s="671"/>
    </row>
    <row r="69" spans="1:8" ht="16.5">
      <c r="A69" s="2071" t="s">
        <v>468</v>
      </c>
      <c r="B69" s="2072"/>
      <c r="C69" s="2072"/>
      <c r="D69" s="2072"/>
      <c r="E69" s="2072"/>
      <c r="F69" s="2072"/>
      <c r="G69" s="2072"/>
      <c r="H69" s="2073"/>
    </row>
    <row r="70" spans="1:8" ht="59.25" customHeight="1">
      <c r="A70" s="2074" t="s">
        <v>540</v>
      </c>
      <c r="B70" s="2075"/>
      <c r="C70" s="2076"/>
      <c r="D70" s="672" t="s">
        <v>447</v>
      </c>
      <c r="E70" s="672" t="s">
        <v>541</v>
      </c>
      <c r="F70" s="672" t="s">
        <v>538</v>
      </c>
      <c r="G70" s="672" t="s">
        <v>524</v>
      </c>
      <c r="H70" s="673" t="s">
        <v>525</v>
      </c>
    </row>
    <row r="71" spans="1:8" ht="40.5" customHeight="1" thickBot="1">
      <c r="A71" s="2077" t="s">
        <v>1156</v>
      </c>
      <c r="B71" s="2078"/>
      <c r="C71" s="2079"/>
      <c r="D71" s="674" t="s">
        <v>785</v>
      </c>
      <c r="E71" s="680">
        <v>0.02</v>
      </c>
      <c r="F71" s="675">
        <f>G46+G53+G60</f>
        <v>5.4886109090909097</v>
      </c>
      <c r="G71" s="675">
        <f>E71*F71</f>
        <v>0.10977221818181819</v>
      </c>
      <c r="H71" s="676"/>
    </row>
    <row r="72" spans="1:8" ht="17.25" thickTop="1">
      <c r="A72" s="2080" t="s">
        <v>543</v>
      </c>
      <c r="B72" s="2081"/>
      <c r="C72" s="2081"/>
      <c r="D72" s="2082"/>
      <c r="E72" s="2082"/>
      <c r="F72" s="2083"/>
      <c r="G72" s="677">
        <f>SUM(G71:G71)</f>
        <v>0.10977221818181819</v>
      </c>
      <c r="H72" s="678">
        <f>SUM(H71:H71)</f>
        <v>0</v>
      </c>
    </row>
    <row r="73" spans="1:8" ht="16.5">
      <c r="A73" s="2084" t="s">
        <v>528</v>
      </c>
      <c r="B73" s="2085"/>
      <c r="C73" s="2086"/>
      <c r="D73" s="2087"/>
      <c r="E73" s="2088"/>
      <c r="F73" s="2088"/>
      <c r="G73" s="2088"/>
      <c r="H73" s="2089"/>
    </row>
    <row r="74" spans="1:8" ht="5.25" customHeight="1">
      <c r="A74" s="669"/>
      <c r="B74" s="670"/>
      <c r="C74" s="670"/>
      <c r="D74" s="670"/>
      <c r="E74" s="670"/>
      <c r="F74" s="670"/>
      <c r="G74" s="670"/>
      <c r="H74" s="671"/>
    </row>
    <row r="75" spans="1:8" ht="16.5">
      <c r="A75" s="2071" t="s">
        <v>507</v>
      </c>
      <c r="B75" s="2072"/>
      <c r="C75" s="2072"/>
      <c r="D75" s="2072"/>
      <c r="E75" s="2072"/>
      <c r="F75" s="2072"/>
      <c r="G75" s="2072"/>
      <c r="H75" s="2073"/>
    </row>
    <row r="76" spans="1:8" ht="57" customHeight="1">
      <c r="A76" s="2074" t="s">
        <v>544</v>
      </c>
      <c r="B76" s="2075"/>
      <c r="C76" s="2076"/>
      <c r="D76" s="672" t="s">
        <v>447</v>
      </c>
      <c r="E76" s="672" t="s">
        <v>6</v>
      </c>
      <c r="F76" s="672" t="s">
        <v>523</v>
      </c>
      <c r="G76" s="672" t="s">
        <v>524</v>
      </c>
      <c r="H76" s="673" t="s">
        <v>525</v>
      </c>
    </row>
    <row r="77" spans="1:8" ht="13.5" thickBot="1">
      <c r="A77" s="2120" t="s">
        <v>526</v>
      </c>
      <c r="B77" s="2121"/>
      <c r="C77" s="2122"/>
      <c r="D77" s="674"/>
      <c r="E77" s="675"/>
      <c r="F77" s="674"/>
      <c r="G77" s="675"/>
      <c r="H77" s="676"/>
    </row>
    <row r="78" spans="1:8" ht="17.25" thickTop="1">
      <c r="A78" s="2080" t="s">
        <v>546</v>
      </c>
      <c r="B78" s="2081"/>
      <c r="C78" s="2081"/>
      <c r="D78" s="2082"/>
      <c r="E78" s="2082"/>
      <c r="F78" s="2083"/>
      <c r="G78" s="677">
        <f>SUM(G77:G77)</f>
        <v>0</v>
      </c>
      <c r="H78" s="678">
        <f>SUM(H77:H77)</f>
        <v>0</v>
      </c>
    </row>
    <row r="79" spans="1:8" ht="16.5">
      <c r="A79" s="2084" t="s">
        <v>528</v>
      </c>
      <c r="B79" s="2085"/>
      <c r="C79" s="2086"/>
      <c r="D79" s="2087"/>
      <c r="E79" s="2088"/>
      <c r="F79" s="2088"/>
      <c r="G79" s="2088"/>
      <c r="H79" s="2089"/>
    </row>
    <row r="80" spans="1:8" ht="5.25" customHeight="1">
      <c r="A80" s="669"/>
      <c r="B80" s="670"/>
      <c r="C80" s="670"/>
      <c r="D80" s="670"/>
      <c r="E80" s="670"/>
      <c r="F80" s="670"/>
      <c r="G80" s="670"/>
      <c r="H80" s="671"/>
    </row>
    <row r="81" spans="1:8" ht="16.5">
      <c r="A81" s="2071" t="s">
        <v>421</v>
      </c>
      <c r="B81" s="2072"/>
      <c r="C81" s="2072"/>
      <c r="D81" s="2072"/>
      <c r="E81" s="2072"/>
      <c r="F81" s="2072"/>
      <c r="G81" s="2072"/>
      <c r="H81" s="2073"/>
    </row>
    <row r="82" spans="1:8" ht="57" customHeight="1">
      <c r="A82" s="2074" t="s">
        <v>548</v>
      </c>
      <c r="B82" s="2075"/>
      <c r="C82" s="2076"/>
      <c r="D82" s="672" t="s">
        <v>447</v>
      </c>
      <c r="E82" s="672" t="s">
        <v>6</v>
      </c>
      <c r="F82" s="672" t="s">
        <v>523</v>
      </c>
      <c r="G82" s="672" t="s">
        <v>524</v>
      </c>
      <c r="H82" s="673" t="s">
        <v>525</v>
      </c>
    </row>
    <row r="83" spans="1:8" ht="13.5" thickBot="1">
      <c r="A83" s="2120" t="s">
        <v>526</v>
      </c>
      <c r="B83" s="2121"/>
      <c r="C83" s="2122"/>
      <c r="D83" s="674"/>
      <c r="E83" s="675"/>
      <c r="F83" s="680"/>
      <c r="G83" s="675">
        <f>E83*F83</f>
        <v>0</v>
      </c>
      <c r="H83" s="676"/>
    </row>
    <row r="84" spans="1:8" ht="17.25" thickTop="1">
      <c r="A84" s="2080" t="s">
        <v>550</v>
      </c>
      <c r="B84" s="2081"/>
      <c r="C84" s="2081"/>
      <c r="D84" s="2082"/>
      <c r="E84" s="2082"/>
      <c r="F84" s="2083"/>
      <c r="G84" s="677">
        <f>SUM(G83:G83)</f>
        <v>0</v>
      </c>
      <c r="H84" s="678">
        <f>SUM(H83:H83)</f>
        <v>0</v>
      </c>
    </row>
    <row r="85" spans="1:8" ht="16.5">
      <c r="A85" s="2084" t="s">
        <v>528</v>
      </c>
      <c r="B85" s="2085"/>
      <c r="C85" s="2086"/>
      <c r="D85" s="2114"/>
      <c r="E85" s="2115"/>
      <c r="F85" s="2115"/>
      <c r="G85" s="2115"/>
      <c r="H85" s="2116"/>
    </row>
    <row r="86" spans="1:8" ht="5.25" customHeight="1">
      <c r="A86" s="669"/>
      <c r="B86" s="670"/>
      <c r="C86" s="670"/>
      <c r="D86" s="670"/>
      <c r="E86" s="670"/>
      <c r="F86" s="670"/>
      <c r="G86" s="670"/>
      <c r="H86" s="671"/>
    </row>
    <row r="87" spans="1:8" ht="16.5">
      <c r="A87" s="2071" t="s">
        <v>5</v>
      </c>
      <c r="B87" s="2072"/>
      <c r="C87" s="2072"/>
      <c r="D87" s="2072"/>
      <c r="E87" s="2072"/>
      <c r="F87" s="2072"/>
      <c r="G87" s="2072"/>
      <c r="H87" s="2073"/>
    </row>
    <row r="88" spans="1:8" ht="69.75" customHeight="1">
      <c r="A88" s="2074" t="s">
        <v>552</v>
      </c>
      <c r="B88" s="2075"/>
      <c r="C88" s="2076"/>
      <c r="D88" s="672" t="s">
        <v>447</v>
      </c>
      <c r="E88" s="672" t="s">
        <v>6</v>
      </c>
      <c r="F88" s="672" t="s">
        <v>523</v>
      </c>
      <c r="G88" s="672" t="s">
        <v>524</v>
      </c>
      <c r="H88" s="673" t="s">
        <v>525</v>
      </c>
    </row>
    <row r="89" spans="1:8" ht="13.5" thickBot="1">
      <c r="A89" s="2120" t="s">
        <v>526</v>
      </c>
      <c r="B89" s="2121"/>
      <c r="C89" s="2122"/>
      <c r="D89" s="674"/>
      <c r="E89" s="675"/>
      <c r="F89" s="674"/>
      <c r="G89" s="675"/>
      <c r="H89" s="676"/>
    </row>
    <row r="90" spans="1:8" ht="17.25" thickTop="1">
      <c r="A90" s="2080" t="s">
        <v>553</v>
      </c>
      <c r="B90" s="2081"/>
      <c r="C90" s="2081"/>
      <c r="D90" s="2082"/>
      <c r="E90" s="2082"/>
      <c r="F90" s="2083"/>
      <c r="G90" s="677">
        <f>SUM(G89:G89)</f>
        <v>0</v>
      </c>
      <c r="H90" s="678">
        <f>SUM(H89:H89)</f>
        <v>0</v>
      </c>
    </row>
    <row r="91" spans="1:8" ht="16.5">
      <c r="A91" s="2084" t="s">
        <v>528</v>
      </c>
      <c r="B91" s="2085"/>
      <c r="C91" s="2086"/>
      <c r="D91" s="2087"/>
      <c r="E91" s="2088"/>
      <c r="F91" s="2088"/>
      <c r="G91" s="2088"/>
      <c r="H91" s="2089"/>
    </row>
    <row r="92" spans="1:8" ht="5.25" customHeight="1">
      <c r="A92" s="669"/>
      <c r="B92" s="670"/>
      <c r="C92" s="670"/>
      <c r="D92" s="670"/>
      <c r="E92" s="670"/>
      <c r="F92" s="670"/>
      <c r="G92" s="670"/>
      <c r="H92" s="671"/>
    </row>
    <row r="93" spans="1:8" ht="16.5">
      <c r="A93" s="2071" t="s">
        <v>554</v>
      </c>
      <c r="B93" s="2072"/>
      <c r="C93" s="2072"/>
      <c r="D93" s="2072"/>
      <c r="E93" s="2072"/>
      <c r="F93" s="2072"/>
      <c r="G93" s="2072"/>
      <c r="H93" s="2073"/>
    </row>
    <row r="94" spans="1:8" ht="60" customHeight="1">
      <c r="A94" s="2074" t="s">
        <v>555</v>
      </c>
      <c r="B94" s="2075"/>
      <c r="C94" s="2076"/>
      <c r="D94" s="672" t="s">
        <v>447</v>
      </c>
      <c r="E94" s="672" t="s">
        <v>6</v>
      </c>
      <c r="F94" s="672" t="s">
        <v>523</v>
      </c>
      <c r="G94" s="672" t="s">
        <v>524</v>
      </c>
      <c r="H94" s="673" t="s">
        <v>525</v>
      </c>
    </row>
    <row r="95" spans="1:8" ht="13.5" thickBot="1">
      <c r="A95" s="2120" t="s">
        <v>526</v>
      </c>
      <c r="B95" s="2121"/>
      <c r="C95" s="2122"/>
      <c r="D95" s="674"/>
      <c r="E95" s="675"/>
      <c r="F95" s="674"/>
      <c r="G95" s="675"/>
      <c r="H95" s="676"/>
    </row>
    <row r="96" spans="1:8" ht="17.25" thickTop="1">
      <c r="A96" s="2080" t="s">
        <v>556</v>
      </c>
      <c r="B96" s="2081"/>
      <c r="C96" s="2081"/>
      <c r="D96" s="2082"/>
      <c r="E96" s="2082"/>
      <c r="F96" s="2083"/>
      <c r="G96" s="677">
        <f>SUM(G95:G95)</f>
        <v>0</v>
      </c>
      <c r="H96" s="678">
        <f>SUM(H95:H95)</f>
        <v>0</v>
      </c>
    </row>
    <row r="97" spans="1:8" ht="16.5">
      <c r="A97" s="2084" t="s">
        <v>528</v>
      </c>
      <c r="B97" s="2085"/>
      <c r="C97" s="2086"/>
      <c r="D97" s="2087"/>
      <c r="E97" s="2088"/>
      <c r="F97" s="2088"/>
      <c r="G97" s="2088"/>
      <c r="H97" s="2089"/>
    </row>
    <row r="98" spans="1:8" ht="5.25" customHeight="1">
      <c r="A98" s="669"/>
      <c r="B98" s="670"/>
      <c r="C98" s="670"/>
      <c r="D98" s="670"/>
      <c r="E98" s="670"/>
      <c r="F98" s="670"/>
      <c r="G98" s="670"/>
      <c r="H98" s="671"/>
    </row>
    <row r="99" spans="1:8" ht="16.5">
      <c r="A99" s="2071" t="s">
        <v>557</v>
      </c>
      <c r="B99" s="2072"/>
      <c r="C99" s="2072"/>
      <c r="D99" s="2072"/>
      <c r="E99" s="2072"/>
      <c r="F99" s="2072"/>
      <c r="G99" s="2072"/>
      <c r="H99" s="2073"/>
    </row>
    <row r="100" spans="1:8" ht="16.5">
      <c r="A100" s="2090" t="s">
        <v>558</v>
      </c>
      <c r="B100" s="2091"/>
      <c r="C100" s="2136"/>
      <c r="D100" s="681">
        <f>G46+G53+G60+G66+G72+G78+G84+G90+G96</f>
        <v>5.5983831272727276</v>
      </c>
      <c r="E100" s="2137" t="s">
        <v>559</v>
      </c>
      <c r="F100" s="2137"/>
      <c r="G100" s="2137"/>
      <c r="H100" s="682">
        <f>H46+H53+H60+H66+H72+H78+H84+H90+H96</f>
        <v>0</v>
      </c>
    </row>
    <row r="101" spans="1:8" ht="16.5">
      <c r="A101" s="2090" t="s">
        <v>560</v>
      </c>
      <c r="B101" s="2091"/>
      <c r="C101" s="2136"/>
      <c r="D101" s="683"/>
      <c r="E101" s="2138" t="s">
        <v>561</v>
      </c>
      <c r="F101" s="2139"/>
      <c r="G101" s="2139"/>
      <c r="H101" s="2140">
        <f>H100*D101</f>
        <v>0</v>
      </c>
    </row>
    <row r="102" spans="1:8" ht="16.5">
      <c r="A102" s="2090" t="s">
        <v>562</v>
      </c>
      <c r="B102" s="2091"/>
      <c r="C102" s="2136"/>
      <c r="D102" s="681">
        <f>D100*D101</f>
        <v>0</v>
      </c>
      <c r="E102" s="2139"/>
      <c r="F102" s="2139"/>
      <c r="G102" s="2139"/>
      <c r="H102" s="2141"/>
    </row>
    <row r="103" spans="1:8" ht="5.25" customHeight="1">
      <c r="A103" s="669"/>
      <c r="B103" s="670"/>
      <c r="C103" s="670"/>
      <c r="D103" s="670"/>
      <c r="E103" s="670"/>
      <c r="F103" s="670"/>
      <c r="G103" s="670"/>
      <c r="H103" s="671"/>
    </row>
    <row r="104" spans="1:8" ht="16.5">
      <c r="A104" s="2071" t="s">
        <v>563</v>
      </c>
      <c r="B104" s="2072"/>
      <c r="C104" s="2072"/>
      <c r="D104" s="2072"/>
      <c r="E104" s="2072"/>
      <c r="F104" s="2072"/>
      <c r="G104" s="2072"/>
      <c r="H104" s="2073"/>
    </row>
    <row r="105" spans="1:8" ht="30" customHeight="1" thickBot="1">
      <c r="A105" s="2132"/>
      <c r="B105" s="2133"/>
      <c r="C105" s="2133"/>
      <c r="D105" s="2134"/>
      <c r="E105" s="2134"/>
      <c r="F105" s="2134"/>
      <c r="G105" s="2134"/>
      <c r="H105" s="2135"/>
    </row>
  </sheetData>
  <mergeCells count="113">
    <mergeCell ref="A104:H104"/>
    <mergeCell ref="A105:H105"/>
    <mergeCell ref="A100:C100"/>
    <mergeCell ref="E100:G100"/>
    <mergeCell ref="A101:C101"/>
    <mergeCell ref="E101:G102"/>
    <mergeCell ref="H101:H102"/>
    <mergeCell ref="A102:C102"/>
    <mergeCell ref="A94:C94"/>
    <mergeCell ref="A95:C95"/>
    <mergeCell ref="A96:F96"/>
    <mergeCell ref="A97:C97"/>
    <mergeCell ref="D97:H97"/>
    <mergeCell ref="A99:H99"/>
    <mergeCell ref="A88:C88"/>
    <mergeCell ref="A89:C89"/>
    <mergeCell ref="A90:F90"/>
    <mergeCell ref="A91:C91"/>
    <mergeCell ref="D91:H91"/>
    <mergeCell ref="A93:H93"/>
    <mergeCell ref="A82:C82"/>
    <mergeCell ref="A83:C83"/>
    <mergeCell ref="A84:F84"/>
    <mergeCell ref="A85:C85"/>
    <mergeCell ref="D85:H85"/>
    <mergeCell ref="A87:H87"/>
    <mergeCell ref="A76:C76"/>
    <mergeCell ref="A77:C77"/>
    <mergeCell ref="A78:F78"/>
    <mergeCell ref="A79:C79"/>
    <mergeCell ref="D79:H79"/>
    <mergeCell ref="A81:H81"/>
    <mergeCell ref="A70:C70"/>
    <mergeCell ref="A71:C71"/>
    <mergeCell ref="A72:F72"/>
    <mergeCell ref="A73:C73"/>
    <mergeCell ref="D73:H73"/>
    <mergeCell ref="A75:H75"/>
    <mergeCell ref="A64:C64"/>
    <mergeCell ref="A65:C65"/>
    <mergeCell ref="A66:F66"/>
    <mergeCell ref="A67:C67"/>
    <mergeCell ref="D67:H67"/>
    <mergeCell ref="A69:H69"/>
    <mergeCell ref="A58:C58"/>
    <mergeCell ref="A59:C59"/>
    <mergeCell ref="A60:F60"/>
    <mergeCell ref="A61:C61"/>
    <mergeCell ref="D61:H61"/>
    <mergeCell ref="A63:H63"/>
    <mergeCell ref="A51:C51"/>
    <mergeCell ref="A52:C52"/>
    <mergeCell ref="A53:F53"/>
    <mergeCell ref="A54:C55"/>
    <mergeCell ref="D54:H55"/>
    <mergeCell ref="A57:H57"/>
    <mergeCell ref="A44:C44"/>
    <mergeCell ref="A45:C45"/>
    <mergeCell ref="A46:F46"/>
    <mergeCell ref="A47:C48"/>
    <mergeCell ref="D47:H48"/>
    <mergeCell ref="A50:H50"/>
    <mergeCell ref="A38:C38"/>
    <mergeCell ref="E38:G38"/>
    <mergeCell ref="A40:H40"/>
    <mergeCell ref="A41:C41"/>
    <mergeCell ref="A42:C42"/>
    <mergeCell ref="A43:C43"/>
    <mergeCell ref="A30:H30"/>
    <mergeCell ref="A31:H31"/>
    <mergeCell ref="A32:H32"/>
    <mergeCell ref="A34:G34"/>
    <mergeCell ref="A35:G35"/>
    <mergeCell ref="A36:G36"/>
    <mergeCell ref="H36:H37"/>
    <mergeCell ref="A37:G37"/>
    <mergeCell ref="A26:H26"/>
    <mergeCell ref="A27:C27"/>
    <mergeCell ref="E27:H27"/>
    <mergeCell ref="A28:C28"/>
    <mergeCell ref="D28:H28"/>
    <mergeCell ref="A29:H29"/>
    <mergeCell ref="A19:C19"/>
    <mergeCell ref="A20:C20"/>
    <mergeCell ref="A21:C21"/>
    <mergeCell ref="A22:C22"/>
    <mergeCell ref="A23:C23"/>
    <mergeCell ref="A24:C24"/>
    <mergeCell ref="A13:H13"/>
    <mergeCell ref="A14:C14"/>
    <mergeCell ref="A15:C15"/>
    <mergeCell ref="A16:C16"/>
    <mergeCell ref="A17:C17"/>
    <mergeCell ref="A18:C18"/>
    <mergeCell ref="C10:D10"/>
    <mergeCell ref="E10:F10"/>
    <mergeCell ref="C11:D11"/>
    <mergeCell ref="E11:F11"/>
    <mergeCell ref="C12:D12"/>
    <mergeCell ref="E12:F12"/>
    <mergeCell ref="C7:D7"/>
    <mergeCell ref="E7:F7"/>
    <mergeCell ref="C8:D8"/>
    <mergeCell ref="E8:F8"/>
    <mergeCell ref="C9:D9"/>
    <mergeCell ref="E9:F9"/>
    <mergeCell ref="A1:H1"/>
    <mergeCell ref="A2:H2"/>
    <mergeCell ref="A3:H3"/>
    <mergeCell ref="A4:H4"/>
    <mergeCell ref="A5:H5"/>
    <mergeCell ref="C6:D6"/>
    <mergeCell ref="E6:F6"/>
  </mergeCells>
  <pageMargins left="0.75" right="0.75" top="1" bottom="1" header="0.5" footer="0.5"/>
  <pageSetup scale="78" orientation="portrait" r:id="rId1"/>
  <headerFooter alignWithMargins="0"/>
  <rowBreaks count="2" manualBreakCount="2">
    <brk id="25" max="5" man="1"/>
    <brk id="67" max="5" man="1"/>
  </rowBreaks>
  <colBreaks count="1" manualBreakCount="1">
    <brk id="8" max="1048575" man="1"/>
  </colBreaks>
  <legacyDrawing r:id="rId2"/>
</worksheet>
</file>

<file path=xl/worksheets/sheet217.xml><?xml version="1.0" encoding="utf-8"?>
<worksheet xmlns="http://schemas.openxmlformats.org/spreadsheetml/2006/main" xmlns:r="http://schemas.openxmlformats.org/officeDocument/2006/relationships">
  <dimension ref="A1:M105"/>
  <sheetViews>
    <sheetView topLeftCell="A31" zoomScaleNormal="100" workbookViewId="0">
      <selection activeCell="D49" sqref="D49"/>
    </sheetView>
  </sheetViews>
  <sheetFormatPr defaultRowHeight="12.75"/>
  <cols>
    <col min="1" max="1" width="11.42578125" style="637" customWidth="1"/>
    <col min="2" max="2" width="17.5703125" style="637" customWidth="1"/>
    <col min="3" max="3" width="12.28515625" style="637" customWidth="1"/>
    <col min="4" max="4" width="11.140625" style="637" customWidth="1"/>
    <col min="5" max="12" width="15.7109375" style="637" customWidth="1"/>
    <col min="13" max="16384" width="9.140625" style="637"/>
  </cols>
  <sheetData>
    <row r="1" spans="1:13" ht="15.75" customHeight="1">
      <c r="A1" s="2027" t="s">
        <v>493</v>
      </c>
      <c r="B1" s="2028"/>
      <c r="C1" s="2028"/>
      <c r="D1" s="2029"/>
      <c r="E1" s="2029"/>
      <c r="F1" s="2029"/>
      <c r="G1" s="2029"/>
      <c r="H1" s="2030"/>
      <c r="I1" s="636"/>
      <c r="J1" s="636"/>
      <c r="K1" s="636"/>
      <c r="L1" s="636"/>
      <c r="M1" s="636"/>
    </row>
    <row r="2" spans="1:13" ht="15.75">
      <c r="A2" s="2031" t="s">
        <v>494</v>
      </c>
      <c r="B2" s="2032"/>
      <c r="C2" s="2032"/>
      <c r="D2" s="2033"/>
      <c r="E2" s="2033"/>
      <c r="F2" s="2033"/>
      <c r="G2" s="2033"/>
      <c r="H2" s="2034"/>
      <c r="I2" s="636"/>
      <c r="J2" s="636"/>
      <c r="K2" s="636"/>
      <c r="L2" s="636"/>
      <c r="M2" s="636"/>
    </row>
    <row r="3" spans="1:13" ht="15.75">
      <c r="A3" s="2031" t="s">
        <v>1138</v>
      </c>
      <c r="B3" s="2032"/>
      <c r="C3" s="2032"/>
      <c r="D3" s="2033"/>
      <c r="E3" s="2033"/>
      <c r="F3" s="2033"/>
      <c r="G3" s="2033"/>
      <c r="H3" s="2034"/>
      <c r="I3" s="636"/>
      <c r="J3" s="636"/>
      <c r="K3" s="636"/>
      <c r="L3" s="636"/>
      <c r="M3" s="636"/>
    </row>
    <row r="4" spans="1:13" ht="16.5" thickBot="1">
      <c r="A4" s="2031" t="s">
        <v>1171</v>
      </c>
      <c r="B4" s="2032"/>
      <c r="C4" s="2032"/>
      <c r="D4" s="2033"/>
      <c r="E4" s="2033"/>
      <c r="F4" s="2033"/>
      <c r="G4" s="2033"/>
      <c r="H4" s="2034"/>
      <c r="I4" s="636"/>
      <c r="J4" s="636"/>
      <c r="K4" s="636"/>
      <c r="L4" s="636"/>
      <c r="M4" s="636"/>
    </row>
    <row r="5" spans="1:13" ht="17.25" thickBot="1">
      <c r="A5" s="2035" t="s">
        <v>17</v>
      </c>
      <c r="B5" s="2036"/>
      <c r="C5" s="2036"/>
      <c r="D5" s="2037"/>
      <c r="E5" s="2037"/>
      <c r="F5" s="2037"/>
      <c r="G5" s="2037"/>
      <c r="H5" s="2037"/>
      <c r="I5" s="636"/>
      <c r="J5" s="636"/>
      <c r="K5" s="636"/>
      <c r="L5" s="636"/>
      <c r="M5" s="636"/>
    </row>
    <row r="6" spans="1:13" ht="33">
      <c r="A6" s="638" t="s">
        <v>37</v>
      </c>
      <c r="B6" s="639" t="s">
        <v>22</v>
      </c>
      <c r="C6" s="2038" t="s">
        <v>497</v>
      </c>
      <c r="D6" s="2038"/>
      <c r="E6" s="2038" t="s">
        <v>30</v>
      </c>
      <c r="F6" s="2038"/>
      <c r="G6" s="639" t="s">
        <v>498</v>
      </c>
      <c r="H6" s="640" t="s">
        <v>76</v>
      </c>
      <c r="I6" s="641"/>
    </row>
    <row r="7" spans="1:13" ht="16.5">
      <c r="A7" s="642">
        <f>D27</f>
        <v>620</v>
      </c>
      <c r="B7" s="643" t="s">
        <v>15</v>
      </c>
      <c r="C7" s="2041" t="str">
        <f>E27</f>
        <v>Underground Outlet</v>
      </c>
      <c r="D7" s="2041"/>
      <c r="E7" s="2042" t="str">
        <f>D28</f>
        <v xml:space="preserve">Pipe Diameter Greater than 10" </v>
      </c>
      <c r="F7" s="2042"/>
      <c r="G7" s="644" t="str">
        <f>H35</f>
        <v>Foot</v>
      </c>
      <c r="H7" s="645">
        <f>F24</f>
        <v>5.2902709090909106</v>
      </c>
    </row>
    <row r="8" spans="1:13" ht="16.5">
      <c r="A8" s="642">
        <f>D27</f>
        <v>620</v>
      </c>
      <c r="B8" s="643" t="s">
        <v>15</v>
      </c>
      <c r="C8" s="2042" t="str">
        <f>E27</f>
        <v>Underground Outlet</v>
      </c>
      <c r="D8" s="2042"/>
      <c r="E8" s="2042" t="s">
        <v>1172</v>
      </c>
      <c r="F8" s="2042"/>
      <c r="G8" s="644" t="str">
        <f>H35</f>
        <v>Foot</v>
      </c>
      <c r="H8" s="645">
        <f>H24</f>
        <v>6.3483250909090918</v>
      </c>
    </row>
    <row r="9" spans="1:13" ht="16.5">
      <c r="A9" s="1351">
        <f>D27</f>
        <v>620</v>
      </c>
      <c r="B9" s="644" t="s">
        <v>1141</v>
      </c>
      <c r="C9" s="2042" t="str">
        <f>E27</f>
        <v>Underground Outlet</v>
      </c>
      <c r="D9" s="2041"/>
      <c r="E9" s="2042" t="str">
        <f>E7</f>
        <v xml:space="preserve">Pipe Diameter Greater than 10" </v>
      </c>
      <c r="F9" s="2041"/>
      <c r="G9" s="644" t="str">
        <f>H35</f>
        <v>Foot</v>
      </c>
      <c r="H9" s="645">
        <f>F24</f>
        <v>5.2902709090909106</v>
      </c>
    </row>
    <row r="10" spans="1:13" ht="16.5">
      <c r="A10" s="1351">
        <f>D27</f>
        <v>620</v>
      </c>
      <c r="B10" s="644" t="s">
        <v>1141</v>
      </c>
      <c r="C10" s="2042" t="str">
        <f>E27</f>
        <v>Underground Outlet</v>
      </c>
      <c r="D10" s="2041"/>
      <c r="E10" s="2041" t="s">
        <v>1172</v>
      </c>
      <c r="F10" s="2041"/>
      <c r="G10" s="644" t="str">
        <f>H35</f>
        <v>Foot</v>
      </c>
      <c r="H10" s="645">
        <f>H24</f>
        <v>6.3483250909090918</v>
      </c>
    </row>
    <row r="11" spans="1:13" ht="16.5">
      <c r="A11" s="1351">
        <f>D27</f>
        <v>620</v>
      </c>
      <c r="B11" s="644" t="s">
        <v>1142</v>
      </c>
      <c r="C11" s="2042" t="str">
        <f>E27</f>
        <v>Underground Outlet</v>
      </c>
      <c r="D11" s="2042"/>
      <c r="E11" s="2042" t="str">
        <f>D28</f>
        <v xml:space="preserve">Pipe Diameter Greater than 10" </v>
      </c>
      <c r="F11" s="2042"/>
      <c r="G11" s="644" t="str">
        <f>H35</f>
        <v>Foot</v>
      </c>
      <c r="H11" s="645">
        <f>F24</f>
        <v>5.2902709090909106</v>
      </c>
    </row>
    <row r="12" spans="1:13" ht="17.25" thickBot="1">
      <c r="A12" s="1352">
        <f>D27</f>
        <v>620</v>
      </c>
      <c r="B12" s="647" t="s">
        <v>1142</v>
      </c>
      <c r="C12" s="2043" t="str">
        <f>E27</f>
        <v>Underground Outlet</v>
      </c>
      <c r="D12" s="2043"/>
      <c r="E12" s="2043" t="str">
        <f>E8</f>
        <v>Pipe Diameter Greater than 10" - HU</v>
      </c>
      <c r="F12" s="2043"/>
      <c r="G12" s="647" t="str">
        <f>H35</f>
        <v>Foot</v>
      </c>
      <c r="H12" s="648">
        <f>H24</f>
        <v>6.3483250909090918</v>
      </c>
    </row>
    <row r="13" spans="1:13" ht="15.75" customHeight="1" thickBot="1">
      <c r="A13" s="2044" t="s">
        <v>18</v>
      </c>
      <c r="B13" s="2045"/>
      <c r="C13" s="2045"/>
      <c r="D13" s="2046"/>
      <c r="E13" s="2046"/>
      <c r="F13" s="2046"/>
      <c r="G13" s="2046"/>
      <c r="H13" s="2046"/>
    </row>
    <row r="14" spans="1:13" ht="49.5">
      <c r="A14" s="2047" t="s">
        <v>16</v>
      </c>
      <c r="B14" s="2048"/>
      <c r="C14" s="2048"/>
      <c r="D14" s="649" t="s">
        <v>6</v>
      </c>
      <c r="E14" s="649" t="s">
        <v>501</v>
      </c>
      <c r="F14" s="649" t="s">
        <v>502</v>
      </c>
      <c r="G14" s="649" t="s">
        <v>503</v>
      </c>
      <c r="H14" s="650" t="s">
        <v>504</v>
      </c>
    </row>
    <row r="15" spans="1:13" ht="16.5">
      <c r="A15" s="2039" t="s">
        <v>0</v>
      </c>
      <c r="B15" s="2040"/>
      <c r="C15" s="2040"/>
      <c r="D15" s="651">
        <f>G46</f>
        <v>5.6036945454545464</v>
      </c>
      <c r="E15" s="652">
        <v>0.75</v>
      </c>
      <c r="F15" s="651">
        <f>D15*E15</f>
        <v>4.2027709090909102</v>
      </c>
      <c r="G15" s="652">
        <v>0.9</v>
      </c>
      <c r="H15" s="653">
        <f>D15*G15</f>
        <v>5.0433250909090921</v>
      </c>
    </row>
    <row r="16" spans="1:13" ht="16.5">
      <c r="A16" s="2039" t="s">
        <v>505</v>
      </c>
      <c r="B16" s="2040"/>
      <c r="C16" s="2040"/>
      <c r="D16" s="651">
        <f>G53</f>
        <v>1.45</v>
      </c>
      <c r="E16" s="652">
        <v>0.75</v>
      </c>
      <c r="F16" s="651">
        <f t="shared" ref="F16:F23" si="0">D16*E16</f>
        <v>1.0874999999999999</v>
      </c>
      <c r="G16" s="652">
        <v>0.9</v>
      </c>
      <c r="H16" s="653">
        <f t="shared" ref="H16:H23" si="1">D16*G16</f>
        <v>1.3049999999999999</v>
      </c>
    </row>
    <row r="17" spans="1:12" ht="16.5">
      <c r="A17" s="2039" t="s">
        <v>3</v>
      </c>
      <c r="B17" s="2040"/>
      <c r="C17" s="2040"/>
      <c r="D17" s="651">
        <f>G60</f>
        <v>0</v>
      </c>
      <c r="E17" s="652">
        <v>0.75</v>
      </c>
      <c r="F17" s="651">
        <f t="shared" si="0"/>
        <v>0</v>
      </c>
      <c r="G17" s="652">
        <v>0.9</v>
      </c>
      <c r="H17" s="653">
        <f t="shared" si="1"/>
        <v>0</v>
      </c>
    </row>
    <row r="18" spans="1:12" ht="16.5">
      <c r="A18" s="2039" t="s">
        <v>4</v>
      </c>
      <c r="B18" s="2040"/>
      <c r="C18" s="2040"/>
      <c r="D18" s="651">
        <f>G66</f>
        <v>0</v>
      </c>
      <c r="E18" s="652">
        <v>0.75</v>
      </c>
      <c r="F18" s="651">
        <f t="shared" si="0"/>
        <v>0</v>
      </c>
      <c r="G18" s="652">
        <v>0.9</v>
      </c>
      <c r="H18" s="653">
        <f t="shared" si="1"/>
        <v>0</v>
      </c>
    </row>
    <row r="19" spans="1:12" ht="16.5">
      <c r="A19" s="2039" t="s">
        <v>506</v>
      </c>
      <c r="B19" s="2040"/>
      <c r="C19" s="2040"/>
      <c r="D19" s="651">
        <f>G72</f>
        <v>0.14107389090909092</v>
      </c>
      <c r="E19" s="652">
        <v>0</v>
      </c>
      <c r="F19" s="651">
        <f t="shared" si="0"/>
        <v>0</v>
      </c>
      <c r="G19" s="652">
        <v>0</v>
      </c>
      <c r="H19" s="653">
        <f t="shared" si="1"/>
        <v>0</v>
      </c>
    </row>
    <row r="20" spans="1:12" ht="16.5">
      <c r="A20" s="2039" t="s">
        <v>507</v>
      </c>
      <c r="B20" s="2040"/>
      <c r="C20" s="2040"/>
      <c r="D20" s="651">
        <f>G78</f>
        <v>0</v>
      </c>
      <c r="E20" s="652">
        <v>0.75</v>
      </c>
      <c r="F20" s="651">
        <f t="shared" si="0"/>
        <v>0</v>
      </c>
      <c r="G20" s="652">
        <v>0.9</v>
      </c>
      <c r="H20" s="653">
        <f t="shared" si="1"/>
        <v>0</v>
      </c>
    </row>
    <row r="21" spans="1:12" ht="16.5">
      <c r="A21" s="2039" t="s">
        <v>27</v>
      </c>
      <c r="B21" s="2040"/>
      <c r="C21" s="2040"/>
      <c r="D21" s="651">
        <f>G84</f>
        <v>0</v>
      </c>
      <c r="E21" s="652">
        <v>0.75</v>
      </c>
      <c r="F21" s="651">
        <f t="shared" si="0"/>
        <v>0</v>
      </c>
      <c r="G21" s="652">
        <v>0.9</v>
      </c>
      <c r="H21" s="653">
        <f t="shared" si="1"/>
        <v>0</v>
      </c>
      <c r="I21" s="641"/>
    </row>
    <row r="22" spans="1:12" ht="16.5">
      <c r="A22" s="2039" t="s">
        <v>5</v>
      </c>
      <c r="B22" s="2040"/>
      <c r="C22" s="2040"/>
      <c r="D22" s="651">
        <f>G90</f>
        <v>0</v>
      </c>
      <c r="E22" s="652">
        <v>0</v>
      </c>
      <c r="F22" s="651">
        <f t="shared" si="0"/>
        <v>0</v>
      </c>
      <c r="G22" s="652">
        <v>0</v>
      </c>
      <c r="H22" s="653">
        <f t="shared" si="1"/>
        <v>0</v>
      </c>
    </row>
    <row r="23" spans="1:12" ht="16.5">
      <c r="A23" s="2039" t="s">
        <v>508</v>
      </c>
      <c r="B23" s="2040"/>
      <c r="C23" s="2040"/>
      <c r="D23" s="651">
        <f>G96</f>
        <v>0</v>
      </c>
      <c r="E23" s="652">
        <v>0</v>
      </c>
      <c r="F23" s="651">
        <f t="shared" si="0"/>
        <v>0</v>
      </c>
      <c r="G23" s="652">
        <v>0</v>
      </c>
      <c r="H23" s="653">
        <f t="shared" si="1"/>
        <v>0</v>
      </c>
    </row>
    <row r="24" spans="1:12" ht="17.25" thickBot="1">
      <c r="A24" s="2063" t="s">
        <v>509</v>
      </c>
      <c r="B24" s="2064"/>
      <c r="C24" s="2064"/>
      <c r="D24" s="654">
        <f>SUM(D15:D23)</f>
        <v>7.1947684363636375</v>
      </c>
      <c r="E24" s="655"/>
      <c r="F24" s="654">
        <f>SUM(F15:F23)</f>
        <v>5.2902709090909106</v>
      </c>
      <c r="G24" s="656"/>
      <c r="H24" s="657">
        <f>SUM(H15:H23)</f>
        <v>6.3483250909090918</v>
      </c>
    </row>
    <row r="25" spans="1:12" ht="15">
      <c r="A25" s="658"/>
      <c r="B25" s="658"/>
      <c r="C25" s="658"/>
      <c r="D25" s="659"/>
      <c r="E25" s="660"/>
      <c r="F25" s="659"/>
      <c r="G25" s="661"/>
      <c r="H25" s="659"/>
      <c r="I25" s="661"/>
      <c r="J25" s="659"/>
      <c r="K25" s="661"/>
      <c r="L25" s="659"/>
    </row>
    <row r="26" spans="1:12" ht="17.25" thickBot="1">
      <c r="A26" s="2044" t="s">
        <v>510</v>
      </c>
      <c r="B26" s="2045"/>
      <c r="C26" s="2045"/>
      <c r="D26" s="2046"/>
      <c r="E26" s="2046"/>
      <c r="F26" s="2046"/>
      <c r="G26" s="2046"/>
      <c r="H26" s="2046"/>
    </row>
    <row r="27" spans="1:12" ht="16.5">
      <c r="A27" s="2180" t="s">
        <v>511</v>
      </c>
      <c r="B27" s="2181"/>
      <c r="C27" s="2182"/>
      <c r="D27" s="662">
        <v>620</v>
      </c>
      <c r="E27" s="2068" t="s">
        <v>1143</v>
      </c>
      <c r="F27" s="2069"/>
      <c r="G27" s="2069"/>
      <c r="H27" s="2070"/>
    </row>
    <row r="28" spans="1:12" ht="16.5">
      <c r="A28" s="2094" t="s">
        <v>513</v>
      </c>
      <c r="B28" s="2095"/>
      <c r="C28" s="2183"/>
      <c r="D28" s="2052" t="s">
        <v>1171</v>
      </c>
      <c r="E28" s="2053"/>
      <c r="F28" s="2053"/>
      <c r="G28" s="2053"/>
      <c r="H28" s="2054"/>
    </row>
    <row r="29" spans="1:12" ht="16.5">
      <c r="A29" s="2055" t="s">
        <v>385</v>
      </c>
      <c r="B29" s="2056"/>
      <c r="C29" s="2056"/>
      <c r="D29" s="2056"/>
      <c r="E29" s="2056"/>
      <c r="F29" s="2056"/>
      <c r="G29" s="2056"/>
      <c r="H29" s="2057"/>
    </row>
    <row r="30" spans="1:12" ht="89.25" customHeight="1">
      <c r="A30" s="2058" t="s">
        <v>1173</v>
      </c>
      <c r="B30" s="2059"/>
      <c r="C30" s="2059"/>
      <c r="D30" s="2059"/>
      <c r="E30" s="2059"/>
      <c r="F30" s="2059"/>
      <c r="G30" s="2059"/>
      <c r="H30" s="2060"/>
    </row>
    <row r="31" spans="1:12" ht="12.75" customHeight="1">
      <c r="A31" s="2055" t="s">
        <v>391</v>
      </c>
      <c r="B31" s="2056"/>
      <c r="C31" s="2056"/>
      <c r="D31" s="2056"/>
      <c r="E31" s="2056"/>
      <c r="F31" s="2056"/>
      <c r="G31" s="2056"/>
      <c r="H31" s="2057"/>
    </row>
    <row r="32" spans="1:12" ht="18.75" customHeight="1">
      <c r="A32" s="2058" t="s">
        <v>1145</v>
      </c>
      <c r="B32" s="2059"/>
      <c r="C32" s="2059"/>
      <c r="D32" s="2061"/>
      <c r="E32" s="2061"/>
      <c r="F32" s="2061"/>
      <c r="G32" s="2061"/>
      <c r="H32" s="2062"/>
    </row>
    <row r="33" spans="1:8">
      <c r="A33" s="663"/>
      <c r="B33" s="664"/>
      <c r="C33" s="664"/>
      <c r="D33" s="664"/>
      <c r="E33" s="664"/>
      <c r="F33" s="664"/>
      <c r="G33" s="664"/>
      <c r="H33" s="665"/>
    </row>
    <row r="34" spans="1:8" ht="16.5">
      <c r="A34" s="2090" t="s">
        <v>516</v>
      </c>
      <c r="B34" s="2091"/>
      <c r="C34" s="2091"/>
      <c r="D34" s="2092"/>
      <c r="E34" s="2092"/>
      <c r="F34" s="2092"/>
      <c r="G34" s="2093"/>
      <c r="H34" s="666" t="s">
        <v>91</v>
      </c>
    </row>
    <row r="35" spans="1:8" ht="16.5">
      <c r="A35" s="2094" t="s">
        <v>517</v>
      </c>
      <c r="B35" s="2095"/>
      <c r="C35" s="2095"/>
      <c r="D35" s="2096"/>
      <c r="E35" s="2096"/>
      <c r="F35" s="2096"/>
      <c r="G35" s="2097"/>
      <c r="H35" s="666" t="s">
        <v>1146</v>
      </c>
    </row>
    <row r="36" spans="1:8" ht="16.5">
      <c r="A36" s="2084" t="s">
        <v>518</v>
      </c>
      <c r="B36" s="2085"/>
      <c r="C36" s="2085"/>
      <c r="D36" s="2098"/>
      <c r="E36" s="2098"/>
      <c r="F36" s="2098"/>
      <c r="G36" s="2099"/>
      <c r="H36" s="2100">
        <v>1300</v>
      </c>
    </row>
    <row r="37" spans="1:8">
      <c r="A37" s="2102" t="s">
        <v>519</v>
      </c>
      <c r="B37" s="2103"/>
      <c r="C37" s="2103"/>
      <c r="D37" s="2103"/>
      <c r="E37" s="2103"/>
      <c r="F37" s="2103"/>
      <c r="G37" s="2104"/>
      <c r="H37" s="2101"/>
    </row>
    <row r="38" spans="1:8" ht="13.5">
      <c r="A38" s="2105" t="s">
        <v>520</v>
      </c>
      <c r="B38" s="2106"/>
      <c r="C38" s="2107"/>
      <c r="D38" s="667">
        <v>20</v>
      </c>
      <c r="E38" s="2108" t="s">
        <v>521</v>
      </c>
      <c r="F38" s="2109"/>
      <c r="G38" s="2110"/>
      <c r="H38" s="668">
        <v>0.06</v>
      </c>
    </row>
    <row r="39" spans="1:8" ht="5.25" customHeight="1">
      <c r="A39" s="669"/>
      <c r="B39" s="670"/>
      <c r="C39" s="670"/>
      <c r="D39" s="670"/>
      <c r="E39" s="670"/>
      <c r="F39" s="670"/>
      <c r="G39" s="670"/>
      <c r="H39" s="671"/>
    </row>
    <row r="40" spans="1:8" ht="16.5">
      <c r="A40" s="2071" t="s">
        <v>0</v>
      </c>
      <c r="B40" s="2072"/>
      <c r="C40" s="2072"/>
      <c r="D40" s="2072"/>
      <c r="E40" s="2072"/>
      <c r="F40" s="2072"/>
      <c r="G40" s="2072"/>
      <c r="H40" s="2073"/>
    </row>
    <row r="41" spans="1:8" ht="33">
      <c r="A41" s="2074" t="s">
        <v>522</v>
      </c>
      <c r="B41" s="2075"/>
      <c r="C41" s="2076"/>
      <c r="D41" s="672" t="s">
        <v>447</v>
      </c>
      <c r="E41" s="672" t="s">
        <v>6</v>
      </c>
      <c r="F41" s="672" t="s">
        <v>523</v>
      </c>
      <c r="G41" s="672" t="s">
        <v>524</v>
      </c>
      <c r="H41" s="673" t="s">
        <v>525</v>
      </c>
    </row>
    <row r="42" spans="1:8">
      <c r="A42" s="2184" t="s">
        <v>1174</v>
      </c>
      <c r="B42" s="2185"/>
      <c r="C42" s="2186"/>
      <c r="D42" s="674" t="s">
        <v>778</v>
      </c>
      <c r="E42" s="679">
        <v>238.06</v>
      </c>
      <c r="F42" s="674">
        <f>H36/250</f>
        <v>5.2</v>
      </c>
      <c r="G42" s="675">
        <f>E42*F42/H36</f>
        <v>0.95223999999999998</v>
      </c>
      <c r="H42" s="676"/>
    </row>
    <row r="43" spans="1:8" ht="25.5" customHeight="1">
      <c r="A43" s="2184" t="s">
        <v>1175</v>
      </c>
      <c r="B43" s="2185"/>
      <c r="C43" s="2186"/>
      <c r="D43" s="674" t="s">
        <v>778</v>
      </c>
      <c r="E43" s="679">
        <v>141.22999999999999</v>
      </c>
      <c r="F43" s="1353">
        <f>H36/660</f>
        <v>1.9696969696969697</v>
      </c>
      <c r="G43" s="675">
        <f>E43*F43/H36</f>
        <v>0.2139848484848485</v>
      </c>
      <c r="H43" s="676"/>
    </row>
    <row r="44" spans="1:8" ht="25.5" customHeight="1">
      <c r="A44" s="2184" t="s">
        <v>1176</v>
      </c>
      <c r="B44" s="2185"/>
      <c r="C44" s="2186"/>
      <c r="D44" s="674" t="s">
        <v>778</v>
      </c>
      <c r="E44" s="679">
        <v>24.73</v>
      </c>
      <c r="F44" s="1353">
        <f>H36/660</f>
        <v>1.9696969696969697</v>
      </c>
      <c r="G44" s="675">
        <f>E44*F44/H36</f>
        <v>3.7469696969696972E-2</v>
      </c>
      <c r="H44" s="676"/>
    </row>
    <row r="45" spans="1:8" ht="13.5" thickBot="1">
      <c r="A45" s="2077" t="s">
        <v>1177</v>
      </c>
      <c r="B45" s="2078"/>
      <c r="C45" s="2079"/>
      <c r="D45" s="674" t="s">
        <v>785</v>
      </c>
      <c r="E45" s="679">
        <v>4.4000000000000004</v>
      </c>
      <c r="F45" s="674">
        <v>1300</v>
      </c>
      <c r="G45" s="675">
        <f>E45*F45/H36</f>
        <v>4.4000000000000004</v>
      </c>
      <c r="H45" s="676"/>
    </row>
    <row r="46" spans="1:8" ht="17.25" thickTop="1">
      <c r="A46" s="2080" t="s">
        <v>527</v>
      </c>
      <c r="B46" s="2081"/>
      <c r="C46" s="2081"/>
      <c r="D46" s="2082"/>
      <c r="E46" s="2082"/>
      <c r="F46" s="2083"/>
      <c r="G46" s="677">
        <f>SUM(G42:G45)</f>
        <v>5.6036945454545464</v>
      </c>
      <c r="H46" s="678">
        <f>SUM(H42:H42)</f>
        <v>0</v>
      </c>
    </row>
    <row r="47" spans="1:8" ht="16.5" customHeight="1">
      <c r="A47" s="2084" t="s">
        <v>528</v>
      </c>
      <c r="B47" s="2085"/>
      <c r="C47" s="2086"/>
      <c r="D47" s="2114" t="s">
        <v>1151</v>
      </c>
      <c r="E47" s="2115"/>
      <c r="F47" s="2115"/>
      <c r="G47" s="2115"/>
      <c r="H47" s="2116"/>
    </row>
    <row r="48" spans="1:8">
      <c r="A48" s="2049"/>
      <c r="B48" s="2050"/>
      <c r="C48" s="2051"/>
      <c r="D48" s="2117"/>
      <c r="E48" s="2118"/>
      <c r="F48" s="2118"/>
      <c r="G48" s="2118"/>
      <c r="H48" s="2119"/>
    </row>
    <row r="49" spans="1:8" ht="5.25" customHeight="1">
      <c r="A49" s="669"/>
      <c r="B49" s="670"/>
      <c r="C49" s="670"/>
      <c r="D49" s="670"/>
      <c r="E49" s="670"/>
      <c r="F49" s="670"/>
      <c r="G49" s="670"/>
      <c r="H49" s="671"/>
    </row>
    <row r="50" spans="1:8" ht="16.5">
      <c r="A50" s="2071" t="s">
        <v>2</v>
      </c>
      <c r="B50" s="2072"/>
      <c r="C50" s="2072"/>
      <c r="D50" s="2072"/>
      <c r="E50" s="2072"/>
      <c r="F50" s="2072"/>
      <c r="G50" s="2072"/>
      <c r="H50" s="2073"/>
    </row>
    <row r="51" spans="1:8" ht="33">
      <c r="A51" s="2074" t="s">
        <v>529</v>
      </c>
      <c r="B51" s="2075"/>
      <c r="C51" s="2076"/>
      <c r="D51" s="672" t="s">
        <v>447</v>
      </c>
      <c r="E51" s="672" t="s">
        <v>6</v>
      </c>
      <c r="F51" s="672" t="s">
        <v>523</v>
      </c>
      <c r="G51" s="672" t="s">
        <v>524</v>
      </c>
      <c r="H51" s="673" t="s">
        <v>525</v>
      </c>
    </row>
    <row r="52" spans="1:8" ht="13.5" thickBot="1">
      <c r="A52" s="2120" t="s">
        <v>1178</v>
      </c>
      <c r="B52" s="2121"/>
      <c r="C52" s="2122"/>
      <c r="D52" s="674" t="s">
        <v>785</v>
      </c>
      <c r="E52" s="679">
        <v>1.45</v>
      </c>
      <c r="F52" s="674">
        <v>1300</v>
      </c>
      <c r="G52" s="675">
        <f>E52*F52/H36</f>
        <v>1.45</v>
      </c>
      <c r="H52" s="676"/>
    </row>
    <row r="53" spans="1:8" ht="17.25" thickTop="1">
      <c r="A53" s="2080" t="s">
        <v>530</v>
      </c>
      <c r="B53" s="2081"/>
      <c r="C53" s="2081"/>
      <c r="D53" s="2082"/>
      <c r="E53" s="2082"/>
      <c r="F53" s="2083"/>
      <c r="G53" s="677">
        <f>SUM(G52:G52)</f>
        <v>1.45</v>
      </c>
      <c r="H53" s="678">
        <f>SUM(H52:H52)</f>
        <v>0</v>
      </c>
    </row>
    <row r="54" spans="1:8" ht="16.5" customHeight="1">
      <c r="A54" s="2084" t="s">
        <v>528</v>
      </c>
      <c r="B54" s="2085"/>
      <c r="C54" s="2086"/>
      <c r="D54" s="2114" t="s">
        <v>1179</v>
      </c>
      <c r="E54" s="2115"/>
      <c r="F54" s="2115"/>
      <c r="G54" s="2115"/>
      <c r="H54" s="2116"/>
    </row>
    <row r="55" spans="1:8">
      <c r="A55" s="2049"/>
      <c r="B55" s="2050"/>
      <c r="C55" s="2051"/>
      <c r="D55" s="2117"/>
      <c r="E55" s="2118"/>
      <c r="F55" s="2118"/>
      <c r="G55" s="2118"/>
      <c r="H55" s="2119"/>
    </row>
    <row r="56" spans="1:8" ht="5.25" customHeight="1">
      <c r="A56" s="669"/>
      <c r="B56" s="670"/>
      <c r="C56" s="670"/>
      <c r="D56" s="670"/>
      <c r="E56" s="670"/>
      <c r="F56" s="670"/>
      <c r="G56" s="670"/>
      <c r="H56" s="671"/>
    </row>
    <row r="57" spans="1:8" ht="16.5">
      <c r="A57" s="2071" t="s">
        <v>3</v>
      </c>
      <c r="B57" s="2072"/>
      <c r="C57" s="2072"/>
      <c r="D57" s="2072"/>
      <c r="E57" s="2072"/>
      <c r="F57" s="2072"/>
      <c r="G57" s="2072"/>
      <c r="H57" s="2073"/>
    </row>
    <row r="58" spans="1:8" ht="33">
      <c r="A58" s="2074" t="s">
        <v>531</v>
      </c>
      <c r="B58" s="2075"/>
      <c r="C58" s="2076"/>
      <c r="D58" s="672" t="s">
        <v>447</v>
      </c>
      <c r="E58" s="672" t="s">
        <v>6</v>
      </c>
      <c r="F58" s="672" t="s">
        <v>523</v>
      </c>
      <c r="G58" s="672" t="s">
        <v>524</v>
      </c>
      <c r="H58" s="673" t="s">
        <v>525</v>
      </c>
    </row>
    <row r="59" spans="1:8" ht="13.5" thickBot="1">
      <c r="A59" s="2120" t="s">
        <v>1154</v>
      </c>
      <c r="B59" s="2121"/>
      <c r="C59" s="2122"/>
      <c r="D59" s="674"/>
      <c r="E59" s="675"/>
      <c r="F59" s="674"/>
      <c r="G59" s="675"/>
      <c r="H59" s="676"/>
    </row>
    <row r="60" spans="1:8" ht="17.25" thickTop="1">
      <c r="A60" s="2080" t="s">
        <v>534</v>
      </c>
      <c r="B60" s="2081"/>
      <c r="C60" s="2081"/>
      <c r="D60" s="2082"/>
      <c r="E60" s="2082"/>
      <c r="F60" s="2083"/>
      <c r="G60" s="677">
        <f>SUM(G59:G59)</f>
        <v>0</v>
      </c>
      <c r="H60" s="678">
        <f>SUM(H59:H59)</f>
        <v>0</v>
      </c>
    </row>
    <row r="61" spans="1:8" ht="16.5">
      <c r="A61" s="2084" t="s">
        <v>528</v>
      </c>
      <c r="B61" s="2085"/>
      <c r="C61" s="2086"/>
      <c r="D61" s="2087"/>
      <c r="E61" s="2088"/>
      <c r="F61" s="2088"/>
      <c r="G61" s="2088"/>
      <c r="H61" s="2089"/>
    </row>
    <row r="62" spans="1:8" ht="5.25" customHeight="1">
      <c r="A62" s="669"/>
      <c r="B62" s="670"/>
      <c r="C62" s="670"/>
      <c r="D62" s="670"/>
      <c r="E62" s="670"/>
      <c r="F62" s="670"/>
      <c r="G62" s="670"/>
      <c r="H62" s="671"/>
    </row>
    <row r="63" spans="1:8" ht="16.5">
      <c r="A63" s="2071" t="s">
        <v>4</v>
      </c>
      <c r="B63" s="2072"/>
      <c r="C63" s="2072"/>
      <c r="D63" s="2072"/>
      <c r="E63" s="2072"/>
      <c r="F63" s="2072"/>
      <c r="G63" s="2072"/>
      <c r="H63" s="2073"/>
    </row>
    <row r="64" spans="1:8" ht="57" customHeight="1">
      <c r="A64" s="2074" t="s">
        <v>536</v>
      </c>
      <c r="B64" s="2075"/>
      <c r="C64" s="2076"/>
      <c r="D64" s="672" t="s">
        <v>447</v>
      </c>
      <c r="E64" s="672" t="s">
        <v>537</v>
      </c>
      <c r="F64" s="672" t="s">
        <v>538</v>
      </c>
      <c r="G64" s="672" t="s">
        <v>524</v>
      </c>
      <c r="H64" s="673" t="s">
        <v>525</v>
      </c>
    </row>
    <row r="65" spans="1:8" ht="13.5" thickBot="1">
      <c r="A65" s="1354" t="s">
        <v>1155</v>
      </c>
      <c r="B65" s="1355"/>
      <c r="C65" s="1355"/>
      <c r="D65" s="674"/>
      <c r="E65" s="680"/>
      <c r="F65" s="675"/>
      <c r="G65" s="675">
        <f>E65*F65</f>
        <v>0</v>
      </c>
      <c r="H65" s="676"/>
    </row>
    <row r="66" spans="1:8" ht="17.25" thickTop="1">
      <c r="A66" s="2080" t="s">
        <v>539</v>
      </c>
      <c r="B66" s="2081"/>
      <c r="C66" s="2081"/>
      <c r="D66" s="2082"/>
      <c r="E66" s="2082"/>
      <c r="F66" s="2083"/>
      <c r="G66" s="677">
        <f>SUM(G65:G65)</f>
        <v>0</v>
      </c>
      <c r="H66" s="678">
        <f>SUM(H65:H65)</f>
        <v>0</v>
      </c>
    </row>
    <row r="67" spans="1:8" ht="16.5">
      <c r="A67" s="2084" t="s">
        <v>528</v>
      </c>
      <c r="B67" s="2085"/>
      <c r="C67" s="2086"/>
      <c r="D67" s="2087"/>
      <c r="E67" s="2088"/>
      <c r="F67" s="2088"/>
      <c r="G67" s="2088"/>
      <c r="H67" s="2089"/>
    </row>
    <row r="68" spans="1:8" ht="5.25" customHeight="1">
      <c r="A68" s="669"/>
      <c r="B68" s="670"/>
      <c r="C68" s="670"/>
      <c r="D68" s="670"/>
      <c r="E68" s="670"/>
      <c r="F68" s="670"/>
      <c r="G68" s="670"/>
      <c r="H68" s="671"/>
    </row>
    <row r="69" spans="1:8" ht="16.5">
      <c r="A69" s="2071" t="s">
        <v>468</v>
      </c>
      <c r="B69" s="2072"/>
      <c r="C69" s="2072"/>
      <c r="D69" s="2072"/>
      <c r="E69" s="2072"/>
      <c r="F69" s="2072"/>
      <c r="G69" s="2072"/>
      <c r="H69" s="2073"/>
    </row>
    <row r="70" spans="1:8" ht="58.5" customHeight="1">
      <c r="A70" s="2074" t="s">
        <v>540</v>
      </c>
      <c r="B70" s="2075"/>
      <c r="C70" s="2076"/>
      <c r="D70" s="672" t="s">
        <v>447</v>
      </c>
      <c r="E70" s="672" t="s">
        <v>541</v>
      </c>
      <c r="F70" s="672" t="s">
        <v>538</v>
      </c>
      <c r="G70" s="672" t="s">
        <v>524</v>
      </c>
      <c r="H70" s="673" t="s">
        <v>525</v>
      </c>
    </row>
    <row r="71" spans="1:8" ht="45" customHeight="1" thickBot="1">
      <c r="A71" s="2077" t="s">
        <v>1156</v>
      </c>
      <c r="B71" s="2078"/>
      <c r="C71" s="2079"/>
      <c r="D71" s="674" t="s">
        <v>785</v>
      </c>
      <c r="E71" s="680">
        <v>0.02</v>
      </c>
      <c r="F71" s="675">
        <f>G46+G53+G60</f>
        <v>7.0536945454545465</v>
      </c>
      <c r="G71" s="675">
        <f>E71*F71</f>
        <v>0.14107389090909092</v>
      </c>
      <c r="H71" s="676"/>
    </row>
    <row r="72" spans="1:8" ht="17.25" thickTop="1">
      <c r="A72" s="2080" t="s">
        <v>543</v>
      </c>
      <c r="B72" s="2081"/>
      <c r="C72" s="2081"/>
      <c r="D72" s="2082"/>
      <c r="E72" s="2082"/>
      <c r="F72" s="2083"/>
      <c r="G72" s="677">
        <f>SUM(G71:G71)</f>
        <v>0.14107389090909092</v>
      </c>
      <c r="H72" s="678">
        <f>SUM(H71:H71)</f>
        <v>0</v>
      </c>
    </row>
    <row r="73" spans="1:8" ht="16.5">
      <c r="A73" s="2084" t="s">
        <v>528</v>
      </c>
      <c r="B73" s="2085"/>
      <c r="C73" s="2086"/>
      <c r="D73" s="2087"/>
      <c r="E73" s="2088"/>
      <c r="F73" s="2088"/>
      <c r="G73" s="2088"/>
      <c r="H73" s="2089"/>
    </row>
    <row r="74" spans="1:8" ht="5.25" customHeight="1">
      <c r="A74" s="669"/>
      <c r="B74" s="670"/>
      <c r="C74" s="670"/>
      <c r="D74" s="670"/>
      <c r="E74" s="670"/>
      <c r="F74" s="670"/>
      <c r="G74" s="670"/>
      <c r="H74" s="671"/>
    </row>
    <row r="75" spans="1:8" ht="16.5">
      <c r="A75" s="2071" t="s">
        <v>507</v>
      </c>
      <c r="B75" s="2072"/>
      <c r="C75" s="2072"/>
      <c r="D75" s="2072"/>
      <c r="E75" s="2072"/>
      <c r="F75" s="2072"/>
      <c r="G75" s="2072"/>
      <c r="H75" s="2073"/>
    </row>
    <row r="76" spans="1:8" ht="57" customHeight="1">
      <c r="A76" s="2074" t="s">
        <v>544</v>
      </c>
      <c r="B76" s="2075"/>
      <c r="C76" s="2076"/>
      <c r="D76" s="672" t="s">
        <v>447</v>
      </c>
      <c r="E76" s="672" t="s">
        <v>6</v>
      </c>
      <c r="F76" s="672" t="s">
        <v>523</v>
      </c>
      <c r="G76" s="672" t="s">
        <v>524</v>
      </c>
      <c r="H76" s="673" t="s">
        <v>525</v>
      </c>
    </row>
    <row r="77" spans="1:8" ht="13.5" thickBot="1">
      <c r="A77" s="2120" t="s">
        <v>526</v>
      </c>
      <c r="B77" s="2121"/>
      <c r="C77" s="2122"/>
      <c r="D77" s="674"/>
      <c r="E77" s="675"/>
      <c r="F77" s="674"/>
      <c r="G77" s="675"/>
      <c r="H77" s="676"/>
    </row>
    <row r="78" spans="1:8" ht="17.25" thickTop="1">
      <c r="A78" s="2080" t="s">
        <v>546</v>
      </c>
      <c r="B78" s="2081"/>
      <c r="C78" s="2081"/>
      <c r="D78" s="2082"/>
      <c r="E78" s="2082"/>
      <c r="F78" s="2083"/>
      <c r="G78" s="677">
        <f>SUM(G77:G77)</f>
        <v>0</v>
      </c>
      <c r="H78" s="678">
        <f>SUM(H77:H77)</f>
        <v>0</v>
      </c>
    </row>
    <row r="79" spans="1:8" ht="16.5">
      <c r="A79" s="2084" t="s">
        <v>528</v>
      </c>
      <c r="B79" s="2085"/>
      <c r="C79" s="2086"/>
      <c r="D79" s="2087"/>
      <c r="E79" s="2088"/>
      <c r="F79" s="2088"/>
      <c r="G79" s="2088"/>
      <c r="H79" s="2089"/>
    </row>
    <row r="80" spans="1:8" ht="5.25" customHeight="1">
      <c r="A80" s="669"/>
      <c r="B80" s="670"/>
      <c r="C80" s="670"/>
      <c r="D80" s="670"/>
      <c r="E80" s="670"/>
      <c r="F80" s="670"/>
      <c r="G80" s="670"/>
      <c r="H80" s="671"/>
    </row>
    <row r="81" spans="1:8" ht="16.5">
      <c r="A81" s="2071" t="s">
        <v>421</v>
      </c>
      <c r="B81" s="2072"/>
      <c r="C81" s="2072"/>
      <c r="D81" s="2072"/>
      <c r="E81" s="2072"/>
      <c r="F81" s="2072"/>
      <c r="G81" s="2072"/>
      <c r="H81" s="2073"/>
    </row>
    <row r="82" spans="1:8" ht="56.25" customHeight="1">
      <c r="A82" s="2074" t="s">
        <v>548</v>
      </c>
      <c r="B82" s="2075"/>
      <c r="C82" s="2076"/>
      <c r="D82" s="672" t="s">
        <v>447</v>
      </c>
      <c r="E82" s="672" t="s">
        <v>6</v>
      </c>
      <c r="F82" s="672" t="s">
        <v>523</v>
      </c>
      <c r="G82" s="672" t="s">
        <v>524</v>
      </c>
      <c r="H82" s="673" t="s">
        <v>525</v>
      </c>
    </row>
    <row r="83" spans="1:8" ht="13.5" thickBot="1">
      <c r="A83" s="2120" t="s">
        <v>526</v>
      </c>
      <c r="B83" s="2121"/>
      <c r="C83" s="2122"/>
      <c r="D83" s="674"/>
      <c r="E83" s="675"/>
      <c r="F83" s="680"/>
      <c r="G83" s="675">
        <f>E83*F83</f>
        <v>0</v>
      </c>
      <c r="H83" s="676"/>
    </row>
    <row r="84" spans="1:8" ht="17.25" thickTop="1">
      <c r="A84" s="2080" t="s">
        <v>550</v>
      </c>
      <c r="B84" s="2081"/>
      <c r="C84" s="2081"/>
      <c r="D84" s="2082"/>
      <c r="E84" s="2082"/>
      <c r="F84" s="2083"/>
      <c r="G84" s="677">
        <f>SUM(G83:G83)</f>
        <v>0</v>
      </c>
      <c r="H84" s="678">
        <f>SUM(H83:H83)</f>
        <v>0</v>
      </c>
    </row>
    <row r="85" spans="1:8" ht="16.5">
      <c r="A85" s="2084" t="s">
        <v>528</v>
      </c>
      <c r="B85" s="2085"/>
      <c r="C85" s="2086"/>
      <c r="D85" s="2114"/>
      <c r="E85" s="2115"/>
      <c r="F85" s="2115"/>
      <c r="G85" s="2115"/>
      <c r="H85" s="2116"/>
    </row>
    <row r="86" spans="1:8" ht="5.25" customHeight="1">
      <c r="A86" s="669"/>
      <c r="B86" s="670"/>
      <c r="C86" s="670"/>
      <c r="D86" s="670"/>
      <c r="E86" s="670"/>
      <c r="F86" s="670"/>
      <c r="G86" s="670"/>
      <c r="H86" s="671"/>
    </row>
    <row r="87" spans="1:8" ht="16.5">
      <c r="A87" s="2071" t="s">
        <v>5</v>
      </c>
      <c r="B87" s="2072"/>
      <c r="C87" s="2072"/>
      <c r="D87" s="2072"/>
      <c r="E87" s="2072"/>
      <c r="F87" s="2072"/>
      <c r="G87" s="2072"/>
      <c r="H87" s="2073"/>
    </row>
    <row r="88" spans="1:8" ht="69" customHeight="1">
      <c r="A88" s="2074" t="s">
        <v>552</v>
      </c>
      <c r="B88" s="2075"/>
      <c r="C88" s="2076"/>
      <c r="D88" s="672" t="s">
        <v>447</v>
      </c>
      <c r="E88" s="672" t="s">
        <v>6</v>
      </c>
      <c r="F88" s="672" t="s">
        <v>523</v>
      </c>
      <c r="G88" s="672" t="s">
        <v>524</v>
      </c>
      <c r="H88" s="673" t="s">
        <v>525</v>
      </c>
    </row>
    <row r="89" spans="1:8" ht="13.5" thickBot="1">
      <c r="A89" s="2120" t="s">
        <v>526</v>
      </c>
      <c r="B89" s="2121"/>
      <c r="C89" s="2122"/>
      <c r="D89" s="674"/>
      <c r="E89" s="675"/>
      <c r="F89" s="674"/>
      <c r="G89" s="675"/>
      <c r="H89" s="676"/>
    </row>
    <row r="90" spans="1:8" ht="17.25" thickTop="1">
      <c r="A90" s="2080" t="s">
        <v>553</v>
      </c>
      <c r="B90" s="2081"/>
      <c r="C90" s="2081"/>
      <c r="D90" s="2082"/>
      <c r="E90" s="2082"/>
      <c r="F90" s="2083"/>
      <c r="G90" s="677">
        <f>SUM(G89:G89)</f>
        <v>0</v>
      </c>
      <c r="H90" s="678">
        <f>SUM(H89:H89)</f>
        <v>0</v>
      </c>
    </row>
    <row r="91" spans="1:8" ht="16.5">
      <c r="A91" s="2084" t="s">
        <v>528</v>
      </c>
      <c r="B91" s="2085"/>
      <c r="C91" s="2086"/>
      <c r="D91" s="2087"/>
      <c r="E91" s="2088"/>
      <c r="F91" s="2088"/>
      <c r="G91" s="2088"/>
      <c r="H91" s="2089"/>
    </row>
    <row r="92" spans="1:8" ht="5.25" customHeight="1">
      <c r="A92" s="669"/>
      <c r="B92" s="670"/>
      <c r="C92" s="670"/>
      <c r="D92" s="670"/>
      <c r="E92" s="670"/>
      <c r="F92" s="670"/>
      <c r="G92" s="670"/>
      <c r="H92" s="671"/>
    </row>
    <row r="93" spans="1:8" ht="16.5">
      <c r="A93" s="2071" t="s">
        <v>554</v>
      </c>
      <c r="B93" s="2072"/>
      <c r="C93" s="2072"/>
      <c r="D93" s="2072"/>
      <c r="E93" s="2072"/>
      <c r="F93" s="2072"/>
      <c r="G93" s="2072"/>
      <c r="H93" s="2073"/>
    </row>
    <row r="94" spans="1:8" ht="60.75" customHeight="1">
      <c r="A94" s="2074" t="s">
        <v>555</v>
      </c>
      <c r="B94" s="2075"/>
      <c r="C94" s="2076"/>
      <c r="D94" s="672" t="s">
        <v>447</v>
      </c>
      <c r="E94" s="672" t="s">
        <v>6</v>
      </c>
      <c r="F94" s="672" t="s">
        <v>523</v>
      </c>
      <c r="G94" s="672" t="s">
        <v>524</v>
      </c>
      <c r="H94" s="673" t="s">
        <v>525</v>
      </c>
    </row>
    <row r="95" spans="1:8" ht="13.5" thickBot="1">
      <c r="A95" s="2120" t="s">
        <v>526</v>
      </c>
      <c r="B95" s="2121"/>
      <c r="C95" s="2122"/>
      <c r="D95" s="674"/>
      <c r="E95" s="675"/>
      <c r="F95" s="674"/>
      <c r="G95" s="675"/>
      <c r="H95" s="676"/>
    </row>
    <row r="96" spans="1:8" ht="17.25" thickTop="1">
      <c r="A96" s="2080" t="s">
        <v>553</v>
      </c>
      <c r="B96" s="2081"/>
      <c r="C96" s="2081"/>
      <c r="D96" s="2082"/>
      <c r="E96" s="2082"/>
      <c r="F96" s="2083"/>
      <c r="G96" s="677">
        <f>SUM(G95:G95)</f>
        <v>0</v>
      </c>
      <c r="H96" s="678">
        <f>SUM(H95:H95)</f>
        <v>0</v>
      </c>
    </row>
    <row r="97" spans="1:8" ht="16.5">
      <c r="A97" s="2084" t="s">
        <v>528</v>
      </c>
      <c r="B97" s="2085"/>
      <c r="C97" s="2086"/>
      <c r="D97" s="2087"/>
      <c r="E97" s="2088"/>
      <c r="F97" s="2088"/>
      <c r="G97" s="2088"/>
      <c r="H97" s="2089"/>
    </row>
    <row r="98" spans="1:8" ht="5.25" customHeight="1">
      <c r="A98" s="669"/>
      <c r="B98" s="670"/>
      <c r="C98" s="670"/>
      <c r="D98" s="670"/>
      <c r="E98" s="670"/>
      <c r="F98" s="670"/>
      <c r="G98" s="670"/>
      <c r="H98" s="671"/>
    </row>
    <row r="99" spans="1:8" ht="16.5">
      <c r="A99" s="2071" t="s">
        <v>557</v>
      </c>
      <c r="B99" s="2072"/>
      <c r="C99" s="2072"/>
      <c r="D99" s="2072"/>
      <c r="E99" s="2072"/>
      <c r="F99" s="2072"/>
      <c r="G99" s="2072"/>
      <c r="H99" s="2073"/>
    </row>
    <row r="100" spans="1:8" ht="16.5">
      <c r="A100" s="2090" t="s">
        <v>558</v>
      </c>
      <c r="B100" s="2091"/>
      <c r="C100" s="2136"/>
      <c r="D100" s="681">
        <f>G46+G53+G60+G66+G72+G78+G84+G90+G96</f>
        <v>7.1947684363636375</v>
      </c>
      <c r="E100" s="2137" t="s">
        <v>559</v>
      </c>
      <c r="F100" s="2137"/>
      <c r="G100" s="2137"/>
      <c r="H100" s="682">
        <f>H46+H53+H60+H66+H72+H78+H84+H90+H96</f>
        <v>0</v>
      </c>
    </row>
    <row r="101" spans="1:8" ht="16.5">
      <c r="A101" s="2090" t="s">
        <v>560</v>
      </c>
      <c r="B101" s="2091"/>
      <c r="C101" s="2136"/>
      <c r="D101" s="683"/>
      <c r="E101" s="2138" t="s">
        <v>561</v>
      </c>
      <c r="F101" s="2139"/>
      <c r="G101" s="2139"/>
      <c r="H101" s="2140">
        <f>H100*D101</f>
        <v>0</v>
      </c>
    </row>
    <row r="102" spans="1:8" ht="16.5">
      <c r="A102" s="2090" t="s">
        <v>562</v>
      </c>
      <c r="B102" s="2091"/>
      <c r="C102" s="2136"/>
      <c r="D102" s="681">
        <f>D100*D101</f>
        <v>0</v>
      </c>
      <c r="E102" s="2139"/>
      <c r="F102" s="2139"/>
      <c r="G102" s="2139"/>
      <c r="H102" s="2141"/>
    </row>
    <row r="103" spans="1:8" ht="5.25" customHeight="1">
      <c r="A103" s="669"/>
      <c r="B103" s="670"/>
      <c r="C103" s="670"/>
      <c r="D103" s="670"/>
      <c r="E103" s="670"/>
      <c r="F103" s="670"/>
      <c r="G103" s="670"/>
      <c r="H103" s="671"/>
    </row>
    <row r="104" spans="1:8" ht="16.5">
      <c r="A104" s="2071" t="s">
        <v>563</v>
      </c>
      <c r="B104" s="2072"/>
      <c r="C104" s="2072"/>
      <c r="D104" s="2072"/>
      <c r="E104" s="2072"/>
      <c r="F104" s="2072"/>
      <c r="G104" s="2072"/>
      <c r="H104" s="2073"/>
    </row>
    <row r="105" spans="1:8" ht="30" customHeight="1" thickBot="1">
      <c r="A105" s="2132"/>
      <c r="B105" s="2133"/>
      <c r="C105" s="2133"/>
      <c r="D105" s="2134"/>
      <c r="E105" s="2134"/>
      <c r="F105" s="2134"/>
      <c r="G105" s="2134"/>
      <c r="H105" s="2135"/>
    </row>
  </sheetData>
  <mergeCells count="112">
    <mergeCell ref="A101:C101"/>
    <mergeCell ref="E101:G102"/>
    <mergeCell ref="H101:H102"/>
    <mergeCell ref="A102:C102"/>
    <mergeCell ref="A104:H104"/>
    <mergeCell ref="A105:H105"/>
    <mergeCell ref="A95:C95"/>
    <mergeCell ref="A96:F96"/>
    <mergeCell ref="A97:C97"/>
    <mergeCell ref="D97:H97"/>
    <mergeCell ref="A99:H99"/>
    <mergeCell ref="A100:C100"/>
    <mergeCell ref="E100:G100"/>
    <mergeCell ref="A89:C89"/>
    <mergeCell ref="A90:F90"/>
    <mergeCell ref="A91:C91"/>
    <mergeCell ref="D91:H91"/>
    <mergeCell ref="A93:H93"/>
    <mergeCell ref="A94:C94"/>
    <mergeCell ref="A83:C83"/>
    <mergeCell ref="A84:F84"/>
    <mergeCell ref="A85:C85"/>
    <mergeCell ref="D85:H85"/>
    <mergeCell ref="A87:H87"/>
    <mergeCell ref="A88:C88"/>
    <mergeCell ref="A77:C77"/>
    <mergeCell ref="A78:F78"/>
    <mergeCell ref="A79:C79"/>
    <mergeCell ref="D79:H79"/>
    <mergeCell ref="A81:H81"/>
    <mergeCell ref="A82:C82"/>
    <mergeCell ref="A71:C71"/>
    <mergeCell ref="A72:F72"/>
    <mergeCell ref="A73:C73"/>
    <mergeCell ref="D73:H73"/>
    <mergeCell ref="A75:H75"/>
    <mergeCell ref="A76:C76"/>
    <mergeCell ref="A64:C64"/>
    <mergeCell ref="A66:F66"/>
    <mergeCell ref="A67:C67"/>
    <mergeCell ref="D67:H67"/>
    <mergeCell ref="A69:H69"/>
    <mergeCell ref="A70:C70"/>
    <mergeCell ref="A58:C58"/>
    <mergeCell ref="A59:C59"/>
    <mergeCell ref="A60:F60"/>
    <mergeCell ref="A61:C61"/>
    <mergeCell ref="D61:H61"/>
    <mergeCell ref="A63:H63"/>
    <mergeCell ref="A51:C51"/>
    <mergeCell ref="A52:C52"/>
    <mergeCell ref="A53:F53"/>
    <mergeCell ref="A54:C55"/>
    <mergeCell ref="D54:H55"/>
    <mergeCell ref="A57:H57"/>
    <mergeCell ref="A44:C44"/>
    <mergeCell ref="A45:C45"/>
    <mergeCell ref="A46:F46"/>
    <mergeCell ref="A47:C48"/>
    <mergeCell ref="D47:H48"/>
    <mergeCell ref="A50:H50"/>
    <mergeCell ref="A38:C38"/>
    <mergeCell ref="E38:G38"/>
    <mergeCell ref="A40:H40"/>
    <mergeCell ref="A41:C41"/>
    <mergeCell ref="A42:C42"/>
    <mergeCell ref="A43:C43"/>
    <mergeCell ref="A30:H30"/>
    <mergeCell ref="A31:H31"/>
    <mergeCell ref="A32:H32"/>
    <mergeCell ref="A34:G34"/>
    <mergeCell ref="A35:G35"/>
    <mergeCell ref="A36:G36"/>
    <mergeCell ref="H36:H37"/>
    <mergeCell ref="A37:G37"/>
    <mergeCell ref="A26:H26"/>
    <mergeCell ref="A27:C27"/>
    <mergeCell ref="E27:H27"/>
    <mergeCell ref="A28:C28"/>
    <mergeCell ref="D28:H28"/>
    <mergeCell ref="A29:H29"/>
    <mergeCell ref="A19:C19"/>
    <mergeCell ref="A20:C20"/>
    <mergeCell ref="A21:C21"/>
    <mergeCell ref="A22:C22"/>
    <mergeCell ref="A23:C23"/>
    <mergeCell ref="A24:C24"/>
    <mergeCell ref="A13:H13"/>
    <mergeCell ref="A14:C14"/>
    <mergeCell ref="A15:C15"/>
    <mergeCell ref="A16:C16"/>
    <mergeCell ref="A17:C17"/>
    <mergeCell ref="A18:C18"/>
    <mergeCell ref="C10:D10"/>
    <mergeCell ref="E10:F10"/>
    <mergeCell ref="C11:D11"/>
    <mergeCell ref="E11:F11"/>
    <mergeCell ref="C12:D12"/>
    <mergeCell ref="E12:F12"/>
    <mergeCell ref="C7:D7"/>
    <mergeCell ref="E7:F7"/>
    <mergeCell ref="C8:D8"/>
    <mergeCell ref="E8:F8"/>
    <mergeCell ref="C9:D9"/>
    <mergeCell ref="E9:F9"/>
    <mergeCell ref="A1:H1"/>
    <mergeCell ref="A2:H2"/>
    <mergeCell ref="A3:H3"/>
    <mergeCell ref="A4:H4"/>
    <mergeCell ref="A5:H5"/>
    <mergeCell ref="C6:D6"/>
    <mergeCell ref="E6:F6"/>
  </mergeCells>
  <pageMargins left="0.75" right="0.75" top="1" bottom="1" header="0.5" footer="0.5"/>
  <pageSetup scale="78" orientation="portrait" r:id="rId1"/>
  <headerFooter alignWithMargins="0"/>
  <rowBreaks count="2" manualBreakCount="2">
    <brk id="25" max="5" man="1"/>
    <brk id="67" max="5" man="1"/>
  </rowBreaks>
  <colBreaks count="1" manualBreakCount="1">
    <brk id="8" max="1048575" man="1"/>
  </colBreaks>
  <legacyDrawing r:id="rId2"/>
</worksheet>
</file>

<file path=xl/worksheets/sheet218.xml><?xml version="1.0" encoding="utf-8"?>
<worksheet xmlns="http://schemas.openxmlformats.org/spreadsheetml/2006/main" xmlns:r="http://schemas.openxmlformats.org/officeDocument/2006/relationships">
  <dimension ref="A1:M101"/>
  <sheetViews>
    <sheetView zoomScaleNormal="100" workbookViewId="0">
      <selection activeCell="J5" sqref="J5"/>
    </sheetView>
  </sheetViews>
  <sheetFormatPr defaultRowHeight="12.75"/>
  <cols>
    <col min="1" max="1" width="11.42578125" style="637" customWidth="1"/>
    <col min="2" max="2" width="17.5703125" style="637" customWidth="1"/>
    <col min="3" max="3" width="12.28515625" style="637" customWidth="1"/>
    <col min="4" max="4" width="11.140625" style="637" customWidth="1"/>
    <col min="5" max="12" width="15.7109375" style="637" customWidth="1"/>
    <col min="13" max="16384" width="9.140625" style="637"/>
  </cols>
  <sheetData>
    <row r="1" spans="1:13" ht="15.75" customHeight="1">
      <c r="A1" s="2027" t="s">
        <v>493</v>
      </c>
      <c r="B1" s="2028"/>
      <c r="C1" s="2028"/>
      <c r="D1" s="2029"/>
      <c r="E1" s="2029"/>
      <c r="F1" s="2029"/>
      <c r="G1" s="2029"/>
      <c r="H1" s="2030"/>
      <c r="I1" s="636"/>
      <c r="J1" s="636"/>
      <c r="K1" s="636"/>
      <c r="L1" s="636"/>
      <c r="M1" s="636"/>
    </row>
    <row r="2" spans="1:13" ht="15.75">
      <c r="A2" s="2031" t="s">
        <v>494</v>
      </c>
      <c r="B2" s="2032"/>
      <c r="C2" s="2032"/>
      <c r="D2" s="2033"/>
      <c r="E2" s="2033"/>
      <c r="F2" s="2033"/>
      <c r="G2" s="2033"/>
      <c r="H2" s="2034"/>
      <c r="I2" s="636"/>
      <c r="J2" s="636"/>
      <c r="K2" s="636"/>
      <c r="L2" s="636"/>
      <c r="M2" s="636"/>
    </row>
    <row r="3" spans="1:13" ht="15.75">
      <c r="A3" s="2031" t="s">
        <v>1180</v>
      </c>
      <c r="B3" s="2032"/>
      <c r="C3" s="2032"/>
      <c r="D3" s="2033"/>
      <c r="E3" s="2033"/>
      <c r="F3" s="2033"/>
      <c r="G3" s="2033"/>
      <c r="H3" s="2034"/>
      <c r="I3" s="636"/>
      <c r="J3" s="636"/>
      <c r="K3" s="636"/>
      <c r="L3" s="636"/>
      <c r="M3" s="636"/>
    </row>
    <row r="4" spans="1:13" ht="16.5" thickBot="1">
      <c r="A4" s="2031" t="s">
        <v>1181</v>
      </c>
      <c r="B4" s="2032"/>
      <c r="C4" s="2032"/>
      <c r="D4" s="2033"/>
      <c r="E4" s="2033"/>
      <c r="F4" s="2033"/>
      <c r="G4" s="2033"/>
      <c r="H4" s="2034"/>
      <c r="I4" s="636"/>
      <c r="J4" s="636"/>
      <c r="K4" s="636"/>
      <c r="L4" s="636"/>
      <c r="M4" s="636"/>
    </row>
    <row r="5" spans="1:13" ht="17.25" thickBot="1">
      <c r="A5" s="2035" t="s">
        <v>17</v>
      </c>
      <c r="B5" s="2036"/>
      <c r="C5" s="2036"/>
      <c r="D5" s="2037"/>
      <c r="E5" s="2037"/>
      <c r="F5" s="2037"/>
      <c r="G5" s="2037"/>
      <c r="H5" s="2037"/>
      <c r="I5" s="636"/>
      <c r="J5" s="636"/>
      <c r="K5" s="636"/>
      <c r="L5" s="636"/>
      <c r="M5" s="636"/>
    </row>
    <row r="6" spans="1:13" ht="33">
      <c r="A6" s="638" t="s">
        <v>37</v>
      </c>
      <c r="B6" s="639" t="s">
        <v>22</v>
      </c>
      <c r="C6" s="2038" t="s">
        <v>497</v>
      </c>
      <c r="D6" s="2038"/>
      <c r="E6" s="2038" t="s">
        <v>30</v>
      </c>
      <c r="F6" s="2038"/>
      <c r="G6" s="639" t="s">
        <v>498</v>
      </c>
      <c r="H6" s="640" t="s">
        <v>76</v>
      </c>
      <c r="I6" s="641"/>
    </row>
    <row r="7" spans="1:13" ht="16.5">
      <c r="A7" s="642">
        <f>D27</f>
        <v>633</v>
      </c>
      <c r="B7" s="643" t="s">
        <v>15</v>
      </c>
      <c r="C7" s="2041" t="str">
        <f>E27</f>
        <v>Waste Recycling</v>
      </c>
      <c r="D7" s="2041"/>
      <c r="E7" s="2042" t="str">
        <f>D28</f>
        <v>Waste Recycling</v>
      </c>
      <c r="F7" s="2042"/>
      <c r="G7" s="644" t="str">
        <f>H35</f>
        <v>100 cu ft</v>
      </c>
      <c r="H7" s="645">
        <f>F24</f>
        <v>17.940000000000001</v>
      </c>
    </row>
    <row r="8" spans="1:13" ht="16.5">
      <c r="A8" s="642">
        <f>D27</f>
        <v>633</v>
      </c>
      <c r="B8" s="643" t="s">
        <v>15</v>
      </c>
      <c r="C8" s="2042" t="str">
        <f>E27</f>
        <v>Waste Recycling</v>
      </c>
      <c r="D8" s="2042"/>
      <c r="E8" s="2042" t="s">
        <v>1182</v>
      </c>
      <c r="F8" s="2042"/>
      <c r="G8" s="644" t="str">
        <f>H35</f>
        <v>100 cu ft</v>
      </c>
      <c r="H8" s="645">
        <f>H24</f>
        <v>21.527999999999999</v>
      </c>
    </row>
    <row r="9" spans="1:13" ht="16.5">
      <c r="A9" s="1351">
        <f>D27</f>
        <v>633</v>
      </c>
      <c r="B9" s="644" t="s">
        <v>1141</v>
      </c>
      <c r="C9" s="2042" t="str">
        <f>E27</f>
        <v>Waste Recycling</v>
      </c>
      <c r="D9" s="2041"/>
      <c r="E9" s="2042" t="str">
        <f>E7</f>
        <v>Waste Recycling</v>
      </c>
      <c r="F9" s="2041"/>
      <c r="G9" s="644" t="str">
        <f>H35</f>
        <v>100 cu ft</v>
      </c>
      <c r="H9" s="645">
        <f>F24</f>
        <v>17.940000000000001</v>
      </c>
    </row>
    <row r="10" spans="1:13" ht="16.5">
      <c r="A10" s="1351">
        <f>D27</f>
        <v>633</v>
      </c>
      <c r="B10" s="644" t="s">
        <v>1141</v>
      </c>
      <c r="C10" s="2042" t="str">
        <f>E27</f>
        <v>Waste Recycling</v>
      </c>
      <c r="D10" s="2041"/>
      <c r="E10" s="2041" t="s">
        <v>1182</v>
      </c>
      <c r="F10" s="2041"/>
      <c r="G10" s="644" t="str">
        <f>H35</f>
        <v>100 cu ft</v>
      </c>
      <c r="H10" s="645">
        <f>H24</f>
        <v>21.527999999999999</v>
      </c>
    </row>
    <row r="11" spans="1:13" ht="16.5">
      <c r="A11" s="1351">
        <f>D27</f>
        <v>633</v>
      </c>
      <c r="B11" s="644" t="s">
        <v>1142</v>
      </c>
      <c r="C11" s="2042" t="str">
        <f>E27</f>
        <v>Waste Recycling</v>
      </c>
      <c r="D11" s="2042"/>
      <c r="E11" s="2042" t="str">
        <f>D28</f>
        <v>Waste Recycling</v>
      </c>
      <c r="F11" s="2042"/>
      <c r="G11" s="644" t="str">
        <f>H35</f>
        <v>100 cu ft</v>
      </c>
      <c r="H11" s="645">
        <f>F24</f>
        <v>17.940000000000001</v>
      </c>
    </row>
    <row r="12" spans="1:13" ht="17.25" thickBot="1">
      <c r="A12" s="1352">
        <f>D27</f>
        <v>633</v>
      </c>
      <c r="B12" s="647" t="s">
        <v>1142</v>
      </c>
      <c r="C12" s="2043" t="str">
        <f>E27</f>
        <v>Waste Recycling</v>
      </c>
      <c r="D12" s="2043"/>
      <c r="E12" s="2043" t="str">
        <f>E8</f>
        <v>Waste Recycling - HU</v>
      </c>
      <c r="F12" s="2043"/>
      <c r="G12" s="647" t="str">
        <f>H35</f>
        <v>100 cu ft</v>
      </c>
      <c r="H12" s="648">
        <f>H24</f>
        <v>21.527999999999999</v>
      </c>
    </row>
    <row r="13" spans="1:13" ht="15.75" customHeight="1" thickBot="1">
      <c r="A13" s="2044" t="s">
        <v>18</v>
      </c>
      <c r="B13" s="2045"/>
      <c r="C13" s="2045"/>
      <c r="D13" s="2046"/>
      <c r="E13" s="2046"/>
      <c r="F13" s="2046"/>
      <c r="G13" s="2046"/>
      <c r="H13" s="2046"/>
    </row>
    <row r="14" spans="1:13" ht="49.5">
      <c r="A14" s="2047" t="s">
        <v>16</v>
      </c>
      <c r="B14" s="2048"/>
      <c r="C14" s="2048"/>
      <c r="D14" s="649" t="s">
        <v>6</v>
      </c>
      <c r="E14" s="649" t="s">
        <v>501</v>
      </c>
      <c r="F14" s="649" t="s">
        <v>502</v>
      </c>
      <c r="G14" s="649" t="s">
        <v>503</v>
      </c>
      <c r="H14" s="650" t="s">
        <v>504</v>
      </c>
    </row>
    <row r="15" spans="1:13" ht="16.5">
      <c r="A15" s="2039" t="s">
        <v>0</v>
      </c>
      <c r="B15" s="2040"/>
      <c r="C15" s="2040"/>
      <c r="D15" s="651">
        <f>G43</f>
        <v>0</v>
      </c>
      <c r="E15" s="652">
        <v>0.75</v>
      </c>
      <c r="F15" s="651">
        <f>D15*E15</f>
        <v>0</v>
      </c>
      <c r="G15" s="652">
        <v>0.9</v>
      </c>
      <c r="H15" s="653">
        <f>D15*G15</f>
        <v>0</v>
      </c>
    </row>
    <row r="16" spans="1:13" ht="16.5">
      <c r="A16" s="2039" t="s">
        <v>505</v>
      </c>
      <c r="B16" s="2040"/>
      <c r="C16" s="2040"/>
      <c r="D16" s="651">
        <f>G49</f>
        <v>20</v>
      </c>
      <c r="E16" s="652">
        <v>0.75</v>
      </c>
      <c r="F16" s="651">
        <f t="shared" ref="F16:F23" si="0">D16*E16</f>
        <v>15</v>
      </c>
      <c r="G16" s="652">
        <v>0.9</v>
      </c>
      <c r="H16" s="653">
        <f t="shared" ref="H16:H23" si="1">D16*G16</f>
        <v>18</v>
      </c>
    </row>
    <row r="17" spans="1:12" ht="16.5">
      <c r="A17" s="2039" t="s">
        <v>3</v>
      </c>
      <c r="B17" s="2040"/>
      <c r="C17" s="2040"/>
      <c r="D17" s="651">
        <f>G56</f>
        <v>0</v>
      </c>
      <c r="E17" s="652">
        <v>0.75</v>
      </c>
      <c r="F17" s="651">
        <f t="shared" si="0"/>
        <v>0</v>
      </c>
      <c r="G17" s="652">
        <v>0.9</v>
      </c>
      <c r="H17" s="653">
        <f t="shared" si="1"/>
        <v>0</v>
      </c>
    </row>
    <row r="18" spans="1:12" ht="16.5">
      <c r="A18" s="2039" t="s">
        <v>4</v>
      </c>
      <c r="B18" s="2040"/>
      <c r="C18" s="2040"/>
      <c r="D18" s="651">
        <f>G62</f>
        <v>0</v>
      </c>
      <c r="E18" s="652">
        <v>0.75</v>
      </c>
      <c r="F18" s="651">
        <f t="shared" si="0"/>
        <v>0</v>
      </c>
      <c r="G18" s="652">
        <v>0.9</v>
      </c>
      <c r="H18" s="653">
        <f t="shared" si="1"/>
        <v>0</v>
      </c>
    </row>
    <row r="19" spans="1:12" ht="16.5">
      <c r="A19" s="2039" t="s">
        <v>506</v>
      </c>
      <c r="B19" s="2040"/>
      <c r="C19" s="2040"/>
      <c r="D19" s="651">
        <f>G68</f>
        <v>0</v>
      </c>
      <c r="E19" s="652">
        <v>0</v>
      </c>
      <c r="F19" s="651">
        <f t="shared" si="0"/>
        <v>0</v>
      </c>
      <c r="G19" s="652">
        <v>0</v>
      </c>
      <c r="H19" s="653">
        <f t="shared" si="1"/>
        <v>0</v>
      </c>
    </row>
    <row r="20" spans="1:12" ht="16.5">
      <c r="A20" s="2039" t="s">
        <v>507</v>
      </c>
      <c r="B20" s="2040"/>
      <c r="C20" s="2040"/>
      <c r="D20" s="651">
        <f>G74</f>
        <v>3.92</v>
      </c>
      <c r="E20" s="652">
        <v>0.75</v>
      </c>
      <c r="F20" s="651">
        <f t="shared" si="0"/>
        <v>2.94</v>
      </c>
      <c r="G20" s="652">
        <v>0.9</v>
      </c>
      <c r="H20" s="653">
        <f t="shared" si="1"/>
        <v>3.528</v>
      </c>
    </row>
    <row r="21" spans="1:12" ht="16.5">
      <c r="A21" s="2039" t="s">
        <v>27</v>
      </c>
      <c r="B21" s="2040"/>
      <c r="C21" s="2040"/>
      <c r="D21" s="651">
        <f>G80</f>
        <v>0</v>
      </c>
      <c r="E21" s="652">
        <v>0.75</v>
      </c>
      <c r="F21" s="651">
        <f t="shared" si="0"/>
        <v>0</v>
      </c>
      <c r="G21" s="652">
        <v>0.9</v>
      </c>
      <c r="H21" s="653">
        <f t="shared" si="1"/>
        <v>0</v>
      </c>
      <c r="I21" s="641"/>
    </row>
    <row r="22" spans="1:12" ht="16.5">
      <c r="A22" s="2039" t="s">
        <v>5</v>
      </c>
      <c r="B22" s="2040"/>
      <c r="C22" s="2040"/>
      <c r="D22" s="651">
        <f>G86</f>
        <v>0</v>
      </c>
      <c r="E22" s="652">
        <v>0</v>
      </c>
      <c r="F22" s="651">
        <f t="shared" si="0"/>
        <v>0</v>
      </c>
      <c r="G22" s="652">
        <v>0</v>
      </c>
      <c r="H22" s="653">
        <f t="shared" si="1"/>
        <v>0</v>
      </c>
    </row>
    <row r="23" spans="1:12" ht="16.5">
      <c r="A23" s="2039" t="s">
        <v>508</v>
      </c>
      <c r="B23" s="2040"/>
      <c r="C23" s="2040"/>
      <c r="D23" s="651">
        <f>G92</f>
        <v>0</v>
      </c>
      <c r="E23" s="652">
        <v>0</v>
      </c>
      <c r="F23" s="651">
        <f t="shared" si="0"/>
        <v>0</v>
      </c>
      <c r="G23" s="652">
        <v>0</v>
      </c>
      <c r="H23" s="653">
        <f t="shared" si="1"/>
        <v>0</v>
      </c>
    </row>
    <row r="24" spans="1:12" ht="17.25" thickBot="1">
      <c r="A24" s="2063" t="s">
        <v>509</v>
      </c>
      <c r="B24" s="2064"/>
      <c r="C24" s="2064"/>
      <c r="D24" s="654">
        <f>SUM(D15:D23)</f>
        <v>23.92</v>
      </c>
      <c r="E24" s="655"/>
      <c r="F24" s="654">
        <f>SUM(F15:F23)</f>
        <v>17.940000000000001</v>
      </c>
      <c r="G24" s="656"/>
      <c r="H24" s="657">
        <f>SUM(H15:H23)</f>
        <v>21.527999999999999</v>
      </c>
    </row>
    <row r="25" spans="1:12" ht="15">
      <c r="A25" s="658"/>
      <c r="B25" s="658"/>
      <c r="C25" s="658"/>
      <c r="D25" s="659"/>
      <c r="E25" s="660"/>
      <c r="F25" s="659"/>
      <c r="G25" s="661"/>
      <c r="H25" s="659"/>
      <c r="I25" s="661"/>
      <c r="J25" s="659"/>
      <c r="K25" s="661"/>
      <c r="L25" s="659"/>
    </row>
    <row r="26" spans="1:12" ht="17.25" thickBot="1">
      <c r="A26" s="2044" t="s">
        <v>510</v>
      </c>
      <c r="B26" s="2045"/>
      <c r="C26" s="2045"/>
      <c r="D26" s="2046"/>
      <c r="E26" s="2046"/>
      <c r="F26" s="2046"/>
      <c r="G26" s="2046"/>
      <c r="H26" s="2046"/>
    </row>
    <row r="27" spans="1:12" ht="16.5">
      <c r="A27" s="2065" t="s">
        <v>511</v>
      </c>
      <c r="B27" s="2066"/>
      <c r="C27" s="2067"/>
      <c r="D27" s="662">
        <v>633</v>
      </c>
      <c r="E27" s="2068" t="s">
        <v>1181</v>
      </c>
      <c r="F27" s="2069"/>
      <c r="G27" s="2069"/>
      <c r="H27" s="2070"/>
    </row>
    <row r="28" spans="1:12" ht="16.5">
      <c r="A28" s="2049" t="s">
        <v>513</v>
      </c>
      <c r="B28" s="2050"/>
      <c r="C28" s="2051"/>
      <c r="D28" s="2052" t="s">
        <v>1181</v>
      </c>
      <c r="E28" s="2053"/>
      <c r="F28" s="2053"/>
      <c r="G28" s="2053"/>
      <c r="H28" s="2054"/>
    </row>
    <row r="29" spans="1:12" ht="16.5">
      <c r="A29" s="2055" t="s">
        <v>385</v>
      </c>
      <c r="B29" s="2056"/>
      <c r="C29" s="2056"/>
      <c r="D29" s="2056"/>
      <c r="E29" s="2056"/>
      <c r="F29" s="2056"/>
      <c r="G29" s="2056"/>
      <c r="H29" s="2057"/>
    </row>
    <row r="30" spans="1:12" ht="69.75" customHeight="1">
      <c r="A30" s="2058" t="s">
        <v>1183</v>
      </c>
      <c r="B30" s="2059"/>
      <c r="C30" s="2059"/>
      <c r="D30" s="2059"/>
      <c r="E30" s="2059"/>
      <c r="F30" s="2059"/>
      <c r="G30" s="2059"/>
      <c r="H30" s="2060"/>
    </row>
    <row r="31" spans="1:12" ht="12.75" customHeight="1">
      <c r="A31" s="2055" t="s">
        <v>391</v>
      </c>
      <c r="B31" s="2056"/>
      <c r="C31" s="2056"/>
      <c r="D31" s="2056"/>
      <c r="E31" s="2056"/>
      <c r="F31" s="2056"/>
      <c r="G31" s="2056"/>
      <c r="H31" s="2057"/>
    </row>
    <row r="32" spans="1:12" ht="12.75" customHeight="1">
      <c r="A32" s="2058"/>
      <c r="B32" s="2059"/>
      <c r="C32" s="2059"/>
      <c r="D32" s="2061"/>
      <c r="E32" s="2061"/>
      <c r="F32" s="2061"/>
      <c r="G32" s="2061"/>
      <c r="H32" s="2062"/>
    </row>
    <row r="33" spans="1:8">
      <c r="A33" s="663"/>
      <c r="B33" s="664"/>
      <c r="C33" s="664"/>
      <c r="D33" s="664"/>
      <c r="E33" s="664"/>
      <c r="F33" s="664"/>
      <c r="G33" s="664"/>
      <c r="H33" s="665"/>
    </row>
    <row r="34" spans="1:8" ht="16.5">
      <c r="A34" s="2090" t="s">
        <v>516</v>
      </c>
      <c r="B34" s="2091"/>
      <c r="C34" s="2091"/>
      <c r="D34" s="2092"/>
      <c r="E34" s="2092"/>
      <c r="F34" s="2092"/>
      <c r="G34" s="2093"/>
      <c r="H34" s="666" t="s">
        <v>91</v>
      </c>
    </row>
    <row r="35" spans="1:8" ht="16.5">
      <c r="A35" s="2094" t="s">
        <v>517</v>
      </c>
      <c r="B35" s="2095"/>
      <c r="C35" s="2095"/>
      <c r="D35" s="2096"/>
      <c r="E35" s="2096"/>
      <c r="F35" s="2096"/>
      <c r="G35" s="2097"/>
      <c r="H35" s="666" t="s">
        <v>1184</v>
      </c>
    </row>
    <row r="36" spans="1:8" ht="16.5">
      <c r="A36" s="2084" t="s">
        <v>518</v>
      </c>
      <c r="B36" s="2085"/>
      <c r="C36" s="2085"/>
      <c r="D36" s="2098"/>
      <c r="E36" s="2098"/>
      <c r="F36" s="2098"/>
      <c r="G36" s="2099"/>
      <c r="H36" s="2100">
        <v>100</v>
      </c>
    </row>
    <row r="37" spans="1:8">
      <c r="A37" s="2102" t="s">
        <v>519</v>
      </c>
      <c r="B37" s="2103"/>
      <c r="C37" s="2103"/>
      <c r="D37" s="2103"/>
      <c r="E37" s="2103"/>
      <c r="F37" s="2103"/>
      <c r="G37" s="2104"/>
      <c r="H37" s="2101"/>
    </row>
    <row r="38" spans="1:8" ht="13.5">
      <c r="A38" s="2105" t="s">
        <v>520</v>
      </c>
      <c r="B38" s="2106"/>
      <c r="C38" s="2107"/>
      <c r="D38" s="667">
        <v>1</v>
      </c>
      <c r="E38" s="2108" t="s">
        <v>521</v>
      </c>
      <c r="F38" s="2109"/>
      <c r="G38" s="2110"/>
      <c r="H38" s="668">
        <v>0.06</v>
      </c>
    </row>
    <row r="39" spans="1:8" ht="5.25" customHeight="1">
      <c r="A39" s="669"/>
      <c r="B39" s="670"/>
      <c r="C39" s="670"/>
      <c r="D39" s="670"/>
      <c r="E39" s="670"/>
      <c r="F39" s="670"/>
      <c r="G39" s="670"/>
      <c r="H39" s="671"/>
    </row>
    <row r="40" spans="1:8" ht="16.5">
      <c r="A40" s="2071" t="s">
        <v>0</v>
      </c>
      <c r="B40" s="2072"/>
      <c r="C40" s="2072"/>
      <c r="D40" s="2072"/>
      <c r="E40" s="2072"/>
      <c r="F40" s="2072"/>
      <c r="G40" s="2072"/>
      <c r="H40" s="2073"/>
    </row>
    <row r="41" spans="1:8" ht="33">
      <c r="A41" s="2074" t="s">
        <v>522</v>
      </c>
      <c r="B41" s="2075"/>
      <c r="C41" s="2076"/>
      <c r="D41" s="672" t="s">
        <v>447</v>
      </c>
      <c r="E41" s="672" t="s">
        <v>6</v>
      </c>
      <c r="F41" s="672" t="s">
        <v>523</v>
      </c>
      <c r="G41" s="672" t="s">
        <v>524</v>
      </c>
      <c r="H41" s="673" t="s">
        <v>525</v>
      </c>
    </row>
    <row r="42" spans="1:8" ht="13.5" thickBot="1">
      <c r="A42" s="2077" t="s">
        <v>526</v>
      </c>
      <c r="B42" s="2078"/>
      <c r="C42" s="2079"/>
      <c r="D42" s="674"/>
      <c r="E42" s="675"/>
      <c r="F42" s="674"/>
      <c r="G42" s="675">
        <f>E42*F42</f>
        <v>0</v>
      </c>
      <c r="H42" s="676"/>
    </row>
    <row r="43" spans="1:8" ht="17.25" thickTop="1">
      <c r="A43" s="2080" t="s">
        <v>527</v>
      </c>
      <c r="B43" s="2081"/>
      <c r="C43" s="2081"/>
      <c r="D43" s="2082"/>
      <c r="E43" s="2082"/>
      <c r="F43" s="2083"/>
      <c r="G43" s="677">
        <f>SUM(G42:G42)</f>
        <v>0</v>
      </c>
      <c r="H43" s="678">
        <f>SUM(H42:H42)</f>
        <v>0</v>
      </c>
    </row>
    <row r="44" spans="1:8" ht="16.5">
      <c r="A44" s="2084" t="s">
        <v>528</v>
      </c>
      <c r="B44" s="2085"/>
      <c r="C44" s="2086"/>
      <c r="D44" s="2087"/>
      <c r="E44" s="2088"/>
      <c r="F44" s="2088"/>
      <c r="G44" s="2088"/>
      <c r="H44" s="2089"/>
    </row>
    <row r="45" spans="1:8" ht="5.25" customHeight="1">
      <c r="A45" s="669"/>
      <c r="B45" s="670"/>
      <c r="C45" s="670"/>
      <c r="D45" s="670"/>
      <c r="E45" s="670"/>
      <c r="F45" s="670"/>
      <c r="G45" s="670"/>
      <c r="H45" s="671"/>
    </row>
    <row r="46" spans="1:8" ht="16.5">
      <c r="A46" s="2071" t="s">
        <v>2</v>
      </c>
      <c r="B46" s="2072"/>
      <c r="C46" s="2072"/>
      <c r="D46" s="2072"/>
      <c r="E46" s="2072"/>
      <c r="F46" s="2072"/>
      <c r="G46" s="2072"/>
      <c r="H46" s="2073"/>
    </row>
    <row r="47" spans="1:8" ht="33">
      <c r="A47" s="2074" t="s">
        <v>529</v>
      </c>
      <c r="B47" s="2075"/>
      <c r="C47" s="2076"/>
      <c r="D47" s="672" t="s">
        <v>447</v>
      </c>
      <c r="E47" s="672" t="s">
        <v>6</v>
      </c>
      <c r="F47" s="672" t="s">
        <v>523</v>
      </c>
      <c r="G47" s="672" t="s">
        <v>524</v>
      </c>
      <c r="H47" s="673" t="s">
        <v>525</v>
      </c>
    </row>
    <row r="48" spans="1:8" ht="13.5" thickBot="1">
      <c r="A48" s="2120" t="s">
        <v>1185</v>
      </c>
      <c r="B48" s="2121"/>
      <c r="C48" s="2122"/>
      <c r="D48" s="674" t="s">
        <v>1184</v>
      </c>
      <c r="E48" s="675">
        <v>20</v>
      </c>
      <c r="F48" s="674">
        <v>1</v>
      </c>
      <c r="G48" s="675">
        <f>E48*F48</f>
        <v>20</v>
      </c>
      <c r="H48" s="676"/>
    </row>
    <row r="49" spans="1:8" ht="17.25" thickTop="1">
      <c r="A49" s="2080" t="s">
        <v>530</v>
      </c>
      <c r="B49" s="2081"/>
      <c r="C49" s="2081"/>
      <c r="D49" s="2082"/>
      <c r="E49" s="2082"/>
      <c r="F49" s="2083"/>
      <c r="G49" s="677">
        <f>SUM(G48:G48)</f>
        <v>20</v>
      </c>
      <c r="H49" s="678">
        <f>SUM(H48:H48)</f>
        <v>0</v>
      </c>
    </row>
    <row r="50" spans="1:8" ht="23.25" customHeight="1">
      <c r="A50" s="2084" t="s">
        <v>528</v>
      </c>
      <c r="B50" s="2085"/>
      <c r="C50" s="2086"/>
      <c r="D50" s="2114" t="s">
        <v>1186</v>
      </c>
      <c r="E50" s="2115"/>
      <c r="F50" s="2115"/>
      <c r="G50" s="2115"/>
      <c r="H50" s="2116"/>
    </row>
    <row r="51" spans="1:8" ht="16.5" customHeight="1">
      <c r="A51" s="2190"/>
      <c r="B51" s="2191"/>
      <c r="C51" s="2192"/>
      <c r="D51" s="2193"/>
      <c r="E51" s="2194"/>
      <c r="F51" s="2194"/>
      <c r="G51" s="2194"/>
      <c r="H51" s="2195"/>
    </row>
    <row r="52" spans="1:8" ht="5.25" customHeight="1">
      <c r="A52" s="669"/>
      <c r="B52" s="670"/>
      <c r="C52" s="670"/>
      <c r="D52" s="670"/>
      <c r="E52" s="670"/>
      <c r="F52" s="670"/>
      <c r="G52" s="670"/>
      <c r="H52" s="671"/>
    </row>
    <row r="53" spans="1:8" ht="16.5">
      <c r="A53" s="2071" t="s">
        <v>3</v>
      </c>
      <c r="B53" s="2072"/>
      <c r="C53" s="2072"/>
      <c r="D53" s="2072"/>
      <c r="E53" s="2072"/>
      <c r="F53" s="2072"/>
      <c r="G53" s="2072"/>
      <c r="H53" s="2073"/>
    </row>
    <row r="54" spans="1:8" ht="33">
      <c r="A54" s="2074" t="s">
        <v>531</v>
      </c>
      <c r="B54" s="2075"/>
      <c r="C54" s="2076"/>
      <c r="D54" s="672" t="s">
        <v>447</v>
      </c>
      <c r="E54" s="672" t="s">
        <v>6</v>
      </c>
      <c r="F54" s="672" t="s">
        <v>523</v>
      </c>
      <c r="G54" s="672" t="s">
        <v>524</v>
      </c>
      <c r="H54" s="673" t="s">
        <v>525</v>
      </c>
    </row>
    <row r="55" spans="1:8" ht="13.5" thickBot="1">
      <c r="A55" s="2120" t="s">
        <v>526</v>
      </c>
      <c r="B55" s="2121"/>
      <c r="C55" s="2122"/>
      <c r="D55" s="674"/>
      <c r="E55" s="675"/>
      <c r="F55" s="674"/>
      <c r="G55" s="675"/>
      <c r="H55" s="676"/>
    </row>
    <row r="56" spans="1:8" ht="17.25" thickTop="1">
      <c r="A56" s="2080" t="s">
        <v>534</v>
      </c>
      <c r="B56" s="2081"/>
      <c r="C56" s="2081"/>
      <c r="D56" s="2082"/>
      <c r="E56" s="2082"/>
      <c r="F56" s="2083"/>
      <c r="G56" s="677">
        <f>SUM(G55:G55)</f>
        <v>0</v>
      </c>
      <c r="H56" s="678">
        <f>SUM(H55:H55)</f>
        <v>0</v>
      </c>
    </row>
    <row r="57" spans="1:8" ht="16.5">
      <c r="A57" s="2084" t="s">
        <v>528</v>
      </c>
      <c r="B57" s="2085"/>
      <c r="C57" s="2086"/>
      <c r="D57" s="2087"/>
      <c r="E57" s="2088"/>
      <c r="F57" s="2088"/>
      <c r="G57" s="2088"/>
      <c r="H57" s="2089"/>
    </row>
    <row r="58" spans="1:8" ht="5.25" customHeight="1">
      <c r="A58" s="669"/>
      <c r="B58" s="670"/>
      <c r="C58" s="670"/>
      <c r="D58" s="670"/>
      <c r="E58" s="670"/>
      <c r="F58" s="670"/>
      <c r="G58" s="670"/>
      <c r="H58" s="671"/>
    </row>
    <row r="59" spans="1:8" ht="16.5">
      <c r="A59" s="2071" t="s">
        <v>4</v>
      </c>
      <c r="B59" s="2072"/>
      <c r="C59" s="2072"/>
      <c r="D59" s="2072"/>
      <c r="E59" s="2072"/>
      <c r="F59" s="2072"/>
      <c r="G59" s="2072"/>
      <c r="H59" s="2073"/>
    </row>
    <row r="60" spans="1:8" ht="58.5" customHeight="1">
      <c r="A60" s="2074" t="s">
        <v>536</v>
      </c>
      <c r="B60" s="2075"/>
      <c r="C60" s="2076"/>
      <c r="D60" s="672" t="s">
        <v>447</v>
      </c>
      <c r="E60" s="672" t="s">
        <v>537</v>
      </c>
      <c r="F60" s="672" t="s">
        <v>538</v>
      </c>
      <c r="G60" s="672" t="s">
        <v>524</v>
      </c>
      <c r="H60" s="673" t="s">
        <v>525</v>
      </c>
    </row>
    <row r="61" spans="1:8" ht="13.5" thickBot="1">
      <c r="A61" s="2120" t="s">
        <v>526</v>
      </c>
      <c r="B61" s="2121"/>
      <c r="C61" s="2122"/>
      <c r="D61" s="674"/>
      <c r="E61" s="680"/>
      <c r="F61" s="675"/>
      <c r="G61" s="675">
        <f>E61*F61</f>
        <v>0</v>
      </c>
      <c r="H61" s="676"/>
    </row>
    <row r="62" spans="1:8" ht="17.25" thickTop="1">
      <c r="A62" s="2080" t="s">
        <v>539</v>
      </c>
      <c r="B62" s="2081"/>
      <c r="C62" s="2081"/>
      <c r="D62" s="2082"/>
      <c r="E62" s="2082"/>
      <c r="F62" s="2083"/>
      <c r="G62" s="677">
        <f>SUM(G61:G61)</f>
        <v>0</v>
      </c>
      <c r="H62" s="678">
        <f>SUM(H61:H61)</f>
        <v>0</v>
      </c>
    </row>
    <row r="63" spans="1:8" ht="16.5">
      <c r="A63" s="2084" t="s">
        <v>528</v>
      </c>
      <c r="B63" s="2085"/>
      <c r="C63" s="2086"/>
      <c r="D63" s="2087"/>
      <c r="E63" s="2088"/>
      <c r="F63" s="2088"/>
      <c r="G63" s="2088"/>
      <c r="H63" s="2089"/>
    </row>
    <row r="64" spans="1:8" ht="5.25" customHeight="1">
      <c r="A64" s="669"/>
      <c r="B64" s="670"/>
      <c r="C64" s="670"/>
      <c r="D64" s="670"/>
      <c r="E64" s="670"/>
      <c r="F64" s="670"/>
      <c r="G64" s="670"/>
      <c r="H64" s="671"/>
    </row>
    <row r="65" spans="1:8" ht="16.5">
      <c r="A65" s="2071" t="s">
        <v>468</v>
      </c>
      <c r="B65" s="2072"/>
      <c r="C65" s="2072"/>
      <c r="D65" s="2072"/>
      <c r="E65" s="2072"/>
      <c r="F65" s="2072"/>
      <c r="G65" s="2072"/>
      <c r="H65" s="2073"/>
    </row>
    <row r="66" spans="1:8" ht="57.75" customHeight="1">
      <c r="A66" s="2074" t="s">
        <v>540</v>
      </c>
      <c r="B66" s="2075"/>
      <c r="C66" s="2076"/>
      <c r="D66" s="672" t="s">
        <v>447</v>
      </c>
      <c r="E66" s="672" t="s">
        <v>541</v>
      </c>
      <c r="F66" s="672" t="s">
        <v>538</v>
      </c>
      <c r="G66" s="672" t="s">
        <v>524</v>
      </c>
      <c r="H66" s="673" t="s">
        <v>525</v>
      </c>
    </row>
    <row r="67" spans="1:8" ht="13.5" thickBot="1">
      <c r="A67" s="2120" t="s">
        <v>526</v>
      </c>
      <c r="B67" s="2121"/>
      <c r="C67" s="2122"/>
      <c r="D67" s="674"/>
      <c r="E67" s="680"/>
      <c r="F67" s="675"/>
      <c r="G67" s="675">
        <f>E67*F67</f>
        <v>0</v>
      </c>
      <c r="H67" s="676"/>
    </row>
    <row r="68" spans="1:8" ht="17.25" thickTop="1">
      <c r="A68" s="2080" t="s">
        <v>543</v>
      </c>
      <c r="B68" s="2081"/>
      <c r="C68" s="2081"/>
      <c r="D68" s="2082"/>
      <c r="E68" s="2082"/>
      <c r="F68" s="2083"/>
      <c r="G68" s="677">
        <f>SUM(G67:G67)</f>
        <v>0</v>
      </c>
      <c r="H68" s="678">
        <f>SUM(H67:H67)</f>
        <v>0</v>
      </c>
    </row>
    <row r="69" spans="1:8" ht="16.5">
      <c r="A69" s="2084" t="s">
        <v>528</v>
      </c>
      <c r="B69" s="2085"/>
      <c r="C69" s="2086"/>
      <c r="D69" s="2087"/>
      <c r="E69" s="2088"/>
      <c r="F69" s="2088"/>
      <c r="G69" s="2088"/>
      <c r="H69" s="2089"/>
    </row>
    <row r="70" spans="1:8" ht="5.25" customHeight="1">
      <c r="A70" s="669"/>
      <c r="B70" s="670"/>
      <c r="C70" s="670"/>
      <c r="D70" s="670"/>
      <c r="E70" s="670"/>
      <c r="F70" s="670"/>
      <c r="G70" s="670"/>
      <c r="H70" s="671"/>
    </row>
    <row r="71" spans="1:8" ht="16.5">
      <c r="A71" s="2071" t="s">
        <v>507</v>
      </c>
      <c r="B71" s="2072"/>
      <c r="C71" s="2072"/>
      <c r="D71" s="2072"/>
      <c r="E71" s="2072"/>
      <c r="F71" s="2072"/>
      <c r="G71" s="2072"/>
      <c r="H71" s="2073"/>
    </row>
    <row r="72" spans="1:8" ht="54.75" customHeight="1">
      <c r="A72" s="2074" t="s">
        <v>544</v>
      </c>
      <c r="B72" s="2075"/>
      <c r="C72" s="2076"/>
      <c r="D72" s="672" t="s">
        <v>447</v>
      </c>
      <c r="E72" s="672" t="s">
        <v>6</v>
      </c>
      <c r="F72" s="672" t="s">
        <v>523</v>
      </c>
      <c r="G72" s="672" t="s">
        <v>524</v>
      </c>
      <c r="H72" s="673" t="s">
        <v>525</v>
      </c>
    </row>
    <row r="73" spans="1:8" ht="13.5" thickBot="1">
      <c r="A73" s="2120" t="s">
        <v>1187</v>
      </c>
      <c r="B73" s="2121"/>
      <c r="C73" s="2122"/>
      <c r="D73" s="674" t="s">
        <v>533</v>
      </c>
      <c r="E73" s="675">
        <v>49</v>
      </c>
      <c r="F73" s="674">
        <v>8</v>
      </c>
      <c r="G73" s="675">
        <f>E73*F73/H36</f>
        <v>3.92</v>
      </c>
      <c r="H73" s="676"/>
    </row>
    <row r="74" spans="1:8" ht="17.25" thickTop="1">
      <c r="A74" s="2080" t="s">
        <v>546</v>
      </c>
      <c r="B74" s="2081"/>
      <c r="C74" s="2081"/>
      <c r="D74" s="2082"/>
      <c r="E74" s="2082"/>
      <c r="F74" s="2083"/>
      <c r="G74" s="677">
        <f>SUM(G73:G73)</f>
        <v>3.92</v>
      </c>
      <c r="H74" s="678">
        <f>SUM(H73:H73)</f>
        <v>0</v>
      </c>
    </row>
    <row r="75" spans="1:8" ht="16.5">
      <c r="A75" s="2084" t="s">
        <v>528</v>
      </c>
      <c r="B75" s="2085"/>
      <c r="C75" s="2086"/>
      <c r="D75" s="2114" t="s">
        <v>1188</v>
      </c>
      <c r="E75" s="2115"/>
      <c r="F75" s="2115"/>
      <c r="G75" s="2115"/>
      <c r="H75" s="2116"/>
    </row>
    <row r="76" spans="1:8" ht="5.25" customHeight="1">
      <c r="A76" s="669"/>
      <c r="B76" s="670"/>
      <c r="C76" s="670"/>
      <c r="D76" s="670"/>
      <c r="E76" s="670"/>
      <c r="F76" s="670"/>
      <c r="G76" s="670"/>
      <c r="H76" s="671"/>
    </row>
    <row r="77" spans="1:8" ht="16.5">
      <c r="A77" s="2071" t="s">
        <v>421</v>
      </c>
      <c r="B77" s="2072"/>
      <c r="C77" s="2072"/>
      <c r="D77" s="2072"/>
      <c r="E77" s="2072"/>
      <c r="F77" s="2072"/>
      <c r="G77" s="2072"/>
      <c r="H77" s="2073"/>
    </row>
    <row r="78" spans="1:8" ht="56.25" customHeight="1">
      <c r="A78" s="2074" t="s">
        <v>548</v>
      </c>
      <c r="B78" s="2075"/>
      <c r="C78" s="2076"/>
      <c r="D78" s="672" t="s">
        <v>447</v>
      </c>
      <c r="E78" s="672" t="s">
        <v>6</v>
      </c>
      <c r="F78" s="672" t="s">
        <v>523</v>
      </c>
      <c r="G78" s="672" t="s">
        <v>524</v>
      </c>
      <c r="H78" s="673" t="s">
        <v>525</v>
      </c>
    </row>
    <row r="79" spans="1:8" ht="13.5" thickBot="1">
      <c r="A79" s="2120" t="s">
        <v>526</v>
      </c>
      <c r="B79" s="2121"/>
      <c r="C79" s="2122"/>
      <c r="D79" s="674"/>
      <c r="E79" s="675"/>
      <c r="F79" s="680"/>
      <c r="G79" s="675">
        <f>E79*F79</f>
        <v>0</v>
      </c>
      <c r="H79" s="676"/>
    </row>
    <row r="80" spans="1:8" ht="17.25" thickTop="1">
      <c r="A80" s="2080" t="s">
        <v>550</v>
      </c>
      <c r="B80" s="2081"/>
      <c r="C80" s="2081"/>
      <c r="D80" s="2082"/>
      <c r="E80" s="2082"/>
      <c r="F80" s="2083"/>
      <c r="G80" s="677">
        <f>SUM(G79:G79)</f>
        <v>0</v>
      </c>
      <c r="H80" s="678">
        <f>SUM(H79:H79)</f>
        <v>0</v>
      </c>
    </row>
    <row r="81" spans="1:8" ht="16.5">
      <c r="A81" s="2084" t="s">
        <v>528</v>
      </c>
      <c r="B81" s="2085"/>
      <c r="C81" s="2086"/>
      <c r="D81" s="2114"/>
      <c r="E81" s="2115"/>
      <c r="F81" s="2115"/>
      <c r="G81" s="2115"/>
      <c r="H81" s="2116"/>
    </row>
    <row r="82" spans="1:8" ht="5.25" customHeight="1">
      <c r="A82" s="669"/>
      <c r="B82" s="670"/>
      <c r="C82" s="670"/>
      <c r="D82" s="670"/>
      <c r="E82" s="670"/>
      <c r="F82" s="670"/>
      <c r="G82" s="670"/>
      <c r="H82" s="671"/>
    </row>
    <row r="83" spans="1:8" ht="16.5">
      <c r="A83" s="2071" t="s">
        <v>5</v>
      </c>
      <c r="B83" s="2072"/>
      <c r="C83" s="2072"/>
      <c r="D83" s="2072"/>
      <c r="E83" s="2072"/>
      <c r="F83" s="2072"/>
      <c r="G83" s="2072"/>
      <c r="H83" s="2073"/>
    </row>
    <row r="84" spans="1:8" ht="68.25" customHeight="1">
      <c r="A84" s="2074" t="s">
        <v>552</v>
      </c>
      <c r="B84" s="2075"/>
      <c r="C84" s="2076"/>
      <c r="D84" s="672" t="s">
        <v>447</v>
      </c>
      <c r="E84" s="672" t="s">
        <v>6</v>
      </c>
      <c r="F84" s="672" t="s">
        <v>523</v>
      </c>
      <c r="G84" s="672" t="s">
        <v>524</v>
      </c>
      <c r="H84" s="673" t="s">
        <v>525</v>
      </c>
    </row>
    <row r="85" spans="1:8" ht="13.5" thickBot="1">
      <c r="A85" s="2120" t="s">
        <v>526</v>
      </c>
      <c r="B85" s="2121"/>
      <c r="C85" s="2122"/>
      <c r="D85" s="674"/>
      <c r="E85" s="675"/>
      <c r="F85" s="674"/>
      <c r="G85" s="675"/>
      <c r="H85" s="676"/>
    </row>
    <row r="86" spans="1:8" ht="17.25" thickTop="1">
      <c r="A86" s="2080" t="s">
        <v>553</v>
      </c>
      <c r="B86" s="2081"/>
      <c r="C86" s="2081"/>
      <c r="D86" s="2082"/>
      <c r="E86" s="2082"/>
      <c r="F86" s="2083"/>
      <c r="G86" s="677">
        <f>SUM(G85:G85)</f>
        <v>0</v>
      </c>
      <c r="H86" s="678">
        <f>SUM(H85:H85)</f>
        <v>0</v>
      </c>
    </row>
    <row r="87" spans="1:8" ht="16.5">
      <c r="A87" s="2084" t="s">
        <v>528</v>
      </c>
      <c r="B87" s="2085"/>
      <c r="C87" s="2086"/>
      <c r="D87" s="2087"/>
      <c r="E87" s="2088"/>
      <c r="F87" s="2088"/>
      <c r="G87" s="2088"/>
      <c r="H87" s="2089"/>
    </row>
    <row r="88" spans="1:8" ht="5.25" customHeight="1">
      <c r="A88" s="669"/>
      <c r="B88" s="670"/>
      <c r="C88" s="670"/>
      <c r="D88" s="670"/>
      <c r="E88" s="670"/>
      <c r="F88" s="670"/>
      <c r="G88" s="670"/>
      <c r="H88" s="671"/>
    </row>
    <row r="89" spans="1:8" ht="16.5">
      <c r="A89" s="2071" t="s">
        <v>554</v>
      </c>
      <c r="B89" s="2072"/>
      <c r="C89" s="2072"/>
      <c r="D89" s="2072"/>
      <c r="E89" s="2072"/>
      <c r="F89" s="2072"/>
      <c r="G89" s="2072"/>
      <c r="H89" s="2073"/>
    </row>
    <row r="90" spans="1:8" ht="56.25" customHeight="1">
      <c r="A90" s="2074" t="s">
        <v>555</v>
      </c>
      <c r="B90" s="2075"/>
      <c r="C90" s="2076"/>
      <c r="D90" s="672" t="s">
        <v>447</v>
      </c>
      <c r="E90" s="672" t="s">
        <v>6</v>
      </c>
      <c r="F90" s="672" t="s">
        <v>523</v>
      </c>
      <c r="G90" s="672" t="s">
        <v>524</v>
      </c>
      <c r="H90" s="673" t="s">
        <v>525</v>
      </c>
    </row>
    <row r="91" spans="1:8" ht="13.5" thickBot="1">
      <c r="A91" s="2120" t="s">
        <v>526</v>
      </c>
      <c r="B91" s="2121"/>
      <c r="C91" s="2122"/>
      <c r="D91" s="674"/>
      <c r="E91" s="675"/>
      <c r="F91" s="674"/>
      <c r="G91" s="675"/>
      <c r="H91" s="676"/>
    </row>
    <row r="92" spans="1:8" ht="17.25" thickTop="1">
      <c r="A92" s="2080" t="s">
        <v>553</v>
      </c>
      <c r="B92" s="2081"/>
      <c r="C92" s="2081"/>
      <c r="D92" s="2082"/>
      <c r="E92" s="2082"/>
      <c r="F92" s="2083"/>
      <c r="G92" s="677">
        <f>SUM(G91:G91)</f>
        <v>0</v>
      </c>
      <c r="H92" s="678">
        <f>SUM(H91:H91)</f>
        <v>0</v>
      </c>
    </row>
    <row r="93" spans="1:8" ht="16.5">
      <c r="A93" s="2084" t="s">
        <v>528</v>
      </c>
      <c r="B93" s="2085"/>
      <c r="C93" s="2086"/>
      <c r="D93" s="2087"/>
      <c r="E93" s="2088"/>
      <c r="F93" s="2088"/>
      <c r="G93" s="2088"/>
      <c r="H93" s="2089"/>
    </row>
    <row r="94" spans="1:8" ht="5.25" customHeight="1">
      <c r="A94" s="669"/>
      <c r="B94" s="670"/>
      <c r="C94" s="670"/>
      <c r="D94" s="670"/>
      <c r="E94" s="670"/>
      <c r="F94" s="670"/>
      <c r="G94" s="670"/>
      <c r="H94" s="671"/>
    </row>
    <row r="95" spans="1:8" ht="16.5">
      <c r="A95" s="2071" t="s">
        <v>557</v>
      </c>
      <c r="B95" s="2072"/>
      <c r="C95" s="2072"/>
      <c r="D95" s="2072"/>
      <c r="E95" s="2072"/>
      <c r="F95" s="2072"/>
      <c r="G95" s="2072"/>
      <c r="H95" s="2073"/>
    </row>
    <row r="96" spans="1:8" ht="16.5">
      <c r="A96" s="2090" t="s">
        <v>558</v>
      </c>
      <c r="B96" s="2091"/>
      <c r="C96" s="2136"/>
      <c r="D96" s="681">
        <f>G43+G49+G56+G62+G68+G74+G80+G86+G92</f>
        <v>23.92</v>
      </c>
      <c r="E96" s="2137" t="s">
        <v>559</v>
      </c>
      <c r="F96" s="2137"/>
      <c r="G96" s="2137"/>
      <c r="H96" s="682">
        <f>H43+H49+H56+H62+H68+H74+H80+H86+H92</f>
        <v>0</v>
      </c>
    </row>
    <row r="97" spans="1:8" ht="16.5">
      <c r="A97" s="2090" t="s">
        <v>560</v>
      </c>
      <c r="B97" s="2091"/>
      <c r="C97" s="2136"/>
      <c r="D97" s="683"/>
      <c r="E97" s="2138" t="s">
        <v>561</v>
      </c>
      <c r="F97" s="2139"/>
      <c r="G97" s="2139"/>
      <c r="H97" s="2140">
        <f>H96*D97</f>
        <v>0</v>
      </c>
    </row>
    <row r="98" spans="1:8" ht="16.5">
      <c r="A98" s="2090" t="s">
        <v>562</v>
      </c>
      <c r="B98" s="2091"/>
      <c r="C98" s="2136"/>
      <c r="D98" s="681">
        <f>D96*D97</f>
        <v>0</v>
      </c>
      <c r="E98" s="2139"/>
      <c r="F98" s="2139"/>
      <c r="G98" s="2139"/>
      <c r="H98" s="2141"/>
    </row>
    <row r="99" spans="1:8" ht="5.25" customHeight="1">
      <c r="A99" s="669"/>
      <c r="B99" s="670"/>
      <c r="C99" s="670"/>
      <c r="D99" s="670"/>
      <c r="E99" s="670"/>
      <c r="F99" s="670"/>
      <c r="G99" s="670"/>
      <c r="H99" s="671"/>
    </row>
    <row r="100" spans="1:8" ht="16.5">
      <c r="A100" s="2071" t="s">
        <v>563</v>
      </c>
      <c r="B100" s="2072"/>
      <c r="C100" s="2072"/>
      <c r="D100" s="2072"/>
      <c r="E100" s="2072"/>
      <c r="F100" s="2072"/>
      <c r="G100" s="2072"/>
      <c r="H100" s="2073"/>
    </row>
    <row r="101" spans="1:8" ht="30" customHeight="1" thickBot="1">
      <c r="A101" s="2132"/>
      <c r="B101" s="2133"/>
      <c r="C101" s="2133"/>
      <c r="D101" s="2134"/>
      <c r="E101" s="2134"/>
      <c r="F101" s="2134"/>
      <c r="G101" s="2134"/>
      <c r="H101" s="2135"/>
    </row>
  </sheetData>
  <mergeCells count="110">
    <mergeCell ref="A100:H100"/>
    <mergeCell ref="A101:H101"/>
    <mergeCell ref="A93:C93"/>
    <mergeCell ref="D93:H93"/>
    <mergeCell ref="A95:H95"/>
    <mergeCell ref="A96:C96"/>
    <mergeCell ref="E96:G96"/>
    <mergeCell ref="A97:C97"/>
    <mergeCell ref="E97:G98"/>
    <mergeCell ref="H97:H98"/>
    <mergeCell ref="A98:C98"/>
    <mergeCell ref="A87:C87"/>
    <mergeCell ref="D87:H87"/>
    <mergeCell ref="A89:H89"/>
    <mergeCell ref="A90:C90"/>
    <mergeCell ref="A91:C91"/>
    <mergeCell ref="A92:F92"/>
    <mergeCell ref="A81:C81"/>
    <mergeCell ref="D81:H81"/>
    <mergeCell ref="A83:H83"/>
    <mergeCell ref="A84:C84"/>
    <mergeCell ref="A85:C85"/>
    <mergeCell ref="A86:F86"/>
    <mergeCell ref="A75:C75"/>
    <mergeCell ref="D75:H75"/>
    <mergeCell ref="A77:H77"/>
    <mergeCell ref="A78:C78"/>
    <mergeCell ref="A79:C79"/>
    <mergeCell ref="A80:F80"/>
    <mergeCell ref="A69:C69"/>
    <mergeCell ref="D69:H69"/>
    <mergeCell ref="A71:H71"/>
    <mergeCell ref="A72:C72"/>
    <mergeCell ref="A73:C73"/>
    <mergeCell ref="A74:F74"/>
    <mergeCell ref="A63:C63"/>
    <mergeCell ref="D63:H63"/>
    <mergeCell ref="A65:H65"/>
    <mergeCell ref="A66:C66"/>
    <mergeCell ref="A67:C67"/>
    <mergeCell ref="A68:F68"/>
    <mergeCell ref="A57:C57"/>
    <mergeCell ref="D57:H57"/>
    <mergeCell ref="A59:H59"/>
    <mergeCell ref="A60:C60"/>
    <mergeCell ref="A61:C61"/>
    <mergeCell ref="A62:F62"/>
    <mergeCell ref="A50:C51"/>
    <mergeCell ref="D50:H51"/>
    <mergeCell ref="A53:H53"/>
    <mergeCell ref="A54:C54"/>
    <mergeCell ref="A55:C55"/>
    <mergeCell ref="A56:F56"/>
    <mergeCell ref="A44:C44"/>
    <mergeCell ref="D44:H44"/>
    <mergeCell ref="A46:H46"/>
    <mergeCell ref="A47:C47"/>
    <mergeCell ref="A48:C48"/>
    <mergeCell ref="A49:F49"/>
    <mergeCell ref="A38:C38"/>
    <mergeCell ref="E38:G38"/>
    <mergeCell ref="A40:H40"/>
    <mergeCell ref="A41:C41"/>
    <mergeCell ref="A42:C42"/>
    <mergeCell ref="A43:F43"/>
    <mergeCell ref="A30:H30"/>
    <mergeCell ref="A31:H31"/>
    <mergeCell ref="A32:H32"/>
    <mergeCell ref="A34:G34"/>
    <mergeCell ref="A35:G35"/>
    <mergeCell ref="A36:G36"/>
    <mergeCell ref="H36:H37"/>
    <mergeCell ref="A37:G37"/>
    <mergeCell ref="A26:H26"/>
    <mergeCell ref="A27:C27"/>
    <mergeCell ref="E27:H27"/>
    <mergeCell ref="A28:C28"/>
    <mergeCell ref="D28:H28"/>
    <mergeCell ref="A29:H29"/>
    <mergeCell ref="A19:C19"/>
    <mergeCell ref="A20:C20"/>
    <mergeCell ref="A21:C21"/>
    <mergeCell ref="A22:C22"/>
    <mergeCell ref="A23:C23"/>
    <mergeCell ref="A24:C24"/>
    <mergeCell ref="A13:H13"/>
    <mergeCell ref="A14:C14"/>
    <mergeCell ref="A15:C15"/>
    <mergeCell ref="A16:C16"/>
    <mergeCell ref="A17:C17"/>
    <mergeCell ref="A18:C18"/>
    <mergeCell ref="C10:D10"/>
    <mergeCell ref="E10:F10"/>
    <mergeCell ref="C11:D11"/>
    <mergeCell ref="E11:F11"/>
    <mergeCell ref="C12:D12"/>
    <mergeCell ref="E12:F12"/>
    <mergeCell ref="C7:D7"/>
    <mergeCell ref="E7:F7"/>
    <mergeCell ref="C8:D8"/>
    <mergeCell ref="E8:F8"/>
    <mergeCell ref="C9:D9"/>
    <mergeCell ref="E9:F9"/>
    <mergeCell ref="A1:H1"/>
    <mergeCell ref="A2:H2"/>
    <mergeCell ref="A3:H3"/>
    <mergeCell ref="A4:H4"/>
    <mergeCell ref="A5:H5"/>
    <mergeCell ref="C6:D6"/>
    <mergeCell ref="E6:F6"/>
  </mergeCells>
  <pageMargins left="0.75" right="0.75" top="1" bottom="1" header="0.5" footer="0.5"/>
  <pageSetup scale="78" orientation="portrait" r:id="rId1"/>
  <headerFooter alignWithMargins="0"/>
  <rowBreaks count="2" manualBreakCount="2">
    <brk id="25" max="16383" man="1"/>
    <brk id="63" max="5" man="1"/>
  </rowBreaks>
  <legacyDrawing r:id="rId2"/>
</worksheet>
</file>

<file path=xl/worksheets/sheet219.xml><?xml version="1.0" encoding="utf-8"?>
<worksheet xmlns="http://schemas.openxmlformats.org/spreadsheetml/2006/main" xmlns:r="http://schemas.openxmlformats.org/officeDocument/2006/relationships">
  <sheetPr>
    <pageSetUpPr fitToPage="1"/>
  </sheetPr>
  <dimension ref="A1:L98"/>
  <sheetViews>
    <sheetView zoomScale="75" zoomScaleNormal="75" workbookViewId="0">
      <selection activeCell="E50" sqref="E50"/>
    </sheetView>
  </sheetViews>
  <sheetFormatPr defaultRowHeight="12.75"/>
  <cols>
    <col min="1" max="1" width="1.85546875" style="191" customWidth="1"/>
    <col min="2" max="2" width="9.140625" style="191"/>
    <col min="3" max="3" width="24.140625" style="191" customWidth="1"/>
    <col min="4" max="4" width="23.140625" style="191" customWidth="1"/>
    <col min="5" max="5" width="42.7109375" style="191" customWidth="1"/>
    <col min="6" max="6" width="10.42578125" style="191" customWidth="1"/>
    <col min="7" max="8" width="9.140625" style="191"/>
    <col min="9" max="9" width="13.5703125" style="191" customWidth="1"/>
    <col min="10" max="16384" width="9.140625" style="191"/>
  </cols>
  <sheetData>
    <row r="1" spans="1:12">
      <c r="A1" s="182"/>
      <c r="B1" s="2142" t="s">
        <v>438</v>
      </c>
      <c r="C1" s="2143"/>
      <c r="D1" s="2143"/>
      <c r="E1" s="182"/>
      <c r="F1" s="685"/>
      <c r="G1" s="182"/>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635</v>
      </c>
      <c r="C6" s="198" t="str">
        <f>+E12</f>
        <v>EQIP</v>
      </c>
      <c r="D6" s="199" t="s">
        <v>2394</v>
      </c>
      <c r="E6" s="199" t="s">
        <v>2395</v>
      </c>
      <c r="F6" s="198" t="s">
        <v>394</v>
      </c>
      <c r="G6" s="686">
        <f>+I25</f>
        <v>219.99447803813257</v>
      </c>
    </row>
    <row r="7" spans="1:12" ht="25.5">
      <c r="A7" s="182"/>
      <c r="B7" s="197">
        <f>+B6</f>
        <v>635</v>
      </c>
      <c r="C7" s="198" t="str">
        <f>+C6</f>
        <v>EQIP</v>
      </c>
      <c r="D7" s="199" t="s">
        <v>2394</v>
      </c>
      <c r="E7" s="199" t="str">
        <f>CONCATENATE(E6, "-HU")</f>
        <v xml:space="preserve"> Vegetated Treatment Area - Introduced Grasses - Conv. Till-HU</v>
      </c>
      <c r="F7" s="198" t="str">
        <f>+F6</f>
        <v>Acre</v>
      </c>
      <c r="G7" s="686">
        <f>+J25</f>
        <v>263.99337364575911</v>
      </c>
    </row>
    <row r="8" spans="1:12" ht="25.5">
      <c r="A8" s="182"/>
      <c r="B8" s="197">
        <f>+B7</f>
        <v>635</v>
      </c>
      <c r="C8" s="198" t="str">
        <f>+G12</f>
        <v>WHIP</v>
      </c>
      <c r="D8" s="199" t="s">
        <v>2394</v>
      </c>
      <c r="E8" s="199" t="s">
        <v>2395</v>
      </c>
      <c r="F8" s="198" t="s">
        <v>394</v>
      </c>
      <c r="G8" s="686">
        <f>+K25</f>
        <v>219.99447803813257</v>
      </c>
    </row>
    <row r="9" spans="1:12" ht="25.5">
      <c r="A9" s="182"/>
      <c r="B9" s="197">
        <f>+B8</f>
        <v>635</v>
      </c>
      <c r="C9" s="204" t="str">
        <f>+C8</f>
        <v>WHIP</v>
      </c>
      <c r="D9" s="199" t="s">
        <v>2394</v>
      </c>
      <c r="E9" s="205" t="str">
        <f>CONCATENATE(E6, "-HU")</f>
        <v xml:space="preserve"> Vegetated Treatment Area - Introduced Grasses - Conv. Till-HU</v>
      </c>
      <c r="F9" s="204" t="str">
        <f>+F8</f>
        <v>Acre</v>
      </c>
      <c r="G9" s="687">
        <f>+L25</f>
        <v>263.99337364575911</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179.74082917557618</v>
      </c>
      <c r="E16" s="226">
        <f>+'[38]Payment Factors'!D14</f>
        <v>0.75</v>
      </c>
      <c r="F16" s="226">
        <f>+'[38]Payment Factors'!E14</f>
        <v>0.9</v>
      </c>
      <c r="G16" s="226">
        <f>+'[38]Payment Factors'!F14</f>
        <v>0.75</v>
      </c>
      <c r="H16" s="226">
        <f>+'[38]Payment Factors'!G14</f>
        <v>0.9</v>
      </c>
      <c r="I16" s="689">
        <f t="shared" ref="I16:L24" si="0">+$D16*E16</f>
        <v>134.80562188168213</v>
      </c>
      <c r="J16" s="689">
        <f t="shared" si="0"/>
        <v>161.76674625801857</v>
      </c>
      <c r="K16" s="689">
        <f t="shared" si="0"/>
        <v>134.80562188168213</v>
      </c>
      <c r="L16" s="690">
        <f t="shared" si="0"/>
        <v>161.76674625801857</v>
      </c>
    </row>
    <row r="17" spans="1:12">
      <c r="A17" s="182"/>
      <c r="B17" s="215" t="s">
        <v>2</v>
      </c>
      <c r="C17" s="217"/>
      <c r="D17" s="688">
        <f>+I55</f>
        <v>89.285416666666663</v>
      </c>
      <c r="E17" s="226">
        <f t="shared" ref="E17:H19" si="1">+E16</f>
        <v>0.75</v>
      </c>
      <c r="F17" s="226">
        <f t="shared" si="1"/>
        <v>0.9</v>
      </c>
      <c r="G17" s="226">
        <f t="shared" si="1"/>
        <v>0.75</v>
      </c>
      <c r="H17" s="226">
        <f t="shared" si="1"/>
        <v>0.9</v>
      </c>
      <c r="I17" s="689">
        <f t="shared" si="0"/>
        <v>66.964062499999997</v>
      </c>
      <c r="J17" s="689">
        <f t="shared" si="0"/>
        <v>80.356875000000002</v>
      </c>
      <c r="K17" s="689">
        <f t="shared" si="0"/>
        <v>66.964062499999997</v>
      </c>
      <c r="L17" s="690">
        <f t="shared" si="0"/>
        <v>80.356875000000002</v>
      </c>
    </row>
    <row r="18" spans="1:12">
      <c r="A18" s="182"/>
      <c r="B18" s="215" t="s">
        <v>3</v>
      </c>
      <c r="C18" s="217"/>
      <c r="D18" s="688">
        <f>+I70</f>
        <v>15.75625</v>
      </c>
      <c r="E18" s="226">
        <f t="shared" si="1"/>
        <v>0.75</v>
      </c>
      <c r="F18" s="226">
        <f t="shared" si="1"/>
        <v>0.9</v>
      </c>
      <c r="G18" s="226">
        <f t="shared" si="1"/>
        <v>0.75</v>
      </c>
      <c r="H18" s="226">
        <f t="shared" si="1"/>
        <v>0.9</v>
      </c>
      <c r="I18" s="689">
        <f t="shared" si="0"/>
        <v>11.817187499999999</v>
      </c>
      <c r="J18" s="689">
        <f t="shared" si="0"/>
        <v>14.180624999999999</v>
      </c>
      <c r="K18" s="689">
        <f t="shared" si="0"/>
        <v>11.817187499999999</v>
      </c>
      <c r="L18" s="690">
        <f t="shared" si="0"/>
        <v>14.180624999999999</v>
      </c>
    </row>
    <row r="19" spans="1:12">
      <c r="A19" s="182"/>
      <c r="B19" s="215" t="s">
        <v>4</v>
      </c>
      <c r="C19" s="217"/>
      <c r="D19" s="688">
        <f>+I76</f>
        <v>8.5434748752672842</v>
      </c>
      <c r="E19" s="226">
        <f t="shared" si="1"/>
        <v>0.75</v>
      </c>
      <c r="F19" s="226">
        <f t="shared" si="1"/>
        <v>0.9</v>
      </c>
      <c r="G19" s="226">
        <f t="shared" si="1"/>
        <v>0.75</v>
      </c>
      <c r="H19" s="226">
        <f t="shared" si="1"/>
        <v>0.9</v>
      </c>
      <c r="I19" s="689">
        <f t="shared" si="0"/>
        <v>6.4076061564504627</v>
      </c>
      <c r="J19" s="689">
        <f t="shared" si="0"/>
        <v>7.6891273877405562</v>
      </c>
      <c r="K19" s="689">
        <f t="shared" si="0"/>
        <v>6.4076061564504627</v>
      </c>
      <c r="L19" s="690">
        <f t="shared" si="0"/>
        <v>7.6891273877405562</v>
      </c>
    </row>
    <row r="20" spans="1:12">
      <c r="A20" s="182"/>
      <c r="B20" s="215" t="s">
        <v>26</v>
      </c>
      <c r="C20" s="217"/>
      <c r="D20" s="688">
        <f>+I79</f>
        <v>15.5</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+I82</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+I85</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+I89</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+I92</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908.82597071751013</v>
      </c>
      <c r="E25" s="695"/>
      <c r="F25" s="695"/>
      <c r="G25" s="234"/>
      <c r="H25" s="234"/>
      <c r="I25" s="696">
        <f>SUM(I16:I24)</f>
        <v>219.99447803813257</v>
      </c>
      <c r="J25" s="696">
        <f>SUM(J16:J24)</f>
        <v>263.99337364575911</v>
      </c>
      <c r="K25" s="696">
        <f>SUM(K16:K24)</f>
        <v>219.99447803813257</v>
      </c>
      <c r="L25" s="697">
        <f>SUM(L16:L24)</f>
        <v>263.99337364575911</v>
      </c>
    </row>
    <row r="27" spans="1:12" ht="15.75">
      <c r="A27" s="182"/>
      <c r="B27" s="240" t="s">
        <v>28</v>
      </c>
      <c r="C27" s="182"/>
      <c r="D27" s="182"/>
      <c r="E27" s="182"/>
      <c r="F27" s="182"/>
      <c r="G27" s="182"/>
      <c r="H27" s="182"/>
      <c r="I27" s="241"/>
    </row>
    <row r="28" spans="1:12">
      <c r="A28" s="182"/>
      <c r="B28" s="242" t="s">
        <v>476</v>
      </c>
      <c r="C28" s="243"/>
      <c r="D28" s="243"/>
      <c r="E28" s="244"/>
      <c r="F28" s="244"/>
      <c r="G28" s="244"/>
      <c r="H28" s="244"/>
      <c r="I28" s="245"/>
    </row>
    <row r="29" spans="1:12">
      <c r="A29" s="182"/>
      <c r="B29" s="1847" t="s">
        <v>2396</v>
      </c>
      <c r="C29" s="247"/>
      <c r="D29" s="247"/>
      <c r="E29" s="254"/>
      <c r="F29" s="254"/>
      <c r="G29" s="254"/>
      <c r="H29" s="254"/>
      <c r="I29" s="248"/>
    </row>
    <row r="30" spans="1:12">
      <c r="A30" s="182"/>
      <c r="B30" s="251" t="s">
        <v>2397</v>
      </c>
      <c r="C30" s="247"/>
      <c r="D30" s="247"/>
      <c r="E30" s="254"/>
      <c r="F30" s="1848"/>
      <c r="G30" s="254"/>
      <c r="H30" s="254"/>
      <c r="I30" s="248"/>
    </row>
    <row r="31" spans="1:12">
      <c r="A31" s="182"/>
      <c r="B31" s="1847" t="s">
        <v>478</v>
      </c>
      <c r="C31" s="247"/>
      <c r="D31" s="247"/>
      <c r="E31" s="254"/>
      <c r="F31" s="254"/>
      <c r="G31" s="254"/>
      <c r="H31" s="254"/>
      <c r="I31" s="248"/>
    </row>
    <row r="32" spans="1:12">
      <c r="A32" s="182"/>
      <c r="B32" s="251" t="s">
        <v>2398</v>
      </c>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699">
        <f>+'[38]Payment Factors'!C14</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SUM(G42:G49)</f>
        <v>179.74082917557618</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+F42*E42</f>
        <v>0</v>
      </c>
      <c r="H42" s="254"/>
      <c r="I42" s="286"/>
    </row>
    <row r="43" spans="1:9">
      <c r="A43" s="182"/>
      <c r="B43" s="261" t="s">
        <v>451</v>
      </c>
      <c r="C43" s="268"/>
      <c r="D43" s="705" t="s">
        <v>452</v>
      </c>
      <c r="E43" s="706">
        <f>+'[38]Core Rates'!C203</f>
        <v>8.75</v>
      </c>
      <c r="F43" s="707">
        <v>2</v>
      </c>
      <c r="G43" s="708">
        <f t="shared" ref="G43:G49" si="2">+F43*E43</f>
        <v>17.5</v>
      </c>
      <c r="H43" s="254"/>
      <c r="I43" s="248"/>
    </row>
    <row r="44" spans="1:9">
      <c r="A44" s="182"/>
      <c r="B44" s="1849" t="s">
        <v>453</v>
      </c>
      <c r="C44" s="268"/>
      <c r="D44" s="711" t="s">
        <v>454</v>
      </c>
      <c r="E44" s="706">
        <f>+'[38]Core Rates'!C228</f>
        <v>0.82427536231884069</v>
      </c>
      <c r="F44" s="707">
        <v>50</v>
      </c>
      <c r="G44" s="708">
        <f t="shared" si="2"/>
        <v>41.213768115942031</v>
      </c>
      <c r="H44" s="254"/>
      <c r="I44" s="248"/>
    </row>
    <row r="45" spans="1:9">
      <c r="A45" s="182"/>
      <c r="B45" s="709" t="s">
        <v>455</v>
      </c>
      <c r="C45" s="710"/>
      <c r="D45" s="711" t="s">
        <v>454</v>
      </c>
      <c r="E45" s="706">
        <f>+'[38]Core Rates'!C235</f>
        <v>1.1702898550724636</v>
      </c>
      <c r="F45" s="707">
        <v>50</v>
      </c>
      <c r="G45" s="708">
        <f t="shared" si="2"/>
        <v>58.51449275362318</v>
      </c>
      <c r="H45" s="254"/>
      <c r="I45" s="248"/>
    </row>
    <row r="46" spans="1:9">
      <c r="A46" s="182"/>
      <c r="B46" s="709" t="s">
        <v>456</v>
      </c>
      <c r="C46" s="710"/>
      <c r="D46" s="705" t="s">
        <v>454</v>
      </c>
      <c r="E46" s="706">
        <f>+'[38]Core Rates'!C246</f>
        <v>0.58825136612021856</v>
      </c>
      <c r="F46" s="707">
        <v>50</v>
      </c>
      <c r="G46" s="708">
        <f t="shared" si="2"/>
        <v>29.412568306010929</v>
      </c>
      <c r="H46" s="254"/>
      <c r="I46" s="248"/>
    </row>
    <row r="47" spans="1:9">
      <c r="A47" s="182"/>
      <c r="B47" s="709" t="s">
        <v>479</v>
      </c>
      <c r="C47" s="710"/>
      <c r="D47" s="711" t="s">
        <v>454</v>
      </c>
      <c r="E47" s="706">
        <f>+'[39]Core Rates 2011'!BE307</f>
        <v>1.68</v>
      </c>
      <c r="F47" s="707">
        <v>10</v>
      </c>
      <c r="G47" s="708">
        <f t="shared" si="2"/>
        <v>16.8</v>
      </c>
      <c r="H47" s="254"/>
      <c r="I47" s="248"/>
    </row>
    <row r="48" spans="1:9">
      <c r="A48" s="182"/>
      <c r="B48" s="709" t="s">
        <v>480</v>
      </c>
      <c r="C48" s="710"/>
      <c r="D48" s="711" t="s">
        <v>454</v>
      </c>
      <c r="E48" s="706">
        <f>+'[39]Core Rates 2011'!BE308</f>
        <v>1.61</v>
      </c>
      <c r="F48" s="707">
        <v>5</v>
      </c>
      <c r="G48" s="708">
        <f t="shared" si="2"/>
        <v>8.0500000000000007</v>
      </c>
      <c r="H48" s="254"/>
      <c r="I48" s="248"/>
    </row>
    <row r="49" spans="1:9">
      <c r="A49" s="182"/>
      <c r="B49" s="709" t="s">
        <v>481</v>
      </c>
      <c r="C49" s="710"/>
      <c r="D49" s="711" t="s">
        <v>454</v>
      </c>
      <c r="E49" s="706">
        <f>+'[39]Core Rates 2011'!BE309</f>
        <v>2.75</v>
      </c>
      <c r="F49" s="707">
        <v>3</v>
      </c>
      <c r="G49" s="708">
        <f t="shared" si="2"/>
        <v>8.25</v>
      </c>
      <c r="H49" s="254"/>
      <c r="I49" s="248"/>
    </row>
    <row r="50" spans="1:9">
      <c r="A50" s="182"/>
      <c r="B50" s="1850"/>
      <c r="C50" s="268"/>
      <c r="D50" s="1851"/>
      <c r="E50" s="254"/>
      <c r="F50" s="254"/>
      <c r="G50" s="254"/>
      <c r="H50" s="254"/>
      <c r="I50" s="248"/>
    </row>
    <row r="51" spans="1:9">
      <c r="A51" s="182"/>
      <c r="B51" s="251" t="s">
        <v>43</v>
      </c>
      <c r="C51" s="268"/>
      <c r="D51" s="1851"/>
      <c r="E51" s="254"/>
      <c r="F51" s="254"/>
      <c r="G51" s="254"/>
      <c r="H51" s="254"/>
      <c r="I51" s="248"/>
    </row>
    <row r="52" spans="1:9">
      <c r="A52" s="182"/>
      <c r="B52" s="261" t="s">
        <v>457</v>
      </c>
      <c r="C52" s="268"/>
      <c r="D52" s="1851"/>
      <c r="E52" s="254"/>
      <c r="F52" s="254"/>
      <c r="G52" s="254"/>
      <c r="H52" s="254"/>
      <c r="I52" s="248"/>
    </row>
    <row r="53" spans="1:9">
      <c r="A53" s="182"/>
      <c r="B53" s="261" t="s">
        <v>458</v>
      </c>
      <c r="C53" s="268"/>
      <c r="D53" s="1851"/>
      <c r="E53" s="1852"/>
      <c r="F53" s="254"/>
      <c r="G53" s="254"/>
      <c r="H53" s="254"/>
      <c r="I53" s="248"/>
    </row>
    <row r="54" spans="1:9">
      <c r="A54" s="182"/>
      <c r="B54" s="1850"/>
      <c r="C54" s="268"/>
      <c r="D54" s="1851"/>
      <c r="E54" s="254"/>
      <c r="F54" s="254"/>
      <c r="G54" s="254"/>
      <c r="H54" s="254"/>
      <c r="I54" s="248"/>
    </row>
    <row r="55" spans="1:9">
      <c r="A55" s="182"/>
      <c r="B55" s="246" t="s">
        <v>2</v>
      </c>
      <c r="C55" s="254"/>
      <c r="D55" s="254"/>
      <c r="E55" s="2147" t="s">
        <v>459</v>
      </c>
      <c r="F55" s="2147"/>
      <c r="G55" s="2147"/>
      <c r="H55" s="2147"/>
      <c r="I55" s="702">
        <f>(SUM(G57:G63)*0.85)</f>
        <v>89.285416666666663</v>
      </c>
    </row>
    <row r="56" spans="1:9">
      <c r="A56" s="182"/>
      <c r="B56" s="703"/>
      <c r="C56" s="254"/>
      <c r="D56" s="704" t="s">
        <v>447</v>
      </c>
      <c r="E56" s="704" t="s">
        <v>448</v>
      </c>
      <c r="F56" s="704" t="s">
        <v>449</v>
      </c>
      <c r="G56" s="704" t="s">
        <v>450</v>
      </c>
      <c r="H56" s="254"/>
      <c r="I56" s="265"/>
    </row>
    <row r="57" spans="1:9">
      <c r="A57" s="182"/>
      <c r="B57" s="712" t="str">
        <f>+'[38]Core Rates'!A99</f>
        <v>Disking</v>
      </c>
      <c r="C57" s="268"/>
      <c r="D57" s="705" t="s">
        <v>408</v>
      </c>
      <c r="E57" s="706">
        <f>+'[38]Core Rates'!C99</f>
        <v>15</v>
      </c>
      <c r="F57" s="707">
        <v>2</v>
      </c>
      <c r="G57" s="708">
        <f t="shared" ref="G57:G63" si="3">+F57*E57</f>
        <v>30</v>
      </c>
      <c r="H57" s="254"/>
      <c r="I57" s="286"/>
    </row>
    <row r="58" spans="1:9">
      <c r="A58" s="182"/>
      <c r="B58" s="261" t="s">
        <v>482</v>
      </c>
      <c r="C58" s="268"/>
      <c r="D58" s="705" t="s">
        <v>408</v>
      </c>
      <c r="E58" s="706">
        <f>+'[38]Core Rates'!C144</f>
        <v>10.5</v>
      </c>
      <c r="F58" s="707">
        <v>1</v>
      </c>
      <c r="G58" s="708">
        <f t="shared" si="3"/>
        <v>10.5</v>
      </c>
      <c r="H58" s="254"/>
      <c r="I58" s="286"/>
    </row>
    <row r="59" spans="1:9">
      <c r="A59" s="182"/>
      <c r="B59" s="261" t="s">
        <v>461</v>
      </c>
      <c r="C59" s="268"/>
      <c r="D59" s="705" t="s">
        <v>408</v>
      </c>
      <c r="E59" s="706">
        <f>+'[38]Core Rates'!C104</f>
        <v>20</v>
      </c>
      <c r="F59" s="707">
        <v>1</v>
      </c>
      <c r="G59" s="708">
        <f t="shared" si="3"/>
        <v>20</v>
      </c>
      <c r="H59" s="254"/>
      <c r="I59" s="286"/>
    </row>
    <row r="60" spans="1:9">
      <c r="A60" s="182"/>
      <c r="B60" s="712" t="str">
        <f>+'[38]Core Rates'!A216</f>
        <v>Mowing</v>
      </c>
      <c r="C60" s="268"/>
      <c r="D60" s="1853" t="s">
        <v>408</v>
      </c>
      <c r="E60" s="1853">
        <f>+'[38]Core Rates'!C216</f>
        <v>15.5</v>
      </c>
      <c r="F60" s="707">
        <v>1</v>
      </c>
      <c r="G60" s="708">
        <f t="shared" si="3"/>
        <v>15.5</v>
      </c>
      <c r="H60" s="254"/>
      <c r="I60" s="286"/>
    </row>
    <row r="61" spans="1:9">
      <c r="A61" s="182"/>
      <c r="B61" s="261" t="s">
        <v>462</v>
      </c>
      <c r="C61" s="268"/>
      <c r="D61" s="705" t="s">
        <v>408</v>
      </c>
      <c r="E61" s="706">
        <f>+'[38]Core Rates'!AN33</f>
        <v>5.416666666666667</v>
      </c>
      <c r="F61" s="707">
        <v>1</v>
      </c>
      <c r="G61" s="708">
        <f t="shared" si="3"/>
        <v>5.416666666666667</v>
      </c>
      <c r="H61" s="254"/>
      <c r="I61" s="286"/>
    </row>
    <row r="62" spans="1:9">
      <c r="A62" s="182"/>
      <c r="B62" s="261" t="s">
        <v>463</v>
      </c>
      <c r="C62" s="268"/>
      <c r="D62" s="705" t="s">
        <v>452</v>
      </c>
      <c r="E62" s="706">
        <f>+'[38]Core Rates'!AN34</f>
        <v>5.5</v>
      </c>
      <c r="F62" s="707">
        <v>2</v>
      </c>
      <c r="G62" s="708">
        <f t="shared" si="3"/>
        <v>11</v>
      </c>
      <c r="H62" s="254"/>
      <c r="I62" s="286"/>
    </row>
    <row r="63" spans="1:9">
      <c r="A63" s="182"/>
      <c r="B63" s="261" t="s">
        <v>464</v>
      </c>
      <c r="C63" s="268"/>
      <c r="D63" s="705" t="s">
        <v>452</v>
      </c>
      <c r="E63" s="706">
        <f>+'[38]Core Rates'!AN32</f>
        <v>6.3125</v>
      </c>
      <c r="F63" s="707">
        <v>2</v>
      </c>
      <c r="G63" s="708">
        <f t="shared" si="3"/>
        <v>12.625</v>
      </c>
      <c r="H63" s="254"/>
      <c r="I63" s="286"/>
    </row>
    <row r="64" spans="1:9">
      <c r="A64" s="182"/>
      <c r="B64" s="261"/>
      <c r="C64" s="268"/>
      <c r="D64" s="269"/>
      <c r="E64" s="714"/>
      <c r="F64" s="714"/>
      <c r="G64" s="706"/>
      <c r="H64" s="254"/>
      <c r="I64" s="286"/>
    </row>
    <row r="65" spans="1:9">
      <c r="A65" s="182"/>
      <c r="B65" s="251" t="s">
        <v>43</v>
      </c>
      <c r="C65" s="254"/>
      <c r="D65" s="254"/>
      <c r="E65" s="272"/>
      <c r="F65" s="272"/>
      <c r="G65" s="272"/>
      <c r="H65" s="254"/>
      <c r="I65" s="265"/>
    </row>
    <row r="66" spans="1:9" ht="12.75" customHeight="1">
      <c r="A66" s="182"/>
      <c r="B66" s="2148" t="s">
        <v>457</v>
      </c>
      <c r="C66" s="2149"/>
      <c r="D66" s="2149"/>
      <c r="E66" s="2149"/>
      <c r="F66" s="2149"/>
      <c r="G66" s="2149"/>
      <c r="H66" s="2149"/>
      <c r="I66" s="2150"/>
    </row>
    <row r="67" spans="1:9">
      <c r="A67" s="182"/>
      <c r="B67" s="2148"/>
      <c r="C67" s="2149"/>
      <c r="D67" s="2149"/>
      <c r="E67" s="2149"/>
      <c r="F67" s="2149"/>
      <c r="G67" s="2149"/>
      <c r="H67" s="2149"/>
      <c r="I67" s="2150"/>
    </row>
    <row r="68" spans="1:9">
      <c r="A68" s="182"/>
      <c r="B68" s="715"/>
      <c r="C68" s="716"/>
      <c r="D68" s="716"/>
      <c r="E68" s="716"/>
      <c r="F68" s="716"/>
      <c r="G68" s="716"/>
      <c r="H68" s="716"/>
      <c r="I68" s="717"/>
    </row>
    <row r="69" spans="1:9">
      <c r="A69" s="182"/>
      <c r="B69" s="715"/>
      <c r="C69" s="716"/>
      <c r="D69" s="716"/>
      <c r="E69" s="716"/>
      <c r="F69" s="716"/>
      <c r="G69" s="716"/>
      <c r="H69" s="716"/>
      <c r="I69" s="717"/>
    </row>
    <row r="70" spans="1:9">
      <c r="A70" s="182"/>
      <c r="B70" s="246" t="s">
        <v>3</v>
      </c>
      <c r="C70" s="254"/>
      <c r="D70" s="254"/>
      <c r="E70" s="254"/>
      <c r="F70" s="256"/>
      <c r="G70" s="254"/>
      <c r="H70" s="254"/>
      <c r="I70" s="718">
        <f>E72</f>
        <v>15.75625</v>
      </c>
    </row>
    <row r="71" spans="1:9">
      <c r="A71" s="182"/>
      <c r="B71" s="2151" t="s">
        <v>465</v>
      </c>
      <c r="C71" s="2152"/>
      <c r="D71" s="254"/>
      <c r="E71" s="254"/>
      <c r="F71" s="254"/>
      <c r="G71" s="254"/>
      <c r="H71" s="254"/>
      <c r="I71" s="282"/>
    </row>
    <row r="72" spans="1:9">
      <c r="A72" s="182"/>
      <c r="B72" s="251" t="s">
        <v>466</v>
      </c>
      <c r="C72" s="256"/>
      <c r="D72" s="256"/>
      <c r="E72" s="720">
        <f>SUM(G57:G63)*0.15</f>
        <v>15.75625</v>
      </c>
      <c r="F72" s="254"/>
      <c r="G72" s="254"/>
      <c r="H72" s="254"/>
      <c r="I72" s="265"/>
    </row>
    <row r="73" spans="1:9">
      <c r="A73" s="182"/>
      <c r="B73" s="251"/>
      <c r="C73" s="256"/>
      <c r="D73" s="721"/>
      <c r="E73" s="720"/>
      <c r="F73" s="254"/>
      <c r="G73" s="254"/>
      <c r="H73" s="254"/>
      <c r="I73" s="265"/>
    </row>
    <row r="74" spans="1:9">
      <c r="A74" s="182"/>
      <c r="B74" s="251"/>
      <c r="C74" s="256"/>
      <c r="D74" s="722"/>
      <c r="E74" s="720"/>
      <c r="F74" s="254"/>
      <c r="G74" s="254"/>
      <c r="H74" s="254"/>
      <c r="I74" s="265"/>
    </row>
    <row r="75" spans="1:9">
      <c r="A75" s="182"/>
      <c r="B75" s="271"/>
      <c r="C75" s="254"/>
      <c r="D75" s="254"/>
      <c r="E75" s="254"/>
      <c r="F75" s="254"/>
      <c r="G75" s="254"/>
      <c r="H75" s="254"/>
      <c r="I75" s="248"/>
    </row>
    <row r="76" spans="1:9">
      <c r="A76" s="182"/>
      <c r="B76" s="246" t="s">
        <v>4</v>
      </c>
      <c r="C76" s="254"/>
      <c r="D76" s="254"/>
      <c r="E76" s="254"/>
      <c r="F76" s="254"/>
      <c r="G76" s="254"/>
      <c r="H76" s="254"/>
      <c r="I76" s="718">
        <f>0.03*(I40+I55+I70)</f>
        <v>8.5434748752672842</v>
      </c>
    </row>
    <row r="77" spans="1:9">
      <c r="A77" s="182"/>
      <c r="B77" s="271" t="s">
        <v>467</v>
      </c>
      <c r="C77" s="254"/>
      <c r="D77" s="254"/>
      <c r="E77" s="254"/>
      <c r="F77" s="254"/>
      <c r="G77" s="254"/>
      <c r="H77" s="254"/>
      <c r="I77" s="248"/>
    </row>
    <row r="78" spans="1:9">
      <c r="A78" s="182"/>
      <c r="B78" s="251"/>
      <c r="C78" s="254"/>
      <c r="D78" s="254"/>
      <c r="E78" s="254"/>
      <c r="F78" s="254"/>
      <c r="G78" s="254"/>
      <c r="H78" s="254"/>
      <c r="I78" s="248"/>
    </row>
    <row r="79" spans="1:9">
      <c r="A79" s="182"/>
      <c r="B79" s="246" t="s">
        <v>468</v>
      </c>
      <c r="C79" s="254"/>
      <c r="D79" s="254"/>
      <c r="E79" s="254"/>
      <c r="F79" s="254"/>
      <c r="G79" s="254"/>
      <c r="H79" s="254"/>
      <c r="I79" s="718">
        <f>+'[38]Core Rates'!C216</f>
        <v>15.5</v>
      </c>
    </row>
    <row r="80" spans="1:9">
      <c r="A80" s="182"/>
      <c r="B80" s="271" t="s">
        <v>469</v>
      </c>
      <c r="C80" s="254"/>
      <c r="D80" s="254"/>
      <c r="E80" s="254"/>
      <c r="F80" s="254"/>
      <c r="G80" s="254"/>
      <c r="H80" s="254"/>
      <c r="I80" s="248"/>
    </row>
    <row r="81" spans="1:9">
      <c r="A81" s="182"/>
      <c r="B81" s="251"/>
      <c r="C81" s="254"/>
      <c r="D81" s="254"/>
      <c r="E81" s="254"/>
      <c r="F81" s="254"/>
      <c r="G81" s="254"/>
      <c r="H81" s="254"/>
      <c r="I81" s="248"/>
    </row>
    <row r="82" spans="1:9">
      <c r="A82" s="182"/>
      <c r="B82" s="246" t="s">
        <v>7</v>
      </c>
      <c r="C82" s="254"/>
      <c r="D82" s="254"/>
      <c r="E82" s="254"/>
      <c r="F82" s="254"/>
      <c r="G82" s="254"/>
      <c r="H82" s="254"/>
      <c r="I82" s="702">
        <v>0</v>
      </c>
    </row>
    <row r="83" spans="1:9">
      <c r="A83" s="182"/>
      <c r="B83" s="271" t="s">
        <v>470</v>
      </c>
      <c r="C83" s="254"/>
      <c r="D83" s="254"/>
      <c r="E83" s="254"/>
      <c r="F83" s="254"/>
      <c r="G83" s="254"/>
      <c r="H83" s="254"/>
      <c r="I83" s="248"/>
    </row>
    <row r="84" spans="1:9">
      <c r="A84" s="182"/>
      <c r="B84" s="251"/>
      <c r="C84" s="254"/>
      <c r="D84" s="254"/>
      <c r="E84" s="254"/>
      <c r="F84" s="254"/>
      <c r="G84" s="254"/>
      <c r="H84" s="254"/>
      <c r="I84" s="248"/>
    </row>
    <row r="85" spans="1:9">
      <c r="A85" s="182"/>
      <c r="B85" s="246" t="s">
        <v>471</v>
      </c>
      <c r="C85" s="254"/>
      <c r="D85" s="254"/>
      <c r="E85" s="254"/>
      <c r="F85" s="256"/>
      <c r="G85" s="254"/>
      <c r="H85" s="254"/>
      <c r="I85" s="702">
        <v>600</v>
      </c>
    </row>
    <row r="86" spans="1:9">
      <c r="A86" s="182"/>
      <c r="B86" s="726" t="s">
        <v>1350</v>
      </c>
      <c r="C86" s="254"/>
      <c r="D86" s="254"/>
      <c r="E86" s="254"/>
      <c r="F86" s="254"/>
      <c r="G86" s="254"/>
      <c r="H86" s="254"/>
      <c r="I86" s="286"/>
    </row>
    <row r="87" spans="1:9">
      <c r="A87" s="182"/>
      <c r="B87" s="726"/>
      <c r="C87" s="254"/>
      <c r="D87" s="254"/>
      <c r="E87" s="254"/>
      <c r="F87" s="254"/>
      <c r="G87" s="254"/>
      <c r="H87" s="254"/>
      <c r="I87" s="286"/>
    </row>
    <row r="88" spans="1:9">
      <c r="A88" s="182"/>
      <c r="B88" s="251"/>
      <c r="C88" s="254"/>
      <c r="D88" s="254"/>
      <c r="E88" s="254"/>
      <c r="F88" s="254"/>
      <c r="G88" s="254"/>
      <c r="H88" s="254"/>
      <c r="I88" s="248"/>
    </row>
    <row r="89" spans="1:9">
      <c r="A89" s="182"/>
      <c r="B89" s="246" t="s">
        <v>5</v>
      </c>
      <c r="C89" s="254"/>
      <c r="D89" s="254"/>
      <c r="E89" s="254"/>
      <c r="F89" s="254"/>
      <c r="G89" s="254"/>
      <c r="H89" s="254"/>
      <c r="I89" s="702">
        <v>0</v>
      </c>
    </row>
    <row r="90" spans="1:9">
      <c r="A90" s="182"/>
      <c r="B90" s="271" t="s">
        <v>104</v>
      </c>
      <c r="C90" s="254"/>
      <c r="D90" s="254"/>
      <c r="E90" s="254"/>
      <c r="F90" s="254"/>
      <c r="G90" s="254"/>
      <c r="H90" s="254"/>
      <c r="I90" s="286"/>
    </row>
    <row r="91" spans="1:9">
      <c r="A91" s="182"/>
      <c r="B91" s="251"/>
      <c r="C91" s="254"/>
      <c r="D91" s="254"/>
      <c r="E91" s="254"/>
      <c r="F91" s="254"/>
      <c r="G91" s="254"/>
      <c r="H91" s="254"/>
      <c r="I91" s="248"/>
    </row>
    <row r="92" spans="1:9">
      <c r="A92" s="182"/>
      <c r="B92" s="246" t="s">
        <v>20</v>
      </c>
      <c r="C92" s="254"/>
      <c r="D92" s="254"/>
      <c r="E92" s="254"/>
      <c r="F92" s="254"/>
      <c r="G92" s="254"/>
      <c r="H92" s="254"/>
      <c r="I92" s="702">
        <v>0</v>
      </c>
    </row>
    <row r="93" spans="1:9">
      <c r="A93" s="182"/>
      <c r="B93" s="271" t="s">
        <v>104</v>
      </c>
      <c r="C93" s="254"/>
      <c r="D93" s="254"/>
      <c r="E93" s="254"/>
      <c r="F93" s="254"/>
      <c r="G93" s="254"/>
      <c r="H93" s="254"/>
      <c r="I93" s="248"/>
    </row>
    <row r="94" spans="1:9">
      <c r="A94" s="182"/>
      <c r="B94" s="261"/>
      <c r="C94" s="254"/>
      <c r="D94" s="254"/>
      <c r="E94" s="254"/>
      <c r="F94" s="254"/>
      <c r="G94" s="254"/>
      <c r="H94" s="254"/>
      <c r="I94" s="248"/>
    </row>
    <row r="95" spans="1:9">
      <c r="A95" s="182"/>
      <c r="B95" s="246" t="s">
        <v>473</v>
      </c>
      <c r="C95" s="254"/>
      <c r="D95" s="254"/>
      <c r="E95" s="254"/>
      <c r="F95" s="254"/>
      <c r="G95" s="254"/>
      <c r="H95" s="254"/>
      <c r="I95" s="728">
        <f>+I40+I55+I70+I76+I82+I92</f>
        <v>293.32597071751013</v>
      </c>
    </row>
    <row r="96" spans="1:9" ht="15.75">
      <c r="A96" s="182"/>
      <c r="B96" s="271" t="s">
        <v>474</v>
      </c>
      <c r="C96" s="254"/>
      <c r="D96" s="254"/>
      <c r="E96" s="254"/>
      <c r="F96" s="254"/>
      <c r="G96" s="254"/>
      <c r="H96" s="254"/>
      <c r="I96" s="248"/>
    </row>
    <row r="97" spans="1:9">
      <c r="A97" s="182"/>
      <c r="B97" s="261"/>
      <c r="C97" s="254"/>
      <c r="D97" s="254"/>
      <c r="E97" s="254"/>
      <c r="F97" s="254"/>
      <c r="G97" s="254"/>
      <c r="H97" s="254"/>
      <c r="I97" s="248"/>
    </row>
    <row r="98" spans="1:9">
      <c r="A98" s="182"/>
      <c r="B98" s="287" t="s">
        <v>11</v>
      </c>
      <c r="C98" s="288"/>
      <c r="D98" s="288"/>
      <c r="E98" s="288"/>
      <c r="F98" s="288"/>
      <c r="G98" s="288"/>
      <c r="H98" s="288"/>
      <c r="I98" s="621">
        <f>SUM(I40:I92)</f>
        <v>908.82597071751013</v>
      </c>
    </row>
  </sheetData>
  <mergeCells count="4">
    <mergeCell ref="B1:D1"/>
    <mergeCell ref="E55:H55"/>
    <mergeCell ref="B66:I67"/>
    <mergeCell ref="B71:C71"/>
  </mergeCells>
  <pageMargins left="0.75" right="0.75" top="1" bottom="1" header="0.5" footer="0.5"/>
  <pageSetup scale="50" orientation="portrait" r:id="rId1"/>
  <headerFooter alignWithMargins="0"/>
</worksheet>
</file>

<file path=xl/worksheets/sheet22.xml><?xml version="1.0" encoding="utf-8"?>
<worksheet xmlns="http://schemas.openxmlformats.org/spreadsheetml/2006/main" xmlns:r="http://schemas.openxmlformats.org/officeDocument/2006/relationships">
  <dimension ref="B1:P107"/>
  <sheetViews>
    <sheetView zoomScaleNormal="100" workbookViewId="0">
      <selection activeCell="L28" sqref="L28"/>
    </sheetView>
  </sheetViews>
  <sheetFormatPr defaultRowHeight="12.75"/>
  <cols>
    <col min="1" max="1" width="1.85546875" style="2" customWidth="1"/>
    <col min="2" max="2" width="11.5703125" style="2" customWidth="1"/>
    <col min="3" max="3" width="18.7109375" style="2" customWidth="1"/>
    <col min="4" max="4" width="23.5703125" style="2" customWidth="1"/>
    <col min="5" max="5" width="21.5703125" style="2" customWidth="1"/>
    <col min="6" max="6" width="10.85546875" style="2" customWidth="1"/>
    <col min="7" max="7" width="10.42578125" style="2" customWidth="1"/>
    <col min="8" max="8" width="9.140625" style="2" bestFit="1" customWidth="1"/>
    <col min="9" max="9" width="11" style="2" customWidth="1"/>
    <col min="10" max="10" width="1.4257812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5.5">
      <c r="B2" s="177" t="s">
        <v>42</v>
      </c>
      <c r="C2" s="79">
        <v>110</v>
      </c>
      <c r="D2" s="107" t="s">
        <v>163</v>
      </c>
      <c r="E2" s="107" t="s">
        <v>179</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25.5">
      <c r="B6" s="54">
        <v>110</v>
      </c>
      <c r="C6" s="7" t="str">
        <f>+E10</f>
        <v>EQIP</v>
      </c>
      <c r="D6" s="110" t="s">
        <v>163</v>
      </c>
      <c r="E6" s="110" t="s">
        <v>179</v>
      </c>
      <c r="F6" s="7" t="s">
        <v>38</v>
      </c>
      <c r="G6" s="85">
        <f>G23</f>
        <v>3780</v>
      </c>
      <c r="H6" s="89"/>
      <c r="I6" s="89"/>
      <c r="J6"/>
    </row>
    <row r="7" spans="2:10" ht="25.5" customHeight="1">
      <c r="B7" s="8">
        <v>110</v>
      </c>
      <c r="C7" s="10" t="s">
        <v>15</v>
      </c>
      <c r="D7" s="111" t="s">
        <v>163</v>
      </c>
      <c r="E7" s="111" t="s">
        <v>180</v>
      </c>
      <c r="F7" s="10" t="s">
        <v>38</v>
      </c>
      <c r="G7" s="86">
        <f>$H$23</f>
        <v>4536</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5040</v>
      </c>
      <c r="E16" s="160">
        <v>0.75</v>
      </c>
      <c r="F16" s="160">
        <v>0.9</v>
      </c>
      <c r="G16" s="73">
        <f t="shared" si="0"/>
        <v>3780</v>
      </c>
      <c r="H16" s="74">
        <f t="shared" si="0"/>
        <v>4536</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I60</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5040</v>
      </c>
      <c r="E23" s="28"/>
      <c r="F23" s="28"/>
      <c r="G23" s="51">
        <f>SUM(G14:G22)</f>
        <v>3780</v>
      </c>
      <c r="H23" s="77">
        <f>SUM(H14:H22)</f>
        <v>4536</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166</v>
      </c>
      <c r="E28" s="1955"/>
      <c r="F28" s="1955"/>
      <c r="G28" s="1955"/>
      <c r="H28" s="1955"/>
      <c r="I28" s="36"/>
    </row>
    <row r="29" spans="2:16">
      <c r="B29" s="42"/>
      <c r="C29" s="34"/>
      <c r="D29" s="115"/>
      <c r="E29" s="97"/>
      <c r="F29" s="97"/>
      <c r="G29" s="97"/>
      <c r="H29" s="97"/>
      <c r="I29" s="36"/>
    </row>
    <row r="30" spans="2:16">
      <c r="B30" s="37" t="s">
        <v>41</v>
      </c>
      <c r="C30" s="34"/>
      <c r="D30" s="1956" t="s">
        <v>167</v>
      </c>
      <c r="E30" s="1957"/>
      <c r="F30" s="1957"/>
      <c r="G30" s="1957"/>
      <c r="H30" s="1957"/>
      <c r="I30" s="36"/>
    </row>
    <row r="31" spans="2:16">
      <c r="B31" s="91" t="s">
        <v>40</v>
      </c>
      <c r="C31" s="34"/>
      <c r="D31" s="1956" t="s">
        <v>181</v>
      </c>
      <c r="E31" s="1957"/>
      <c r="F31" s="1957"/>
      <c r="G31" s="1957"/>
      <c r="H31" s="1957"/>
      <c r="I31" s="36"/>
    </row>
    <row r="32" spans="2:16" ht="56.25" customHeight="1">
      <c r="B32" s="91" t="s">
        <v>33</v>
      </c>
      <c r="C32" s="90"/>
      <c r="D32" s="1956" t="s">
        <v>169</v>
      </c>
      <c r="E32" s="1957"/>
      <c r="F32" s="1957"/>
      <c r="G32" s="1957"/>
      <c r="H32" s="1957"/>
      <c r="I32" s="36"/>
    </row>
    <row r="33" spans="2:15" ht="87.75" customHeight="1">
      <c r="B33" s="91" t="s">
        <v>35</v>
      </c>
      <c r="C33" s="90"/>
      <c r="D33" s="1956" t="s">
        <v>170</v>
      </c>
      <c r="E33" s="1957"/>
      <c r="F33" s="1957"/>
      <c r="G33" s="1957"/>
      <c r="H33" s="1957"/>
      <c r="I33" s="36"/>
    </row>
    <row r="34" spans="2:15" ht="45" customHeight="1">
      <c r="B34" s="91" t="s">
        <v>34</v>
      </c>
      <c r="C34" s="90"/>
      <c r="D34" s="1956" t="s">
        <v>171</v>
      </c>
      <c r="E34" s="1957"/>
      <c r="F34" s="1957"/>
      <c r="G34" s="1957"/>
      <c r="H34" s="1957"/>
      <c r="I34" s="36"/>
    </row>
    <row r="35" spans="2:15" ht="6" customHeight="1">
      <c r="B35" s="37"/>
      <c r="C35" s="34"/>
      <c r="D35" s="34"/>
      <c r="E35" s="35"/>
      <c r="F35" s="35"/>
      <c r="G35" s="35"/>
      <c r="H35" s="35"/>
      <c r="I35" s="36"/>
    </row>
    <row r="36" spans="2:15">
      <c r="B36" s="38" t="s">
        <v>25</v>
      </c>
      <c r="C36" s="34"/>
      <c r="D36" s="1958" t="s">
        <v>42</v>
      </c>
      <c r="E36" s="1952"/>
      <c r="F36" s="1952"/>
      <c r="G36" s="1952"/>
      <c r="H36" s="1952"/>
      <c r="I36" s="36"/>
      <c r="J36" s="49"/>
    </row>
    <row r="37" spans="2:15">
      <c r="B37" s="38" t="s">
        <v>8</v>
      </c>
      <c r="C37" s="34"/>
      <c r="D37" s="39" t="s">
        <v>38</v>
      </c>
      <c r="E37" s="35"/>
      <c r="F37" s="35"/>
      <c r="G37" s="35"/>
      <c r="H37" s="35"/>
      <c r="I37" s="36"/>
    </row>
    <row r="38" spans="2:15">
      <c r="B38" s="38" t="s">
        <v>9</v>
      </c>
      <c r="C38" s="34"/>
      <c r="D38" s="92">
        <v>1</v>
      </c>
      <c r="E38" s="35"/>
      <c r="F38" s="35"/>
      <c r="G38" s="35"/>
      <c r="H38" s="35"/>
      <c r="I38" s="36"/>
    </row>
    <row r="39" spans="2:15">
      <c r="B39" s="38" t="s">
        <v>10</v>
      </c>
      <c r="C39" s="35"/>
      <c r="D39" s="93">
        <v>0</v>
      </c>
      <c r="E39" s="35"/>
      <c r="F39" s="35"/>
      <c r="G39" s="35"/>
      <c r="H39" s="35"/>
      <c r="I39" s="96" t="s">
        <v>6</v>
      </c>
    </row>
    <row r="40" spans="2:15">
      <c r="B40" s="40"/>
      <c r="C40" s="35"/>
      <c r="D40" s="35"/>
      <c r="E40" s="41"/>
      <c r="F40" s="35"/>
      <c r="G40" s="35"/>
      <c r="H40" s="35"/>
      <c r="I40" s="149"/>
      <c r="L40" s="64"/>
      <c r="M40" s="64"/>
      <c r="N40" s="61"/>
      <c r="O40" s="61"/>
    </row>
    <row r="41" spans="2:15">
      <c r="B41" s="42" t="s">
        <v>0</v>
      </c>
      <c r="C41" s="35"/>
      <c r="D41" s="35"/>
      <c r="E41" s="35"/>
      <c r="F41" s="35"/>
      <c r="G41" s="35"/>
      <c r="H41" s="35"/>
      <c r="I41" s="46">
        <v>0</v>
      </c>
      <c r="L41" s="64"/>
      <c r="M41" s="64"/>
      <c r="N41" s="61"/>
      <c r="O41" s="61"/>
    </row>
    <row r="42" spans="2:15" ht="14.25" customHeight="1">
      <c r="B42" s="37" t="s">
        <v>39</v>
      </c>
      <c r="C42" s="35"/>
      <c r="D42" s="166"/>
      <c r="E42" s="35"/>
      <c r="F42" s="35"/>
      <c r="G42" s="35"/>
      <c r="H42" s="35"/>
      <c r="I42" s="46"/>
      <c r="L42" s="64"/>
      <c r="M42" s="61"/>
    </row>
    <row r="43" spans="2:15" ht="6" customHeight="1">
      <c r="B43" s="62"/>
      <c r="C43" s="6"/>
      <c r="D43" s="63"/>
      <c r="E43" s="35"/>
      <c r="F43" s="35"/>
      <c r="G43" s="35"/>
      <c r="H43" s="35"/>
      <c r="I43" s="46"/>
      <c r="L43" s="64"/>
      <c r="M43" s="61"/>
    </row>
    <row r="44" spans="2:15">
      <c r="B44" s="42" t="s">
        <v>2</v>
      </c>
      <c r="C44" s="35"/>
      <c r="D44" s="66"/>
      <c r="E44" s="35"/>
      <c r="F44" s="35"/>
      <c r="G44" s="35"/>
      <c r="H44" s="35"/>
      <c r="I44" s="46">
        <v>0</v>
      </c>
      <c r="L44" s="64"/>
      <c r="M44" s="61"/>
    </row>
    <row r="45" spans="2:15" ht="12.75" customHeight="1">
      <c r="B45" s="1959" t="s">
        <v>39</v>
      </c>
      <c r="C45" s="1955"/>
      <c r="D45" s="1955"/>
      <c r="E45" s="1955"/>
      <c r="F45" s="1955"/>
      <c r="G45" s="1955"/>
      <c r="H45" s="1955"/>
      <c r="I45" s="46"/>
      <c r="L45" s="64"/>
      <c r="M45" s="61"/>
    </row>
    <row r="46" spans="2:15" ht="6" customHeight="1">
      <c r="B46" s="33"/>
      <c r="C46" s="35"/>
      <c r="D46" s="35"/>
      <c r="E46" s="60"/>
      <c r="F46" s="60"/>
      <c r="G46" s="60"/>
      <c r="H46" s="35"/>
      <c r="I46" s="46"/>
      <c r="L46" s="64"/>
      <c r="M46" s="61"/>
    </row>
    <row r="47" spans="2:15" ht="4.5" customHeight="1">
      <c r="B47" s="42"/>
      <c r="C47" s="35"/>
      <c r="D47" s="35"/>
      <c r="E47" s="35"/>
      <c r="F47" s="35"/>
      <c r="G47" s="58"/>
      <c r="H47" s="59"/>
      <c r="I47" s="46"/>
      <c r="L47" s="64"/>
      <c r="M47" s="61"/>
    </row>
    <row r="48" spans="2:15">
      <c r="B48" s="42" t="s">
        <v>3</v>
      </c>
      <c r="C48" s="35"/>
      <c r="D48" s="35"/>
      <c r="E48" s="35"/>
      <c r="F48" s="35"/>
      <c r="G48" s="35"/>
      <c r="H48" s="35"/>
      <c r="I48" s="46">
        <f>$H$51</f>
        <v>5040</v>
      </c>
      <c r="L48" s="64"/>
      <c r="M48" s="61"/>
    </row>
    <row r="49" spans="2:15" ht="12.75" customHeight="1">
      <c r="B49" s="1959" t="s">
        <v>44</v>
      </c>
      <c r="C49" s="1955"/>
      <c r="D49" s="1955"/>
      <c r="E49" s="1955"/>
      <c r="F49" s="1955"/>
      <c r="G49" s="1955"/>
      <c r="H49" s="1955"/>
      <c r="I49" s="46"/>
      <c r="L49" s="64"/>
      <c r="M49" s="61"/>
    </row>
    <row r="50" spans="2:15" ht="12.75" customHeight="1">
      <c r="B50" s="101"/>
      <c r="C50" s="102"/>
      <c r="D50" s="103" t="s">
        <v>45</v>
      </c>
      <c r="E50" s="104" t="s">
        <v>46</v>
      </c>
      <c r="F50" s="104" t="s">
        <v>6</v>
      </c>
      <c r="G50" s="104" t="s">
        <v>47</v>
      </c>
      <c r="H50" s="104" t="s">
        <v>48</v>
      </c>
      <c r="I50" s="46"/>
      <c r="L50" s="64"/>
      <c r="M50" s="61"/>
    </row>
    <row r="51" spans="2:15" ht="12.75" customHeight="1">
      <c r="B51" s="101"/>
      <c r="C51" s="97"/>
      <c r="D51" s="97" t="s">
        <v>3</v>
      </c>
      <c r="E51" s="105" t="s">
        <v>49</v>
      </c>
      <c r="F51" s="106">
        <v>56</v>
      </c>
      <c r="G51" s="97">
        <v>90</v>
      </c>
      <c r="H51" s="106">
        <f>F51*G51</f>
        <v>5040</v>
      </c>
      <c r="I51" s="46"/>
      <c r="L51" s="64"/>
      <c r="M51" s="61"/>
    </row>
    <row r="52" spans="2:15" ht="11.25" customHeight="1">
      <c r="B52" s="33"/>
      <c r="C52" s="35"/>
      <c r="D52" s="35"/>
      <c r="E52" s="35"/>
      <c r="F52" s="35"/>
      <c r="G52" s="35"/>
      <c r="H52" s="35"/>
      <c r="I52" s="48"/>
      <c r="L52" s="64"/>
      <c r="M52" s="61"/>
    </row>
    <row r="53" spans="2:15">
      <c r="B53" s="42" t="s">
        <v>4</v>
      </c>
      <c r="C53" s="35"/>
      <c r="D53" s="35"/>
      <c r="E53" s="35"/>
      <c r="F53" s="35"/>
      <c r="G53" s="35"/>
      <c r="H53" s="35"/>
      <c r="I53" s="48">
        <v>0</v>
      </c>
      <c r="L53" s="64"/>
      <c r="M53" s="61"/>
    </row>
    <row r="54" spans="2:15" ht="12" customHeight="1">
      <c r="B54" s="37" t="s">
        <v>39</v>
      </c>
      <c r="C54" s="35"/>
      <c r="D54" s="35"/>
      <c r="E54" s="35"/>
      <c r="F54" s="35"/>
      <c r="G54" s="35"/>
      <c r="H54" s="35"/>
      <c r="I54" s="36"/>
      <c r="L54" s="64"/>
      <c r="M54" s="61"/>
    </row>
    <row r="55" spans="2:15" ht="5.25" customHeight="1">
      <c r="B55" s="37"/>
      <c r="C55" s="35"/>
      <c r="D55" s="35"/>
      <c r="E55" s="35"/>
      <c r="F55" s="35"/>
      <c r="G55" s="35"/>
      <c r="H55" s="35"/>
      <c r="I55" s="36"/>
      <c r="L55" s="64"/>
      <c r="M55" s="61"/>
    </row>
    <row r="56" spans="2:15">
      <c r="B56" s="42" t="s">
        <v>26</v>
      </c>
      <c r="C56" s="35"/>
      <c r="D56" s="35"/>
      <c r="E56" s="35"/>
      <c r="F56" s="35"/>
      <c r="G56" s="35"/>
      <c r="H56" s="35"/>
      <c r="I56" s="46">
        <v>0</v>
      </c>
      <c r="L56" s="64"/>
      <c r="M56" s="61"/>
    </row>
    <row r="57" spans="2:15" ht="14.25" customHeight="1">
      <c r="B57" s="1959" t="s">
        <v>39</v>
      </c>
      <c r="C57" s="1960"/>
      <c r="D57" s="1960"/>
      <c r="E57" s="1960"/>
      <c r="F57" s="1960"/>
      <c r="G57" s="1960"/>
      <c r="H57" s="1960"/>
      <c r="I57" s="48"/>
      <c r="L57" s="64"/>
      <c r="M57" s="61"/>
    </row>
    <row r="58" spans="2:15" ht="12" customHeight="1">
      <c r="B58" s="1943"/>
      <c r="C58" s="1944"/>
      <c r="D58" s="1944"/>
      <c r="E58" s="1944"/>
      <c r="F58" s="1944"/>
      <c r="G58" s="1944"/>
      <c r="H58" s="35"/>
      <c r="I58" s="48"/>
      <c r="L58" s="64"/>
      <c r="M58" s="61"/>
    </row>
    <row r="59" spans="2:15" ht="9.75" customHeight="1">
      <c r="B59" s="37"/>
      <c r="C59" s="35"/>
      <c r="D59" s="35"/>
      <c r="E59" s="35"/>
      <c r="F59" s="35"/>
      <c r="G59" s="35"/>
      <c r="H59" s="35"/>
      <c r="I59" s="36"/>
      <c r="L59" s="64"/>
      <c r="M59" s="64"/>
    </row>
    <row r="60" spans="2:15">
      <c r="B60" s="42" t="s">
        <v>7</v>
      </c>
      <c r="C60" s="35"/>
      <c r="D60" s="35"/>
      <c r="E60" s="35"/>
      <c r="F60" s="35"/>
      <c r="G60" s="35"/>
      <c r="H60" s="35"/>
      <c r="I60" s="46">
        <v>0</v>
      </c>
      <c r="L60" s="64"/>
      <c r="M60" s="64"/>
      <c r="N60" s="64"/>
      <c r="O60" s="64"/>
    </row>
    <row r="61" spans="2:15" ht="12" customHeight="1">
      <c r="B61" s="33"/>
      <c r="C61" s="35"/>
      <c r="D61" s="35"/>
      <c r="E61" s="35"/>
      <c r="F61" s="35"/>
      <c r="G61" s="35"/>
      <c r="H61" s="35"/>
      <c r="I61" s="36"/>
      <c r="L61" s="64"/>
      <c r="M61" s="64"/>
      <c r="N61" s="61"/>
      <c r="O61" s="61"/>
    </row>
    <row r="62" spans="2:15" ht="6" customHeight="1">
      <c r="B62" s="37"/>
      <c r="C62" s="35"/>
      <c r="D62" s="35"/>
      <c r="E62" s="35"/>
      <c r="F62" s="35"/>
      <c r="G62" s="35"/>
      <c r="H62" s="35"/>
      <c r="I62" s="36"/>
      <c r="L62" s="64"/>
      <c r="M62" s="64"/>
      <c r="N62" s="65"/>
      <c r="O62" s="65"/>
    </row>
    <row r="63" spans="2:15">
      <c r="B63" s="42" t="s">
        <v>27</v>
      </c>
      <c r="C63" s="35"/>
      <c r="D63" s="35"/>
      <c r="E63" s="35"/>
      <c r="F63" s="35"/>
      <c r="G63" s="35"/>
      <c r="H63" s="35"/>
      <c r="I63" s="46">
        <v>0</v>
      </c>
      <c r="L63" s="64"/>
      <c r="M63" s="64"/>
      <c r="N63" s="61"/>
      <c r="O63" s="61"/>
    </row>
    <row r="64" spans="2:15" ht="13.5" customHeight="1">
      <c r="B64" s="37" t="s">
        <v>39</v>
      </c>
      <c r="C64" s="35"/>
      <c r="D64" s="35"/>
      <c r="E64" s="35"/>
      <c r="F64" s="35"/>
      <c r="G64" s="35"/>
      <c r="H64" s="35"/>
      <c r="I64" s="47"/>
      <c r="L64" s="64"/>
      <c r="M64" s="64"/>
      <c r="N64" s="65"/>
      <c r="O64" s="65"/>
    </row>
    <row r="65" spans="2:15" ht="3.75" customHeight="1">
      <c r="B65" s="37"/>
      <c r="C65" s="35"/>
      <c r="D65" s="35"/>
      <c r="E65" s="35"/>
      <c r="F65" s="35"/>
      <c r="G65" s="35"/>
      <c r="H65" s="35"/>
      <c r="I65" s="36"/>
      <c r="L65" s="64"/>
      <c r="M65" s="64"/>
      <c r="N65" s="61"/>
      <c r="O65" s="61"/>
    </row>
    <row r="66" spans="2:15">
      <c r="B66" s="42" t="s">
        <v>5</v>
      </c>
      <c r="C66" s="35"/>
      <c r="D66" s="35"/>
      <c r="E66" s="35"/>
      <c r="F66" s="35"/>
      <c r="G66" s="35"/>
      <c r="H66" s="35"/>
      <c r="I66" s="46">
        <v>0</v>
      </c>
      <c r="L66" s="64"/>
      <c r="M66" s="64"/>
      <c r="N66" s="61"/>
      <c r="O66" s="61"/>
    </row>
    <row r="67" spans="2:15" ht="11.25" customHeight="1">
      <c r="B67" s="37" t="s">
        <v>39</v>
      </c>
      <c r="C67" s="35"/>
      <c r="D67" s="35"/>
      <c r="E67" s="35"/>
      <c r="F67" s="35"/>
      <c r="G67" s="35"/>
      <c r="H67" s="35"/>
      <c r="I67" s="47"/>
      <c r="L67" s="64"/>
      <c r="M67" s="64"/>
      <c r="N67" s="64"/>
      <c r="O67" s="64"/>
    </row>
    <row r="68" spans="2:15" ht="4.5" customHeight="1">
      <c r="B68" s="37"/>
      <c r="C68" s="35"/>
      <c r="D68" s="35"/>
      <c r="E68" s="35"/>
      <c r="F68" s="35"/>
      <c r="G68" s="35"/>
      <c r="H68" s="35"/>
      <c r="I68" s="36"/>
      <c r="L68" s="64"/>
      <c r="M68" s="64"/>
      <c r="N68" s="64"/>
      <c r="O68" s="64"/>
    </row>
    <row r="69" spans="2:15">
      <c r="B69" s="42" t="s">
        <v>20</v>
      </c>
      <c r="C69" s="35"/>
      <c r="D69" s="35"/>
      <c r="E69" s="35"/>
      <c r="F69" s="35"/>
      <c r="G69" s="35"/>
      <c r="H69" s="35"/>
      <c r="I69" s="46">
        <v>0</v>
      </c>
      <c r="L69" s="64"/>
      <c r="M69" s="64"/>
      <c r="N69" s="61"/>
      <c r="O69" s="61"/>
    </row>
    <row r="70" spans="2:15" ht="12" customHeight="1">
      <c r="B70" s="37" t="s">
        <v>39</v>
      </c>
      <c r="C70" s="35"/>
      <c r="D70" s="35"/>
      <c r="E70" s="35"/>
      <c r="F70" s="35"/>
      <c r="G70" s="35"/>
      <c r="H70" s="35"/>
      <c r="I70" s="46"/>
      <c r="L70" s="64"/>
      <c r="M70" s="64"/>
      <c r="N70" s="61"/>
      <c r="O70" s="61"/>
    </row>
    <row r="71" spans="2:15" ht="6.75" customHeight="1">
      <c r="B71" s="42"/>
      <c r="C71" s="35"/>
      <c r="D71" s="35"/>
      <c r="E71" s="35"/>
      <c r="F71" s="35"/>
      <c r="G71" s="35"/>
      <c r="H71" s="35"/>
      <c r="I71" s="46"/>
      <c r="L71" s="64"/>
      <c r="M71" s="64"/>
      <c r="N71" s="61"/>
      <c r="O71" s="61"/>
    </row>
    <row r="72" spans="2:15" ht="5.25" customHeight="1">
      <c r="B72" s="40"/>
      <c r="C72" s="35"/>
      <c r="D72" s="35"/>
      <c r="E72" s="35"/>
      <c r="F72" s="35"/>
      <c r="G72" s="35"/>
      <c r="H72" s="35"/>
      <c r="I72" s="36"/>
      <c r="L72" s="64"/>
      <c r="M72" s="64"/>
      <c r="N72" s="64"/>
      <c r="O72" s="64"/>
    </row>
    <row r="73" spans="2:15">
      <c r="B73" s="43" t="s">
        <v>11</v>
      </c>
      <c r="C73" s="44"/>
      <c r="D73" s="44"/>
      <c r="E73" s="44"/>
      <c r="F73" s="44"/>
      <c r="G73" s="44"/>
      <c r="H73" s="44"/>
      <c r="I73" s="52">
        <f>+I69+I66+I63+I60+I56+I53+I48+I44+I41</f>
        <v>5040</v>
      </c>
      <c r="L73" s="64"/>
      <c r="M73" s="64"/>
      <c r="N73" s="64"/>
      <c r="O73" s="64"/>
    </row>
    <row r="96" spans="5:5">
      <c r="E96" s="57"/>
    </row>
    <row r="97" spans="5:5">
      <c r="E97" s="57"/>
    </row>
    <row r="98" spans="5:5">
      <c r="E98" s="57"/>
    </row>
    <row r="99" spans="5:5">
      <c r="E99" s="57"/>
    </row>
    <row r="100" spans="5:5">
      <c r="E100" s="57"/>
    </row>
    <row r="101" spans="5:5">
      <c r="E101" s="57"/>
    </row>
    <row r="103" spans="5:5">
      <c r="E103" s="57"/>
    </row>
    <row r="105" spans="5:5">
      <c r="E105" s="56"/>
    </row>
    <row r="107" spans="5:5">
      <c r="E107" s="57"/>
    </row>
  </sheetData>
  <mergeCells count="11">
    <mergeCell ref="D36:H36"/>
    <mergeCell ref="B45:H45"/>
    <mergeCell ref="B49:H49"/>
    <mergeCell ref="B57:H57"/>
    <mergeCell ref="B58:G58"/>
    <mergeCell ref="D34:H34"/>
    <mergeCell ref="D28:H28"/>
    <mergeCell ref="D30:H30"/>
    <mergeCell ref="D31:H31"/>
    <mergeCell ref="D32:H32"/>
    <mergeCell ref="D33:H33"/>
  </mergeCells>
  <pageMargins left="0.36" right="0.3" top="0.43" bottom="0.64" header="0.28000000000000003" footer="0.36"/>
  <pageSetup scale="71" orientation="portrait" r:id="rId1"/>
  <headerFooter alignWithMargins="0"/>
</worksheet>
</file>

<file path=xl/worksheets/sheet220.xml><?xml version="1.0" encoding="utf-8"?>
<worksheet xmlns="http://schemas.openxmlformats.org/spreadsheetml/2006/main" xmlns:r="http://schemas.openxmlformats.org/officeDocument/2006/relationships">
  <sheetPr>
    <pageSetUpPr fitToPage="1"/>
  </sheetPr>
  <dimension ref="A1:L97"/>
  <sheetViews>
    <sheetView topLeftCell="A31" zoomScale="75" zoomScaleNormal="75" workbookViewId="0">
      <selection activeCell="E50" sqref="E50"/>
    </sheetView>
  </sheetViews>
  <sheetFormatPr defaultRowHeight="12.75"/>
  <cols>
    <col min="1" max="1" width="1.85546875" style="191" customWidth="1"/>
    <col min="2" max="2" width="9.140625" style="191"/>
    <col min="3" max="3" width="24.140625" style="191" customWidth="1"/>
    <col min="4" max="4" width="23.140625" style="191" customWidth="1"/>
    <col min="5" max="5" width="42.7109375" style="191" customWidth="1"/>
    <col min="6" max="6" width="10.42578125" style="191" customWidth="1"/>
    <col min="7" max="8" width="9.140625" style="191"/>
    <col min="9" max="9" width="13.28515625" style="191" customWidth="1"/>
    <col min="10" max="16384" width="9.140625" style="191"/>
  </cols>
  <sheetData>
    <row r="1" spans="1:12">
      <c r="A1" s="182"/>
      <c r="B1" s="2142" t="s">
        <v>438</v>
      </c>
      <c r="C1" s="2143"/>
      <c r="D1" s="2143"/>
      <c r="E1" s="182"/>
      <c r="F1" s="685"/>
      <c r="G1" s="182"/>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635</v>
      </c>
      <c r="C6" s="198" t="str">
        <f>+E12</f>
        <v>EQIP</v>
      </c>
      <c r="D6" s="199" t="s">
        <v>2394</v>
      </c>
      <c r="E6" s="199" t="s">
        <v>2399</v>
      </c>
      <c r="F6" s="198" t="s">
        <v>394</v>
      </c>
      <c r="G6" s="686">
        <f>+I25</f>
        <v>245.10072803813259</v>
      </c>
    </row>
    <row r="7" spans="1:12" ht="25.5">
      <c r="A7" s="182"/>
      <c r="B7" s="197">
        <v>635</v>
      </c>
      <c r="C7" s="198" t="str">
        <f>+C6</f>
        <v>EQIP</v>
      </c>
      <c r="D7" s="199" t="s">
        <v>2394</v>
      </c>
      <c r="E7" s="199" t="str">
        <f>CONCATENATE(E6, "-HU")</f>
        <v xml:space="preserve"> Vegetated Treatment Area - Introduced Grasses - No Till-HU</v>
      </c>
      <c r="F7" s="198" t="str">
        <f>+F6</f>
        <v>Acre</v>
      </c>
      <c r="G7" s="686">
        <f>+J25</f>
        <v>294.1208736457591</v>
      </c>
    </row>
    <row r="8" spans="1:12" ht="25.5">
      <c r="A8" s="182"/>
      <c r="B8" s="197">
        <v>635</v>
      </c>
      <c r="C8" s="198" t="str">
        <f>+G12</f>
        <v>WHIP</v>
      </c>
      <c r="D8" s="199" t="s">
        <v>2394</v>
      </c>
      <c r="E8" s="199" t="s">
        <v>2399</v>
      </c>
      <c r="F8" s="198" t="s">
        <v>394</v>
      </c>
      <c r="G8" s="686">
        <f>+K25</f>
        <v>245.10072803813259</v>
      </c>
    </row>
    <row r="9" spans="1:12" ht="25.5">
      <c r="A9" s="182"/>
      <c r="B9" s="197">
        <v>635</v>
      </c>
      <c r="C9" s="204" t="str">
        <f>+C8</f>
        <v>WHIP</v>
      </c>
      <c r="D9" s="199" t="s">
        <v>2394</v>
      </c>
      <c r="E9" s="205" t="str">
        <f>CONCATENATE(E6, "-HU")</f>
        <v xml:space="preserve"> Vegetated Treatment Area - Introduced Grasses - No Till-HU</v>
      </c>
      <c r="F9" s="204" t="str">
        <f>+F8</f>
        <v>Acre</v>
      </c>
      <c r="G9" s="687">
        <f>+L25</f>
        <v>294.1208736457591</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179.74082917557618</v>
      </c>
      <c r="E16" s="226">
        <f>+'[38]Payment Factors'!D14</f>
        <v>0.75</v>
      </c>
      <c r="F16" s="226">
        <f>+'[38]Payment Factors'!E14</f>
        <v>0.9</v>
      </c>
      <c r="G16" s="226">
        <f>+'[38]Payment Factors'!F14</f>
        <v>0.75</v>
      </c>
      <c r="H16" s="226">
        <f>+'[38]Payment Factors'!G14</f>
        <v>0.9</v>
      </c>
      <c r="I16" s="689">
        <f t="shared" ref="I16:L24" si="0">+$D16*E16</f>
        <v>134.80562188168213</v>
      </c>
      <c r="J16" s="689">
        <f t="shared" si="0"/>
        <v>161.76674625801857</v>
      </c>
      <c r="K16" s="689">
        <f t="shared" si="0"/>
        <v>134.80562188168213</v>
      </c>
      <c r="L16" s="690">
        <f t="shared" si="0"/>
        <v>161.76674625801857</v>
      </c>
    </row>
    <row r="17" spans="1:12">
      <c r="A17" s="182"/>
      <c r="B17" s="215" t="s">
        <v>2</v>
      </c>
      <c r="C17" s="217"/>
      <c r="D17" s="688">
        <f>+I55</f>
        <v>116.91041666666668</v>
      </c>
      <c r="E17" s="226">
        <f t="shared" ref="E17:H19" si="1">+E16</f>
        <v>0.75</v>
      </c>
      <c r="F17" s="226">
        <f t="shared" si="1"/>
        <v>0.9</v>
      </c>
      <c r="G17" s="226">
        <f t="shared" si="1"/>
        <v>0.75</v>
      </c>
      <c r="H17" s="226">
        <f t="shared" si="1"/>
        <v>0.9</v>
      </c>
      <c r="I17" s="689">
        <f t="shared" si="0"/>
        <v>87.682812500000011</v>
      </c>
      <c r="J17" s="689">
        <f t="shared" si="0"/>
        <v>105.21937500000001</v>
      </c>
      <c r="K17" s="689">
        <f t="shared" si="0"/>
        <v>87.682812500000011</v>
      </c>
      <c r="L17" s="690">
        <f t="shared" si="0"/>
        <v>105.21937500000001</v>
      </c>
    </row>
    <row r="18" spans="1:12">
      <c r="A18" s="182"/>
      <c r="B18" s="215" t="s">
        <v>3</v>
      </c>
      <c r="C18" s="217"/>
      <c r="D18" s="688">
        <f>+I69</f>
        <v>20.631250000000001</v>
      </c>
      <c r="E18" s="226">
        <f t="shared" si="1"/>
        <v>0.75</v>
      </c>
      <c r="F18" s="226">
        <f t="shared" si="1"/>
        <v>0.9</v>
      </c>
      <c r="G18" s="226">
        <f t="shared" si="1"/>
        <v>0.75</v>
      </c>
      <c r="H18" s="226">
        <f t="shared" si="1"/>
        <v>0.9</v>
      </c>
      <c r="I18" s="689">
        <f t="shared" si="0"/>
        <v>15.473437500000001</v>
      </c>
      <c r="J18" s="689">
        <f t="shared" si="0"/>
        <v>18.568125000000002</v>
      </c>
      <c r="K18" s="689">
        <f t="shared" si="0"/>
        <v>15.473437500000001</v>
      </c>
      <c r="L18" s="690">
        <f t="shared" si="0"/>
        <v>18.568125000000002</v>
      </c>
    </row>
    <row r="19" spans="1:12">
      <c r="A19" s="182"/>
      <c r="B19" s="215" t="s">
        <v>4</v>
      </c>
      <c r="C19" s="217"/>
      <c r="D19" s="688">
        <f>+I75</f>
        <v>9.5184748752672856</v>
      </c>
      <c r="E19" s="226">
        <f t="shared" si="1"/>
        <v>0.75</v>
      </c>
      <c r="F19" s="226">
        <f t="shared" si="1"/>
        <v>0.9</v>
      </c>
      <c r="G19" s="226">
        <f t="shared" si="1"/>
        <v>0.75</v>
      </c>
      <c r="H19" s="226">
        <f t="shared" si="1"/>
        <v>0.9</v>
      </c>
      <c r="I19" s="689">
        <f t="shared" si="0"/>
        <v>7.1388561564504638</v>
      </c>
      <c r="J19" s="689">
        <f t="shared" si="0"/>
        <v>8.5666273877405565</v>
      </c>
      <c r="K19" s="689">
        <f t="shared" si="0"/>
        <v>7.1388561564504638</v>
      </c>
      <c r="L19" s="690">
        <f t="shared" si="0"/>
        <v>8.5666273877405565</v>
      </c>
    </row>
    <row r="20" spans="1:12">
      <c r="A20" s="182"/>
      <c r="B20" s="215" t="s">
        <v>26</v>
      </c>
      <c r="C20" s="217"/>
      <c r="D20" s="688">
        <f>+I78</f>
        <v>15.5</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+I81</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+I84</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+I88</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+I91</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942.30097071751015</v>
      </c>
      <c r="E25" s="695"/>
      <c r="F25" s="695"/>
      <c r="G25" s="234"/>
      <c r="H25" s="234"/>
      <c r="I25" s="696">
        <f>SUM(I16:I24)</f>
        <v>245.10072803813259</v>
      </c>
      <c r="J25" s="696">
        <f>SUM(J16:J24)</f>
        <v>294.1208736457591</v>
      </c>
      <c r="K25" s="696">
        <f>SUM(K16:K24)</f>
        <v>245.10072803813259</v>
      </c>
      <c r="L25" s="697">
        <f>SUM(L16:L24)</f>
        <v>294.1208736457591</v>
      </c>
    </row>
    <row r="27" spans="1:12" ht="15.75">
      <c r="A27" s="182"/>
      <c r="B27" s="240" t="s">
        <v>28</v>
      </c>
      <c r="C27" s="182"/>
      <c r="D27" s="182"/>
      <c r="E27" s="182"/>
      <c r="F27" s="182"/>
      <c r="G27" s="182"/>
      <c r="H27" s="182"/>
      <c r="I27" s="241"/>
    </row>
    <row r="28" spans="1:12">
      <c r="A28" s="182"/>
      <c r="B28" s="242" t="s">
        <v>485</v>
      </c>
      <c r="C28" s="243"/>
      <c r="D28" s="243"/>
      <c r="E28" s="244"/>
      <c r="F28" s="244"/>
      <c r="G28" s="244"/>
      <c r="H28" s="244"/>
      <c r="I28" s="245"/>
    </row>
    <row r="29" spans="1:12">
      <c r="A29" s="182"/>
      <c r="B29" s="1847" t="s">
        <v>2396</v>
      </c>
      <c r="C29" s="247"/>
      <c r="D29" s="247"/>
      <c r="E29" s="254"/>
      <c r="F29" s="254"/>
      <c r="G29" s="254"/>
      <c r="H29" s="254"/>
      <c r="I29" s="248"/>
    </row>
    <row r="30" spans="1:12">
      <c r="A30" s="182"/>
      <c r="B30" s="251" t="s">
        <v>2397</v>
      </c>
      <c r="C30" s="247"/>
      <c r="D30" s="247"/>
      <c r="E30" s="254"/>
      <c r="F30" s="1848"/>
      <c r="G30" s="254"/>
      <c r="H30" s="254"/>
      <c r="I30" s="248"/>
    </row>
    <row r="31" spans="1:12">
      <c r="A31" s="182"/>
      <c r="B31" s="1847" t="s">
        <v>478</v>
      </c>
      <c r="C31" s="247"/>
      <c r="D31" s="247"/>
      <c r="E31" s="254"/>
      <c r="F31" s="254"/>
      <c r="G31" s="254"/>
      <c r="H31" s="254"/>
      <c r="I31" s="248"/>
    </row>
    <row r="32" spans="1:12">
      <c r="A32" s="182"/>
      <c r="B32" s="251" t="s">
        <v>2398</v>
      </c>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699">
        <f>+'[38]Payment Factors'!C14</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SUM(G42:G49)</f>
        <v>179.74082917557618</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9" si="2">+F42*E42</f>
        <v>0</v>
      </c>
      <c r="H42" s="254"/>
      <c r="I42" s="286"/>
    </row>
    <row r="43" spans="1:9">
      <c r="A43" s="182"/>
      <c r="B43" s="261" t="s">
        <v>451</v>
      </c>
      <c r="C43" s="268"/>
      <c r="D43" s="705" t="s">
        <v>452</v>
      </c>
      <c r="E43" s="706">
        <f>+'[38]Core Rates'!C203</f>
        <v>8.75</v>
      </c>
      <c r="F43" s="707">
        <v>2</v>
      </c>
      <c r="G43" s="708">
        <f t="shared" si="2"/>
        <v>17.5</v>
      </c>
      <c r="H43" s="254"/>
      <c r="I43" s="248"/>
    </row>
    <row r="44" spans="1:9">
      <c r="A44" s="182"/>
      <c r="B44" s="1849" t="s">
        <v>453</v>
      </c>
      <c r="C44" s="268"/>
      <c r="D44" s="711" t="s">
        <v>454</v>
      </c>
      <c r="E44" s="706">
        <f>+'[38]Core Rates'!C228</f>
        <v>0.82427536231884069</v>
      </c>
      <c r="F44" s="707">
        <v>50</v>
      </c>
      <c r="G44" s="708">
        <f t="shared" si="2"/>
        <v>41.213768115942031</v>
      </c>
      <c r="H44" s="254"/>
      <c r="I44" s="248"/>
    </row>
    <row r="45" spans="1:9">
      <c r="A45" s="182"/>
      <c r="B45" s="709" t="s">
        <v>455</v>
      </c>
      <c r="C45" s="710"/>
      <c r="D45" s="711" t="s">
        <v>454</v>
      </c>
      <c r="E45" s="706">
        <f>+'[38]Core Rates'!C235</f>
        <v>1.1702898550724636</v>
      </c>
      <c r="F45" s="707">
        <v>50</v>
      </c>
      <c r="G45" s="708">
        <f t="shared" si="2"/>
        <v>58.51449275362318</v>
      </c>
      <c r="H45" s="254"/>
      <c r="I45" s="248"/>
    </row>
    <row r="46" spans="1:9">
      <c r="A46" s="182"/>
      <c r="B46" s="709" t="s">
        <v>456</v>
      </c>
      <c r="C46" s="710"/>
      <c r="D46" s="705" t="s">
        <v>454</v>
      </c>
      <c r="E46" s="706">
        <f>+'[38]Core Rates'!C246</f>
        <v>0.58825136612021856</v>
      </c>
      <c r="F46" s="707">
        <v>50</v>
      </c>
      <c r="G46" s="708">
        <f t="shared" si="2"/>
        <v>29.412568306010929</v>
      </c>
      <c r="H46" s="254"/>
      <c r="I46" s="248"/>
    </row>
    <row r="47" spans="1:9">
      <c r="A47" s="182"/>
      <c r="B47" s="709" t="s">
        <v>479</v>
      </c>
      <c r="C47" s="710"/>
      <c r="D47" s="711" t="s">
        <v>454</v>
      </c>
      <c r="E47" s="706">
        <f>+'[39]Core Rates 2011'!BE307</f>
        <v>1.68</v>
      </c>
      <c r="F47" s="707">
        <v>10</v>
      </c>
      <c r="G47" s="708">
        <f t="shared" si="2"/>
        <v>16.8</v>
      </c>
      <c r="H47" s="254"/>
      <c r="I47" s="248"/>
    </row>
    <row r="48" spans="1:9">
      <c r="A48" s="182"/>
      <c r="B48" s="709" t="s">
        <v>480</v>
      </c>
      <c r="C48" s="710"/>
      <c r="D48" s="711" t="s">
        <v>454</v>
      </c>
      <c r="E48" s="706">
        <f>+'[39]Core Rates 2011'!BE308</f>
        <v>1.61</v>
      </c>
      <c r="F48" s="707">
        <v>5</v>
      </c>
      <c r="G48" s="708">
        <f t="shared" si="2"/>
        <v>8.0500000000000007</v>
      </c>
      <c r="H48" s="254"/>
      <c r="I48" s="248"/>
    </row>
    <row r="49" spans="1:9">
      <c r="A49" s="182"/>
      <c r="B49" s="1849" t="str">
        <f>+'[38]Core Rates'!A312</f>
        <v>Seed (Red Clover)</v>
      </c>
      <c r="C49" s="710"/>
      <c r="D49" s="711" t="s">
        <v>454</v>
      </c>
      <c r="E49" s="706">
        <f>+'[39]Core Rates 2011'!BE309</f>
        <v>2.75</v>
      </c>
      <c r="F49" s="707">
        <v>3</v>
      </c>
      <c r="G49" s="708">
        <f t="shared" si="2"/>
        <v>8.25</v>
      </c>
      <c r="H49" s="254"/>
      <c r="I49" s="248"/>
    </row>
    <row r="50" spans="1:9">
      <c r="A50" s="182"/>
      <c r="B50" s="1850"/>
      <c r="C50" s="268"/>
      <c r="D50" s="1851"/>
      <c r="E50" s="254"/>
      <c r="F50" s="254"/>
      <c r="G50" s="254"/>
      <c r="H50" s="254"/>
      <c r="I50" s="248"/>
    </row>
    <row r="51" spans="1:9">
      <c r="A51" s="182"/>
      <c r="B51" s="251" t="s">
        <v>43</v>
      </c>
      <c r="C51" s="268"/>
      <c r="D51" s="1851"/>
      <c r="E51" s="254"/>
      <c r="F51" s="254"/>
      <c r="G51" s="254"/>
      <c r="H51" s="254"/>
      <c r="I51" s="248"/>
    </row>
    <row r="52" spans="1:9">
      <c r="A52" s="182"/>
      <c r="B52" s="261" t="s">
        <v>457</v>
      </c>
      <c r="C52" s="268"/>
      <c r="D52" s="1851"/>
      <c r="E52" s="254"/>
      <c r="F52" s="254"/>
      <c r="G52" s="254"/>
      <c r="H52" s="254"/>
      <c r="I52" s="248"/>
    </row>
    <row r="53" spans="1:9">
      <c r="A53" s="182"/>
      <c r="B53" s="261" t="s">
        <v>458</v>
      </c>
      <c r="C53" s="268"/>
      <c r="D53" s="1851"/>
      <c r="E53" s="1852"/>
      <c r="F53" s="254"/>
      <c r="G53" s="254"/>
      <c r="H53" s="254"/>
      <c r="I53" s="248"/>
    </row>
    <row r="54" spans="1:9">
      <c r="A54" s="182"/>
      <c r="B54" s="1850"/>
      <c r="C54" s="268"/>
      <c r="D54" s="1851"/>
      <c r="E54" s="254"/>
      <c r="F54" s="254"/>
      <c r="G54" s="254"/>
      <c r="H54" s="254"/>
      <c r="I54" s="248"/>
    </row>
    <row r="55" spans="1:9">
      <c r="A55" s="182"/>
      <c r="B55" s="246" t="s">
        <v>2</v>
      </c>
      <c r="C55" s="254"/>
      <c r="D55" s="254"/>
      <c r="E55" s="2147" t="s">
        <v>459</v>
      </c>
      <c r="F55" s="2147"/>
      <c r="G55" s="2147"/>
      <c r="H55" s="2147"/>
      <c r="I55" s="702">
        <f>(SUM(G57:G62)*0.85)</f>
        <v>116.91041666666668</v>
      </c>
    </row>
    <row r="56" spans="1:9">
      <c r="A56" s="182"/>
      <c r="B56" s="703"/>
      <c r="C56" s="254"/>
      <c r="D56" s="704" t="s">
        <v>447</v>
      </c>
      <c r="E56" s="704" t="s">
        <v>448</v>
      </c>
      <c r="F56" s="704" t="s">
        <v>449</v>
      </c>
      <c r="G56" s="704" t="s">
        <v>450</v>
      </c>
      <c r="H56" s="254"/>
      <c r="I56" s="265"/>
    </row>
    <row r="57" spans="1:9">
      <c r="A57" s="182"/>
      <c r="B57" s="712" t="s">
        <v>460</v>
      </c>
      <c r="C57" s="268"/>
      <c r="D57" s="705" t="s">
        <v>408</v>
      </c>
      <c r="E57" s="706">
        <f>+'[39]Core Rates 2011'!BE145</f>
        <v>36.5</v>
      </c>
      <c r="F57" s="707">
        <v>2</v>
      </c>
      <c r="G57" s="708">
        <f t="shared" ref="G57:G62" si="3">+F57*E57</f>
        <v>73</v>
      </c>
      <c r="H57" s="254"/>
      <c r="I57" s="286"/>
    </row>
    <row r="58" spans="1:9">
      <c r="A58" s="182"/>
      <c r="B58" s="261" t="s">
        <v>461</v>
      </c>
      <c r="C58" s="268"/>
      <c r="D58" s="705" t="s">
        <v>408</v>
      </c>
      <c r="E58" s="706">
        <f>+'[38]Core Rates'!C104</f>
        <v>20</v>
      </c>
      <c r="F58" s="707">
        <v>1</v>
      </c>
      <c r="G58" s="708">
        <f t="shared" si="3"/>
        <v>20</v>
      </c>
      <c r="H58" s="254"/>
      <c r="I58" s="286"/>
    </row>
    <row r="59" spans="1:9">
      <c r="A59" s="182"/>
      <c r="B59" s="712" t="str">
        <f>+'[38]Core Rates'!A216</f>
        <v>Mowing</v>
      </c>
      <c r="C59" s="268"/>
      <c r="D59" s="1853" t="s">
        <v>408</v>
      </c>
      <c r="E59" s="1853">
        <f>+'[38]Core Rates'!C216</f>
        <v>15.5</v>
      </c>
      <c r="F59" s="707">
        <v>1</v>
      </c>
      <c r="G59" s="708">
        <f t="shared" si="3"/>
        <v>15.5</v>
      </c>
      <c r="H59" s="254"/>
      <c r="I59" s="286"/>
    </row>
    <row r="60" spans="1:9">
      <c r="A60" s="182"/>
      <c r="B60" s="261" t="s">
        <v>462</v>
      </c>
      <c r="C60" s="268"/>
      <c r="D60" s="705" t="s">
        <v>408</v>
      </c>
      <c r="E60" s="706">
        <f>+'[38]Core Rates'!AN33</f>
        <v>5.416666666666667</v>
      </c>
      <c r="F60" s="707">
        <v>1</v>
      </c>
      <c r="G60" s="708">
        <f t="shared" si="3"/>
        <v>5.416666666666667</v>
      </c>
      <c r="H60" s="254"/>
      <c r="I60" s="286"/>
    </row>
    <row r="61" spans="1:9">
      <c r="A61" s="182"/>
      <c r="B61" s="261" t="s">
        <v>463</v>
      </c>
      <c r="C61" s="268"/>
      <c r="D61" s="705" t="s">
        <v>452</v>
      </c>
      <c r="E61" s="706">
        <f>+'[38]Core Rates'!AN34</f>
        <v>5.5</v>
      </c>
      <c r="F61" s="707">
        <v>2</v>
      </c>
      <c r="G61" s="708">
        <f t="shared" si="3"/>
        <v>11</v>
      </c>
      <c r="H61" s="254"/>
      <c r="I61" s="286"/>
    </row>
    <row r="62" spans="1:9">
      <c r="A62" s="182"/>
      <c r="B62" s="261" t="s">
        <v>464</v>
      </c>
      <c r="C62" s="268"/>
      <c r="D62" s="705" t="s">
        <v>452</v>
      </c>
      <c r="E62" s="706">
        <f>+'[38]Core Rates'!AN32</f>
        <v>6.3125</v>
      </c>
      <c r="F62" s="707">
        <v>2</v>
      </c>
      <c r="G62" s="708">
        <f t="shared" si="3"/>
        <v>12.625</v>
      </c>
      <c r="H62" s="254"/>
      <c r="I62" s="286"/>
    </row>
    <row r="63" spans="1:9">
      <c r="A63" s="182"/>
      <c r="B63" s="261"/>
      <c r="C63" s="268"/>
      <c r="D63" s="269"/>
      <c r="E63" s="714"/>
      <c r="F63" s="714"/>
      <c r="G63" s="706"/>
      <c r="H63" s="254"/>
      <c r="I63" s="286"/>
    </row>
    <row r="64" spans="1:9">
      <c r="A64" s="182"/>
      <c r="B64" s="251" t="s">
        <v>43</v>
      </c>
      <c r="C64" s="254"/>
      <c r="D64" s="254"/>
      <c r="E64" s="272"/>
      <c r="F64" s="272"/>
      <c r="G64" s="272"/>
      <c r="H64" s="254"/>
      <c r="I64" s="265"/>
    </row>
    <row r="65" spans="1:9" ht="12.75" customHeight="1">
      <c r="A65" s="182"/>
      <c r="B65" s="2148" t="s">
        <v>457</v>
      </c>
      <c r="C65" s="2149"/>
      <c r="D65" s="2149"/>
      <c r="E65" s="2149"/>
      <c r="F65" s="2149"/>
      <c r="G65" s="2149"/>
      <c r="H65" s="2149"/>
      <c r="I65" s="2150"/>
    </row>
    <row r="66" spans="1:9">
      <c r="A66" s="182"/>
      <c r="B66" s="2148"/>
      <c r="C66" s="2149"/>
      <c r="D66" s="2149"/>
      <c r="E66" s="2149"/>
      <c r="F66" s="2149"/>
      <c r="G66" s="2149"/>
      <c r="H66" s="2149"/>
      <c r="I66" s="2150"/>
    </row>
    <row r="67" spans="1:9">
      <c r="A67" s="182"/>
      <c r="B67" s="715"/>
      <c r="C67" s="716"/>
      <c r="D67" s="716"/>
      <c r="E67" s="716"/>
      <c r="F67" s="716"/>
      <c r="G67" s="716"/>
      <c r="H67" s="716"/>
      <c r="I67" s="717"/>
    </row>
    <row r="68" spans="1:9">
      <c r="A68" s="182"/>
      <c r="B68" s="715"/>
      <c r="C68" s="716"/>
      <c r="D68" s="716"/>
      <c r="E68" s="716"/>
      <c r="F68" s="716"/>
      <c r="G68" s="716"/>
      <c r="H68" s="716"/>
      <c r="I68" s="717"/>
    </row>
    <row r="69" spans="1:9">
      <c r="A69" s="182"/>
      <c r="B69" s="246" t="s">
        <v>3</v>
      </c>
      <c r="C69" s="254"/>
      <c r="D69" s="254"/>
      <c r="E69" s="254"/>
      <c r="F69" s="256"/>
      <c r="G69" s="254"/>
      <c r="H69" s="254"/>
      <c r="I69" s="718">
        <f>E71</f>
        <v>20.631250000000001</v>
      </c>
    </row>
    <row r="70" spans="1:9">
      <c r="A70" s="182"/>
      <c r="B70" s="2151" t="s">
        <v>465</v>
      </c>
      <c r="C70" s="2152"/>
      <c r="D70" s="254"/>
      <c r="E70" s="254"/>
      <c r="F70" s="254"/>
      <c r="G70" s="254"/>
      <c r="H70" s="254"/>
      <c r="I70" s="282"/>
    </row>
    <row r="71" spans="1:9">
      <c r="A71" s="182"/>
      <c r="B71" s="251" t="s">
        <v>466</v>
      </c>
      <c r="C71" s="256"/>
      <c r="D71" s="256"/>
      <c r="E71" s="720">
        <f>SUM(G57:G62)*0.15</f>
        <v>20.631250000000001</v>
      </c>
      <c r="F71" s="254"/>
      <c r="G71" s="254"/>
      <c r="H71" s="254"/>
      <c r="I71" s="265"/>
    </row>
    <row r="72" spans="1:9">
      <c r="A72" s="182"/>
      <c r="B72" s="251"/>
      <c r="C72" s="256"/>
      <c r="D72" s="721"/>
      <c r="E72" s="720"/>
      <c r="F72" s="254"/>
      <c r="G72" s="254"/>
      <c r="H72" s="254"/>
      <c r="I72" s="265"/>
    </row>
    <row r="73" spans="1:9">
      <c r="A73" s="182"/>
      <c r="B73" s="251"/>
      <c r="C73" s="256"/>
      <c r="D73" s="722"/>
      <c r="E73" s="720"/>
      <c r="F73" s="254"/>
      <c r="G73" s="254"/>
      <c r="H73" s="254"/>
      <c r="I73" s="265"/>
    </row>
    <row r="74" spans="1:9">
      <c r="A74" s="182"/>
      <c r="B74" s="271"/>
      <c r="C74" s="254"/>
      <c r="D74" s="254"/>
      <c r="E74" s="254"/>
      <c r="F74" s="254"/>
      <c r="G74" s="254"/>
      <c r="H74" s="254"/>
      <c r="I74" s="248"/>
    </row>
    <row r="75" spans="1:9">
      <c r="A75" s="182"/>
      <c r="B75" s="246" t="s">
        <v>4</v>
      </c>
      <c r="C75" s="254"/>
      <c r="D75" s="254"/>
      <c r="E75" s="254"/>
      <c r="F75" s="254"/>
      <c r="G75" s="254"/>
      <c r="H75" s="254"/>
      <c r="I75" s="718">
        <f>0.03*(I40+I55+I69)</f>
        <v>9.5184748752672856</v>
      </c>
    </row>
    <row r="76" spans="1:9">
      <c r="A76" s="182"/>
      <c r="B76" s="271" t="s">
        <v>467</v>
      </c>
      <c r="C76" s="254"/>
      <c r="D76" s="254"/>
      <c r="E76" s="254"/>
      <c r="F76" s="254"/>
      <c r="G76" s="254"/>
      <c r="H76" s="254"/>
      <c r="I76" s="248"/>
    </row>
    <row r="77" spans="1:9">
      <c r="A77" s="182"/>
      <c r="B77" s="251"/>
      <c r="C77" s="254"/>
      <c r="D77" s="254"/>
      <c r="E77" s="254"/>
      <c r="F77" s="254"/>
      <c r="G77" s="254"/>
      <c r="H77" s="254"/>
      <c r="I77" s="248"/>
    </row>
    <row r="78" spans="1:9">
      <c r="A78" s="182"/>
      <c r="B78" s="246" t="s">
        <v>468</v>
      </c>
      <c r="C78" s="254"/>
      <c r="D78" s="254"/>
      <c r="E78" s="254"/>
      <c r="F78" s="254"/>
      <c r="G78" s="254"/>
      <c r="H78" s="254"/>
      <c r="I78" s="718">
        <f>+'[38]Core Rates'!C216</f>
        <v>15.5</v>
      </c>
    </row>
    <row r="79" spans="1:9">
      <c r="A79" s="182"/>
      <c r="B79" s="271" t="s">
        <v>469</v>
      </c>
      <c r="C79" s="254"/>
      <c r="D79" s="254"/>
      <c r="E79" s="254"/>
      <c r="F79" s="254"/>
      <c r="G79" s="254"/>
      <c r="H79" s="254"/>
      <c r="I79" s="248"/>
    </row>
    <row r="80" spans="1:9">
      <c r="A80" s="182"/>
      <c r="B80" s="251"/>
      <c r="C80" s="254"/>
      <c r="D80" s="254"/>
      <c r="E80" s="254"/>
      <c r="F80" s="254"/>
      <c r="G80" s="254"/>
      <c r="H80" s="254"/>
      <c r="I80" s="248"/>
    </row>
    <row r="81" spans="1:9">
      <c r="A81" s="182"/>
      <c r="B81" s="246" t="s">
        <v>7</v>
      </c>
      <c r="C81" s="254"/>
      <c r="D81" s="254"/>
      <c r="E81" s="254"/>
      <c r="F81" s="254"/>
      <c r="G81" s="254"/>
      <c r="H81" s="254"/>
      <c r="I81" s="702">
        <v>0</v>
      </c>
    </row>
    <row r="82" spans="1:9">
      <c r="A82" s="182"/>
      <c r="B82" s="271" t="s">
        <v>470</v>
      </c>
      <c r="C82" s="254"/>
      <c r="D82" s="254"/>
      <c r="E82" s="254"/>
      <c r="F82" s="254"/>
      <c r="G82" s="254"/>
      <c r="H82" s="254"/>
      <c r="I82" s="248"/>
    </row>
    <row r="83" spans="1:9">
      <c r="A83" s="182"/>
      <c r="B83" s="251"/>
      <c r="C83" s="254"/>
      <c r="D83" s="254"/>
      <c r="E83" s="254"/>
      <c r="F83" s="254"/>
      <c r="G83" s="254"/>
      <c r="H83" s="254"/>
      <c r="I83" s="248"/>
    </row>
    <row r="84" spans="1:9">
      <c r="A84" s="182"/>
      <c r="B84" s="246" t="s">
        <v>471</v>
      </c>
      <c r="C84" s="254"/>
      <c r="D84" s="254"/>
      <c r="E84" s="254"/>
      <c r="F84" s="256"/>
      <c r="G84" s="254"/>
      <c r="H84" s="254"/>
      <c r="I84" s="702">
        <v>600</v>
      </c>
    </row>
    <row r="85" spans="1:9">
      <c r="A85" s="182"/>
      <c r="B85" s="726" t="s">
        <v>1350</v>
      </c>
      <c r="C85" s="254"/>
      <c r="D85" s="254"/>
      <c r="E85" s="254"/>
      <c r="F85" s="254"/>
      <c r="G85" s="254"/>
      <c r="H85" s="254"/>
      <c r="I85" s="286"/>
    </row>
    <row r="86" spans="1:9">
      <c r="A86" s="182"/>
      <c r="B86" s="726"/>
      <c r="C86" s="254"/>
      <c r="D86" s="254"/>
      <c r="E86" s="254"/>
      <c r="F86" s="254"/>
      <c r="G86" s="254"/>
      <c r="H86" s="254"/>
      <c r="I86" s="286"/>
    </row>
    <row r="87" spans="1:9">
      <c r="A87" s="182"/>
      <c r="B87" s="251"/>
      <c r="C87" s="254"/>
      <c r="D87" s="254"/>
      <c r="E87" s="254"/>
      <c r="F87" s="254"/>
      <c r="G87" s="254"/>
      <c r="H87" s="254"/>
      <c r="I87" s="248"/>
    </row>
    <row r="88" spans="1:9">
      <c r="A88" s="182"/>
      <c r="B88" s="246" t="s">
        <v>5</v>
      </c>
      <c r="C88" s="254"/>
      <c r="D88" s="254"/>
      <c r="E88" s="254"/>
      <c r="F88" s="254"/>
      <c r="G88" s="254"/>
      <c r="H88" s="254"/>
      <c r="I88" s="702">
        <v>0</v>
      </c>
    </row>
    <row r="89" spans="1:9">
      <c r="A89" s="182"/>
      <c r="B89" s="271" t="s">
        <v>104</v>
      </c>
      <c r="C89" s="254"/>
      <c r="D89" s="254"/>
      <c r="E89" s="254"/>
      <c r="F89" s="254"/>
      <c r="G89" s="254"/>
      <c r="H89" s="254"/>
      <c r="I89" s="286"/>
    </row>
    <row r="90" spans="1:9">
      <c r="A90" s="182"/>
      <c r="B90" s="251"/>
      <c r="C90" s="254"/>
      <c r="D90" s="254"/>
      <c r="E90" s="254"/>
      <c r="F90" s="254"/>
      <c r="G90" s="254"/>
      <c r="H90" s="254"/>
      <c r="I90" s="248"/>
    </row>
    <row r="91" spans="1:9">
      <c r="A91" s="182"/>
      <c r="B91" s="246" t="s">
        <v>20</v>
      </c>
      <c r="C91" s="254"/>
      <c r="D91" s="254"/>
      <c r="E91" s="254"/>
      <c r="F91" s="254"/>
      <c r="G91" s="254"/>
      <c r="H91" s="254"/>
      <c r="I91" s="702">
        <v>0</v>
      </c>
    </row>
    <row r="92" spans="1:9">
      <c r="A92" s="182"/>
      <c r="B92" s="271" t="s">
        <v>104</v>
      </c>
      <c r="C92" s="254"/>
      <c r="D92" s="254"/>
      <c r="E92" s="254"/>
      <c r="F92" s="254"/>
      <c r="G92" s="254"/>
      <c r="H92" s="254"/>
      <c r="I92" s="248"/>
    </row>
    <row r="93" spans="1:9">
      <c r="A93" s="182"/>
      <c r="B93" s="261"/>
      <c r="C93" s="254"/>
      <c r="D93" s="254"/>
      <c r="E93" s="254"/>
      <c r="F93" s="254"/>
      <c r="G93" s="254"/>
      <c r="H93" s="254"/>
      <c r="I93" s="248"/>
    </row>
    <row r="94" spans="1:9">
      <c r="A94" s="182"/>
      <c r="B94" s="246" t="s">
        <v>473</v>
      </c>
      <c r="C94" s="254"/>
      <c r="D94" s="254"/>
      <c r="E94" s="254"/>
      <c r="F94" s="254"/>
      <c r="G94" s="254"/>
      <c r="H94" s="254"/>
      <c r="I94" s="728">
        <f>+I40+I55+I69+I75+I81+I91</f>
        <v>326.80097071751015</v>
      </c>
    </row>
    <row r="95" spans="1:9" ht="15.75">
      <c r="A95" s="182"/>
      <c r="B95" s="271" t="s">
        <v>474</v>
      </c>
      <c r="C95" s="254"/>
      <c r="D95" s="254"/>
      <c r="E95" s="254"/>
      <c r="F95" s="254"/>
      <c r="G95" s="254"/>
      <c r="H95" s="254"/>
      <c r="I95" s="248"/>
    </row>
    <row r="96" spans="1:9">
      <c r="A96" s="182"/>
      <c r="B96" s="261"/>
      <c r="C96" s="254"/>
      <c r="D96" s="254"/>
      <c r="E96" s="254"/>
      <c r="F96" s="254"/>
      <c r="G96" s="254"/>
      <c r="H96" s="254"/>
      <c r="I96" s="248"/>
    </row>
    <row r="97" spans="1:9">
      <c r="A97" s="182"/>
      <c r="B97" s="287" t="s">
        <v>11</v>
      </c>
      <c r="C97" s="288"/>
      <c r="D97" s="288"/>
      <c r="E97" s="288"/>
      <c r="F97" s="288"/>
      <c r="G97" s="288"/>
      <c r="H97" s="288"/>
      <c r="I97" s="621">
        <f>SUM(I40:I91)</f>
        <v>942.30097071751015</v>
      </c>
    </row>
  </sheetData>
  <mergeCells count="4">
    <mergeCell ref="B1:D1"/>
    <mergeCell ref="E55:H55"/>
    <mergeCell ref="B65:I66"/>
    <mergeCell ref="B70:C70"/>
  </mergeCells>
  <pageMargins left="0.75" right="0.75" top="1" bottom="1" header="0.5" footer="0.5"/>
  <pageSetup scale="50" orientation="portrait" r:id="rId1"/>
  <headerFooter alignWithMargins="0"/>
</worksheet>
</file>

<file path=xl/worksheets/sheet221.xml><?xml version="1.0" encoding="utf-8"?>
<worksheet xmlns="http://schemas.openxmlformats.org/spreadsheetml/2006/main" xmlns:r="http://schemas.openxmlformats.org/officeDocument/2006/relationships">
  <sheetPr>
    <pageSetUpPr fitToPage="1"/>
  </sheetPr>
  <dimension ref="A1:L79"/>
  <sheetViews>
    <sheetView zoomScale="75" zoomScaleNormal="75" workbookViewId="0">
      <selection activeCell="A2" sqref="A2:XFD27"/>
    </sheetView>
  </sheetViews>
  <sheetFormatPr defaultRowHeight="12.75"/>
  <cols>
    <col min="1" max="1" width="1.85546875" customWidth="1"/>
    <col min="2" max="2" width="9.28515625" bestFit="1" customWidth="1"/>
    <col min="3" max="3" width="24.140625" customWidth="1"/>
    <col min="4" max="5" width="35.140625" customWidth="1"/>
    <col min="6" max="6" width="10.42578125" customWidth="1"/>
    <col min="7" max="7" width="10.28515625" bestFit="1" customWidth="1"/>
    <col min="8" max="8" width="9.28515625" bestFit="1" customWidth="1"/>
    <col min="9" max="9" width="11.28515625" bestFit="1" customWidth="1"/>
    <col min="10" max="10" width="10.28515625" bestFit="1" customWidth="1"/>
    <col min="11" max="12" width="9.28515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638</v>
      </c>
      <c r="C6" s="7" t="str">
        <f>+E12</f>
        <v>EQIP</v>
      </c>
      <c r="D6" s="53" t="s">
        <v>2400</v>
      </c>
      <c r="E6" s="53" t="s">
        <v>2401</v>
      </c>
      <c r="F6" s="7" t="str">
        <f>D36</f>
        <v>Each</v>
      </c>
      <c r="G6" s="85">
        <f>+I25</f>
        <v>871.77692981250004</v>
      </c>
    </row>
    <row r="7" spans="1:12">
      <c r="A7" s="2"/>
      <c r="B7" s="54">
        <f>+B6</f>
        <v>638</v>
      </c>
      <c r="C7" s="7" t="str">
        <f>+C6</f>
        <v>EQIP</v>
      </c>
      <c r="D7" s="53" t="s">
        <v>2400</v>
      </c>
      <c r="E7" s="53" t="str">
        <f>CONCATENATE(E6, "-HU")</f>
        <v>250 Cu yd fill, 5" dia. cpp, 6" riser-HU</v>
      </c>
      <c r="F7" s="7" t="str">
        <f>+F6</f>
        <v>Each</v>
      </c>
      <c r="G7" s="85">
        <f>+J25</f>
        <v>1046.1323157750001</v>
      </c>
    </row>
    <row r="8" spans="1:12">
      <c r="A8" s="2"/>
      <c r="B8" s="54">
        <v>638</v>
      </c>
      <c r="C8" s="7" t="str">
        <f>+G12</f>
        <v>WHIP</v>
      </c>
      <c r="D8" s="53" t="s">
        <v>2400</v>
      </c>
      <c r="E8" s="53" t="s">
        <v>2401</v>
      </c>
      <c r="F8" s="7" t="str">
        <f>D36</f>
        <v>Each</v>
      </c>
      <c r="G8" s="85">
        <f>+K25</f>
        <v>0</v>
      </c>
    </row>
    <row r="9" spans="1:12">
      <c r="A9" s="2"/>
      <c r="B9" s="8">
        <f>+B8</f>
        <v>638</v>
      </c>
      <c r="C9" s="10" t="str">
        <f>+C8</f>
        <v>WHIP</v>
      </c>
      <c r="D9" s="9" t="s">
        <v>2400</v>
      </c>
      <c r="E9" s="9" t="str">
        <f>CONCATENATE(E6, "-HU")</f>
        <v>250 Cu yd fill, 5" dia. cpp, 6" riser-HU</v>
      </c>
      <c r="F9" s="10" t="str">
        <f>+F8</f>
        <v>Each</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0</v>
      </c>
      <c r="E16" s="160">
        <f>+'[10]Payment Factors'!D47</f>
        <v>0.75</v>
      </c>
      <c r="F16" s="160">
        <f>+'[10]Payment Factors'!E47</f>
        <v>0.9</v>
      </c>
      <c r="G16" s="160">
        <f>+'[10]Payment Factors'!F19</f>
        <v>0</v>
      </c>
      <c r="H16" s="160">
        <f>+'[10]Payment Factors'!G19</f>
        <v>0</v>
      </c>
      <c r="I16" s="1154">
        <f t="shared" ref="I16:L24" si="0">+$D16*E16</f>
        <v>0</v>
      </c>
      <c r="J16" s="1154">
        <f t="shared" si="0"/>
        <v>0</v>
      </c>
      <c r="K16" s="1154">
        <f t="shared" si="0"/>
        <v>0</v>
      </c>
      <c r="L16" s="1155">
        <f t="shared" si="0"/>
        <v>0</v>
      </c>
    </row>
    <row r="17" spans="1:12">
      <c r="A17" s="2"/>
      <c r="B17" s="15" t="s">
        <v>2</v>
      </c>
      <c r="C17" s="16"/>
      <c r="D17" s="24">
        <f>+I43</f>
        <v>959.23675125</v>
      </c>
      <c r="E17" s="160">
        <f t="shared" ref="E17:H19" si="1">+E16</f>
        <v>0.75</v>
      </c>
      <c r="F17" s="160">
        <f t="shared" si="1"/>
        <v>0.9</v>
      </c>
      <c r="G17" s="160">
        <f t="shared" si="1"/>
        <v>0</v>
      </c>
      <c r="H17" s="160">
        <f t="shared" si="1"/>
        <v>0</v>
      </c>
      <c r="I17" s="1154">
        <f t="shared" si="0"/>
        <v>719.4275634375</v>
      </c>
      <c r="J17" s="1154">
        <f t="shared" si="0"/>
        <v>863.31307612500007</v>
      </c>
      <c r="K17" s="1154">
        <f t="shared" si="0"/>
        <v>0</v>
      </c>
      <c r="L17" s="1155">
        <f t="shared" si="0"/>
        <v>0</v>
      </c>
    </row>
    <row r="18" spans="1:12">
      <c r="A18" s="2"/>
      <c r="B18" s="15" t="s">
        <v>3</v>
      </c>
      <c r="C18" s="16"/>
      <c r="D18" s="24">
        <f>+I54</f>
        <v>169.27707375</v>
      </c>
      <c r="E18" s="160">
        <f t="shared" si="1"/>
        <v>0.75</v>
      </c>
      <c r="F18" s="160">
        <f t="shared" si="1"/>
        <v>0.9</v>
      </c>
      <c r="G18" s="160">
        <f t="shared" si="1"/>
        <v>0</v>
      </c>
      <c r="H18" s="160">
        <f t="shared" si="1"/>
        <v>0</v>
      </c>
      <c r="I18" s="1154">
        <f t="shared" si="0"/>
        <v>126.9578053125</v>
      </c>
      <c r="J18" s="1154">
        <f t="shared" si="0"/>
        <v>152.34936637500002</v>
      </c>
      <c r="K18" s="1154">
        <f t="shared" si="0"/>
        <v>0</v>
      </c>
      <c r="L18" s="1155">
        <f t="shared" si="0"/>
        <v>0</v>
      </c>
    </row>
    <row r="19" spans="1:12">
      <c r="A19" s="2"/>
      <c r="B19" s="15" t="s">
        <v>4</v>
      </c>
      <c r="C19" s="16"/>
      <c r="D19" s="24">
        <f>+I58</f>
        <v>33.855414750000001</v>
      </c>
      <c r="E19" s="160">
        <f t="shared" si="1"/>
        <v>0.75</v>
      </c>
      <c r="F19" s="160">
        <f t="shared" si="1"/>
        <v>0.9</v>
      </c>
      <c r="G19" s="160">
        <f t="shared" si="1"/>
        <v>0</v>
      </c>
      <c r="H19" s="160">
        <f t="shared" si="1"/>
        <v>0</v>
      </c>
      <c r="I19" s="1154">
        <f t="shared" si="0"/>
        <v>25.391561062500003</v>
      </c>
      <c r="J19" s="1154">
        <f t="shared" si="0"/>
        <v>30.469873275000001</v>
      </c>
      <c r="K19" s="1154">
        <f t="shared" si="0"/>
        <v>0</v>
      </c>
      <c r="L19" s="1155">
        <f t="shared" si="0"/>
        <v>0</v>
      </c>
    </row>
    <row r="20" spans="1:12">
      <c r="A20" s="2"/>
      <c r="B20" s="15" t="s">
        <v>26</v>
      </c>
      <c r="C20" s="16"/>
      <c r="D20" s="24">
        <f>+I61</f>
        <v>11.285138250000001</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+I64</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+I67</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+I70</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+I73</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1173.654378</v>
      </c>
      <c r="E25" s="1158"/>
      <c r="F25" s="1158"/>
      <c r="G25" s="28"/>
      <c r="H25" s="28"/>
      <c r="I25" s="1159">
        <f>SUM(I16:I24)</f>
        <v>871.77692981250004</v>
      </c>
      <c r="J25" s="1159">
        <f>SUM(J16:J24)</f>
        <v>1046.1323157750001</v>
      </c>
      <c r="K25" s="1159">
        <f>SUM(K16:K24)</f>
        <v>0</v>
      </c>
      <c r="L25" s="1160">
        <f>SUM(L16:L24)</f>
        <v>0</v>
      </c>
    </row>
    <row r="27" spans="1:12" ht="15.75">
      <c r="A27" s="2"/>
      <c r="B27" s="50" t="s">
        <v>28</v>
      </c>
      <c r="C27" s="2"/>
      <c r="D27" s="2"/>
      <c r="E27" s="2"/>
      <c r="F27" s="2"/>
      <c r="G27" s="2"/>
      <c r="H27" s="2"/>
      <c r="I27" s="5"/>
    </row>
    <row r="28" spans="1:12">
      <c r="A28" s="2"/>
      <c r="B28" s="29" t="s">
        <v>2402</v>
      </c>
      <c r="C28" s="30"/>
      <c r="D28" s="30"/>
      <c r="E28" s="31"/>
      <c r="F28" s="31"/>
      <c r="G28" s="31"/>
      <c r="H28" s="31"/>
      <c r="I28" s="32"/>
    </row>
    <row r="29" spans="1:12">
      <c r="A29" s="2"/>
      <c r="B29" s="1161" t="s">
        <v>2403</v>
      </c>
      <c r="C29" s="34"/>
      <c r="D29" s="34"/>
      <c r="E29" s="35"/>
      <c r="F29" s="35"/>
      <c r="G29" s="35"/>
      <c r="H29" s="35"/>
      <c r="I29" s="36"/>
    </row>
    <row r="30" spans="1:12">
      <c r="A30" s="2"/>
      <c r="B30" s="1161" t="s">
        <v>2404</v>
      </c>
      <c r="C30" s="143"/>
      <c r="D30" s="34"/>
      <c r="E30" s="35"/>
      <c r="F30" s="1163"/>
      <c r="G30" s="35"/>
      <c r="H30" s="35"/>
      <c r="I30" s="36"/>
    </row>
    <row r="31" spans="1:12">
      <c r="A31" s="2"/>
      <c r="B31" s="37" t="s">
        <v>2405</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Factors'!C47</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46">
        <v>0</v>
      </c>
    </row>
    <row r="41" spans="1:9">
      <c r="A41" s="2"/>
      <c r="B41" s="33" t="s">
        <v>104</v>
      </c>
      <c r="C41" s="35"/>
      <c r="D41" s="1167"/>
      <c r="E41" s="1167"/>
      <c r="F41" s="1167"/>
      <c r="G41" s="1167"/>
      <c r="H41" s="35"/>
      <c r="I41" s="36"/>
    </row>
    <row r="42" spans="1:9">
      <c r="A42" s="2"/>
      <c r="B42" s="40"/>
      <c r="C42" s="6"/>
      <c r="D42" s="1168"/>
      <c r="E42" s="1169"/>
      <c r="F42" s="1170"/>
      <c r="G42" s="1171"/>
      <c r="H42" s="35"/>
      <c r="I42" s="36"/>
    </row>
    <row r="43" spans="1:9">
      <c r="A43" s="2"/>
      <c r="B43" s="42" t="s">
        <v>2</v>
      </c>
      <c r="C43" s="35"/>
      <c r="D43" s="35"/>
      <c r="E43" s="2003" t="s">
        <v>459</v>
      </c>
      <c r="F43" s="2003"/>
      <c r="G43" s="2003"/>
      <c r="H43" s="2003"/>
      <c r="I43" s="1166">
        <f>(SUM(G45:G49)*0.85)</f>
        <v>959.23675125</v>
      </c>
    </row>
    <row r="44" spans="1:9">
      <c r="A44" s="2"/>
      <c r="B44" s="1174"/>
      <c r="C44" s="35"/>
      <c r="D44" s="1167" t="s">
        <v>447</v>
      </c>
      <c r="E44" s="1167" t="s">
        <v>448</v>
      </c>
      <c r="F44" s="1167" t="s">
        <v>449</v>
      </c>
      <c r="G44" s="1167" t="s">
        <v>450</v>
      </c>
      <c r="H44" s="35"/>
      <c r="I44" s="46"/>
    </row>
    <row r="45" spans="1:9">
      <c r="A45" s="2"/>
      <c r="B45" s="1188" t="str">
        <f>+'[40]Core Rates'!A105</f>
        <v>Earthmoving: Compacted Embankment</v>
      </c>
      <c r="C45" s="1376"/>
      <c r="D45" s="1384" t="str">
        <f>+'[40]Core Rates'!B105</f>
        <v>Cu Yd</v>
      </c>
      <c r="E45" s="1383">
        <f>+'[40]Core Rates'!C105</f>
        <v>2.5499999999999998</v>
      </c>
      <c r="F45" s="1170">
        <v>250</v>
      </c>
      <c r="G45" s="1171">
        <f>+F45*E45</f>
        <v>637.5</v>
      </c>
      <c r="H45" s="35"/>
      <c r="I45" s="47"/>
    </row>
    <row r="46" spans="1:9">
      <c r="A46" s="2"/>
      <c r="B46" s="1186" t="str">
        <f>+'[40]Core Rates'!A78</f>
        <v>Corrugated Plastic Pipe: 5" (Installed)</v>
      </c>
      <c r="C46" s="6"/>
      <c r="D46" s="1382" t="str">
        <f>+'[40]Core Rates'!B78</f>
        <v>Lin Ft</v>
      </c>
      <c r="E46" s="1383">
        <f>+'[40]Core Rates'!C78</f>
        <v>1.5407999999999999</v>
      </c>
      <c r="F46" s="1170">
        <v>200</v>
      </c>
      <c r="G46" s="1171">
        <f>+F46*E46</f>
        <v>308.15999999999997</v>
      </c>
      <c r="H46" s="35"/>
      <c r="I46" s="47"/>
    </row>
    <row r="47" spans="1:9">
      <c r="A47" s="2"/>
      <c r="B47" s="1186" t="str">
        <f>+'[40]Core Rates'!A279</f>
        <v>Schd 40 PVC Pipe: 6" (Installed)</v>
      </c>
      <c r="C47" s="6"/>
      <c r="D47" s="1382" t="str">
        <f>+'[40]Core Rates'!B279</f>
        <v>Lin Ft</v>
      </c>
      <c r="E47" s="1383">
        <f>+'[40]Core Rates'!C279</f>
        <v>5.1681000000000008</v>
      </c>
      <c r="F47" s="1170">
        <v>10</v>
      </c>
      <c r="G47" s="1171">
        <f>+F47*E47</f>
        <v>51.681000000000012</v>
      </c>
      <c r="H47" s="35"/>
      <c r="I47" s="47"/>
    </row>
    <row r="48" spans="1:9">
      <c r="A48" s="2"/>
      <c r="B48" s="1186" t="str">
        <f>+'[40]Core Rates'!A231</f>
        <v>Offset Riser: 6" Plastic Inlet Riser Kit (Inst)</v>
      </c>
      <c r="C48" s="6"/>
      <c r="D48" s="1382" t="str">
        <f>+'[40]Core Rates'!B231</f>
        <v>Ea</v>
      </c>
      <c r="E48" s="1383">
        <f>+'[40]Core Rates'!C231</f>
        <v>115.5</v>
      </c>
      <c r="F48" s="1170">
        <v>1</v>
      </c>
      <c r="G48" s="1171">
        <f>+F48*E48</f>
        <v>115.5</v>
      </c>
      <c r="H48" s="35"/>
      <c r="I48" s="47"/>
    </row>
    <row r="49" spans="1:9">
      <c r="A49" s="2"/>
      <c r="B49" s="1188" t="str">
        <f>+'[40]Core Rates'!A268</f>
        <v>Rodent Guard - 6" (Installed)</v>
      </c>
      <c r="C49" s="6"/>
      <c r="D49" s="1384" t="str">
        <f>+'[40]Core Rates'!B268</f>
        <v>Ea</v>
      </c>
      <c r="E49" s="1383">
        <f>+'[40]Core Rates'!C268</f>
        <v>15.672825000000001</v>
      </c>
      <c r="F49" s="1170">
        <v>1</v>
      </c>
      <c r="G49" s="1171">
        <f>+F49*E49</f>
        <v>15.672825000000001</v>
      </c>
      <c r="H49" s="35"/>
      <c r="I49" s="47"/>
    </row>
    <row r="50" spans="1:9">
      <c r="A50" s="2"/>
      <c r="B50" s="40"/>
      <c r="C50" s="6"/>
      <c r="D50" s="63"/>
      <c r="E50" s="150"/>
      <c r="F50" s="150"/>
      <c r="G50" s="1169"/>
      <c r="H50" s="35"/>
      <c r="I50" s="47"/>
    </row>
    <row r="51" spans="1:9">
      <c r="A51" s="2"/>
      <c r="B51" s="37" t="s">
        <v>43</v>
      </c>
      <c r="C51" s="35"/>
      <c r="D51" s="35"/>
      <c r="E51" s="60"/>
      <c r="F51" s="60"/>
      <c r="G51" s="60"/>
      <c r="H51" s="35"/>
      <c r="I51" s="46"/>
    </row>
    <row r="52" spans="1:9">
      <c r="A52" s="2"/>
      <c r="B52" s="1161" t="s">
        <v>457</v>
      </c>
      <c r="C52" s="1178"/>
      <c r="D52" s="1178"/>
      <c r="E52" s="1178"/>
      <c r="F52" s="1178"/>
      <c r="G52" s="1178"/>
      <c r="H52" s="1178"/>
      <c r="I52" s="1179"/>
    </row>
    <row r="53" spans="1:9">
      <c r="A53" s="2"/>
      <c r="B53" s="1177"/>
      <c r="C53" s="1178"/>
      <c r="D53" s="1178"/>
      <c r="E53" s="1178"/>
      <c r="F53" s="1178"/>
      <c r="G53" s="1178"/>
      <c r="H53" s="1178"/>
      <c r="I53" s="1179"/>
    </row>
    <row r="54" spans="1:9">
      <c r="A54" s="2"/>
      <c r="B54" s="42" t="s">
        <v>3</v>
      </c>
      <c r="C54" s="35"/>
      <c r="D54" s="35"/>
      <c r="E54" s="35"/>
      <c r="F54" s="39"/>
      <c r="G54" s="35"/>
      <c r="H54" s="35"/>
      <c r="I54" s="1182">
        <f>E56</f>
        <v>169.27707375</v>
      </c>
    </row>
    <row r="55" spans="1:9">
      <c r="A55" s="2"/>
      <c r="B55" s="2007" t="s">
        <v>465</v>
      </c>
      <c r="C55" s="2008"/>
      <c r="D55" s="35"/>
      <c r="E55" s="35"/>
      <c r="F55" s="35"/>
      <c r="G55" s="35"/>
      <c r="H55" s="35"/>
      <c r="I55" s="48"/>
    </row>
    <row r="56" spans="1:9">
      <c r="A56" s="2"/>
      <c r="B56" s="37" t="s">
        <v>466</v>
      </c>
      <c r="C56" s="39"/>
      <c r="D56" s="39"/>
      <c r="E56" s="153">
        <f>SUM(G45:G49)*0.15</f>
        <v>169.27707375</v>
      </c>
      <c r="F56" s="35"/>
      <c r="G56" s="35"/>
      <c r="H56" s="35"/>
      <c r="I56" s="46"/>
    </row>
    <row r="57" spans="1:9">
      <c r="A57" s="2"/>
      <c r="B57" s="33"/>
      <c r="C57" s="35"/>
      <c r="D57" s="35"/>
      <c r="E57" s="35"/>
      <c r="F57" s="35"/>
      <c r="G57" s="35"/>
      <c r="H57" s="35"/>
      <c r="I57" s="36"/>
    </row>
    <row r="58" spans="1:9">
      <c r="A58" s="2"/>
      <c r="B58" s="42" t="s">
        <v>4</v>
      </c>
      <c r="C58" s="35"/>
      <c r="D58" s="35"/>
      <c r="E58" s="35"/>
      <c r="F58" s="35"/>
      <c r="G58" s="35"/>
      <c r="H58" s="35"/>
      <c r="I58" s="1182">
        <f>0.03*(I40+I43+I54)</f>
        <v>33.855414750000001</v>
      </c>
    </row>
    <row r="59" spans="1:9">
      <c r="A59" s="2"/>
      <c r="B59" s="33" t="s">
        <v>467</v>
      </c>
      <c r="C59" s="35"/>
      <c r="D59" s="35"/>
      <c r="E59" s="35"/>
      <c r="F59" s="35"/>
      <c r="G59" s="35"/>
      <c r="H59" s="35"/>
      <c r="I59" s="36"/>
    </row>
    <row r="60" spans="1:9">
      <c r="A60" s="2"/>
      <c r="B60" s="37"/>
      <c r="C60" s="35"/>
      <c r="D60" s="35"/>
      <c r="E60" s="35"/>
      <c r="F60" s="35"/>
      <c r="G60" s="35"/>
      <c r="H60" s="35"/>
      <c r="I60" s="36"/>
    </row>
    <row r="61" spans="1:9">
      <c r="A61" s="2"/>
      <c r="B61" s="42" t="s">
        <v>468</v>
      </c>
      <c r="C61" s="35"/>
      <c r="D61" s="35"/>
      <c r="E61" s="35"/>
      <c r="F61" s="35"/>
      <c r="G61" s="35"/>
      <c r="H61" s="35"/>
      <c r="I61" s="1182">
        <f>0.01*(I40+I43+I54)</f>
        <v>11.285138250000001</v>
      </c>
    </row>
    <row r="62" spans="1:9">
      <c r="A62" s="2"/>
      <c r="B62" s="33" t="s">
        <v>749</v>
      </c>
      <c r="C62" s="35"/>
      <c r="D62" s="35"/>
      <c r="E62" s="35"/>
      <c r="F62" s="35"/>
      <c r="G62" s="35"/>
      <c r="H62" s="35"/>
      <c r="I62" s="36"/>
    </row>
    <row r="63" spans="1:9">
      <c r="A63" s="2"/>
      <c r="B63" s="37"/>
      <c r="C63" s="35"/>
      <c r="D63" s="35"/>
      <c r="E63" s="35"/>
      <c r="F63" s="35"/>
      <c r="G63" s="35"/>
      <c r="H63" s="35"/>
      <c r="I63" s="36"/>
    </row>
    <row r="64" spans="1:9">
      <c r="A64" s="2"/>
      <c r="B64" s="42" t="s">
        <v>7</v>
      </c>
      <c r="C64" s="35"/>
      <c r="D64" s="35"/>
      <c r="E64" s="35"/>
      <c r="F64" s="35"/>
      <c r="G64" s="35"/>
      <c r="H64" s="35"/>
      <c r="I64" s="1166">
        <v>0</v>
      </c>
    </row>
    <row r="65" spans="1:9">
      <c r="A65" s="2"/>
      <c r="B65" s="756" t="s">
        <v>104</v>
      </c>
      <c r="C65" s="35"/>
      <c r="D65" s="35"/>
      <c r="E65" s="35"/>
      <c r="F65" s="35"/>
      <c r="G65" s="35"/>
      <c r="H65" s="35"/>
      <c r="I65" s="36"/>
    </row>
    <row r="66" spans="1:9">
      <c r="A66" s="2"/>
      <c r="B66" s="37"/>
      <c r="C66" s="35"/>
      <c r="D66" s="35"/>
      <c r="E66" s="35"/>
      <c r="F66" s="35"/>
      <c r="G66" s="35"/>
      <c r="H66" s="35"/>
      <c r="I66" s="36"/>
    </row>
    <row r="67" spans="1:9">
      <c r="A67" s="2"/>
      <c r="B67" s="42" t="s">
        <v>471</v>
      </c>
      <c r="C67" s="35"/>
      <c r="D67" s="35"/>
      <c r="E67" s="35"/>
      <c r="F67" s="39"/>
      <c r="G67" s="35"/>
      <c r="H67" s="35"/>
      <c r="I67" s="1166">
        <v>0</v>
      </c>
    </row>
    <row r="68" spans="1:9">
      <c r="A68" s="2"/>
      <c r="B68" s="756" t="s">
        <v>104</v>
      </c>
      <c r="C68" s="35"/>
      <c r="D68" s="35"/>
      <c r="E68" s="35"/>
      <c r="F68" s="35"/>
      <c r="G68" s="35"/>
      <c r="H68" s="35"/>
      <c r="I68" s="47"/>
    </row>
    <row r="69" spans="1:9">
      <c r="A69" s="2"/>
      <c r="B69" s="37"/>
      <c r="C69" s="35"/>
      <c r="D69" s="35"/>
      <c r="E69" s="35"/>
      <c r="F69" s="35"/>
      <c r="G69" s="35"/>
      <c r="H69" s="35"/>
      <c r="I69" s="36"/>
    </row>
    <row r="70" spans="1:9">
      <c r="A70" s="2"/>
      <c r="B70" s="42" t="s">
        <v>5</v>
      </c>
      <c r="C70" s="35"/>
      <c r="D70" s="35"/>
      <c r="E70" s="35"/>
      <c r="F70" s="35"/>
      <c r="G70" s="35"/>
      <c r="H70" s="35"/>
      <c r="I70" s="1166">
        <v>0</v>
      </c>
    </row>
    <row r="71" spans="1:9">
      <c r="A71" s="2"/>
      <c r="B71" s="33" t="s">
        <v>104</v>
      </c>
      <c r="C71" s="35"/>
      <c r="D71" s="35"/>
      <c r="E71" s="35"/>
      <c r="F71" s="35"/>
      <c r="G71" s="35"/>
      <c r="H71" s="35"/>
      <c r="I71" s="47"/>
    </row>
    <row r="72" spans="1:9">
      <c r="A72" s="2"/>
      <c r="B72" s="37"/>
      <c r="C72" s="35"/>
      <c r="D72" s="35"/>
      <c r="E72" s="35"/>
      <c r="F72" s="35"/>
      <c r="G72" s="35"/>
      <c r="H72" s="35"/>
      <c r="I72" s="36"/>
    </row>
    <row r="73" spans="1:9">
      <c r="A73" s="2"/>
      <c r="B73" s="42" t="s">
        <v>20</v>
      </c>
      <c r="C73" s="35"/>
      <c r="D73" s="35"/>
      <c r="E73" s="35"/>
      <c r="F73" s="35"/>
      <c r="G73" s="35"/>
      <c r="H73" s="35"/>
      <c r="I73" s="1166">
        <v>0</v>
      </c>
    </row>
    <row r="74" spans="1:9">
      <c r="A74" s="2"/>
      <c r="B74" s="33" t="s">
        <v>104</v>
      </c>
      <c r="C74" s="35"/>
      <c r="D74" s="35"/>
      <c r="E74" s="35"/>
      <c r="F74" s="35"/>
      <c r="G74" s="35"/>
      <c r="H74" s="35"/>
      <c r="I74" s="36"/>
    </row>
    <row r="75" spans="1:9">
      <c r="A75" s="2"/>
      <c r="B75" s="40"/>
      <c r="C75" s="35"/>
      <c r="D75" s="35"/>
      <c r="E75" s="35"/>
      <c r="F75" s="35"/>
      <c r="G75" s="35"/>
      <c r="H75" s="35"/>
      <c r="I75" s="36"/>
    </row>
    <row r="76" spans="1:9">
      <c r="A76" s="2"/>
      <c r="B76" s="42" t="s">
        <v>473</v>
      </c>
      <c r="C76" s="35"/>
      <c r="D76" s="35"/>
      <c r="E76" s="35"/>
      <c r="F76" s="35"/>
      <c r="G76" s="35"/>
      <c r="H76" s="35"/>
      <c r="I76" s="1183">
        <f>+I40+I43+I54+I58+I64+I73</f>
        <v>1162.3692397499999</v>
      </c>
    </row>
    <row r="77" spans="1:9" ht="15.75">
      <c r="A77" s="2"/>
      <c r="B77" s="33" t="s">
        <v>474</v>
      </c>
      <c r="C77" s="35"/>
      <c r="D77" s="35"/>
      <c r="E77" s="35"/>
      <c r="F77" s="35"/>
      <c r="G77" s="35"/>
      <c r="H77" s="35"/>
      <c r="I77" s="36"/>
    </row>
    <row r="78" spans="1:9">
      <c r="A78" s="2"/>
      <c r="B78" s="40"/>
      <c r="C78" s="35"/>
      <c r="D78" s="35"/>
      <c r="E78" s="35"/>
      <c r="F78" s="35"/>
      <c r="G78" s="35"/>
      <c r="H78" s="35"/>
      <c r="I78" s="36"/>
    </row>
    <row r="79" spans="1:9">
      <c r="A79" s="2"/>
      <c r="B79" s="43" t="s">
        <v>11</v>
      </c>
      <c r="C79" s="44"/>
      <c r="D79" s="44"/>
      <c r="E79" s="44"/>
      <c r="F79" s="44"/>
      <c r="G79" s="44"/>
      <c r="H79" s="44"/>
      <c r="I79" s="621">
        <f>SUM(I40:I73)</f>
        <v>1173.654378</v>
      </c>
    </row>
  </sheetData>
  <mergeCells count="3">
    <mergeCell ref="B1:D1"/>
    <mergeCell ref="E43:H43"/>
    <mergeCell ref="B55:C55"/>
  </mergeCells>
  <pageMargins left="0.75" right="0.75" top="1" bottom="1" header="0.5" footer="0.5"/>
  <pageSetup scale="62" orientation="portrait" r:id="rId1"/>
  <headerFooter alignWithMargins="0"/>
</worksheet>
</file>

<file path=xl/worksheets/sheet222.xml><?xml version="1.0" encoding="utf-8"?>
<worksheet xmlns="http://schemas.openxmlformats.org/spreadsheetml/2006/main" xmlns:r="http://schemas.openxmlformats.org/officeDocument/2006/relationships">
  <sheetPr>
    <pageSetUpPr fitToPage="1"/>
  </sheetPr>
  <dimension ref="A1:L79"/>
  <sheetViews>
    <sheetView workbookViewId="0">
      <selection activeCell="A2" sqref="A2:XFD27"/>
    </sheetView>
  </sheetViews>
  <sheetFormatPr defaultRowHeight="12.75"/>
  <cols>
    <col min="1" max="1" width="1.85546875" customWidth="1"/>
    <col min="3" max="3" width="24.140625" customWidth="1"/>
    <col min="4" max="5" width="35.140625" customWidth="1"/>
    <col min="6" max="6" width="10.42578125" customWidth="1"/>
    <col min="7" max="7" width="10.140625" bestFit="1" customWidth="1"/>
    <col min="9" max="9" width="11.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638</v>
      </c>
      <c r="C6" s="7" t="str">
        <f>+E12</f>
        <v>EQIP</v>
      </c>
      <c r="D6" s="53" t="s">
        <v>2400</v>
      </c>
      <c r="E6" s="53" t="s">
        <v>2406</v>
      </c>
      <c r="F6" s="7" t="str">
        <f>D36</f>
        <v>Each</v>
      </c>
      <c r="G6" s="85">
        <f>+I25</f>
        <v>1426.0070548125002</v>
      </c>
    </row>
    <row r="7" spans="1:12" hidden="1">
      <c r="A7" s="2"/>
      <c r="B7" s="54">
        <f>+B6</f>
        <v>638</v>
      </c>
      <c r="C7" s="7" t="str">
        <f>+C6</f>
        <v>EQIP</v>
      </c>
      <c r="D7" s="53" t="s">
        <v>2400</v>
      </c>
      <c r="E7" s="53" t="str">
        <f>CONCATENATE(E6, "-HU")</f>
        <v>500 Cu yd fill, 6" dia. cpp, 8" riser-HU</v>
      </c>
      <c r="F7" s="7" t="str">
        <f>+F6</f>
        <v>Each</v>
      </c>
      <c r="G7" s="85">
        <f>+J25</f>
        <v>1711.2084657750001</v>
      </c>
    </row>
    <row r="8" spans="1:12" hidden="1">
      <c r="A8" s="2"/>
      <c r="B8" s="54">
        <v>638</v>
      </c>
      <c r="C8" s="7" t="str">
        <f>+G12</f>
        <v>WHIP</v>
      </c>
      <c r="D8" s="53" t="s">
        <v>2400</v>
      </c>
      <c r="E8" s="53" t="s">
        <v>2406</v>
      </c>
      <c r="F8" s="7" t="str">
        <f>D36</f>
        <v>Each</v>
      </c>
      <c r="G8" s="85">
        <f>+K25</f>
        <v>0</v>
      </c>
    </row>
    <row r="9" spans="1:12" hidden="1">
      <c r="A9" s="2"/>
      <c r="B9" s="8">
        <f>+B8</f>
        <v>638</v>
      </c>
      <c r="C9" s="10" t="str">
        <f>+C8</f>
        <v>WHIP</v>
      </c>
      <c r="D9" s="9" t="s">
        <v>2400</v>
      </c>
      <c r="E9" s="9" t="str">
        <f>CONCATENATE(E6, "-HU")</f>
        <v>500 Cu yd fill, 6" dia. cpp, 8" riser-HU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Factors'!D47</f>
        <v>0.75</v>
      </c>
      <c r="F16" s="160">
        <f>+'[10]Payment Factors'!E47</f>
        <v>0.9</v>
      </c>
      <c r="G16" s="160">
        <f>+'[10]Payment Factors'!F19</f>
        <v>0</v>
      </c>
      <c r="H16" s="160">
        <f>+'[10]Payment Factors'!G19</f>
        <v>0</v>
      </c>
      <c r="I16" s="1154">
        <f t="shared" ref="I16:L24" si="0">+$D16*E16</f>
        <v>0</v>
      </c>
      <c r="J16" s="1154">
        <f t="shared" si="0"/>
        <v>0</v>
      </c>
      <c r="K16" s="1154">
        <f t="shared" si="0"/>
        <v>0</v>
      </c>
      <c r="L16" s="1155">
        <f t="shared" si="0"/>
        <v>0</v>
      </c>
    </row>
    <row r="17" spans="1:12" hidden="1">
      <c r="A17" s="2"/>
      <c r="B17" s="15" t="s">
        <v>2</v>
      </c>
      <c r="C17" s="16"/>
      <c r="D17" s="24">
        <f>+I43</f>
        <v>1569.0692512500002</v>
      </c>
      <c r="E17" s="160">
        <f t="shared" ref="E17:H19" si="1">+E16</f>
        <v>0.75</v>
      </c>
      <c r="F17" s="160">
        <f t="shared" si="1"/>
        <v>0.9</v>
      </c>
      <c r="G17" s="160">
        <f t="shared" si="1"/>
        <v>0</v>
      </c>
      <c r="H17" s="160">
        <f t="shared" si="1"/>
        <v>0</v>
      </c>
      <c r="I17" s="1154">
        <f t="shared" si="0"/>
        <v>1176.8019384375002</v>
      </c>
      <c r="J17" s="1154">
        <f t="shared" si="0"/>
        <v>1412.1623261250002</v>
      </c>
      <c r="K17" s="1154">
        <f t="shared" si="0"/>
        <v>0</v>
      </c>
      <c r="L17" s="1155">
        <f t="shared" si="0"/>
        <v>0</v>
      </c>
    </row>
    <row r="18" spans="1:12" hidden="1">
      <c r="A18" s="2"/>
      <c r="B18" s="15" t="s">
        <v>3</v>
      </c>
      <c r="C18" s="16"/>
      <c r="D18" s="24">
        <f>+I54</f>
        <v>276.89457375000001</v>
      </c>
      <c r="E18" s="160">
        <f t="shared" si="1"/>
        <v>0.75</v>
      </c>
      <c r="F18" s="160">
        <f t="shared" si="1"/>
        <v>0.9</v>
      </c>
      <c r="G18" s="160">
        <f t="shared" si="1"/>
        <v>0</v>
      </c>
      <c r="H18" s="160">
        <f t="shared" si="1"/>
        <v>0</v>
      </c>
      <c r="I18" s="1154">
        <f t="shared" si="0"/>
        <v>207.67093031249999</v>
      </c>
      <c r="J18" s="1154">
        <f t="shared" si="0"/>
        <v>249.20511637500002</v>
      </c>
      <c r="K18" s="1154">
        <f t="shared" si="0"/>
        <v>0</v>
      </c>
      <c r="L18" s="1155">
        <f t="shared" si="0"/>
        <v>0</v>
      </c>
    </row>
    <row r="19" spans="1:12" hidden="1">
      <c r="A19" s="2"/>
      <c r="B19" s="15" t="s">
        <v>4</v>
      </c>
      <c r="C19" s="16"/>
      <c r="D19" s="24">
        <f>+I58</f>
        <v>55.378914750000007</v>
      </c>
      <c r="E19" s="160">
        <f t="shared" si="1"/>
        <v>0.75</v>
      </c>
      <c r="F19" s="160">
        <f t="shared" si="1"/>
        <v>0.9</v>
      </c>
      <c r="G19" s="160">
        <f t="shared" si="1"/>
        <v>0</v>
      </c>
      <c r="H19" s="160">
        <f t="shared" si="1"/>
        <v>0</v>
      </c>
      <c r="I19" s="1154">
        <f t="shared" si="0"/>
        <v>41.534186062500005</v>
      </c>
      <c r="J19" s="1154">
        <f t="shared" si="0"/>
        <v>49.841023275000005</v>
      </c>
      <c r="K19" s="1154">
        <f t="shared" si="0"/>
        <v>0</v>
      </c>
      <c r="L19" s="1155">
        <f t="shared" si="0"/>
        <v>0</v>
      </c>
    </row>
    <row r="20" spans="1:12" hidden="1">
      <c r="A20" s="2"/>
      <c r="B20" s="15" t="s">
        <v>26</v>
      </c>
      <c r="C20" s="16"/>
      <c r="D20" s="24">
        <f>+I61</f>
        <v>18.459638250000005</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+I64</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+I67</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+I73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1919.8023780000001</v>
      </c>
      <c r="E25" s="1158"/>
      <c r="F25" s="1158"/>
      <c r="G25" s="28"/>
      <c r="H25" s="28"/>
      <c r="I25" s="1159">
        <f>SUM(I16:I24)</f>
        <v>1426.0070548125002</v>
      </c>
      <c r="J25" s="1159">
        <f>SUM(J16:J24)</f>
        <v>1711.2084657750001</v>
      </c>
      <c r="K25" s="1159">
        <f>SUM(K16:K24)</f>
        <v>0</v>
      </c>
      <c r="L25" s="1160">
        <f>SUM(L16:L24)</f>
        <v>0</v>
      </c>
    </row>
    <row r="26" spans="1:12" hidden="1"/>
    <row r="27" spans="1:12" ht="15.75">
      <c r="A27" s="2"/>
      <c r="B27" s="50" t="s">
        <v>28</v>
      </c>
      <c r="C27" s="2"/>
      <c r="D27" s="2"/>
      <c r="E27" s="2"/>
      <c r="F27" s="2"/>
      <c r="G27" s="2"/>
      <c r="H27" s="2"/>
      <c r="I27" s="5"/>
    </row>
    <row r="28" spans="1:12">
      <c r="A28" s="2"/>
      <c r="B28" s="29" t="s">
        <v>2402</v>
      </c>
      <c r="C28" s="30"/>
      <c r="D28" s="30"/>
      <c r="E28" s="31"/>
      <c r="F28" s="31"/>
      <c r="G28" s="31"/>
      <c r="H28" s="31"/>
      <c r="I28" s="32"/>
    </row>
    <row r="29" spans="1:12">
      <c r="A29" s="2"/>
      <c r="B29" s="1161" t="s">
        <v>2407</v>
      </c>
      <c r="C29" s="34"/>
      <c r="D29" s="34"/>
      <c r="E29" s="35"/>
      <c r="F29" s="35"/>
      <c r="G29" s="35"/>
      <c r="H29" s="35"/>
      <c r="I29" s="36"/>
    </row>
    <row r="30" spans="1:12">
      <c r="A30" s="2"/>
      <c r="B30" s="1161" t="s">
        <v>2404</v>
      </c>
      <c r="C30" s="143"/>
      <c r="D30" s="34"/>
      <c r="E30" s="35"/>
      <c r="F30" s="1163"/>
      <c r="G30" s="35"/>
      <c r="H30" s="35"/>
      <c r="I30" s="36"/>
    </row>
    <row r="31" spans="1:12">
      <c r="A31" s="2"/>
      <c r="B31" s="37" t="s">
        <v>2408</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Factors'!C47</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v>0</v>
      </c>
    </row>
    <row r="41" spans="1:9">
      <c r="A41" s="2"/>
      <c r="B41" s="33" t="s">
        <v>104</v>
      </c>
      <c r="C41" s="35"/>
      <c r="D41" s="1167"/>
      <c r="E41" s="1167"/>
      <c r="F41" s="1167"/>
      <c r="G41" s="1167"/>
      <c r="H41" s="35"/>
      <c r="I41" s="46"/>
    </row>
    <row r="42" spans="1:9">
      <c r="A42" s="2"/>
      <c r="B42" s="40"/>
      <c r="C42" s="6"/>
      <c r="D42" s="1168"/>
      <c r="E42" s="1169"/>
      <c r="F42" s="1170"/>
      <c r="G42" s="1171"/>
      <c r="H42" s="35"/>
      <c r="I42" s="36"/>
    </row>
    <row r="43" spans="1:9">
      <c r="A43" s="2"/>
      <c r="B43" s="42" t="s">
        <v>2</v>
      </c>
      <c r="C43" s="35"/>
      <c r="D43" s="35"/>
      <c r="E43" s="2003" t="s">
        <v>459</v>
      </c>
      <c r="F43" s="2003"/>
      <c r="G43" s="2003"/>
      <c r="H43" s="2003"/>
      <c r="I43" s="1166">
        <f>(SUM(G45:G49)*0.85)</f>
        <v>1569.0692512500002</v>
      </c>
    </row>
    <row r="44" spans="1:9">
      <c r="A44" s="2"/>
      <c r="B44" s="1174"/>
      <c r="C44" s="35"/>
      <c r="D44" s="1167" t="s">
        <v>447</v>
      </c>
      <c r="E44" s="1167" t="s">
        <v>448</v>
      </c>
      <c r="F44" s="1167" t="s">
        <v>449</v>
      </c>
      <c r="G44" s="1167" t="s">
        <v>450</v>
      </c>
      <c r="H44" s="35"/>
      <c r="I44" s="46"/>
    </row>
    <row r="45" spans="1:9">
      <c r="A45" s="2"/>
      <c r="B45" s="1188" t="str">
        <f>+'[40]Core Rates'!A105</f>
        <v>Earthmoving: Compacted Embankment</v>
      </c>
      <c r="C45" s="1376"/>
      <c r="D45" s="1384" t="str">
        <f>+'[40]Core Rates'!B105</f>
        <v>Cu Yd</v>
      </c>
      <c r="E45" s="1383">
        <f>+'[40]Core Rates'!C105</f>
        <v>2.5499999999999998</v>
      </c>
      <c r="F45" s="1170">
        <v>500</v>
      </c>
      <c r="G45" s="1171">
        <f>+F45*E45</f>
        <v>1275</v>
      </c>
      <c r="H45" s="35"/>
      <c r="I45" s="47"/>
    </row>
    <row r="46" spans="1:9">
      <c r="A46" s="2"/>
      <c r="B46" s="1186" t="str">
        <f>+'[40]Core Rates'!A79</f>
        <v>Corrugated Plastic Pipe: 6" (Installed)</v>
      </c>
      <c r="C46" s="6"/>
      <c r="D46" s="1382" t="str">
        <f>+'[40]Core Rates'!B79</f>
        <v>Lin Ft</v>
      </c>
      <c r="E46" s="1383">
        <f>+'[40]Core Rates'!C79</f>
        <v>1.8618000000000001</v>
      </c>
      <c r="F46" s="1170">
        <v>200</v>
      </c>
      <c r="G46" s="1171">
        <f>+F46*E46</f>
        <v>372.36</v>
      </c>
      <c r="H46" s="35"/>
      <c r="I46" s="47"/>
    </row>
    <row r="47" spans="1:9">
      <c r="A47" s="2"/>
      <c r="B47" s="1186" t="str">
        <f>+'[40]Core Rates'!A279</f>
        <v>Schd 40 PVC Pipe: 6" (Installed)</v>
      </c>
      <c r="C47" s="6"/>
      <c r="D47" s="1382" t="str">
        <f>+'[40]Core Rates'!B279</f>
        <v>Lin Ft</v>
      </c>
      <c r="E47" s="1383">
        <f>+'[40]Core Rates'!C279</f>
        <v>5.1681000000000008</v>
      </c>
      <c r="F47" s="1170">
        <v>10</v>
      </c>
      <c r="G47" s="1171">
        <f>+F47*E47</f>
        <v>51.681000000000012</v>
      </c>
      <c r="H47" s="35"/>
      <c r="I47" s="47"/>
    </row>
    <row r="48" spans="1:9">
      <c r="A48" s="2"/>
      <c r="B48" s="1186" t="str">
        <f>+'[40]Core Rates'!A232</f>
        <v>Offset Riser: 8" Plastic Inlet Riser Kit (Inst)</v>
      </c>
      <c r="C48" s="6"/>
      <c r="D48" s="1382" t="str">
        <f>+'[40]Core Rates'!B232</f>
        <v>Ea</v>
      </c>
      <c r="E48" s="1383">
        <f>+'[40]Core Rates'!C232</f>
        <v>131.25</v>
      </c>
      <c r="F48" s="1170">
        <v>1</v>
      </c>
      <c r="G48" s="1171">
        <f>+F48*E48</f>
        <v>131.25</v>
      </c>
      <c r="H48" s="35"/>
      <c r="I48" s="47"/>
    </row>
    <row r="49" spans="1:9">
      <c r="A49" s="2"/>
      <c r="B49" s="1188" t="str">
        <f>+'[40]Core Rates'!A268</f>
        <v>Rodent Guard - 6" (Installed)</v>
      </c>
      <c r="C49" s="6"/>
      <c r="D49" s="1384" t="str">
        <f>+'[40]Core Rates'!B268</f>
        <v>Ea</v>
      </c>
      <c r="E49" s="1383">
        <f>+'[40]Core Rates'!C268</f>
        <v>15.672825000000001</v>
      </c>
      <c r="F49" s="1170">
        <v>1</v>
      </c>
      <c r="G49" s="1171">
        <f>+F49*E49</f>
        <v>15.672825000000001</v>
      </c>
      <c r="H49" s="35"/>
      <c r="I49" s="47"/>
    </row>
    <row r="50" spans="1:9">
      <c r="A50" s="2"/>
      <c r="B50" s="40"/>
      <c r="C50" s="6"/>
      <c r="D50" s="63"/>
      <c r="E50" s="150"/>
      <c r="F50" s="150"/>
      <c r="G50" s="1169"/>
      <c r="H50" s="35"/>
      <c r="I50" s="47"/>
    </row>
    <row r="51" spans="1:9">
      <c r="A51" s="2"/>
      <c r="B51" s="37" t="s">
        <v>43</v>
      </c>
      <c r="C51" s="35"/>
      <c r="D51" s="35"/>
      <c r="E51" s="60"/>
      <c r="F51" s="60"/>
      <c r="G51" s="60"/>
      <c r="H51" s="35"/>
      <c r="I51" s="46"/>
    </row>
    <row r="52" spans="1:9">
      <c r="A52" s="2"/>
      <c r="B52" s="1161" t="s">
        <v>457</v>
      </c>
      <c r="C52" s="1178"/>
      <c r="D52" s="1178"/>
      <c r="E52" s="1178"/>
      <c r="F52" s="1178"/>
      <c r="G52" s="1178"/>
      <c r="H52" s="1178"/>
      <c r="I52" s="1179"/>
    </row>
    <row r="53" spans="1:9">
      <c r="A53" s="2"/>
      <c r="B53" s="1177"/>
      <c r="C53" s="1178"/>
      <c r="D53" s="1178"/>
      <c r="E53" s="1178"/>
      <c r="F53" s="1178"/>
      <c r="G53" s="1178"/>
      <c r="H53" s="1178"/>
      <c r="I53" s="1179"/>
    </row>
    <row r="54" spans="1:9">
      <c r="A54" s="2"/>
      <c r="B54" s="42" t="s">
        <v>3</v>
      </c>
      <c r="C54" s="35"/>
      <c r="D54" s="35"/>
      <c r="E54" s="35"/>
      <c r="F54" s="39"/>
      <c r="G54" s="35"/>
      <c r="H54" s="35"/>
      <c r="I54" s="1182">
        <f>E56</f>
        <v>276.89457375000001</v>
      </c>
    </row>
    <row r="55" spans="1:9">
      <c r="A55" s="2"/>
      <c r="B55" s="2007" t="s">
        <v>465</v>
      </c>
      <c r="C55" s="2008"/>
      <c r="D55" s="35"/>
      <c r="E55" s="35"/>
      <c r="F55" s="35"/>
      <c r="G55" s="35"/>
      <c r="H55" s="35"/>
      <c r="I55" s="48"/>
    </row>
    <row r="56" spans="1:9">
      <c r="A56" s="2"/>
      <c r="B56" s="37" t="s">
        <v>466</v>
      </c>
      <c r="C56" s="39"/>
      <c r="D56" s="39"/>
      <c r="E56" s="153">
        <f>SUM(G45:G49)*0.15</f>
        <v>276.89457375000001</v>
      </c>
      <c r="F56" s="35"/>
      <c r="G56" s="35"/>
      <c r="H56" s="35"/>
      <c r="I56" s="46"/>
    </row>
    <row r="57" spans="1:9">
      <c r="A57" s="2"/>
      <c r="B57" s="37"/>
      <c r="C57" s="39"/>
      <c r="D57" s="1180"/>
      <c r="E57" s="153"/>
      <c r="F57" s="35"/>
      <c r="G57" s="35"/>
      <c r="H57" s="35"/>
      <c r="I57" s="46"/>
    </row>
    <row r="58" spans="1:9">
      <c r="A58" s="2"/>
      <c r="B58" s="42" t="s">
        <v>4</v>
      </c>
      <c r="C58" s="35"/>
      <c r="D58" s="35"/>
      <c r="E58" s="35"/>
      <c r="F58" s="35"/>
      <c r="G58" s="35"/>
      <c r="H58" s="35"/>
      <c r="I58" s="1182">
        <f>0.03*(I40+I43+I54)</f>
        <v>55.378914750000007</v>
      </c>
    </row>
    <row r="59" spans="1:9">
      <c r="A59" s="2"/>
      <c r="B59" s="33" t="s">
        <v>467</v>
      </c>
      <c r="C59" s="35"/>
      <c r="D59" s="35"/>
      <c r="E59" s="35"/>
      <c r="F59" s="35"/>
      <c r="G59" s="35"/>
      <c r="H59" s="35"/>
      <c r="I59" s="36"/>
    </row>
    <row r="60" spans="1:9">
      <c r="A60" s="2"/>
      <c r="B60" s="37"/>
      <c r="C60" s="35"/>
      <c r="D60" s="35"/>
      <c r="E60" s="35"/>
      <c r="F60" s="35"/>
      <c r="G60" s="35"/>
      <c r="H60" s="35"/>
      <c r="I60" s="36"/>
    </row>
    <row r="61" spans="1:9">
      <c r="A61" s="2"/>
      <c r="B61" s="42" t="s">
        <v>468</v>
      </c>
      <c r="C61" s="35"/>
      <c r="D61" s="35"/>
      <c r="E61" s="35"/>
      <c r="F61" s="35"/>
      <c r="G61" s="35"/>
      <c r="H61" s="35"/>
      <c r="I61" s="1182">
        <f>0.01*(I40+I43+I54)</f>
        <v>18.459638250000005</v>
      </c>
    </row>
    <row r="62" spans="1:9">
      <c r="A62" s="2"/>
      <c r="B62" s="33" t="s">
        <v>749</v>
      </c>
      <c r="C62" s="35"/>
      <c r="D62" s="35"/>
      <c r="E62" s="35"/>
      <c r="F62" s="35"/>
      <c r="G62" s="35"/>
      <c r="H62" s="35"/>
      <c r="I62" s="36"/>
    </row>
    <row r="63" spans="1:9">
      <c r="A63" s="2"/>
      <c r="B63" s="37"/>
      <c r="C63" s="35"/>
      <c r="D63" s="35"/>
      <c r="E63" s="35"/>
      <c r="F63" s="35"/>
      <c r="G63" s="35"/>
      <c r="H63" s="35"/>
      <c r="I63" s="36"/>
    </row>
    <row r="64" spans="1:9">
      <c r="A64" s="2"/>
      <c r="B64" s="42" t="s">
        <v>7</v>
      </c>
      <c r="C64" s="35"/>
      <c r="D64" s="35"/>
      <c r="E64" s="35"/>
      <c r="F64" s="35"/>
      <c r="G64" s="35"/>
      <c r="H64" s="35"/>
      <c r="I64" s="1166">
        <v>0</v>
      </c>
    </row>
    <row r="65" spans="1:9">
      <c r="A65" s="2"/>
      <c r="B65" s="756" t="s">
        <v>104</v>
      </c>
      <c r="C65" s="35"/>
      <c r="D65" s="35"/>
      <c r="E65" s="35"/>
      <c r="F65" s="35"/>
      <c r="G65" s="35"/>
      <c r="H65" s="35"/>
      <c r="I65" s="36"/>
    </row>
    <row r="66" spans="1:9">
      <c r="A66" s="2"/>
      <c r="B66" s="37"/>
      <c r="C66" s="35"/>
      <c r="D66" s="35"/>
      <c r="E66" s="35"/>
      <c r="F66" s="35"/>
      <c r="G66" s="35"/>
      <c r="H66" s="35"/>
      <c r="I66" s="36"/>
    </row>
    <row r="67" spans="1:9">
      <c r="A67" s="2"/>
      <c r="B67" s="42" t="s">
        <v>471</v>
      </c>
      <c r="C67" s="35"/>
      <c r="D67" s="35"/>
      <c r="E67" s="35"/>
      <c r="F67" s="39"/>
      <c r="G67" s="35"/>
      <c r="H67" s="35"/>
      <c r="I67" s="1166">
        <v>0</v>
      </c>
    </row>
    <row r="68" spans="1:9">
      <c r="A68" s="2"/>
      <c r="B68" s="756" t="s">
        <v>104</v>
      </c>
      <c r="C68" s="35"/>
      <c r="D68" s="35"/>
      <c r="E68" s="35"/>
      <c r="F68" s="35"/>
      <c r="G68" s="35"/>
      <c r="H68" s="35"/>
      <c r="I68" s="47"/>
    </row>
    <row r="69" spans="1:9">
      <c r="A69" s="2"/>
      <c r="B69" s="37"/>
      <c r="C69" s="35"/>
      <c r="D69" s="35"/>
      <c r="E69" s="35"/>
      <c r="F69" s="35"/>
      <c r="G69" s="35"/>
      <c r="H69" s="35"/>
      <c r="I69" s="36"/>
    </row>
    <row r="70" spans="1:9">
      <c r="A70" s="2"/>
      <c r="B70" s="42" t="s">
        <v>5</v>
      </c>
      <c r="C70" s="35"/>
      <c r="D70" s="35"/>
      <c r="E70" s="35"/>
      <c r="F70" s="35"/>
      <c r="G70" s="35"/>
      <c r="H70" s="35"/>
      <c r="I70" s="1166">
        <v>0</v>
      </c>
    </row>
    <row r="71" spans="1:9">
      <c r="A71" s="2"/>
      <c r="B71" s="33" t="s">
        <v>1351</v>
      </c>
      <c r="C71" s="35"/>
      <c r="D71" s="35"/>
      <c r="E71" s="35"/>
      <c r="F71" s="35"/>
      <c r="G71" s="35"/>
      <c r="H71" s="35"/>
      <c r="I71" s="47"/>
    </row>
    <row r="72" spans="1:9">
      <c r="A72" s="2"/>
      <c r="B72" s="37"/>
      <c r="C72" s="35"/>
      <c r="D72" s="35"/>
      <c r="E72" s="35"/>
      <c r="F72" s="35"/>
      <c r="G72" s="35"/>
      <c r="H72" s="35"/>
      <c r="I72" s="36"/>
    </row>
    <row r="73" spans="1:9">
      <c r="A73" s="2"/>
      <c r="B73" s="42" t="s">
        <v>20</v>
      </c>
      <c r="C73" s="35"/>
      <c r="D73" s="35"/>
      <c r="E73" s="35"/>
      <c r="F73" s="35"/>
      <c r="G73" s="35"/>
      <c r="H73" s="35"/>
      <c r="I73" s="1166">
        <v>0</v>
      </c>
    </row>
    <row r="74" spans="1:9">
      <c r="A74" s="2"/>
      <c r="B74" s="33" t="s">
        <v>104</v>
      </c>
      <c r="C74" s="35"/>
      <c r="D74" s="35"/>
      <c r="E74" s="35"/>
      <c r="F74" s="35"/>
      <c r="G74" s="35"/>
      <c r="H74" s="35"/>
      <c r="I74" s="36"/>
    </row>
    <row r="75" spans="1:9">
      <c r="A75" s="2"/>
      <c r="B75" s="40"/>
      <c r="C75" s="35"/>
      <c r="D75" s="35"/>
      <c r="E75" s="35"/>
      <c r="F75" s="35"/>
      <c r="G75" s="35"/>
      <c r="H75" s="35"/>
      <c r="I75" s="36"/>
    </row>
    <row r="76" spans="1:9">
      <c r="A76" s="2"/>
      <c r="B76" s="42" t="s">
        <v>473</v>
      </c>
      <c r="C76" s="35"/>
      <c r="D76" s="35"/>
      <c r="E76" s="35"/>
      <c r="F76" s="35"/>
      <c r="G76" s="35"/>
      <c r="H76" s="35"/>
      <c r="I76" s="1183">
        <f>+I40+I43+I54+I58+I64+I73</f>
        <v>1901.3427397500002</v>
      </c>
    </row>
    <row r="77" spans="1:9" ht="15.75">
      <c r="A77" s="2"/>
      <c r="B77" s="33" t="s">
        <v>474</v>
      </c>
      <c r="C77" s="35"/>
      <c r="D77" s="35"/>
      <c r="E77" s="35"/>
      <c r="F77" s="35"/>
      <c r="G77" s="35"/>
      <c r="H77" s="35"/>
      <c r="I77" s="36"/>
    </row>
    <row r="78" spans="1:9">
      <c r="A78" s="2"/>
      <c r="B78" s="40"/>
      <c r="C78" s="35"/>
      <c r="D78" s="35"/>
      <c r="E78" s="35"/>
      <c r="F78" s="35"/>
      <c r="G78" s="35"/>
      <c r="H78" s="35"/>
      <c r="I78" s="36"/>
    </row>
    <row r="79" spans="1:9">
      <c r="A79" s="2"/>
      <c r="B79" s="43" t="s">
        <v>11</v>
      </c>
      <c r="C79" s="44"/>
      <c r="D79" s="44"/>
      <c r="E79" s="44"/>
      <c r="F79" s="44"/>
      <c r="G79" s="44"/>
      <c r="H79" s="44"/>
      <c r="I79" s="621">
        <f>SUM(I40:I73)</f>
        <v>1919.8023780000001</v>
      </c>
    </row>
  </sheetData>
  <mergeCells count="3">
    <mergeCell ref="B1:D1"/>
    <mergeCell ref="E43:H43"/>
    <mergeCell ref="B55:C55"/>
  </mergeCells>
  <pageMargins left="0.75" right="0.75" top="1" bottom="1" header="0.5" footer="0.5"/>
  <pageSetup scale="62" orientation="portrait" r:id="rId1"/>
  <headerFooter alignWithMargins="0"/>
</worksheet>
</file>

<file path=xl/worksheets/sheet223.xml><?xml version="1.0" encoding="utf-8"?>
<worksheet xmlns="http://schemas.openxmlformats.org/spreadsheetml/2006/main" xmlns:r="http://schemas.openxmlformats.org/officeDocument/2006/relationships">
  <sheetPr>
    <pageSetUpPr fitToPage="1"/>
  </sheetPr>
  <dimension ref="A1:L79"/>
  <sheetViews>
    <sheetView workbookViewId="0">
      <selection activeCell="A2" sqref="A2:XFD27"/>
    </sheetView>
  </sheetViews>
  <sheetFormatPr defaultRowHeight="12.75"/>
  <cols>
    <col min="1" max="1" width="1.85546875" customWidth="1"/>
    <col min="3" max="3" width="24.140625" customWidth="1"/>
    <col min="4" max="5" width="35.140625" customWidth="1"/>
    <col min="6" max="6" width="10.42578125" customWidth="1"/>
    <col min="7" max="7" width="10.140625" bestFit="1" customWidth="1"/>
    <col min="9" max="9" width="11.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638</v>
      </c>
      <c r="C6" s="7" t="str">
        <f>+E12</f>
        <v>EQIP</v>
      </c>
      <c r="D6" s="53" t="s">
        <v>2400</v>
      </c>
      <c r="E6" s="53" t="s">
        <v>2409</v>
      </c>
      <c r="F6" s="7" t="str">
        <f>D36</f>
        <v>Each</v>
      </c>
      <c r="G6" s="85">
        <f>+I25</f>
        <v>2077.8317166375</v>
      </c>
    </row>
    <row r="7" spans="1:12" hidden="1">
      <c r="A7" s="2"/>
      <c r="B7" s="54">
        <f>+B6</f>
        <v>638</v>
      </c>
      <c r="C7" s="7" t="str">
        <f>+C6</f>
        <v>EQIP</v>
      </c>
      <c r="D7" s="53" t="s">
        <v>2400</v>
      </c>
      <c r="E7" s="53" t="str">
        <f>CONCATENATE(E6, "-HU")</f>
        <v>750 Cu yd fill, 8" dia. cpp, 10" riser-HU</v>
      </c>
      <c r="F7" s="7" t="str">
        <f>+F6</f>
        <v>Each</v>
      </c>
      <c r="G7" s="85">
        <f>+J25</f>
        <v>2493.3980599649994</v>
      </c>
    </row>
    <row r="8" spans="1:12" hidden="1">
      <c r="A8" s="2"/>
      <c r="B8" s="54">
        <v>638</v>
      </c>
      <c r="C8" s="7" t="str">
        <f>+G12</f>
        <v>WHIP</v>
      </c>
      <c r="D8" s="53" t="s">
        <v>2400</v>
      </c>
      <c r="E8" s="53" t="s">
        <v>2409</v>
      </c>
      <c r="F8" s="7" t="str">
        <f>D36</f>
        <v>Each</v>
      </c>
      <c r="G8" s="85">
        <f>+K25</f>
        <v>0</v>
      </c>
    </row>
    <row r="9" spans="1:12" hidden="1">
      <c r="A9" s="2"/>
      <c r="B9" s="8">
        <f>+B8</f>
        <v>638</v>
      </c>
      <c r="C9" s="10" t="str">
        <f>+C8</f>
        <v>WHIP</v>
      </c>
      <c r="D9" s="9" t="s">
        <v>2400</v>
      </c>
      <c r="E9" s="9" t="str">
        <f>CONCATENATE(E6, "-HU")</f>
        <v>750 Cu yd fill, 8" dia. cpp, 10" riser-HU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0</v>
      </c>
      <c r="E16" s="160">
        <f>+'[10]Payment Factors'!D47</f>
        <v>0.75</v>
      </c>
      <c r="F16" s="160">
        <f>+'[10]Payment Factors'!E47</f>
        <v>0.9</v>
      </c>
      <c r="G16" s="160">
        <f>+'[10]Payment Factors'!F19</f>
        <v>0</v>
      </c>
      <c r="H16" s="160">
        <f>+'[10]Payment Factors'!G19</f>
        <v>0</v>
      </c>
      <c r="I16" s="1154">
        <f t="shared" ref="I16:L24" si="0">+$D16*E16</f>
        <v>0</v>
      </c>
      <c r="J16" s="1154">
        <f t="shared" si="0"/>
        <v>0</v>
      </c>
      <c r="K16" s="1154">
        <f t="shared" si="0"/>
        <v>0</v>
      </c>
      <c r="L16" s="1155">
        <f t="shared" si="0"/>
        <v>0</v>
      </c>
    </row>
    <row r="17" spans="1:12" hidden="1">
      <c r="A17" s="2"/>
      <c r="B17" s="15" t="s">
        <v>2</v>
      </c>
      <c r="C17" s="16"/>
      <c r="D17" s="24">
        <f>+I43</f>
        <v>2286.2873257499996</v>
      </c>
      <c r="E17" s="160">
        <f t="shared" ref="E17:H19" si="1">+E16</f>
        <v>0.75</v>
      </c>
      <c r="F17" s="160">
        <f t="shared" si="1"/>
        <v>0.9</v>
      </c>
      <c r="G17" s="160">
        <f t="shared" si="1"/>
        <v>0</v>
      </c>
      <c r="H17" s="160">
        <f t="shared" si="1"/>
        <v>0</v>
      </c>
      <c r="I17" s="1154">
        <f t="shared" si="0"/>
        <v>1714.7154943124997</v>
      </c>
      <c r="J17" s="1154">
        <f t="shared" si="0"/>
        <v>2057.6585931749996</v>
      </c>
      <c r="K17" s="1154">
        <f t="shared" si="0"/>
        <v>0</v>
      </c>
      <c r="L17" s="1155">
        <f t="shared" si="0"/>
        <v>0</v>
      </c>
    </row>
    <row r="18" spans="1:12" hidden="1">
      <c r="A18" s="2"/>
      <c r="B18" s="15" t="s">
        <v>3</v>
      </c>
      <c r="C18" s="16"/>
      <c r="D18" s="24">
        <f>+I54</f>
        <v>403.46246924999997</v>
      </c>
      <c r="E18" s="160">
        <f t="shared" si="1"/>
        <v>0.75</v>
      </c>
      <c r="F18" s="160">
        <f t="shared" si="1"/>
        <v>0.9</v>
      </c>
      <c r="G18" s="160">
        <f t="shared" si="1"/>
        <v>0</v>
      </c>
      <c r="H18" s="160">
        <f t="shared" si="1"/>
        <v>0</v>
      </c>
      <c r="I18" s="1154">
        <f t="shared" si="0"/>
        <v>302.59685193749999</v>
      </c>
      <c r="J18" s="1154">
        <f t="shared" si="0"/>
        <v>363.11622232499997</v>
      </c>
      <c r="K18" s="1154">
        <f t="shared" si="0"/>
        <v>0</v>
      </c>
      <c r="L18" s="1155">
        <f t="shared" si="0"/>
        <v>0</v>
      </c>
    </row>
    <row r="19" spans="1:12" hidden="1">
      <c r="A19" s="2"/>
      <c r="B19" s="15" t="s">
        <v>4</v>
      </c>
      <c r="C19" s="16"/>
      <c r="D19" s="24">
        <f>+I58</f>
        <v>80.692493849999991</v>
      </c>
      <c r="E19" s="160">
        <f t="shared" si="1"/>
        <v>0.75</v>
      </c>
      <c r="F19" s="160">
        <f t="shared" si="1"/>
        <v>0.9</v>
      </c>
      <c r="G19" s="160">
        <f t="shared" si="1"/>
        <v>0</v>
      </c>
      <c r="H19" s="160">
        <f t="shared" si="1"/>
        <v>0</v>
      </c>
      <c r="I19" s="1154">
        <f t="shared" si="0"/>
        <v>60.51937038749999</v>
      </c>
      <c r="J19" s="1154">
        <f t="shared" si="0"/>
        <v>72.623244464999999</v>
      </c>
      <c r="K19" s="1154">
        <f t="shared" si="0"/>
        <v>0</v>
      </c>
      <c r="L19" s="1155">
        <f t="shared" si="0"/>
        <v>0</v>
      </c>
    </row>
    <row r="20" spans="1:12" hidden="1">
      <c r="A20" s="2"/>
      <c r="B20" s="15" t="s">
        <v>26</v>
      </c>
      <c r="C20" s="16"/>
      <c r="D20" s="24">
        <f>+I61</f>
        <v>26.897497949999998</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+I64</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+I67</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+I70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+I73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2797.3397867999997</v>
      </c>
      <c r="E25" s="1158"/>
      <c r="F25" s="1158"/>
      <c r="G25" s="28"/>
      <c r="H25" s="28"/>
      <c r="I25" s="1159">
        <f>SUM(I16:I24)</f>
        <v>2077.8317166375</v>
      </c>
      <c r="J25" s="1159">
        <f>SUM(J16:J24)</f>
        <v>2493.3980599649994</v>
      </c>
      <c r="K25" s="1159">
        <f>SUM(K16:K24)</f>
        <v>0</v>
      </c>
      <c r="L25" s="1160">
        <f>SUM(L16:L24)</f>
        <v>0</v>
      </c>
    </row>
    <row r="26" spans="1:12" hidden="1"/>
    <row r="27" spans="1:12" ht="15.75">
      <c r="A27" s="2"/>
      <c r="B27" s="50" t="s">
        <v>28</v>
      </c>
      <c r="C27" s="2"/>
      <c r="D27" s="2"/>
      <c r="E27" s="2"/>
      <c r="F27" s="2"/>
      <c r="G27" s="2"/>
      <c r="H27" s="2"/>
      <c r="I27" s="5"/>
    </row>
    <row r="28" spans="1:12">
      <c r="A28" s="2"/>
      <c r="B28" s="29" t="s">
        <v>2402</v>
      </c>
      <c r="C28" s="30"/>
      <c r="D28" s="30"/>
      <c r="E28" s="31"/>
      <c r="F28" s="31"/>
      <c r="G28" s="31"/>
      <c r="H28" s="31"/>
      <c r="I28" s="32"/>
    </row>
    <row r="29" spans="1:12">
      <c r="A29" s="2"/>
      <c r="B29" s="1161" t="s">
        <v>2410</v>
      </c>
      <c r="C29" s="34"/>
      <c r="D29" s="34"/>
      <c r="E29" s="35"/>
      <c r="F29" s="35"/>
      <c r="G29" s="35"/>
      <c r="H29" s="35"/>
      <c r="I29" s="36"/>
    </row>
    <row r="30" spans="1:12">
      <c r="A30" s="2"/>
      <c r="B30" s="1161" t="s">
        <v>2404</v>
      </c>
      <c r="C30" s="143"/>
      <c r="D30" s="34"/>
      <c r="E30" s="35"/>
      <c r="F30" s="1163"/>
      <c r="G30" s="35"/>
      <c r="H30" s="35"/>
      <c r="I30" s="36"/>
    </row>
    <row r="31" spans="1:12">
      <c r="A31" s="2"/>
      <c r="B31" s="37" t="s">
        <v>2408</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Factors'!C47</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v>0</v>
      </c>
    </row>
    <row r="41" spans="1:9">
      <c r="A41" s="2"/>
      <c r="B41" s="33" t="s">
        <v>104</v>
      </c>
      <c r="C41" s="35"/>
      <c r="D41" s="1167"/>
      <c r="E41" s="1167"/>
      <c r="F41" s="1167"/>
      <c r="G41" s="1167"/>
      <c r="H41" s="35"/>
      <c r="I41" s="46"/>
    </row>
    <row r="42" spans="1:9">
      <c r="A42" s="2"/>
      <c r="B42" s="40"/>
      <c r="C42" s="6"/>
      <c r="D42" s="1168"/>
      <c r="E42" s="1169"/>
      <c r="F42" s="1170"/>
      <c r="G42" s="1171"/>
      <c r="H42" s="35"/>
      <c r="I42" s="36"/>
    </row>
    <row r="43" spans="1:9">
      <c r="A43" s="2"/>
      <c r="B43" s="42" t="s">
        <v>2</v>
      </c>
      <c r="C43" s="35"/>
      <c r="D43" s="35"/>
      <c r="E43" s="2003" t="s">
        <v>459</v>
      </c>
      <c r="F43" s="2003"/>
      <c r="G43" s="2003"/>
      <c r="H43" s="2003"/>
      <c r="I43" s="1166">
        <f>(SUM(G45:G49)*0.85)</f>
        <v>2286.2873257499996</v>
      </c>
    </row>
    <row r="44" spans="1:9">
      <c r="A44" s="2"/>
      <c r="B44" s="1174"/>
      <c r="C44" s="35"/>
      <c r="D44" s="1167" t="s">
        <v>447</v>
      </c>
      <c r="E44" s="1167" t="s">
        <v>448</v>
      </c>
      <c r="F44" s="1167" t="s">
        <v>449</v>
      </c>
      <c r="G44" s="1167" t="s">
        <v>450</v>
      </c>
      <c r="H44" s="35"/>
      <c r="I44" s="46"/>
    </row>
    <row r="45" spans="1:9">
      <c r="A45" s="2"/>
      <c r="B45" s="1188" t="str">
        <f>+'[40]Core Rates'!A105</f>
        <v>Earthmoving: Compacted Embankment</v>
      </c>
      <c r="C45" s="1376"/>
      <c r="D45" s="1384" t="str">
        <f>+'[40]Core Rates'!B105</f>
        <v>Cu Yd</v>
      </c>
      <c r="E45" s="1383">
        <f>+'[40]Core Rates'!C105</f>
        <v>2.5499999999999998</v>
      </c>
      <c r="F45" s="1170">
        <v>750</v>
      </c>
      <c r="G45" s="1171">
        <f>+F45*E45</f>
        <v>1912.4999999999998</v>
      </c>
      <c r="H45" s="35"/>
      <c r="I45" s="47"/>
    </row>
    <row r="46" spans="1:9">
      <c r="A46" s="2"/>
      <c r="B46" s="1188" t="str">
        <f>+'[40]Core Rates'!A80</f>
        <v>Corrugated Plastic Pipe: 8" (Installed)</v>
      </c>
      <c r="C46" s="6"/>
      <c r="D46" s="1384" t="str">
        <f>+'[40]Core Rates'!B80</f>
        <v>Lin Ft</v>
      </c>
      <c r="E46" s="1383">
        <f>+'[40]Core Rates'!C80</f>
        <v>2.6964000000000001</v>
      </c>
      <c r="F46" s="1170">
        <v>200</v>
      </c>
      <c r="G46" s="1171">
        <f>+F46*E46</f>
        <v>539.28</v>
      </c>
      <c r="H46" s="35"/>
      <c r="I46" s="47"/>
    </row>
    <row r="47" spans="1:9">
      <c r="A47" s="2"/>
      <c r="B47" s="1186" t="str">
        <f>+'[40]Core Rates'!A280</f>
        <v>Schd 40 PVC Pipe: 8" (Installed)</v>
      </c>
      <c r="C47" s="6"/>
      <c r="D47" s="1382" t="str">
        <f>+'[40]Core Rates'!B280</f>
        <v>Lin Ft</v>
      </c>
      <c r="E47" s="1383">
        <f>+'[40]Core Rates'!C280</f>
        <v>7.4150999999999998</v>
      </c>
      <c r="F47" s="1170">
        <v>10</v>
      </c>
      <c r="G47" s="1171">
        <f>+F47*E47</f>
        <v>74.150999999999996</v>
      </c>
      <c r="H47" s="35"/>
      <c r="I47" s="47"/>
    </row>
    <row r="48" spans="1:9">
      <c r="A48" s="2"/>
      <c r="B48" s="1186" t="str">
        <f>+'[40]Core Rates'!A233</f>
        <v>Offset Riser: 10" Plastic Inlet Riser Kit (Inst)</v>
      </c>
      <c r="C48" s="6"/>
      <c r="D48" s="1382" t="str">
        <f>+'[40]Core Rates'!B233</f>
        <v>Ea</v>
      </c>
      <c r="E48" s="1383">
        <f>+'[40]Core Rates'!C233</f>
        <v>147</v>
      </c>
      <c r="F48" s="1170">
        <v>1</v>
      </c>
      <c r="G48" s="1171">
        <f>+F48*E48</f>
        <v>147</v>
      </c>
      <c r="H48" s="35"/>
      <c r="I48" s="47"/>
    </row>
    <row r="49" spans="1:9">
      <c r="A49" s="2"/>
      <c r="B49" s="1188" t="str">
        <f>+'[40]Core Rates'!A269</f>
        <v>Rodent Guard - 8" (Installed)</v>
      </c>
      <c r="C49" s="6"/>
      <c r="D49" s="1384" t="str">
        <f>+'[40]Core Rates'!B269</f>
        <v>Ea</v>
      </c>
      <c r="E49" s="1385">
        <f>+'[40]Core Rates'!C269</f>
        <v>16.818795000000001</v>
      </c>
      <c r="F49" s="1170">
        <v>1</v>
      </c>
      <c r="G49" s="1171">
        <f>+F49*E49</f>
        <v>16.818795000000001</v>
      </c>
      <c r="H49" s="35"/>
      <c r="I49" s="47"/>
    </row>
    <row r="50" spans="1:9">
      <c r="A50" s="2"/>
      <c r="B50" s="40"/>
      <c r="C50" s="6"/>
      <c r="D50" s="63"/>
      <c r="E50" s="150"/>
      <c r="F50" s="150"/>
      <c r="G50" s="1169"/>
      <c r="H50" s="35"/>
      <c r="I50" s="47"/>
    </row>
    <row r="51" spans="1:9">
      <c r="A51" s="2"/>
      <c r="B51" s="37" t="s">
        <v>43</v>
      </c>
      <c r="C51" s="35"/>
      <c r="D51" s="35"/>
      <c r="E51" s="60"/>
      <c r="F51" s="60"/>
      <c r="G51" s="60"/>
      <c r="H51" s="35"/>
      <c r="I51" s="46"/>
    </row>
    <row r="52" spans="1:9">
      <c r="A52" s="2"/>
      <c r="B52" s="1161" t="s">
        <v>457</v>
      </c>
      <c r="C52" s="1178"/>
      <c r="D52" s="1178"/>
      <c r="E52" s="1178"/>
      <c r="F52" s="1178"/>
      <c r="G52" s="1178"/>
      <c r="H52" s="1178"/>
      <c r="I52" s="1179"/>
    </row>
    <row r="53" spans="1:9">
      <c r="A53" s="2"/>
      <c r="B53" s="1177"/>
      <c r="C53" s="1178"/>
      <c r="D53" s="1178"/>
      <c r="E53" s="1178"/>
      <c r="F53" s="1178"/>
      <c r="G53" s="1178"/>
      <c r="H53" s="1178"/>
      <c r="I53" s="1179"/>
    </row>
    <row r="54" spans="1:9">
      <c r="A54" s="2"/>
      <c r="B54" s="42" t="s">
        <v>3</v>
      </c>
      <c r="C54" s="35"/>
      <c r="D54" s="35"/>
      <c r="E54" s="35"/>
      <c r="F54" s="39"/>
      <c r="G54" s="35"/>
      <c r="H54" s="35"/>
      <c r="I54" s="1182">
        <f>E56</f>
        <v>403.46246924999997</v>
      </c>
    </row>
    <row r="55" spans="1:9">
      <c r="A55" s="2"/>
      <c r="B55" s="2007" t="s">
        <v>465</v>
      </c>
      <c r="C55" s="2008"/>
      <c r="D55" s="35"/>
      <c r="E55" s="35"/>
      <c r="F55" s="35"/>
      <c r="G55" s="35"/>
      <c r="H55" s="35"/>
      <c r="I55" s="48"/>
    </row>
    <row r="56" spans="1:9">
      <c r="A56" s="2"/>
      <c r="B56" s="37" t="s">
        <v>466</v>
      </c>
      <c r="C56" s="39"/>
      <c r="D56" s="39"/>
      <c r="E56" s="153">
        <f>SUM(G45:G49)*0.15</f>
        <v>403.46246924999997</v>
      </c>
      <c r="F56" s="35"/>
      <c r="G56" s="35"/>
      <c r="H56" s="35"/>
      <c r="I56" s="46"/>
    </row>
    <row r="57" spans="1:9">
      <c r="A57" s="2"/>
      <c r="B57" s="37"/>
      <c r="C57" s="39"/>
      <c r="D57" s="1180"/>
      <c r="E57" s="153"/>
      <c r="F57" s="35"/>
      <c r="G57" s="35"/>
      <c r="H57" s="35"/>
      <c r="I57" s="46"/>
    </row>
    <row r="58" spans="1:9">
      <c r="A58" s="2"/>
      <c r="B58" s="42" t="s">
        <v>4</v>
      </c>
      <c r="C58" s="35"/>
      <c r="D58" s="35"/>
      <c r="E58" s="35"/>
      <c r="F58" s="35"/>
      <c r="G58" s="35"/>
      <c r="H58" s="35"/>
      <c r="I58" s="1182">
        <f>0.03*(I40+I43+I54)</f>
        <v>80.692493849999991</v>
      </c>
    </row>
    <row r="59" spans="1:9">
      <c r="A59" s="2"/>
      <c r="B59" s="33" t="s">
        <v>467</v>
      </c>
      <c r="C59" s="35"/>
      <c r="D59" s="35"/>
      <c r="E59" s="35"/>
      <c r="F59" s="35"/>
      <c r="G59" s="35"/>
      <c r="H59" s="35"/>
      <c r="I59" s="36"/>
    </row>
    <row r="60" spans="1:9">
      <c r="A60" s="2"/>
      <c r="B60" s="37"/>
      <c r="C60" s="35"/>
      <c r="D60" s="35"/>
      <c r="E60" s="35"/>
      <c r="F60" s="35"/>
      <c r="G60" s="35"/>
      <c r="H60" s="35"/>
      <c r="I60" s="36"/>
    </row>
    <row r="61" spans="1:9">
      <c r="A61" s="2"/>
      <c r="B61" s="42" t="s">
        <v>468</v>
      </c>
      <c r="C61" s="35"/>
      <c r="D61" s="35"/>
      <c r="E61" s="35"/>
      <c r="F61" s="35"/>
      <c r="G61" s="35"/>
      <c r="H61" s="35"/>
      <c r="I61" s="1182">
        <f>0.01*(I40+I43+I54)</f>
        <v>26.897497949999998</v>
      </c>
    </row>
    <row r="62" spans="1:9">
      <c r="A62" s="2"/>
      <c r="B62" s="33" t="s">
        <v>749</v>
      </c>
      <c r="C62" s="35"/>
      <c r="D62" s="35"/>
      <c r="E62" s="35"/>
      <c r="F62" s="35"/>
      <c r="G62" s="35"/>
      <c r="H62" s="35"/>
      <c r="I62" s="36"/>
    </row>
    <row r="63" spans="1:9">
      <c r="A63" s="2"/>
      <c r="B63" s="37"/>
      <c r="C63" s="35"/>
      <c r="D63" s="35"/>
      <c r="E63" s="35"/>
      <c r="F63" s="35"/>
      <c r="G63" s="35"/>
      <c r="H63" s="35"/>
      <c r="I63" s="36"/>
    </row>
    <row r="64" spans="1:9">
      <c r="A64" s="2"/>
      <c r="B64" s="42" t="s">
        <v>7</v>
      </c>
      <c r="C64" s="35"/>
      <c r="D64" s="35"/>
      <c r="E64" s="35"/>
      <c r="F64" s="35"/>
      <c r="G64" s="35"/>
      <c r="H64" s="35"/>
      <c r="I64" s="1166">
        <v>0</v>
      </c>
    </row>
    <row r="65" spans="1:9">
      <c r="A65" s="2"/>
      <c r="B65" s="756" t="s">
        <v>104</v>
      </c>
      <c r="C65" s="35"/>
      <c r="D65" s="35"/>
      <c r="E65" s="35"/>
      <c r="F65" s="35"/>
      <c r="G65" s="35"/>
      <c r="H65" s="35"/>
      <c r="I65" s="36"/>
    </row>
    <row r="66" spans="1:9">
      <c r="A66" s="2"/>
      <c r="B66" s="37"/>
      <c r="C66" s="35"/>
      <c r="D66" s="35"/>
      <c r="E66" s="35"/>
      <c r="F66" s="35"/>
      <c r="G66" s="35"/>
      <c r="H66" s="35"/>
      <c r="I66" s="36"/>
    </row>
    <row r="67" spans="1:9">
      <c r="A67" s="2"/>
      <c r="B67" s="42" t="s">
        <v>471</v>
      </c>
      <c r="C67" s="35"/>
      <c r="D67" s="35"/>
      <c r="E67" s="35"/>
      <c r="F67" s="39"/>
      <c r="G67" s="35"/>
      <c r="H67" s="35"/>
      <c r="I67" s="1166">
        <v>0</v>
      </c>
    </row>
    <row r="68" spans="1:9">
      <c r="A68" s="2"/>
      <c r="B68" s="756" t="s">
        <v>104</v>
      </c>
      <c r="C68" s="35"/>
      <c r="D68" s="35"/>
      <c r="E68" s="35"/>
      <c r="F68" s="35"/>
      <c r="G68" s="35"/>
      <c r="H68" s="35"/>
      <c r="I68" s="47"/>
    </row>
    <row r="69" spans="1:9">
      <c r="A69" s="2"/>
      <c r="B69" s="756"/>
      <c r="C69" s="35"/>
      <c r="D69" s="35"/>
      <c r="E69" s="35"/>
      <c r="F69" s="35"/>
      <c r="G69" s="35"/>
      <c r="H69" s="35"/>
      <c r="I69" s="47"/>
    </row>
    <row r="70" spans="1:9">
      <c r="A70" s="2"/>
      <c r="B70" s="42" t="s">
        <v>5</v>
      </c>
      <c r="C70" s="35"/>
      <c r="D70" s="35"/>
      <c r="E70" s="35"/>
      <c r="F70" s="35"/>
      <c r="G70" s="35"/>
      <c r="H70" s="35"/>
      <c r="I70" s="1166">
        <v>0</v>
      </c>
    </row>
    <row r="71" spans="1:9">
      <c r="A71" s="2"/>
      <c r="B71" s="756" t="s">
        <v>104</v>
      </c>
      <c r="C71" s="35"/>
      <c r="D71" s="35"/>
      <c r="E71" s="35"/>
      <c r="F71" s="35"/>
      <c r="G71" s="35"/>
      <c r="H71" s="35"/>
      <c r="I71" s="47"/>
    </row>
    <row r="72" spans="1:9">
      <c r="A72" s="2"/>
      <c r="B72" s="37"/>
      <c r="C72" s="35"/>
      <c r="D72" s="35"/>
      <c r="E72" s="35"/>
      <c r="F72" s="35"/>
      <c r="G72" s="35"/>
      <c r="H72" s="35"/>
      <c r="I72" s="36"/>
    </row>
    <row r="73" spans="1:9">
      <c r="A73" s="2"/>
      <c r="B73" s="42" t="s">
        <v>20</v>
      </c>
      <c r="C73" s="35"/>
      <c r="D73" s="35"/>
      <c r="E73" s="35"/>
      <c r="F73" s="35"/>
      <c r="G73" s="35"/>
      <c r="H73" s="35"/>
      <c r="I73" s="1166">
        <v>0</v>
      </c>
    </row>
    <row r="74" spans="1:9">
      <c r="A74" s="2"/>
      <c r="B74" s="33" t="s">
        <v>104</v>
      </c>
      <c r="C74" s="35"/>
      <c r="D74" s="35"/>
      <c r="E74" s="35"/>
      <c r="F74" s="35"/>
      <c r="G74" s="35"/>
      <c r="H74" s="35"/>
      <c r="I74" s="36"/>
    </row>
    <row r="75" spans="1:9">
      <c r="A75" s="2"/>
      <c r="B75" s="40"/>
      <c r="C75" s="35"/>
      <c r="D75" s="35"/>
      <c r="E75" s="35"/>
      <c r="F75" s="35"/>
      <c r="G75" s="35"/>
      <c r="H75" s="35"/>
      <c r="I75" s="36"/>
    </row>
    <row r="76" spans="1:9">
      <c r="A76" s="2"/>
      <c r="B76" s="42" t="s">
        <v>473</v>
      </c>
      <c r="C76" s="35"/>
      <c r="D76" s="35"/>
      <c r="E76" s="35"/>
      <c r="F76" s="35"/>
      <c r="G76" s="35"/>
      <c r="H76" s="35"/>
      <c r="I76" s="1183">
        <f>+I40+I43+I54+I58+I64+I73</f>
        <v>2770.4422888499998</v>
      </c>
    </row>
    <row r="77" spans="1:9" ht="15.75">
      <c r="A77" s="2"/>
      <c r="B77" s="33" t="s">
        <v>474</v>
      </c>
      <c r="C77" s="35"/>
      <c r="D77" s="35"/>
      <c r="E77" s="35"/>
      <c r="F77" s="35"/>
      <c r="G77" s="35"/>
      <c r="H77" s="35"/>
      <c r="I77" s="36"/>
    </row>
    <row r="78" spans="1:9">
      <c r="A78" s="2"/>
      <c r="B78" s="40"/>
      <c r="C78" s="35"/>
      <c r="D78" s="35"/>
      <c r="E78" s="35"/>
      <c r="F78" s="35"/>
      <c r="G78" s="35"/>
      <c r="H78" s="35"/>
      <c r="I78" s="36"/>
    </row>
    <row r="79" spans="1:9">
      <c r="A79" s="2"/>
      <c r="B79" s="43" t="s">
        <v>11</v>
      </c>
      <c r="C79" s="44"/>
      <c r="D79" s="44"/>
      <c r="E79" s="44"/>
      <c r="F79" s="44"/>
      <c r="G79" s="44"/>
      <c r="H79" s="44"/>
      <c r="I79" s="621">
        <f>SUM(I40:I73)</f>
        <v>2797.3397867999997</v>
      </c>
    </row>
  </sheetData>
  <mergeCells count="3">
    <mergeCell ref="B1:D1"/>
    <mergeCell ref="E43:H43"/>
    <mergeCell ref="B55:C55"/>
  </mergeCells>
  <pageMargins left="0.75" right="0.75" top="1" bottom="1" header="0.5" footer="0.5"/>
  <pageSetup scale="62" orientation="portrait" r:id="rId1"/>
  <headerFooter alignWithMargins="0"/>
</worksheet>
</file>

<file path=xl/worksheets/sheet224.xml><?xml version="1.0" encoding="utf-8"?>
<worksheet xmlns="http://schemas.openxmlformats.org/spreadsheetml/2006/main" xmlns:r="http://schemas.openxmlformats.org/officeDocument/2006/relationships">
  <sheetPr>
    <pageSetUpPr fitToPage="1"/>
  </sheetPr>
  <dimension ref="A1:L77"/>
  <sheetViews>
    <sheetView zoomScale="75" zoomScaleNormal="75" workbookViewId="0">
      <selection activeCell="D39" sqref="D39"/>
    </sheetView>
  </sheetViews>
  <sheetFormatPr defaultRowHeight="12.75"/>
  <cols>
    <col min="1" max="1" width="1.85546875" style="191" customWidth="1"/>
    <col min="2" max="2" width="9.140625" style="191"/>
    <col min="3" max="3" width="24.140625" style="191" customWidth="1"/>
    <col min="4" max="4" width="35" style="191" customWidth="1"/>
    <col min="5" max="5" width="59.42578125" style="191" bestFit="1" customWidth="1"/>
    <col min="6" max="6" width="10.42578125" style="191" customWidth="1"/>
    <col min="7" max="16384" width="9.140625" style="191"/>
  </cols>
  <sheetData>
    <row r="1" spans="1:12">
      <c r="A1" s="182"/>
      <c r="B1" s="2142" t="s">
        <v>438</v>
      </c>
      <c r="C1" s="2143"/>
      <c r="D1" s="2143"/>
      <c r="E1" s="182"/>
      <c r="F1" s="685"/>
      <c r="G1" s="182"/>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12.75" customHeight="1">
      <c r="A6" s="182"/>
      <c r="B6" s="197">
        <v>642</v>
      </c>
      <c r="C6" s="198" t="str">
        <f>+E12</f>
        <v>EQIP</v>
      </c>
      <c r="D6" s="199" t="s">
        <v>2411</v>
      </c>
      <c r="E6" s="199" t="s">
        <v>2412</v>
      </c>
      <c r="F6" s="198" t="s">
        <v>756</v>
      </c>
      <c r="G6" s="686">
        <f>+I25</f>
        <v>15.513779531249998</v>
      </c>
    </row>
    <row r="7" spans="1:12" ht="12.75" customHeight="1">
      <c r="A7" s="182"/>
      <c r="B7" s="197">
        <f>+B6</f>
        <v>642</v>
      </c>
      <c r="C7" s="198" t="str">
        <f>+C6</f>
        <v>EQIP</v>
      </c>
      <c r="D7" s="199" t="s">
        <v>2411</v>
      </c>
      <c r="E7" s="199" t="str">
        <f>CONCATENATE(E6, "-HU")</f>
        <v>Water Well - Typical Installation-HU</v>
      </c>
      <c r="F7" s="198" t="str">
        <f>+F6</f>
        <v>Feet</v>
      </c>
      <c r="G7" s="686">
        <f>+J25</f>
        <v>18.616535437499998</v>
      </c>
    </row>
    <row r="8" spans="1:12" ht="12.75" customHeight="1">
      <c r="A8" s="182"/>
      <c r="B8" s="197">
        <v>642</v>
      </c>
      <c r="C8" s="198" t="str">
        <f>+G12</f>
        <v>WHIP</v>
      </c>
      <c r="D8" s="199" t="s">
        <v>2411</v>
      </c>
      <c r="E8" s="199" t="s">
        <v>2412</v>
      </c>
      <c r="F8" s="198" t="s">
        <v>756</v>
      </c>
      <c r="G8" s="686">
        <f>+K25</f>
        <v>0</v>
      </c>
    </row>
    <row r="9" spans="1:12">
      <c r="A9" s="182"/>
      <c r="B9" s="203">
        <f>+B8</f>
        <v>642</v>
      </c>
      <c r="C9" s="204" t="str">
        <f>+C8</f>
        <v>WHIP</v>
      </c>
      <c r="D9" s="205" t="s">
        <v>2411</v>
      </c>
      <c r="E9" s="205" t="str">
        <f>CONCATENATE(E6, "-HU")</f>
        <v>Water Well - Typical Installation-HU</v>
      </c>
      <c r="F9" s="204" t="str">
        <f>+F8</f>
        <v>Feet</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0</v>
      </c>
      <c r="E16" s="226">
        <f>+'[41]Payment Factors'!D49</f>
        <v>0.75</v>
      </c>
      <c r="F16" s="226">
        <f>+'[41]Payment Factors'!E49</f>
        <v>0.9</v>
      </c>
      <c r="G16" s="226">
        <f>+'[41]Payment Factors'!F49</f>
        <v>0</v>
      </c>
      <c r="H16" s="226">
        <f>+'[41]Payment Factors'!G49</f>
        <v>0</v>
      </c>
      <c r="I16" s="689">
        <f t="shared" ref="I16:L24" si="0">+$D16*E16</f>
        <v>0</v>
      </c>
      <c r="J16" s="689">
        <f t="shared" si="0"/>
        <v>0</v>
      </c>
      <c r="K16" s="689">
        <f t="shared" si="0"/>
        <v>0</v>
      </c>
      <c r="L16" s="690">
        <f t="shared" si="0"/>
        <v>0</v>
      </c>
    </row>
    <row r="17" spans="1:12">
      <c r="A17" s="182"/>
      <c r="B17" s="215" t="s">
        <v>2</v>
      </c>
      <c r="C17" s="217"/>
      <c r="D17" s="688">
        <f>+I44</f>
        <v>17.070178124999998</v>
      </c>
      <c r="E17" s="226">
        <f t="shared" ref="E17:H19" si="1">+E16</f>
        <v>0.75</v>
      </c>
      <c r="F17" s="226">
        <f t="shared" si="1"/>
        <v>0.9</v>
      </c>
      <c r="G17" s="226">
        <f t="shared" si="1"/>
        <v>0</v>
      </c>
      <c r="H17" s="226">
        <f t="shared" si="1"/>
        <v>0</v>
      </c>
      <c r="I17" s="689">
        <f t="shared" si="0"/>
        <v>12.802633593749999</v>
      </c>
      <c r="J17" s="689">
        <f t="shared" si="0"/>
        <v>15.363160312499998</v>
      </c>
      <c r="K17" s="689">
        <f t="shared" si="0"/>
        <v>0</v>
      </c>
      <c r="L17" s="690">
        <f t="shared" si="0"/>
        <v>0</v>
      </c>
    </row>
    <row r="18" spans="1:12">
      <c r="A18" s="182"/>
      <c r="B18" s="215" t="s">
        <v>3</v>
      </c>
      <c r="C18" s="217"/>
      <c r="D18" s="688">
        <f>+I52</f>
        <v>3.0123843749999994</v>
      </c>
      <c r="E18" s="226">
        <f t="shared" si="1"/>
        <v>0.75</v>
      </c>
      <c r="F18" s="226">
        <f t="shared" si="1"/>
        <v>0.9</v>
      </c>
      <c r="G18" s="226">
        <f t="shared" si="1"/>
        <v>0</v>
      </c>
      <c r="H18" s="226">
        <f t="shared" si="1"/>
        <v>0</v>
      </c>
      <c r="I18" s="689">
        <f t="shared" si="0"/>
        <v>2.2592882812499995</v>
      </c>
      <c r="J18" s="689">
        <f t="shared" si="0"/>
        <v>2.7111459374999995</v>
      </c>
      <c r="K18" s="689">
        <f t="shared" si="0"/>
        <v>0</v>
      </c>
      <c r="L18" s="690">
        <f t="shared" si="0"/>
        <v>0</v>
      </c>
    </row>
    <row r="19" spans="1:12">
      <c r="A19" s="182"/>
      <c r="B19" s="215" t="s">
        <v>4</v>
      </c>
      <c r="C19" s="217"/>
      <c r="D19" s="688">
        <f>+I56</f>
        <v>0.60247687499999991</v>
      </c>
      <c r="E19" s="226">
        <f t="shared" si="1"/>
        <v>0.75</v>
      </c>
      <c r="F19" s="226">
        <f t="shared" si="1"/>
        <v>0.9</v>
      </c>
      <c r="G19" s="226">
        <f t="shared" si="1"/>
        <v>0</v>
      </c>
      <c r="H19" s="226">
        <f t="shared" si="1"/>
        <v>0</v>
      </c>
      <c r="I19" s="689">
        <f t="shared" si="0"/>
        <v>0.45185765624999996</v>
      </c>
      <c r="J19" s="689">
        <f t="shared" si="0"/>
        <v>0.54222918749999993</v>
      </c>
      <c r="K19" s="689">
        <f t="shared" si="0"/>
        <v>0</v>
      </c>
      <c r="L19" s="690">
        <f t="shared" si="0"/>
        <v>0</v>
      </c>
    </row>
    <row r="20" spans="1:12">
      <c r="A20" s="182"/>
      <c r="B20" s="215" t="s">
        <v>26</v>
      </c>
      <c r="C20" s="217"/>
      <c r="D20" s="688">
        <f>+I59</f>
        <v>0.20082562499999998</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+I62</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+I65</f>
        <v>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+I68</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+I71</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20.885864999999999</v>
      </c>
      <c r="E25" s="695"/>
      <c r="F25" s="695"/>
      <c r="G25" s="234"/>
      <c r="H25" s="234"/>
      <c r="I25" s="696">
        <f>SUM(I16:I24)</f>
        <v>15.513779531249998</v>
      </c>
      <c r="J25" s="696">
        <f>SUM(J16:J24)</f>
        <v>18.616535437499998</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2413</v>
      </c>
      <c r="C29" s="247"/>
      <c r="D29" s="247"/>
      <c r="E29" s="254"/>
      <c r="F29" s="254"/>
      <c r="G29" s="254"/>
      <c r="H29" s="254"/>
      <c r="I29" s="248"/>
    </row>
    <row r="30" spans="1:12">
      <c r="A30" s="182"/>
      <c r="B30" s="251" t="s">
        <v>2414</v>
      </c>
      <c r="C30" s="247"/>
      <c r="D30" s="247"/>
      <c r="E30" s="1854"/>
      <c r="F30" s="1848"/>
      <c r="G30" s="254"/>
      <c r="H30" s="254"/>
      <c r="I30" s="248"/>
    </row>
    <row r="31" spans="1:12">
      <c r="A31" s="182"/>
      <c r="B31" s="251" t="s">
        <v>2415</v>
      </c>
      <c r="C31" s="247"/>
      <c r="D31" s="247"/>
      <c r="E31" s="254"/>
      <c r="F31" s="254"/>
      <c r="G31" s="254"/>
      <c r="H31" s="254"/>
      <c r="I31" s="248"/>
    </row>
    <row r="32" spans="1:12">
      <c r="A32" s="182"/>
      <c r="B32" s="27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756</v>
      </c>
      <c r="E36" s="268"/>
      <c r="F36" s="254"/>
      <c r="G36" s="254"/>
      <c r="H36" s="254"/>
      <c r="I36" s="248"/>
    </row>
    <row r="37" spans="1:9">
      <c r="A37" s="182"/>
      <c r="B37" s="255" t="s">
        <v>9</v>
      </c>
      <c r="C37" s="247"/>
      <c r="D37" s="699">
        <v>20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SUM(G42:G42)</f>
        <v>0</v>
      </c>
    </row>
    <row r="41" spans="1:9">
      <c r="A41" s="182"/>
      <c r="B41" s="271" t="s">
        <v>104</v>
      </c>
      <c r="C41" s="254"/>
      <c r="D41" s="704"/>
      <c r="E41" s="704"/>
      <c r="F41" s="704"/>
      <c r="G41" s="704"/>
      <c r="H41" s="254"/>
      <c r="I41" s="265"/>
    </row>
    <row r="42" spans="1:9">
      <c r="A42" s="182"/>
      <c r="B42" s="261"/>
      <c r="C42" s="268"/>
      <c r="D42" s="705"/>
      <c r="E42" s="706"/>
      <c r="F42" s="707"/>
      <c r="G42" s="708"/>
      <c r="H42" s="254"/>
      <c r="I42" s="286"/>
    </row>
    <row r="43" spans="1:9">
      <c r="A43" s="182"/>
      <c r="B43" s="1850"/>
      <c r="C43" s="268"/>
      <c r="D43" s="1851"/>
      <c r="E43" s="254"/>
      <c r="F43" s="254"/>
      <c r="G43" s="254"/>
      <c r="H43" s="254"/>
      <c r="I43" s="248"/>
    </row>
    <row r="44" spans="1:9">
      <c r="A44" s="182"/>
      <c r="B44" s="246" t="s">
        <v>2</v>
      </c>
      <c r="C44" s="254"/>
      <c r="D44" s="254"/>
      <c r="E44" s="2147" t="s">
        <v>459</v>
      </c>
      <c r="F44" s="2147"/>
      <c r="G44" s="2147"/>
      <c r="H44" s="2147"/>
      <c r="I44" s="702">
        <f>(SUM(G46:G47)/200*0.85)</f>
        <v>17.070178124999998</v>
      </c>
    </row>
    <row r="45" spans="1:9">
      <c r="A45" s="182"/>
      <c r="B45" s="703"/>
      <c r="C45" s="254"/>
      <c r="D45" s="704" t="s">
        <v>447</v>
      </c>
      <c r="E45" s="704" t="s">
        <v>448</v>
      </c>
      <c r="F45" s="704" t="s">
        <v>449</v>
      </c>
      <c r="G45" s="704" t="s">
        <v>450</v>
      </c>
      <c r="H45" s="254"/>
      <c r="I45" s="265"/>
    </row>
    <row r="46" spans="1:9">
      <c r="A46" s="182"/>
      <c r="B46" s="1855" t="str">
        <f>+'[41]Core Rates'!A350</f>
        <v>Well Drilling: 1-100' including casing</v>
      </c>
      <c r="C46" s="254"/>
      <c r="D46" s="706" t="str">
        <f>+'[41]Core Rates'!B350</f>
        <v>Ea</v>
      </c>
      <c r="E46" s="706">
        <f>+'[41]Core Rates'!C350</f>
        <v>2668.3125</v>
      </c>
      <c r="F46" s="707">
        <v>1</v>
      </c>
      <c r="G46" s="708">
        <f>+F46*E46</f>
        <v>2668.3125</v>
      </c>
      <c r="H46" s="254"/>
      <c r="I46" s="265"/>
    </row>
    <row r="47" spans="1:9">
      <c r="A47" s="182"/>
      <c r="B47" s="1856" t="str">
        <f>+'[41]Core Rates'!A349</f>
        <v>Well Drilling: (Each additional foot over 100 including casing)</v>
      </c>
      <c r="C47" s="268"/>
      <c r="D47" s="706" t="str">
        <f>+'[41]Core Rates'!B349</f>
        <v>Lin Ft</v>
      </c>
      <c r="E47" s="706">
        <f>+'[41]Core Rates'!C349</f>
        <v>13.482000000000001</v>
      </c>
      <c r="F47" s="707">
        <v>100</v>
      </c>
      <c r="G47" s="708">
        <f>+F47*E47</f>
        <v>1348.2</v>
      </c>
      <c r="H47" s="254"/>
      <c r="I47" s="286"/>
    </row>
    <row r="48" spans="1:9">
      <c r="A48" s="182"/>
      <c r="B48" s="261"/>
      <c r="C48" s="268"/>
      <c r="D48" s="269"/>
      <c r="E48" s="714"/>
      <c r="F48" s="714"/>
      <c r="G48" s="706"/>
      <c r="H48" s="254"/>
      <c r="I48" s="286"/>
    </row>
    <row r="49" spans="1:9">
      <c r="A49" s="182"/>
      <c r="B49" s="251" t="s">
        <v>43</v>
      </c>
      <c r="C49" s="254"/>
      <c r="D49" s="254"/>
      <c r="E49" s="272"/>
      <c r="F49" s="272"/>
      <c r="G49" s="272"/>
      <c r="H49" s="254"/>
      <c r="I49" s="265"/>
    </row>
    <row r="50" spans="1:9">
      <c r="A50" s="182"/>
      <c r="B50" s="1847" t="s">
        <v>457</v>
      </c>
      <c r="C50" s="716"/>
      <c r="D50" s="716"/>
      <c r="E50" s="716"/>
      <c r="F50" s="716"/>
      <c r="G50" s="716"/>
      <c r="H50" s="716"/>
      <c r="I50" s="717"/>
    </row>
    <row r="51" spans="1:9">
      <c r="A51" s="182"/>
      <c r="B51" s="715"/>
      <c r="C51" s="716"/>
      <c r="D51" s="716"/>
      <c r="E51" s="716"/>
      <c r="F51" s="716"/>
      <c r="G51" s="716"/>
      <c r="H51" s="716"/>
      <c r="I51" s="717"/>
    </row>
    <row r="52" spans="1:9">
      <c r="A52" s="182"/>
      <c r="B52" s="246" t="s">
        <v>3</v>
      </c>
      <c r="C52" s="254"/>
      <c r="D52" s="254"/>
      <c r="E52" s="254"/>
      <c r="F52" s="256"/>
      <c r="G52" s="254"/>
      <c r="H52" s="254"/>
      <c r="I52" s="718">
        <f>E54</f>
        <v>3.0123843749999994</v>
      </c>
    </row>
    <row r="53" spans="1:9">
      <c r="A53" s="182"/>
      <c r="B53" s="2151" t="s">
        <v>465</v>
      </c>
      <c r="C53" s="2152"/>
      <c r="D53" s="254"/>
      <c r="E53" s="254"/>
      <c r="F53" s="254"/>
      <c r="G53" s="254"/>
      <c r="H53" s="254"/>
      <c r="I53" s="282"/>
    </row>
    <row r="54" spans="1:9">
      <c r="A54" s="182"/>
      <c r="B54" s="251" t="s">
        <v>466</v>
      </c>
      <c r="C54" s="256"/>
      <c r="D54" s="256"/>
      <c r="E54" s="720">
        <f>SUM(G46:G47)/200*0.15</f>
        <v>3.0123843749999994</v>
      </c>
      <c r="F54" s="254"/>
      <c r="G54" s="254"/>
      <c r="H54" s="254"/>
      <c r="I54" s="265"/>
    </row>
    <row r="55" spans="1:9">
      <c r="A55" s="182"/>
      <c r="B55" s="271"/>
      <c r="C55" s="254"/>
      <c r="D55" s="254"/>
      <c r="E55" s="254"/>
      <c r="F55" s="254"/>
      <c r="G55" s="254"/>
      <c r="H55" s="254"/>
      <c r="I55" s="248"/>
    </row>
    <row r="56" spans="1:9">
      <c r="A56" s="182"/>
      <c r="B56" s="246" t="s">
        <v>4</v>
      </c>
      <c r="C56" s="254"/>
      <c r="D56" s="254"/>
      <c r="E56" s="254"/>
      <c r="F56" s="254"/>
      <c r="G56" s="254"/>
      <c r="H56" s="254"/>
      <c r="I56" s="718">
        <f>0.03*(I40+I44+I52)</f>
        <v>0.60247687499999991</v>
      </c>
    </row>
    <row r="57" spans="1:9">
      <c r="A57" s="182"/>
      <c r="B57" s="271" t="s">
        <v>467</v>
      </c>
      <c r="C57" s="254"/>
      <c r="D57" s="254"/>
      <c r="E57" s="254"/>
      <c r="F57" s="254"/>
      <c r="G57" s="254"/>
      <c r="H57" s="254"/>
      <c r="I57" s="248"/>
    </row>
    <row r="58" spans="1:9">
      <c r="A58" s="182"/>
      <c r="B58" s="251"/>
      <c r="C58" s="254"/>
      <c r="D58" s="254"/>
      <c r="E58" s="254"/>
      <c r="F58" s="254"/>
      <c r="G58" s="254"/>
      <c r="H58" s="254"/>
      <c r="I58" s="248"/>
    </row>
    <row r="59" spans="1:9">
      <c r="A59" s="182"/>
      <c r="B59" s="246" t="s">
        <v>468</v>
      </c>
      <c r="C59" s="254"/>
      <c r="D59" s="254"/>
      <c r="E59" s="254"/>
      <c r="F59" s="254"/>
      <c r="G59" s="254"/>
      <c r="H59" s="254"/>
      <c r="I59" s="718">
        <f>0.01*(I40+I44+I52)</f>
        <v>0.20082562499999998</v>
      </c>
    </row>
    <row r="60" spans="1:9">
      <c r="A60" s="182"/>
      <c r="B60" s="271" t="s">
        <v>749</v>
      </c>
      <c r="C60" s="254"/>
      <c r="D60" s="254"/>
      <c r="E60" s="254"/>
      <c r="F60" s="254"/>
      <c r="G60" s="254"/>
      <c r="H60" s="254"/>
      <c r="I60" s="248"/>
    </row>
    <row r="61" spans="1:9">
      <c r="A61" s="182"/>
      <c r="B61" s="251"/>
      <c r="C61" s="254"/>
      <c r="D61" s="254"/>
      <c r="E61" s="254"/>
      <c r="F61" s="254"/>
      <c r="G61" s="254"/>
      <c r="H61" s="254"/>
      <c r="I61" s="248"/>
    </row>
    <row r="62" spans="1:9">
      <c r="A62" s="182"/>
      <c r="B62" s="246" t="s">
        <v>7</v>
      </c>
      <c r="C62" s="254"/>
      <c r="D62" s="254"/>
      <c r="E62" s="254"/>
      <c r="F62" s="254"/>
      <c r="G62" s="254"/>
      <c r="H62" s="254"/>
      <c r="I62" s="702">
        <v>0</v>
      </c>
    </row>
    <row r="63" spans="1:9">
      <c r="A63" s="182"/>
      <c r="B63" s="271" t="s">
        <v>104</v>
      </c>
      <c r="C63" s="254"/>
      <c r="D63" s="254"/>
      <c r="E63" s="254"/>
      <c r="F63" s="254"/>
      <c r="G63" s="254"/>
      <c r="H63" s="254"/>
      <c r="I63" s="248"/>
    </row>
    <row r="64" spans="1:9">
      <c r="A64" s="182"/>
      <c r="B64" s="251"/>
      <c r="C64" s="254"/>
      <c r="D64" s="254"/>
      <c r="E64" s="254"/>
      <c r="F64" s="254"/>
      <c r="G64" s="254"/>
      <c r="H64" s="254"/>
      <c r="I64" s="248"/>
    </row>
    <row r="65" spans="1:9">
      <c r="A65" s="182"/>
      <c r="B65" s="246" t="s">
        <v>471</v>
      </c>
      <c r="C65" s="254"/>
      <c r="D65" s="254"/>
      <c r="E65" s="254"/>
      <c r="F65" s="256"/>
      <c r="G65" s="254"/>
      <c r="H65" s="254"/>
      <c r="I65" s="702">
        <v>0</v>
      </c>
    </row>
    <row r="66" spans="1:9">
      <c r="A66" s="182"/>
      <c r="B66" s="726" t="s">
        <v>104</v>
      </c>
      <c r="C66" s="254"/>
      <c r="D66" s="254"/>
      <c r="E66" s="254"/>
      <c r="F66" s="254"/>
      <c r="G66" s="254"/>
      <c r="H66" s="254"/>
      <c r="I66" s="286"/>
    </row>
    <row r="67" spans="1:9">
      <c r="A67" s="182"/>
      <c r="B67" s="726"/>
      <c r="C67" s="254"/>
      <c r="D67" s="254"/>
      <c r="E67" s="254"/>
      <c r="F67" s="254"/>
      <c r="G67" s="254"/>
      <c r="H67" s="254"/>
      <c r="I67" s="286"/>
    </row>
    <row r="68" spans="1:9">
      <c r="A68" s="182"/>
      <c r="B68" s="246" t="s">
        <v>5</v>
      </c>
      <c r="C68" s="254"/>
      <c r="D68" s="254"/>
      <c r="E68" s="254"/>
      <c r="F68" s="254"/>
      <c r="G68" s="254"/>
      <c r="H68" s="254"/>
      <c r="I68" s="702">
        <v>0</v>
      </c>
    </row>
    <row r="69" spans="1:9">
      <c r="A69" s="182"/>
      <c r="B69" s="271" t="s">
        <v>104</v>
      </c>
      <c r="C69" s="254"/>
      <c r="D69" s="254"/>
      <c r="E69" s="254"/>
      <c r="F69" s="254"/>
      <c r="G69" s="254"/>
      <c r="H69" s="254"/>
      <c r="I69" s="286"/>
    </row>
    <row r="70" spans="1:9">
      <c r="A70" s="182"/>
      <c r="B70" s="251"/>
      <c r="C70" s="254"/>
      <c r="D70" s="254"/>
      <c r="E70" s="254"/>
      <c r="F70" s="254"/>
      <c r="G70" s="254"/>
      <c r="H70" s="254"/>
      <c r="I70" s="248"/>
    </row>
    <row r="71" spans="1:9">
      <c r="A71" s="182"/>
      <c r="B71" s="246" t="s">
        <v>20</v>
      </c>
      <c r="C71" s="254"/>
      <c r="D71" s="254"/>
      <c r="E71" s="254"/>
      <c r="F71" s="254"/>
      <c r="G71" s="254"/>
      <c r="H71" s="254"/>
      <c r="I71" s="702">
        <v>0</v>
      </c>
    </row>
    <row r="72" spans="1:9">
      <c r="A72" s="182"/>
      <c r="B72" s="271" t="s">
        <v>104</v>
      </c>
      <c r="C72" s="254"/>
      <c r="D72" s="254"/>
      <c r="E72" s="254"/>
      <c r="F72" s="254"/>
      <c r="G72" s="254"/>
      <c r="H72" s="254"/>
      <c r="I72" s="248"/>
    </row>
    <row r="73" spans="1:9">
      <c r="A73" s="182"/>
      <c r="B73" s="261"/>
      <c r="C73" s="254"/>
      <c r="D73" s="254"/>
      <c r="E73" s="254"/>
      <c r="F73" s="254"/>
      <c r="G73" s="254"/>
      <c r="H73" s="254"/>
      <c r="I73" s="248"/>
    </row>
    <row r="74" spans="1:9">
      <c r="A74" s="182"/>
      <c r="B74" s="246" t="s">
        <v>473</v>
      </c>
      <c r="C74" s="254"/>
      <c r="D74" s="254"/>
      <c r="E74" s="254"/>
      <c r="F74" s="254"/>
      <c r="G74" s="254"/>
      <c r="H74" s="254"/>
      <c r="I74" s="728">
        <f>+I40+I44+I52+I56+I62+I71</f>
        <v>20.685039374999999</v>
      </c>
    </row>
    <row r="75" spans="1:9" ht="15.75">
      <c r="A75" s="182"/>
      <c r="B75" s="271" t="s">
        <v>474</v>
      </c>
      <c r="C75" s="254"/>
      <c r="D75" s="254"/>
      <c r="E75" s="254"/>
      <c r="F75" s="254"/>
      <c r="G75" s="254"/>
      <c r="H75" s="254"/>
      <c r="I75" s="248"/>
    </row>
    <row r="76" spans="1:9">
      <c r="A76" s="182"/>
      <c r="B76" s="261"/>
      <c r="C76" s="254"/>
      <c r="D76" s="254"/>
      <c r="E76" s="254"/>
      <c r="F76" s="254"/>
      <c r="G76" s="254"/>
      <c r="H76" s="254"/>
      <c r="I76" s="248"/>
    </row>
    <row r="77" spans="1:9">
      <c r="A77" s="182"/>
      <c r="B77" s="287" t="s">
        <v>11</v>
      </c>
      <c r="C77" s="288"/>
      <c r="D77" s="288"/>
      <c r="E77" s="288"/>
      <c r="F77" s="288"/>
      <c r="G77" s="288"/>
      <c r="H77" s="288"/>
      <c r="I77" s="621">
        <f>SUM(I40:I71)</f>
        <v>20.885864999999999</v>
      </c>
    </row>
  </sheetData>
  <mergeCells count="3">
    <mergeCell ref="B1:D1"/>
    <mergeCell ref="E44:H44"/>
    <mergeCell ref="B53:C53"/>
  </mergeCells>
  <pageMargins left="0.75" right="0.75" top="1" bottom="1" header="0.5" footer="0.5"/>
  <pageSetup scale="46" orientation="portrait" r:id="rId1"/>
  <headerFooter alignWithMargins="0"/>
</worksheet>
</file>

<file path=xl/worksheets/sheet225.xml><?xml version="1.0" encoding="utf-8"?>
<worksheet xmlns="http://schemas.openxmlformats.org/spreadsheetml/2006/main" xmlns:r="http://schemas.openxmlformats.org/officeDocument/2006/relationships">
  <sheetPr>
    <pageSetUpPr fitToPage="1"/>
  </sheetPr>
  <dimension ref="A1:L74"/>
  <sheetViews>
    <sheetView zoomScale="75" zoomScaleNormal="75" workbookViewId="0">
      <selection activeCell="D37" sqref="D37"/>
    </sheetView>
  </sheetViews>
  <sheetFormatPr defaultRowHeight="12.75"/>
  <cols>
    <col min="1" max="1" width="1.85546875" style="517" customWidth="1"/>
    <col min="2" max="2" width="9.140625" style="517"/>
    <col min="3" max="3" width="24.140625" style="517" customWidth="1"/>
    <col min="4" max="4" width="35" style="517" customWidth="1"/>
    <col min="5" max="5" width="59.42578125" style="517" bestFit="1" customWidth="1"/>
    <col min="6" max="6" width="10.42578125" style="517" customWidth="1"/>
    <col min="7"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c r="A3" s="515"/>
      <c r="B3" s="519" t="s">
        <v>17</v>
      </c>
      <c r="C3" s="515"/>
      <c r="D3" s="515"/>
      <c r="E3" s="515"/>
      <c r="F3" s="515"/>
      <c r="G3" s="515"/>
      <c r="H3" s="515"/>
      <c r="I3" s="515"/>
    </row>
    <row r="4" spans="1:12">
      <c r="A4" s="515"/>
      <c r="B4" s="520" t="s">
        <v>1</v>
      </c>
      <c r="C4" s="521" t="s">
        <v>21</v>
      </c>
      <c r="D4" s="522"/>
      <c r="E4" s="522"/>
      <c r="F4" s="522"/>
      <c r="G4" s="523" t="s">
        <v>12</v>
      </c>
    </row>
    <row r="5" spans="1:12">
      <c r="A5" s="515"/>
      <c r="B5" s="524" t="s">
        <v>13</v>
      </c>
      <c r="C5" s="525" t="s">
        <v>22</v>
      </c>
      <c r="D5" s="525" t="s">
        <v>29</v>
      </c>
      <c r="E5" s="525" t="s">
        <v>30</v>
      </c>
      <c r="F5" s="525" t="s">
        <v>23</v>
      </c>
      <c r="G5" s="526" t="s">
        <v>14</v>
      </c>
    </row>
    <row r="6" spans="1:12" ht="25.5">
      <c r="A6" s="515"/>
      <c r="B6" s="631">
        <v>643</v>
      </c>
      <c r="C6" s="531" t="str">
        <f>+E12</f>
        <v>EQIP</v>
      </c>
      <c r="D6" s="622" t="s">
        <v>1189</v>
      </c>
      <c r="E6" s="622" t="s">
        <v>1190</v>
      </c>
      <c r="F6" s="531" t="s">
        <v>394</v>
      </c>
      <c r="G6" s="532">
        <f>+I25</f>
        <v>219.83804999999995</v>
      </c>
    </row>
    <row r="7" spans="1:12" ht="25.5">
      <c r="A7" s="515"/>
      <c r="B7" s="631">
        <f>+B6</f>
        <v>643</v>
      </c>
      <c r="C7" s="531" t="str">
        <f>+C6</f>
        <v>EQIP</v>
      </c>
      <c r="D7" s="622" t="s">
        <v>1189</v>
      </c>
      <c r="E7" s="622" t="str">
        <f>CONCATENATE(E6, "-HU")</f>
        <v>Restoration &amp; Management of Declining Habitats - Removal of Woody Vegetation-HU</v>
      </c>
      <c r="F7" s="531" t="s">
        <v>394</v>
      </c>
      <c r="G7" s="532">
        <f>+J25</f>
        <v>263.80565999999993</v>
      </c>
    </row>
    <row r="8" spans="1:12" ht="25.5">
      <c r="A8" s="515"/>
      <c r="B8" s="631">
        <v>643</v>
      </c>
      <c r="C8" s="531" t="str">
        <f>+G12</f>
        <v>WHIP</v>
      </c>
      <c r="D8" s="622" t="s">
        <v>1189</v>
      </c>
      <c r="E8" s="622" t="s">
        <v>1190</v>
      </c>
      <c r="F8" s="531" t="s">
        <v>394</v>
      </c>
      <c r="G8" s="532">
        <f>+K25</f>
        <v>219.83804999999995</v>
      </c>
    </row>
    <row r="9" spans="1:12" ht="25.5">
      <c r="A9" s="515"/>
      <c r="B9" s="633">
        <f>+B8</f>
        <v>643</v>
      </c>
      <c r="C9" s="536" t="str">
        <f>+C8</f>
        <v>WHIP</v>
      </c>
      <c r="D9" s="623" t="s">
        <v>1189</v>
      </c>
      <c r="E9" s="623" t="str">
        <f>CONCATENATE(E6, "-HU")</f>
        <v>Restoration &amp; Management of Declining Habitats - Removal of Woody Vegetation-HU</v>
      </c>
      <c r="F9" s="531" t="s">
        <v>394</v>
      </c>
      <c r="G9" s="537"/>
    </row>
    <row r="10" spans="1:12">
      <c r="A10" s="515"/>
      <c r="B10" s="538"/>
      <c r="C10" s="539"/>
      <c r="D10" s="539"/>
      <c r="E10" s="515"/>
      <c r="F10" s="515"/>
    </row>
    <row r="11" spans="1:12" ht="15.75">
      <c r="A11" s="515"/>
      <c r="B11" s="519" t="s">
        <v>18</v>
      </c>
      <c r="C11" s="539"/>
      <c r="D11" s="539"/>
      <c r="E11" s="515"/>
      <c r="F11" s="515"/>
    </row>
    <row r="12" spans="1:12">
      <c r="A12" s="515"/>
      <c r="B12" s="540"/>
      <c r="C12" s="541"/>
      <c r="D12" s="542"/>
      <c r="E12" s="543" t="s">
        <v>15</v>
      </c>
      <c r="F12" s="543" t="s">
        <v>31</v>
      </c>
      <c r="G12" s="543" t="s">
        <v>86</v>
      </c>
      <c r="H12" s="543" t="s">
        <v>441</v>
      </c>
      <c r="I12" s="543"/>
      <c r="J12" s="543"/>
      <c r="K12" s="543"/>
      <c r="L12" s="624"/>
    </row>
    <row r="13" spans="1:12">
      <c r="A13" s="515"/>
      <c r="B13" s="544"/>
      <c r="C13" s="545"/>
      <c r="D13" s="546"/>
      <c r="E13" s="547" t="s">
        <v>22</v>
      </c>
      <c r="F13" s="547" t="s">
        <v>22</v>
      </c>
      <c r="G13" s="547" t="s">
        <v>22</v>
      </c>
      <c r="H13" s="547" t="s">
        <v>22</v>
      </c>
      <c r="I13" s="547" t="s">
        <v>15</v>
      </c>
      <c r="J13" s="547" t="s">
        <v>31</v>
      </c>
      <c r="K13" s="547" t="s">
        <v>86</v>
      </c>
      <c r="L13" s="625" t="s">
        <v>441</v>
      </c>
    </row>
    <row r="14" spans="1:12">
      <c r="A14" s="515"/>
      <c r="B14" s="548"/>
      <c r="C14" s="546"/>
      <c r="D14" s="546"/>
      <c r="E14" s="547" t="s">
        <v>12</v>
      </c>
      <c r="F14" s="547" t="s">
        <v>12</v>
      </c>
      <c r="G14" s="547" t="s">
        <v>12</v>
      </c>
      <c r="H14" s="547" t="s">
        <v>12</v>
      </c>
      <c r="I14" s="547" t="s">
        <v>12</v>
      </c>
      <c r="J14" s="547" t="s">
        <v>12</v>
      </c>
      <c r="K14" s="547" t="s">
        <v>12</v>
      </c>
      <c r="L14" s="625" t="s">
        <v>12</v>
      </c>
    </row>
    <row r="15" spans="1:12">
      <c r="A15" s="515"/>
      <c r="B15" s="549" t="s">
        <v>16</v>
      </c>
      <c r="C15" s="546"/>
      <c r="D15" s="550" t="s">
        <v>6</v>
      </c>
      <c r="E15" s="551" t="s">
        <v>24</v>
      </c>
      <c r="F15" s="551" t="s">
        <v>24</v>
      </c>
      <c r="G15" s="551" t="s">
        <v>24</v>
      </c>
      <c r="H15" s="551" t="s">
        <v>24</v>
      </c>
      <c r="I15" s="551" t="s">
        <v>14</v>
      </c>
      <c r="J15" s="551" t="s">
        <v>14</v>
      </c>
      <c r="K15" s="551" t="s">
        <v>14</v>
      </c>
      <c r="L15" s="626" t="s">
        <v>14</v>
      </c>
    </row>
    <row r="16" spans="1:12">
      <c r="A16" s="515"/>
      <c r="B16" s="544" t="s">
        <v>0</v>
      </c>
      <c r="C16" s="546"/>
      <c r="D16" s="552">
        <f>+I39</f>
        <v>0</v>
      </c>
      <c r="E16" s="553">
        <f>+'[10]Payment Factors'!D30</f>
        <v>0.75</v>
      </c>
      <c r="F16" s="553">
        <f>+'[10]Payment Factors'!E30</f>
        <v>0.9</v>
      </c>
      <c r="G16" s="553">
        <f>+'[10]Payment Factors'!F30</f>
        <v>0.75</v>
      </c>
      <c r="H16" s="553">
        <f>+'[10]Payment Factors'!G30</f>
        <v>0.9</v>
      </c>
      <c r="I16" s="554">
        <f t="shared" ref="I16:L24" si="0">+$D16*E16</f>
        <v>0</v>
      </c>
      <c r="J16" s="554">
        <f t="shared" si="0"/>
        <v>0</v>
      </c>
      <c r="K16" s="554">
        <f t="shared" si="0"/>
        <v>0</v>
      </c>
      <c r="L16" s="627">
        <f t="shared" si="0"/>
        <v>0</v>
      </c>
    </row>
    <row r="17" spans="1:12">
      <c r="A17" s="515"/>
      <c r="B17" s="544" t="s">
        <v>2</v>
      </c>
      <c r="C17" s="546"/>
      <c r="D17" s="552">
        <f>+I42</f>
        <v>241.89299999999997</v>
      </c>
      <c r="E17" s="553">
        <f t="shared" ref="E17:H19" si="1">+E16</f>
        <v>0.75</v>
      </c>
      <c r="F17" s="553">
        <f t="shared" si="1"/>
        <v>0.9</v>
      </c>
      <c r="G17" s="553">
        <f t="shared" si="1"/>
        <v>0.75</v>
      </c>
      <c r="H17" s="553">
        <f t="shared" si="1"/>
        <v>0.9</v>
      </c>
      <c r="I17" s="554">
        <f t="shared" si="0"/>
        <v>181.41974999999996</v>
      </c>
      <c r="J17" s="554">
        <f t="shared" si="0"/>
        <v>217.70369999999997</v>
      </c>
      <c r="K17" s="554">
        <f t="shared" si="0"/>
        <v>181.41974999999996</v>
      </c>
      <c r="L17" s="627">
        <f t="shared" si="0"/>
        <v>217.70369999999997</v>
      </c>
    </row>
    <row r="18" spans="1:12">
      <c r="A18" s="515"/>
      <c r="B18" s="544" t="s">
        <v>3</v>
      </c>
      <c r="C18" s="546"/>
      <c r="D18" s="552">
        <f>+I49</f>
        <v>42.686999999999998</v>
      </c>
      <c r="E18" s="553">
        <f t="shared" si="1"/>
        <v>0.75</v>
      </c>
      <c r="F18" s="553">
        <f t="shared" si="1"/>
        <v>0.9</v>
      </c>
      <c r="G18" s="553">
        <f t="shared" si="1"/>
        <v>0.75</v>
      </c>
      <c r="H18" s="553">
        <f t="shared" si="1"/>
        <v>0.9</v>
      </c>
      <c r="I18" s="554">
        <f t="shared" si="0"/>
        <v>32.015249999999995</v>
      </c>
      <c r="J18" s="554">
        <f t="shared" si="0"/>
        <v>38.418300000000002</v>
      </c>
      <c r="K18" s="554">
        <f t="shared" si="0"/>
        <v>32.015249999999995</v>
      </c>
      <c r="L18" s="627">
        <f t="shared" si="0"/>
        <v>38.418300000000002</v>
      </c>
    </row>
    <row r="19" spans="1:12">
      <c r="A19" s="515"/>
      <c r="B19" s="544" t="s">
        <v>4</v>
      </c>
      <c r="C19" s="546"/>
      <c r="D19" s="552">
        <f>+I53</f>
        <v>8.5373999999999999</v>
      </c>
      <c r="E19" s="553">
        <f t="shared" si="1"/>
        <v>0.75</v>
      </c>
      <c r="F19" s="553">
        <f t="shared" si="1"/>
        <v>0.9</v>
      </c>
      <c r="G19" s="553">
        <f t="shared" si="1"/>
        <v>0.75</v>
      </c>
      <c r="H19" s="553">
        <f t="shared" si="1"/>
        <v>0.9</v>
      </c>
      <c r="I19" s="554">
        <f t="shared" si="0"/>
        <v>6.4030500000000004</v>
      </c>
      <c r="J19" s="554">
        <f t="shared" si="0"/>
        <v>7.6836599999999997</v>
      </c>
      <c r="K19" s="554">
        <f t="shared" si="0"/>
        <v>6.4030500000000004</v>
      </c>
      <c r="L19" s="627">
        <f t="shared" si="0"/>
        <v>7.6836599999999997</v>
      </c>
    </row>
    <row r="20" spans="1:12">
      <c r="A20" s="515"/>
      <c r="B20" s="544" t="s">
        <v>26</v>
      </c>
      <c r="C20" s="546"/>
      <c r="D20" s="552">
        <f>+I56</f>
        <v>0</v>
      </c>
      <c r="E20" s="553">
        <v>0</v>
      </c>
      <c r="F20" s="553">
        <v>0</v>
      </c>
      <c r="G20" s="553">
        <v>0</v>
      </c>
      <c r="H20" s="553">
        <v>0</v>
      </c>
      <c r="I20" s="554">
        <f t="shared" si="0"/>
        <v>0</v>
      </c>
      <c r="J20" s="554">
        <f t="shared" si="0"/>
        <v>0</v>
      </c>
      <c r="K20" s="554">
        <f t="shared" si="0"/>
        <v>0</v>
      </c>
      <c r="L20" s="627">
        <f t="shared" si="0"/>
        <v>0</v>
      </c>
    </row>
    <row r="21" spans="1:12">
      <c r="A21" s="515"/>
      <c r="B21" s="544" t="s">
        <v>7</v>
      </c>
      <c r="C21" s="546"/>
      <c r="D21" s="552">
        <f>+I59</f>
        <v>0</v>
      </c>
      <c r="E21" s="553">
        <v>0</v>
      </c>
      <c r="F21" s="553">
        <v>0</v>
      </c>
      <c r="G21" s="553">
        <v>0</v>
      </c>
      <c r="H21" s="553">
        <v>0</v>
      </c>
      <c r="I21" s="554">
        <f t="shared" si="0"/>
        <v>0</v>
      </c>
      <c r="J21" s="554">
        <f t="shared" si="0"/>
        <v>0</v>
      </c>
      <c r="K21" s="554">
        <f t="shared" si="0"/>
        <v>0</v>
      </c>
      <c r="L21" s="627">
        <f t="shared" si="0"/>
        <v>0</v>
      </c>
    </row>
    <row r="22" spans="1:12">
      <c r="A22" s="515"/>
      <c r="B22" s="544" t="s">
        <v>27</v>
      </c>
      <c r="C22" s="546"/>
      <c r="D22" s="552">
        <f>+I62</f>
        <v>0</v>
      </c>
      <c r="E22" s="553">
        <v>0</v>
      </c>
      <c r="F22" s="553">
        <v>0</v>
      </c>
      <c r="G22" s="553">
        <v>0</v>
      </c>
      <c r="H22" s="553">
        <v>0</v>
      </c>
      <c r="I22" s="554">
        <f t="shared" si="0"/>
        <v>0</v>
      </c>
      <c r="J22" s="554">
        <f t="shared" si="0"/>
        <v>0</v>
      </c>
      <c r="K22" s="554">
        <f t="shared" si="0"/>
        <v>0</v>
      </c>
      <c r="L22" s="627">
        <f t="shared" si="0"/>
        <v>0</v>
      </c>
    </row>
    <row r="23" spans="1:12">
      <c r="A23" s="515"/>
      <c r="B23" s="544" t="s">
        <v>5</v>
      </c>
      <c r="C23" s="546"/>
      <c r="D23" s="552">
        <f>+I65</f>
        <v>0</v>
      </c>
      <c r="E23" s="553">
        <v>0</v>
      </c>
      <c r="F23" s="553">
        <v>0</v>
      </c>
      <c r="G23" s="553">
        <v>0</v>
      </c>
      <c r="H23" s="553">
        <v>0</v>
      </c>
      <c r="I23" s="554">
        <f t="shared" si="0"/>
        <v>0</v>
      </c>
      <c r="J23" s="554">
        <f t="shared" si="0"/>
        <v>0</v>
      </c>
      <c r="K23" s="554">
        <f t="shared" si="0"/>
        <v>0</v>
      </c>
      <c r="L23" s="627">
        <f t="shared" si="0"/>
        <v>0</v>
      </c>
    </row>
    <row r="24" spans="1:12">
      <c r="A24" s="515"/>
      <c r="B24" s="544" t="s">
        <v>20</v>
      </c>
      <c r="C24" s="546"/>
      <c r="D24" s="555">
        <f>+I68</f>
        <v>0</v>
      </c>
      <c r="E24" s="553">
        <v>0</v>
      </c>
      <c r="F24" s="553">
        <v>0</v>
      </c>
      <c r="G24" s="553">
        <v>0</v>
      </c>
      <c r="H24" s="553">
        <v>0</v>
      </c>
      <c r="I24" s="556">
        <f t="shared" si="0"/>
        <v>0</v>
      </c>
      <c r="J24" s="556">
        <f t="shared" si="0"/>
        <v>0</v>
      </c>
      <c r="K24" s="556">
        <f t="shared" si="0"/>
        <v>0</v>
      </c>
      <c r="L24" s="628">
        <f t="shared" si="0"/>
        <v>0</v>
      </c>
    </row>
    <row r="25" spans="1:12">
      <c r="A25" s="515"/>
      <c r="B25" s="557" t="s">
        <v>19</v>
      </c>
      <c r="C25" s="558"/>
      <c r="D25" s="559">
        <f>SUM(D16:D24)</f>
        <v>293.11739999999998</v>
      </c>
      <c r="E25" s="629"/>
      <c r="F25" s="629"/>
      <c r="G25" s="560"/>
      <c r="H25" s="560"/>
      <c r="I25" s="561">
        <f>SUM(I16:I24)</f>
        <v>219.83804999999995</v>
      </c>
      <c r="J25" s="561">
        <f>SUM(J16:J24)</f>
        <v>263.80565999999993</v>
      </c>
      <c r="K25" s="561">
        <f>SUM(K16:K24)</f>
        <v>219.83804999999995</v>
      </c>
      <c r="L25" s="630">
        <f>SUM(L16:L24)</f>
        <v>263.80565999999993</v>
      </c>
    </row>
    <row r="27" spans="1:12" ht="15.75">
      <c r="A27" s="515"/>
      <c r="B27" s="562" t="s">
        <v>28</v>
      </c>
      <c r="C27" s="515"/>
      <c r="D27" s="515"/>
      <c r="E27" s="515"/>
      <c r="F27" s="515"/>
      <c r="G27" s="515"/>
      <c r="H27" s="515"/>
      <c r="I27" s="563"/>
    </row>
    <row r="28" spans="1:12">
      <c r="A28" s="515"/>
      <c r="B28" s="564" t="s">
        <v>89</v>
      </c>
      <c r="C28" s="565"/>
      <c r="D28" s="565"/>
      <c r="E28" s="566"/>
      <c r="F28" s="566"/>
      <c r="G28" s="566"/>
      <c r="H28" s="566"/>
      <c r="I28" s="567"/>
    </row>
    <row r="29" spans="1:12">
      <c r="A29" s="515"/>
      <c r="B29" s="568" t="s">
        <v>1191</v>
      </c>
      <c r="C29" s="569"/>
      <c r="D29" s="569"/>
      <c r="E29" s="570"/>
      <c r="F29" s="570"/>
      <c r="G29" s="570"/>
      <c r="H29" s="570"/>
      <c r="I29" s="571"/>
    </row>
    <row r="30" spans="1:12">
      <c r="A30" s="515"/>
      <c r="B30" s="574" t="s">
        <v>1192</v>
      </c>
      <c r="C30" s="569"/>
      <c r="D30" s="569"/>
      <c r="E30" s="1356"/>
      <c r="F30" s="573"/>
      <c r="G30" s="570"/>
      <c r="H30" s="570"/>
      <c r="I30" s="571"/>
    </row>
    <row r="31" spans="1:12" ht="14.25">
      <c r="A31" s="515"/>
      <c r="B31" s="574" t="s">
        <v>1193</v>
      </c>
      <c r="C31" s="569"/>
      <c r="D31" s="569"/>
      <c r="E31" s="570"/>
      <c r="F31" s="570"/>
      <c r="G31" s="570"/>
      <c r="H31" s="570"/>
      <c r="I31" s="571"/>
    </row>
    <row r="32" spans="1:12">
      <c r="A32" s="515"/>
      <c r="B32" s="575"/>
      <c r="C32" s="569"/>
      <c r="D32" s="569"/>
      <c r="E32" s="570"/>
      <c r="F32" s="570"/>
      <c r="G32" s="570"/>
      <c r="H32" s="570"/>
      <c r="I32" s="571"/>
    </row>
    <row r="33" spans="1:9">
      <c r="A33" s="515"/>
      <c r="B33" s="576" t="s">
        <v>25</v>
      </c>
      <c r="C33" s="569"/>
      <c r="D33" s="577" t="s">
        <v>91</v>
      </c>
      <c r="E33" s="578"/>
      <c r="F33" s="570"/>
      <c r="G33" s="570"/>
      <c r="H33" s="570"/>
      <c r="I33" s="571"/>
    </row>
    <row r="34" spans="1:9">
      <c r="A34" s="515"/>
      <c r="B34" s="574"/>
      <c r="C34" s="569"/>
      <c r="D34" s="570"/>
      <c r="E34" s="578"/>
      <c r="F34" s="570"/>
      <c r="G34" s="570"/>
      <c r="H34" s="570"/>
      <c r="I34" s="571"/>
    </row>
    <row r="35" spans="1:9">
      <c r="A35" s="515"/>
      <c r="B35" s="576" t="s">
        <v>8</v>
      </c>
      <c r="C35" s="569"/>
      <c r="D35" s="577" t="s">
        <v>394</v>
      </c>
      <c r="E35" s="578"/>
      <c r="F35" s="570"/>
      <c r="G35" s="570"/>
      <c r="H35" s="570"/>
      <c r="I35" s="571"/>
    </row>
    <row r="36" spans="1:9">
      <c r="A36" s="515"/>
      <c r="B36" s="576" t="s">
        <v>9</v>
      </c>
      <c r="C36" s="569"/>
      <c r="D36" s="579">
        <v>1</v>
      </c>
      <c r="E36" s="578"/>
      <c r="F36" s="570"/>
      <c r="G36" s="570"/>
      <c r="H36" s="570"/>
      <c r="I36" s="571"/>
    </row>
    <row r="37" spans="1:9">
      <c r="A37" s="515"/>
      <c r="B37" s="576" t="s">
        <v>10</v>
      </c>
      <c r="C37" s="570"/>
      <c r="D37" s="580"/>
      <c r="E37" s="581"/>
      <c r="F37" s="570"/>
      <c r="G37" s="570"/>
      <c r="H37" s="570"/>
      <c r="I37" s="582" t="s">
        <v>6</v>
      </c>
    </row>
    <row r="38" spans="1:9">
      <c r="A38" s="515"/>
      <c r="B38" s="583"/>
      <c r="C38" s="570"/>
      <c r="D38" s="570"/>
      <c r="E38" s="584"/>
      <c r="F38" s="570"/>
      <c r="G38" s="570"/>
      <c r="H38" s="570"/>
      <c r="I38" s="585"/>
    </row>
    <row r="39" spans="1:9">
      <c r="A39" s="515"/>
      <c r="B39" s="586" t="s">
        <v>0</v>
      </c>
      <c r="C39" s="570"/>
      <c r="D39" s="570"/>
      <c r="E39" s="570"/>
      <c r="F39" s="577"/>
      <c r="G39" s="570"/>
      <c r="H39" s="570"/>
      <c r="I39" s="587">
        <f>SUM(G41:G41)</f>
        <v>0</v>
      </c>
    </row>
    <row r="40" spans="1:9">
      <c r="A40" s="515"/>
      <c r="B40" s="575" t="s">
        <v>104</v>
      </c>
      <c r="C40" s="570"/>
      <c r="D40" s="589"/>
      <c r="E40" s="589"/>
      <c r="F40" s="589"/>
      <c r="G40" s="589"/>
      <c r="H40" s="570"/>
      <c r="I40" s="590"/>
    </row>
    <row r="41" spans="1:9">
      <c r="A41" s="515"/>
      <c r="B41" s="583"/>
      <c r="C41" s="578"/>
      <c r="D41" s="591"/>
      <c r="E41" s="592"/>
      <c r="F41" s="593"/>
      <c r="G41" s="594"/>
      <c r="H41" s="570"/>
      <c r="I41" s="595"/>
    </row>
    <row r="42" spans="1:9">
      <c r="A42" s="515"/>
      <c r="B42" s="586" t="s">
        <v>2</v>
      </c>
      <c r="C42" s="570"/>
      <c r="D42" s="570"/>
      <c r="E42" s="2017" t="s">
        <v>459</v>
      </c>
      <c r="F42" s="2017"/>
      <c r="G42" s="2017"/>
      <c r="H42" s="2017"/>
      <c r="I42" s="587">
        <f>(SUM(G44:G44)*0.85)</f>
        <v>241.89299999999997</v>
      </c>
    </row>
    <row r="43" spans="1:9">
      <c r="A43" s="515"/>
      <c r="B43" s="588"/>
      <c r="C43" s="570"/>
      <c r="D43" s="589" t="s">
        <v>447</v>
      </c>
      <c r="E43" s="589" t="s">
        <v>448</v>
      </c>
      <c r="F43" s="589" t="s">
        <v>449</v>
      </c>
      <c r="G43" s="589" t="s">
        <v>450</v>
      </c>
      <c r="H43" s="570"/>
      <c r="I43" s="590"/>
    </row>
    <row r="44" spans="1:9">
      <c r="A44" s="515"/>
      <c r="B44" s="1357" t="str">
        <f>+'[42]Core Rates'!A36</f>
        <v>Basal Area Removed</v>
      </c>
      <c r="C44" s="578"/>
      <c r="D44" s="605" t="str">
        <f>+'[42]Core Rates'!B36</f>
        <v>Sq Ft</v>
      </c>
      <c r="E44" s="592">
        <f>+'[42]Core Rates'!C36</f>
        <v>5.58</v>
      </c>
      <c r="F44" s="593">
        <v>51</v>
      </c>
      <c r="G44" s="594">
        <f>+F44*E44</f>
        <v>284.58</v>
      </c>
      <c r="H44" s="570"/>
      <c r="I44" s="595"/>
    </row>
    <row r="45" spans="1:9">
      <c r="A45" s="515"/>
      <c r="B45" s="583"/>
      <c r="C45" s="578"/>
      <c r="D45" s="606"/>
      <c r="E45" s="607"/>
      <c r="F45" s="607"/>
      <c r="G45" s="592"/>
      <c r="H45" s="570"/>
      <c r="I45" s="595"/>
    </row>
    <row r="46" spans="1:9">
      <c r="A46" s="515"/>
      <c r="B46" s="574" t="s">
        <v>43</v>
      </c>
      <c r="C46" s="570"/>
      <c r="D46" s="570"/>
      <c r="E46" s="608"/>
      <c r="F46" s="608"/>
      <c r="G46" s="608"/>
      <c r="H46" s="570"/>
      <c r="I46" s="590"/>
    </row>
    <row r="47" spans="1:9">
      <c r="A47" s="515"/>
      <c r="B47" s="568" t="s">
        <v>457</v>
      </c>
      <c r="C47" s="610"/>
      <c r="D47" s="610"/>
      <c r="E47" s="610"/>
      <c r="F47" s="610"/>
      <c r="G47" s="610"/>
      <c r="H47" s="610"/>
      <c r="I47" s="611"/>
    </row>
    <row r="48" spans="1:9">
      <c r="A48" s="515"/>
      <c r="B48" s="609"/>
      <c r="C48" s="610"/>
      <c r="D48" s="610"/>
      <c r="E48" s="610"/>
      <c r="F48" s="610"/>
      <c r="G48" s="610"/>
      <c r="H48" s="610"/>
      <c r="I48" s="611"/>
    </row>
    <row r="49" spans="1:9">
      <c r="A49" s="515"/>
      <c r="B49" s="586" t="s">
        <v>3</v>
      </c>
      <c r="C49" s="570"/>
      <c r="D49" s="570"/>
      <c r="E49" s="570"/>
      <c r="F49" s="577"/>
      <c r="G49" s="570"/>
      <c r="H49" s="570"/>
      <c r="I49" s="612">
        <f>E51</f>
        <v>42.686999999999998</v>
      </c>
    </row>
    <row r="50" spans="1:9">
      <c r="A50" s="515"/>
      <c r="B50" s="2021" t="s">
        <v>465</v>
      </c>
      <c r="C50" s="2022"/>
      <c r="D50" s="570"/>
      <c r="E50" s="570"/>
      <c r="F50" s="570"/>
      <c r="G50" s="570"/>
      <c r="H50" s="570"/>
      <c r="I50" s="613"/>
    </row>
    <row r="51" spans="1:9">
      <c r="A51" s="515"/>
      <c r="B51" s="574" t="s">
        <v>466</v>
      </c>
      <c r="C51" s="577"/>
      <c r="D51" s="577"/>
      <c r="E51" s="614">
        <f>SUM(G44:G44)*0.15</f>
        <v>42.686999999999998</v>
      </c>
      <c r="F51" s="570"/>
      <c r="G51" s="570"/>
      <c r="H51" s="570"/>
      <c r="I51" s="590"/>
    </row>
    <row r="52" spans="1:9">
      <c r="A52" s="515"/>
      <c r="B52" s="574"/>
      <c r="C52" s="577"/>
      <c r="D52" s="615"/>
      <c r="E52" s="614"/>
      <c r="F52" s="570"/>
      <c r="G52" s="570"/>
      <c r="H52" s="570"/>
      <c r="I52" s="590"/>
    </row>
    <row r="53" spans="1:9">
      <c r="A53" s="515"/>
      <c r="B53" s="586" t="s">
        <v>4</v>
      </c>
      <c r="C53" s="570"/>
      <c r="D53" s="570"/>
      <c r="E53" s="570"/>
      <c r="F53" s="570"/>
      <c r="G53" s="570"/>
      <c r="H53" s="570"/>
      <c r="I53" s="612">
        <f>0.03*(I39+I42+I49)</f>
        <v>8.5373999999999999</v>
      </c>
    </row>
    <row r="54" spans="1:9">
      <c r="A54" s="515"/>
      <c r="B54" s="575" t="s">
        <v>467</v>
      </c>
      <c r="C54" s="570"/>
      <c r="D54" s="570"/>
      <c r="E54" s="570"/>
      <c r="F54" s="570"/>
      <c r="G54" s="570"/>
      <c r="H54" s="570"/>
      <c r="I54" s="571"/>
    </row>
    <row r="55" spans="1:9">
      <c r="A55" s="515"/>
      <c r="B55" s="574"/>
      <c r="C55" s="570"/>
      <c r="D55" s="570"/>
      <c r="E55" s="570"/>
      <c r="F55" s="570"/>
      <c r="G55" s="570"/>
      <c r="H55" s="570"/>
      <c r="I55" s="571"/>
    </row>
    <row r="56" spans="1:9">
      <c r="A56" s="515"/>
      <c r="B56" s="586" t="s">
        <v>468</v>
      </c>
      <c r="C56" s="570"/>
      <c r="D56" s="570"/>
      <c r="E56" s="570"/>
      <c r="F56" s="570"/>
      <c r="G56" s="570"/>
      <c r="H56" s="570"/>
      <c r="I56" s="612">
        <v>0</v>
      </c>
    </row>
    <row r="57" spans="1:9">
      <c r="A57" s="515"/>
      <c r="B57" s="575" t="s">
        <v>104</v>
      </c>
      <c r="C57" s="570"/>
      <c r="D57" s="570"/>
      <c r="E57" s="570"/>
      <c r="F57" s="570"/>
      <c r="G57" s="570"/>
      <c r="H57" s="570"/>
      <c r="I57" s="571"/>
    </row>
    <row r="58" spans="1:9">
      <c r="A58" s="515"/>
      <c r="B58" s="574"/>
      <c r="C58" s="570"/>
      <c r="D58" s="570"/>
      <c r="E58" s="570"/>
      <c r="F58" s="570"/>
      <c r="G58" s="570"/>
      <c r="H58" s="570"/>
      <c r="I58" s="571"/>
    </row>
    <row r="59" spans="1:9">
      <c r="A59" s="515"/>
      <c r="B59" s="586" t="s">
        <v>7</v>
      </c>
      <c r="C59" s="570"/>
      <c r="D59" s="570"/>
      <c r="E59" s="570"/>
      <c r="F59" s="570"/>
      <c r="G59" s="570"/>
      <c r="H59" s="570"/>
      <c r="I59" s="587">
        <v>0</v>
      </c>
    </row>
    <row r="60" spans="1:9">
      <c r="A60" s="515"/>
      <c r="B60" s="575" t="s">
        <v>104</v>
      </c>
      <c r="C60" s="570"/>
      <c r="D60" s="570"/>
      <c r="E60" s="570"/>
      <c r="F60" s="570"/>
      <c r="G60" s="570"/>
      <c r="H60" s="570"/>
      <c r="I60" s="571"/>
    </row>
    <row r="61" spans="1:9">
      <c r="A61" s="515"/>
      <c r="B61" s="574"/>
      <c r="C61" s="570"/>
      <c r="D61" s="570"/>
      <c r="E61" s="570"/>
      <c r="F61" s="570"/>
      <c r="G61" s="570"/>
      <c r="H61" s="570"/>
      <c r="I61" s="571"/>
    </row>
    <row r="62" spans="1:9">
      <c r="A62" s="515"/>
      <c r="B62" s="586" t="s">
        <v>471</v>
      </c>
      <c r="C62" s="570"/>
      <c r="D62" s="570"/>
      <c r="E62" s="570"/>
      <c r="F62" s="577"/>
      <c r="G62" s="570"/>
      <c r="H62" s="570"/>
      <c r="I62" s="587">
        <v>0</v>
      </c>
    </row>
    <row r="63" spans="1:9">
      <c r="A63" s="515"/>
      <c r="B63" s="575" t="s">
        <v>104</v>
      </c>
      <c r="C63" s="570"/>
      <c r="D63" s="570"/>
      <c r="E63" s="570"/>
      <c r="F63" s="570"/>
      <c r="G63" s="570"/>
      <c r="H63" s="570"/>
      <c r="I63" s="595"/>
    </row>
    <row r="64" spans="1:9">
      <c r="A64" s="515"/>
      <c r="B64" s="617"/>
      <c r="C64" s="570"/>
      <c r="D64" s="570"/>
      <c r="E64" s="570"/>
      <c r="F64" s="570"/>
      <c r="G64" s="570"/>
      <c r="H64" s="570"/>
      <c r="I64" s="595"/>
    </row>
    <row r="65" spans="1:9">
      <c r="A65" s="515"/>
      <c r="B65" s="586" t="s">
        <v>5</v>
      </c>
      <c r="C65" s="570"/>
      <c r="D65" s="570"/>
      <c r="E65" s="570"/>
      <c r="F65" s="570"/>
      <c r="G65" s="570"/>
      <c r="H65" s="570"/>
      <c r="I65" s="587">
        <v>0</v>
      </c>
    </row>
    <row r="66" spans="1:9">
      <c r="A66" s="515"/>
      <c r="B66" s="575" t="s">
        <v>104</v>
      </c>
      <c r="C66" s="570"/>
      <c r="D66" s="570"/>
      <c r="E66" s="570"/>
      <c r="F66" s="570"/>
      <c r="G66" s="570"/>
      <c r="H66" s="570"/>
      <c r="I66" s="595"/>
    </row>
    <row r="67" spans="1:9">
      <c r="A67" s="515"/>
      <c r="B67" s="574"/>
      <c r="C67" s="570"/>
      <c r="D67" s="570"/>
      <c r="E67" s="570"/>
      <c r="F67" s="570"/>
      <c r="G67" s="570"/>
      <c r="H67" s="570"/>
      <c r="I67" s="571"/>
    </row>
    <row r="68" spans="1:9">
      <c r="A68" s="515"/>
      <c r="B68" s="586" t="s">
        <v>20</v>
      </c>
      <c r="C68" s="570"/>
      <c r="D68" s="570"/>
      <c r="E68" s="570"/>
      <c r="F68" s="570"/>
      <c r="G68" s="570"/>
      <c r="H68" s="570"/>
      <c r="I68" s="587">
        <v>0</v>
      </c>
    </row>
    <row r="69" spans="1:9">
      <c r="A69" s="515"/>
      <c r="B69" s="575" t="s">
        <v>104</v>
      </c>
      <c r="C69" s="570"/>
      <c r="D69" s="570"/>
      <c r="E69" s="570"/>
      <c r="F69" s="570"/>
      <c r="G69" s="570"/>
      <c r="H69" s="570"/>
      <c r="I69" s="571"/>
    </row>
    <row r="70" spans="1:9">
      <c r="A70" s="515"/>
      <c r="B70" s="583"/>
      <c r="C70" s="570"/>
      <c r="D70" s="570"/>
      <c r="E70" s="570"/>
      <c r="F70" s="570"/>
      <c r="G70" s="570"/>
      <c r="H70" s="570"/>
      <c r="I70" s="571"/>
    </row>
    <row r="71" spans="1:9">
      <c r="A71" s="515"/>
      <c r="B71" s="586" t="s">
        <v>473</v>
      </c>
      <c r="C71" s="570"/>
      <c r="D71" s="570"/>
      <c r="E71" s="570"/>
      <c r="F71" s="570"/>
      <c r="G71" s="570"/>
      <c r="H71" s="570"/>
      <c r="I71" s="618">
        <f>+I39+I42+I49+I53+I59+I68</f>
        <v>293.11739999999998</v>
      </c>
    </row>
    <row r="72" spans="1:9" ht="15.75">
      <c r="A72" s="515"/>
      <c r="B72" s="575" t="s">
        <v>474</v>
      </c>
      <c r="C72" s="570"/>
      <c r="D72" s="570"/>
      <c r="E72" s="570"/>
      <c r="F72" s="570"/>
      <c r="G72" s="570"/>
      <c r="H72" s="570"/>
      <c r="I72" s="571"/>
    </row>
    <row r="73" spans="1:9">
      <c r="A73" s="515"/>
      <c r="B73" s="583"/>
      <c r="C73" s="570"/>
      <c r="D73" s="570"/>
      <c r="E73" s="570"/>
      <c r="F73" s="570"/>
      <c r="G73" s="570"/>
      <c r="H73" s="570"/>
      <c r="I73" s="571"/>
    </row>
    <row r="74" spans="1:9">
      <c r="A74" s="515"/>
      <c r="B74" s="619" t="s">
        <v>11</v>
      </c>
      <c r="C74" s="620"/>
      <c r="D74" s="620"/>
      <c r="E74" s="620"/>
      <c r="F74" s="620"/>
      <c r="G74" s="620"/>
      <c r="H74" s="620"/>
      <c r="I74" s="621">
        <f>SUM(I39:I68)</f>
        <v>293.11739999999998</v>
      </c>
    </row>
  </sheetData>
  <mergeCells count="3">
    <mergeCell ref="B1:D1"/>
    <mergeCell ref="E42:H42"/>
    <mergeCell ref="B50:C50"/>
  </mergeCells>
  <pageMargins left="0.75" right="0.75" top="1" bottom="1" header="0.5" footer="0.5"/>
  <pageSetup scale="46" orientation="portrait" r:id="rId1"/>
  <headerFooter alignWithMargins="0"/>
</worksheet>
</file>

<file path=xl/worksheets/sheet226.xml><?xml version="1.0" encoding="utf-8"?>
<worksheet xmlns="http://schemas.openxmlformats.org/spreadsheetml/2006/main" xmlns:r="http://schemas.openxmlformats.org/officeDocument/2006/relationships">
  <sheetPr>
    <pageSetUpPr fitToPage="1"/>
  </sheetPr>
  <dimension ref="A1:L75"/>
  <sheetViews>
    <sheetView topLeftCell="A42" workbookViewId="0">
      <selection activeCell="D37" sqref="D37"/>
    </sheetView>
  </sheetViews>
  <sheetFormatPr defaultRowHeight="12.75"/>
  <cols>
    <col min="1" max="1" width="1.85546875" style="517" customWidth="1"/>
    <col min="2" max="2" width="9.140625" style="517"/>
    <col min="3" max="3" width="24.140625" style="517" customWidth="1"/>
    <col min="4" max="4" width="35" style="517" customWidth="1"/>
    <col min="5" max="5" width="60.28515625" style="517" bestFit="1" customWidth="1"/>
    <col min="6" max="6" width="10.42578125" style="517" customWidth="1"/>
    <col min="7"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hidden="1">
      <c r="A3" s="515"/>
      <c r="B3" s="519" t="s">
        <v>17</v>
      </c>
      <c r="C3" s="515"/>
      <c r="D3" s="515"/>
      <c r="E3" s="515"/>
      <c r="F3" s="515"/>
      <c r="G3" s="515"/>
      <c r="H3" s="515"/>
      <c r="I3" s="515"/>
    </row>
    <row r="4" spans="1:12" hidden="1">
      <c r="A4" s="515"/>
      <c r="B4" s="520" t="s">
        <v>1</v>
      </c>
      <c r="C4" s="521" t="s">
        <v>21</v>
      </c>
      <c r="D4" s="522"/>
      <c r="E4" s="522"/>
      <c r="F4" s="522"/>
      <c r="G4" s="523" t="s">
        <v>12</v>
      </c>
    </row>
    <row r="5" spans="1:12" hidden="1">
      <c r="A5" s="515"/>
      <c r="B5" s="524" t="s">
        <v>13</v>
      </c>
      <c r="C5" s="525" t="s">
        <v>22</v>
      </c>
      <c r="D5" s="525" t="s">
        <v>29</v>
      </c>
      <c r="E5" s="525" t="s">
        <v>30</v>
      </c>
      <c r="F5" s="525" t="s">
        <v>23</v>
      </c>
      <c r="G5" s="526" t="s">
        <v>14</v>
      </c>
    </row>
    <row r="6" spans="1:12" ht="25.5" hidden="1">
      <c r="A6" s="515"/>
      <c r="B6" s="631">
        <v>643</v>
      </c>
      <c r="C6" s="531" t="str">
        <f>+E12</f>
        <v>EQIP</v>
      </c>
      <c r="D6" s="622" t="s">
        <v>1194</v>
      </c>
      <c r="E6" s="622" t="s">
        <v>1195</v>
      </c>
      <c r="F6" s="531" t="s">
        <v>394</v>
      </c>
      <c r="G6" s="532">
        <f>+I25</f>
        <v>40.17</v>
      </c>
    </row>
    <row r="7" spans="1:12" ht="25.5" hidden="1">
      <c r="A7" s="515"/>
      <c r="B7" s="631">
        <f>+B6</f>
        <v>643</v>
      </c>
      <c r="C7" s="531" t="str">
        <f>+C6</f>
        <v>EQIP</v>
      </c>
      <c r="D7" s="622" t="s">
        <v>1194</v>
      </c>
      <c r="E7" s="622" t="str">
        <f>CONCATENATE(E6, "-HU")</f>
        <v>Restoration &amp; Management of Declining Habitats - Mowing + Herbicide-HU</v>
      </c>
      <c r="F7" s="531" t="s">
        <v>394</v>
      </c>
      <c r="G7" s="532">
        <f>+J25</f>
        <v>48.203999999999994</v>
      </c>
    </row>
    <row r="8" spans="1:12" ht="25.5" hidden="1">
      <c r="A8" s="515"/>
      <c r="B8" s="631">
        <v>643</v>
      </c>
      <c r="C8" s="531" t="str">
        <f>+G12</f>
        <v>WHIP</v>
      </c>
      <c r="D8" s="622" t="s">
        <v>1194</v>
      </c>
      <c r="E8" s="1358" t="s">
        <v>1195</v>
      </c>
      <c r="F8" s="531" t="s">
        <v>394</v>
      </c>
      <c r="G8" s="532">
        <f>+K25</f>
        <v>40.17</v>
      </c>
    </row>
    <row r="9" spans="1:12" ht="25.5" hidden="1">
      <c r="A9" s="515"/>
      <c r="B9" s="633">
        <f>+B8</f>
        <v>643</v>
      </c>
      <c r="C9" s="536" t="str">
        <f>+C8</f>
        <v>WHIP</v>
      </c>
      <c r="D9" s="623" t="s">
        <v>1194</v>
      </c>
      <c r="E9" s="623" t="str">
        <f>CONCATENATE(E6, "-HU")</f>
        <v>Restoration &amp; Management of Declining Habitats - Mowing + Herbicide-HU</v>
      </c>
      <c r="F9" s="536" t="s">
        <v>394</v>
      </c>
      <c r="G9" s="537">
        <f>+L25</f>
        <v>48.203999999999994</v>
      </c>
    </row>
    <row r="10" spans="1:12" hidden="1">
      <c r="A10" s="515"/>
      <c r="B10" s="538"/>
      <c r="C10" s="539"/>
      <c r="D10" s="539"/>
      <c r="E10" s="515"/>
      <c r="F10" s="515"/>
    </row>
    <row r="11" spans="1:12" ht="15.75" hidden="1">
      <c r="A11" s="515"/>
      <c r="B11" s="519" t="s">
        <v>18</v>
      </c>
      <c r="C11" s="539"/>
      <c r="D11" s="539"/>
      <c r="E11" s="515"/>
      <c r="F11" s="515"/>
    </row>
    <row r="12" spans="1:12" hidden="1">
      <c r="A12" s="515"/>
      <c r="B12" s="540"/>
      <c r="C12" s="541"/>
      <c r="D12" s="542"/>
      <c r="E12" s="543" t="s">
        <v>15</v>
      </c>
      <c r="F12" s="543" t="s">
        <v>31</v>
      </c>
      <c r="G12" s="543" t="s">
        <v>86</v>
      </c>
      <c r="H12" s="543" t="s">
        <v>441</v>
      </c>
      <c r="I12" s="543"/>
      <c r="J12" s="543"/>
      <c r="K12" s="543"/>
      <c r="L12" s="624"/>
    </row>
    <row r="13" spans="1:12" hidden="1">
      <c r="A13" s="515"/>
      <c r="B13" s="544"/>
      <c r="C13" s="545"/>
      <c r="D13" s="546"/>
      <c r="E13" s="547" t="s">
        <v>22</v>
      </c>
      <c r="F13" s="547" t="s">
        <v>22</v>
      </c>
      <c r="G13" s="547" t="s">
        <v>22</v>
      </c>
      <c r="H13" s="547" t="s">
        <v>22</v>
      </c>
      <c r="I13" s="547" t="s">
        <v>15</v>
      </c>
      <c r="J13" s="547" t="s">
        <v>31</v>
      </c>
      <c r="K13" s="547" t="s">
        <v>86</v>
      </c>
      <c r="L13" s="625" t="s">
        <v>441</v>
      </c>
    </row>
    <row r="14" spans="1:12" hidden="1">
      <c r="A14" s="515"/>
      <c r="B14" s="548"/>
      <c r="C14" s="546"/>
      <c r="D14" s="546"/>
      <c r="E14" s="547" t="s">
        <v>12</v>
      </c>
      <c r="F14" s="547" t="s">
        <v>12</v>
      </c>
      <c r="G14" s="547" t="s">
        <v>12</v>
      </c>
      <c r="H14" s="547" t="s">
        <v>12</v>
      </c>
      <c r="I14" s="547" t="s">
        <v>12</v>
      </c>
      <c r="J14" s="547" t="s">
        <v>12</v>
      </c>
      <c r="K14" s="547" t="s">
        <v>12</v>
      </c>
      <c r="L14" s="625" t="s">
        <v>12</v>
      </c>
    </row>
    <row r="15" spans="1:12" hidden="1">
      <c r="A15" s="515"/>
      <c r="B15" s="549" t="s">
        <v>16</v>
      </c>
      <c r="C15" s="546"/>
      <c r="D15" s="550" t="s">
        <v>6</v>
      </c>
      <c r="E15" s="551" t="s">
        <v>24</v>
      </c>
      <c r="F15" s="551" t="s">
        <v>24</v>
      </c>
      <c r="G15" s="551" t="s">
        <v>24</v>
      </c>
      <c r="H15" s="551" t="s">
        <v>24</v>
      </c>
      <c r="I15" s="551" t="s">
        <v>14</v>
      </c>
      <c r="J15" s="551" t="s">
        <v>14</v>
      </c>
      <c r="K15" s="551" t="s">
        <v>14</v>
      </c>
      <c r="L15" s="626" t="s">
        <v>14</v>
      </c>
    </row>
    <row r="16" spans="1:12" hidden="1">
      <c r="A16" s="515"/>
      <c r="B16" s="544" t="s">
        <v>0</v>
      </c>
      <c r="C16" s="546"/>
      <c r="D16" s="552">
        <f>+I39</f>
        <v>0</v>
      </c>
      <c r="E16" s="553">
        <f>+'[10]Payment Factors'!D30</f>
        <v>0.75</v>
      </c>
      <c r="F16" s="553">
        <f>+'[10]Payment Factors'!E30</f>
        <v>0.9</v>
      </c>
      <c r="G16" s="553">
        <f>+'[10]Payment Factors'!F30</f>
        <v>0.75</v>
      </c>
      <c r="H16" s="553">
        <f>+'[10]Payment Factors'!G30</f>
        <v>0.9</v>
      </c>
      <c r="I16" s="554">
        <f t="shared" ref="I16:L24" si="0">+$D16*E16</f>
        <v>0</v>
      </c>
      <c r="J16" s="554">
        <f t="shared" si="0"/>
        <v>0</v>
      </c>
      <c r="K16" s="554">
        <f t="shared" si="0"/>
        <v>0</v>
      </c>
      <c r="L16" s="627">
        <f t="shared" si="0"/>
        <v>0</v>
      </c>
    </row>
    <row r="17" spans="1:12" hidden="1">
      <c r="A17" s="515"/>
      <c r="B17" s="544" t="s">
        <v>2</v>
      </c>
      <c r="C17" s="546"/>
      <c r="D17" s="552">
        <f>+I42</f>
        <v>44.199999999999996</v>
      </c>
      <c r="E17" s="553">
        <f t="shared" ref="E17:H19" si="1">+E16</f>
        <v>0.75</v>
      </c>
      <c r="F17" s="553">
        <f t="shared" si="1"/>
        <v>0.9</v>
      </c>
      <c r="G17" s="553">
        <f t="shared" si="1"/>
        <v>0.75</v>
      </c>
      <c r="H17" s="553">
        <f t="shared" si="1"/>
        <v>0.9</v>
      </c>
      <c r="I17" s="554">
        <f t="shared" si="0"/>
        <v>33.15</v>
      </c>
      <c r="J17" s="554">
        <f t="shared" si="0"/>
        <v>39.779999999999994</v>
      </c>
      <c r="K17" s="554">
        <f t="shared" si="0"/>
        <v>33.15</v>
      </c>
      <c r="L17" s="627">
        <f t="shared" si="0"/>
        <v>39.779999999999994</v>
      </c>
    </row>
    <row r="18" spans="1:12" hidden="1">
      <c r="A18" s="515"/>
      <c r="B18" s="544" t="s">
        <v>3</v>
      </c>
      <c r="C18" s="546"/>
      <c r="D18" s="552">
        <f>+I50</f>
        <v>7.8</v>
      </c>
      <c r="E18" s="553">
        <f t="shared" si="1"/>
        <v>0.75</v>
      </c>
      <c r="F18" s="553">
        <f t="shared" si="1"/>
        <v>0.9</v>
      </c>
      <c r="G18" s="553">
        <f t="shared" si="1"/>
        <v>0.75</v>
      </c>
      <c r="H18" s="553">
        <f t="shared" si="1"/>
        <v>0.9</v>
      </c>
      <c r="I18" s="554">
        <f t="shared" si="0"/>
        <v>5.85</v>
      </c>
      <c r="J18" s="554">
        <f t="shared" si="0"/>
        <v>7.02</v>
      </c>
      <c r="K18" s="554">
        <f t="shared" si="0"/>
        <v>5.85</v>
      </c>
      <c r="L18" s="627">
        <f t="shared" si="0"/>
        <v>7.02</v>
      </c>
    </row>
    <row r="19" spans="1:12" hidden="1">
      <c r="A19" s="515"/>
      <c r="B19" s="544" t="s">
        <v>4</v>
      </c>
      <c r="C19" s="546"/>
      <c r="D19" s="552">
        <f>+I54</f>
        <v>1.5599999999999998</v>
      </c>
      <c r="E19" s="553">
        <f t="shared" si="1"/>
        <v>0.75</v>
      </c>
      <c r="F19" s="553">
        <f t="shared" si="1"/>
        <v>0.9</v>
      </c>
      <c r="G19" s="553">
        <f t="shared" si="1"/>
        <v>0.75</v>
      </c>
      <c r="H19" s="553">
        <f t="shared" si="1"/>
        <v>0.9</v>
      </c>
      <c r="I19" s="554">
        <f t="shared" si="0"/>
        <v>1.17</v>
      </c>
      <c r="J19" s="554">
        <f t="shared" si="0"/>
        <v>1.4039999999999999</v>
      </c>
      <c r="K19" s="554">
        <f t="shared" si="0"/>
        <v>1.17</v>
      </c>
      <c r="L19" s="627">
        <f t="shared" si="0"/>
        <v>1.4039999999999999</v>
      </c>
    </row>
    <row r="20" spans="1:12" hidden="1">
      <c r="A20" s="515"/>
      <c r="B20" s="544" t="s">
        <v>26</v>
      </c>
      <c r="C20" s="546"/>
      <c r="D20" s="552">
        <f>+I57</f>
        <v>0</v>
      </c>
      <c r="E20" s="553">
        <v>0</v>
      </c>
      <c r="F20" s="553">
        <v>0</v>
      </c>
      <c r="G20" s="553">
        <v>0</v>
      </c>
      <c r="H20" s="553">
        <v>0</v>
      </c>
      <c r="I20" s="554">
        <f t="shared" si="0"/>
        <v>0</v>
      </c>
      <c r="J20" s="554">
        <f t="shared" si="0"/>
        <v>0</v>
      </c>
      <c r="K20" s="554">
        <f t="shared" si="0"/>
        <v>0</v>
      </c>
      <c r="L20" s="627">
        <f t="shared" si="0"/>
        <v>0</v>
      </c>
    </row>
    <row r="21" spans="1:12" hidden="1">
      <c r="A21" s="515"/>
      <c r="B21" s="544" t="s">
        <v>7</v>
      </c>
      <c r="C21" s="546"/>
      <c r="D21" s="552">
        <f>+I60</f>
        <v>0</v>
      </c>
      <c r="E21" s="553">
        <v>0</v>
      </c>
      <c r="F21" s="553">
        <v>0</v>
      </c>
      <c r="G21" s="553">
        <v>0</v>
      </c>
      <c r="H21" s="553">
        <v>0</v>
      </c>
      <c r="I21" s="554">
        <f t="shared" si="0"/>
        <v>0</v>
      </c>
      <c r="J21" s="554">
        <f t="shared" si="0"/>
        <v>0</v>
      </c>
      <c r="K21" s="554">
        <f t="shared" si="0"/>
        <v>0</v>
      </c>
      <c r="L21" s="627">
        <f t="shared" si="0"/>
        <v>0</v>
      </c>
    </row>
    <row r="22" spans="1:12" hidden="1">
      <c r="A22" s="515"/>
      <c r="B22" s="544" t="s">
        <v>27</v>
      </c>
      <c r="C22" s="546"/>
      <c r="D22" s="552">
        <f>+I63</f>
        <v>0</v>
      </c>
      <c r="E22" s="553">
        <v>0</v>
      </c>
      <c r="F22" s="553">
        <v>0</v>
      </c>
      <c r="G22" s="553">
        <v>0</v>
      </c>
      <c r="H22" s="553">
        <v>0</v>
      </c>
      <c r="I22" s="554">
        <f t="shared" si="0"/>
        <v>0</v>
      </c>
      <c r="J22" s="554">
        <f t="shared" si="0"/>
        <v>0</v>
      </c>
      <c r="K22" s="554">
        <f t="shared" si="0"/>
        <v>0</v>
      </c>
      <c r="L22" s="627">
        <f t="shared" si="0"/>
        <v>0</v>
      </c>
    </row>
    <row r="23" spans="1:12" hidden="1">
      <c r="A23" s="515"/>
      <c r="B23" s="544" t="s">
        <v>5</v>
      </c>
      <c r="C23" s="546"/>
      <c r="D23" s="552">
        <f>+I66</f>
        <v>0</v>
      </c>
      <c r="E23" s="553">
        <v>0</v>
      </c>
      <c r="F23" s="553">
        <v>0</v>
      </c>
      <c r="G23" s="553">
        <v>0</v>
      </c>
      <c r="H23" s="553">
        <v>0</v>
      </c>
      <c r="I23" s="554">
        <f t="shared" si="0"/>
        <v>0</v>
      </c>
      <c r="J23" s="554">
        <f t="shared" si="0"/>
        <v>0</v>
      </c>
      <c r="K23" s="554">
        <f t="shared" si="0"/>
        <v>0</v>
      </c>
      <c r="L23" s="627">
        <f t="shared" si="0"/>
        <v>0</v>
      </c>
    </row>
    <row r="24" spans="1:12" hidden="1">
      <c r="A24" s="515"/>
      <c r="B24" s="544" t="s">
        <v>20</v>
      </c>
      <c r="C24" s="546"/>
      <c r="D24" s="555">
        <f>+I69</f>
        <v>0</v>
      </c>
      <c r="E24" s="553">
        <v>0</v>
      </c>
      <c r="F24" s="553">
        <v>0</v>
      </c>
      <c r="G24" s="553">
        <v>0</v>
      </c>
      <c r="H24" s="553">
        <v>0</v>
      </c>
      <c r="I24" s="556">
        <f t="shared" si="0"/>
        <v>0</v>
      </c>
      <c r="J24" s="556">
        <f t="shared" si="0"/>
        <v>0</v>
      </c>
      <c r="K24" s="556">
        <f t="shared" si="0"/>
        <v>0</v>
      </c>
      <c r="L24" s="628">
        <f t="shared" si="0"/>
        <v>0</v>
      </c>
    </row>
    <row r="25" spans="1:12" hidden="1">
      <c r="A25" s="515"/>
      <c r="B25" s="557" t="s">
        <v>19</v>
      </c>
      <c r="C25" s="558"/>
      <c r="D25" s="559">
        <f>SUM(D16:D24)</f>
        <v>53.559999999999995</v>
      </c>
      <c r="E25" s="629"/>
      <c r="F25" s="629"/>
      <c r="G25" s="560"/>
      <c r="H25" s="560"/>
      <c r="I25" s="561">
        <f>SUM(I16:I24)</f>
        <v>40.17</v>
      </c>
      <c r="J25" s="561">
        <f>SUM(J16:J24)</f>
        <v>48.203999999999994</v>
      </c>
      <c r="K25" s="561">
        <f>SUM(K16:K24)</f>
        <v>40.17</v>
      </c>
      <c r="L25" s="630">
        <f>SUM(L16:L24)</f>
        <v>48.203999999999994</v>
      </c>
    </row>
    <row r="26" spans="1:12" hidden="1"/>
    <row r="27" spans="1:12" ht="15.75">
      <c r="A27" s="515"/>
      <c r="B27" s="562" t="s">
        <v>28</v>
      </c>
      <c r="C27" s="515"/>
      <c r="D27" s="515"/>
      <c r="E27" s="515"/>
      <c r="F27" s="515"/>
      <c r="G27" s="515"/>
      <c r="H27" s="515"/>
      <c r="I27" s="563"/>
    </row>
    <row r="28" spans="1:12">
      <c r="A28" s="515"/>
      <c r="B28" s="564" t="s">
        <v>89</v>
      </c>
      <c r="C28" s="565"/>
      <c r="D28" s="565"/>
      <c r="E28" s="566"/>
      <c r="F28" s="566"/>
      <c r="G28" s="566"/>
      <c r="H28" s="566"/>
      <c r="I28" s="567"/>
    </row>
    <row r="29" spans="1:12">
      <c r="A29" s="515"/>
      <c r="B29" s="568" t="s">
        <v>1196</v>
      </c>
      <c r="C29" s="569"/>
      <c r="D29" s="569"/>
      <c r="E29" s="570"/>
      <c r="F29" s="570"/>
      <c r="G29" s="570"/>
      <c r="H29" s="570"/>
      <c r="I29" s="571"/>
    </row>
    <row r="30" spans="1:12">
      <c r="A30" s="515"/>
      <c r="B30" s="574" t="s">
        <v>1197</v>
      </c>
      <c r="C30" s="569"/>
      <c r="D30" s="569"/>
      <c r="E30" s="570"/>
      <c r="F30" s="573"/>
      <c r="G30" s="570"/>
      <c r="H30" s="570"/>
      <c r="I30" s="571"/>
    </row>
    <row r="31" spans="1:12">
      <c r="A31" s="515"/>
      <c r="B31" s="568" t="s">
        <v>1198</v>
      </c>
      <c r="C31" s="569"/>
      <c r="D31" s="569"/>
      <c r="E31" s="570"/>
      <c r="F31" s="570"/>
      <c r="G31" s="570"/>
      <c r="H31" s="570"/>
      <c r="I31" s="571"/>
    </row>
    <row r="32" spans="1:12">
      <c r="A32" s="515"/>
      <c r="B32" s="575"/>
      <c r="C32" s="569"/>
      <c r="D32" s="569"/>
      <c r="E32" s="570"/>
      <c r="F32" s="570"/>
      <c r="G32" s="570"/>
      <c r="H32" s="570"/>
      <c r="I32" s="571"/>
    </row>
    <row r="33" spans="1:9">
      <c r="A33" s="515"/>
      <c r="B33" s="576" t="s">
        <v>25</v>
      </c>
      <c r="C33" s="569"/>
      <c r="D33" s="577" t="s">
        <v>91</v>
      </c>
      <c r="E33" s="578"/>
      <c r="F33" s="570"/>
      <c r="G33" s="570"/>
      <c r="H33" s="570"/>
      <c r="I33" s="571"/>
    </row>
    <row r="34" spans="1:9">
      <c r="A34" s="515"/>
      <c r="B34" s="574"/>
      <c r="C34" s="569"/>
      <c r="D34" s="570"/>
      <c r="E34" s="578"/>
      <c r="F34" s="570"/>
      <c r="G34" s="570"/>
      <c r="H34" s="570"/>
      <c r="I34" s="571"/>
    </row>
    <row r="35" spans="1:9">
      <c r="A35" s="515"/>
      <c r="B35" s="576" t="s">
        <v>8</v>
      </c>
      <c r="C35" s="569"/>
      <c r="D35" s="577" t="s">
        <v>394</v>
      </c>
      <c r="E35" s="578"/>
      <c r="F35" s="570"/>
      <c r="G35" s="570"/>
      <c r="H35" s="570"/>
      <c r="I35" s="571"/>
    </row>
    <row r="36" spans="1:9">
      <c r="A36" s="515"/>
      <c r="B36" s="576" t="s">
        <v>9</v>
      </c>
      <c r="C36" s="569"/>
      <c r="D36" s="579">
        <v>1</v>
      </c>
      <c r="E36" s="578"/>
      <c r="F36" s="570"/>
      <c r="G36" s="570"/>
      <c r="H36" s="570"/>
      <c r="I36" s="571"/>
    </row>
    <row r="37" spans="1:9">
      <c r="A37" s="515"/>
      <c r="B37" s="576" t="s">
        <v>10</v>
      </c>
      <c r="C37" s="570"/>
      <c r="D37" s="580"/>
      <c r="E37" s="581"/>
      <c r="F37" s="570"/>
      <c r="G37" s="570"/>
      <c r="H37" s="570"/>
      <c r="I37" s="582" t="s">
        <v>6</v>
      </c>
    </row>
    <row r="38" spans="1:9">
      <c r="A38" s="515"/>
      <c r="B38" s="583"/>
      <c r="C38" s="570"/>
      <c r="D38" s="570"/>
      <c r="E38" s="584"/>
      <c r="F38" s="570"/>
      <c r="G38" s="570"/>
      <c r="H38" s="570"/>
      <c r="I38" s="585"/>
    </row>
    <row r="39" spans="1:9">
      <c r="A39" s="515"/>
      <c r="B39" s="586" t="s">
        <v>0</v>
      </c>
      <c r="C39" s="570"/>
      <c r="D39" s="570"/>
      <c r="E39" s="570"/>
      <c r="F39" s="577"/>
      <c r="G39" s="570"/>
      <c r="H39" s="570"/>
      <c r="I39" s="587">
        <f>SUM(G41:G41)</f>
        <v>0</v>
      </c>
    </row>
    <row r="40" spans="1:9">
      <c r="A40" s="515"/>
      <c r="B40" s="575" t="s">
        <v>104</v>
      </c>
      <c r="C40" s="570"/>
      <c r="D40" s="589"/>
      <c r="E40" s="589"/>
      <c r="F40" s="589"/>
      <c r="G40" s="589"/>
      <c r="H40" s="570"/>
      <c r="I40" s="590"/>
    </row>
    <row r="41" spans="1:9">
      <c r="A41" s="515"/>
      <c r="B41" s="583"/>
      <c r="C41" s="578"/>
      <c r="D41" s="591"/>
      <c r="E41" s="592"/>
      <c r="F41" s="593"/>
      <c r="G41" s="594"/>
      <c r="H41" s="570"/>
      <c r="I41" s="595"/>
    </row>
    <row r="42" spans="1:9">
      <c r="A42" s="515"/>
      <c r="B42" s="586" t="s">
        <v>2</v>
      </c>
      <c r="C42" s="570"/>
      <c r="D42" s="570"/>
      <c r="E42" s="2017" t="s">
        <v>459</v>
      </c>
      <c r="F42" s="2017"/>
      <c r="G42" s="2017"/>
      <c r="H42" s="2017"/>
      <c r="I42" s="587">
        <f>(SUM(G44:G45)*0.85)</f>
        <v>44.199999999999996</v>
      </c>
    </row>
    <row r="43" spans="1:9">
      <c r="A43" s="515"/>
      <c r="B43" s="588"/>
      <c r="C43" s="570"/>
      <c r="D43" s="589" t="s">
        <v>447</v>
      </c>
      <c r="E43" s="589" t="s">
        <v>448</v>
      </c>
      <c r="F43" s="589" t="s">
        <v>449</v>
      </c>
      <c r="G43" s="589" t="s">
        <v>450</v>
      </c>
      <c r="H43" s="570"/>
      <c r="I43" s="590"/>
    </row>
    <row r="44" spans="1:9">
      <c r="A44" s="515"/>
      <c r="B44" s="1359" t="str">
        <f>+'[42]Core Rates'!A146:A146</f>
        <v>Herbicide Application (Including Selective Post-emergent Herbicide)</v>
      </c>
      <c r="C44" s="578"/>
      <c r="D44" s="591" t="s">
        <v>408</v>
      </c>
      <c r="E44" s="592">
        <f>+'[42]Core Rates 2011'!BE146</f>
        <v>36.5</v>
      </c>
      <c r="F44" s="593">
        <v>1</v>
      </c>
      <c r="G44" s="594">
        <f>+F44*E44</f>
        <v>36.5</v>
      </c>
      <c r="H44" s="570"/>
      <c r="I44" s="595"/>
    </row>
    <row r="45" spans="1:9">
      <c r="A45" s="515"/>
      <c r="B45" s="1357" t="str">
        <f>+'[42]Core Rates'!A216</f>
        <v>Mowing</v>
      </c>
      <c r="C45" s="578"/>
      <c r="D45" s="591" t="s">
        <v>408</v>
      </c>
      <c r="E45" s="592">
        <f>+'[42]Core Rates'!C216</f>
        <v>15.5</v>
      </c>
      <c r="F45" s="593">
        <v>1</v>
      </c>
      <c r="G45" s="594">
        <f>+F45*E45</f>
        <v>15.5</v>
      </c>
      <c r="H45" s="570"/>
      <c r="I45" s="595"/>
    </row>
    <row r="46" spans="1:9">
      <c r="A46" s="515"/>
      <c r="B46" s="583"/>
      <c r="C46" s="578"/>
      <c r="D46" s="606"/>
      <c r="E46" s="607"/>
      <c r="F46" s="607"/>
      <c r="G46" s="592"/>
      <c r="H46" s="570"/>
      <c r="I46" s="595"/>
    </row>
    <row r="47" spans="1:9">
      <c r="A47" s="515"/>
      <c r="B47" s="574" t="s">
        <v>43</v>
      </c>
      <c r="C47" s="570"/>
      <c r="D47" s="570"/>
      <c r="E47" s="608"/>
      <c r="F47" s="608"/>
      <c r="G47" s="608"/>
      <c r="H47" s="570"/>
      <c r="I47" s="590"/>
    </row>
    <row r="48" spans="1:9">
      <c r="A48" s="515"/>
      <c r="B48" s="568" t="s">
        <v>457</v>
      </c>
      <c r="C48" s="610"/>
      <c r="D48" s="610"/>
      <c r="E48" s="610"/>
      <c r="F48" s="610"/>
      <c r="G48" s="610"/>
      <c r="H48" s="610"/>
      <c r="I48" s="611"/>
    </row>
    <row r="49" spans="1:9">
      <c r="A49" s="515"/>
      <c r="B49" s="609"/>
      <c r="C49" s="610"/>
      <c r="D49" s="610"/>
      <c r="E49" s="610"/>
      <c r="F49" s="610"/>
      <c r="G49" s="610"/>
      <c r="H49" s="610"/>
      <c r="I49" s="611"/>
    </row>
    <row r="50" spans="1:9">
      <c r="A50" s="515"/>
      <c r="B50" s="586" t="s">
        <v>3</v>
      </c>
      <c r="C50" s="570"/>
      <c r="D50" s="570"/>
      <c r="E50" s="570"/>
      <c r="F50" s="577"/>
      <c r="G50" s="570"/>
      <c r="H50" s="570"/>
      <c r="I50" s="612">
        <f>E52</f>
        <v>7.8</v>
      </c>
    </row>
    <row r="51" spans="1:9">
      <c r="A51" s="515"/>
      <c r="B51" s="2021" t="s">
        <v>465</v>
      </c>
      <c r="C51" s="2022"/>
      <c r="D51" s="570"/>
      <c r="E51" s="570"/>
      <c r="F51" s="570"/>
      <c r="G51" s="570"/>
      <c r="H51" s="570"/>
      <c r="I51" s="613"/>
    </row>
    <row r="52" spans="1:9">
      <c r="A52" s="515"/>
      <c r="B52" s="574" t="s">
        <v>466</v>
      </c>
      <c r="C52" s="577"/>
      <c r="D52" s="577"/>
      <c r="E52" s="614">
        <f>SUM(G44:G45)*0.15</f>
        <v>7.8</v>
      </c>
      <c r="F52" s="570"/>
      <c r="G52" s="570"/>
      <c r="H52" s="570"/>
      <c r="I52" s="590"/>
    </row>
    <row r="53" spans="1:9">
      <c r="A53" s="515"/>
      <c r="B53" s="574"/>
      <c r="C53" s="577"/>
      <c r="D53" s="615"/>
      <c r="E53" s="614"/>
      <c r="F53" s="570"/>
      <c r="G53" s="570"/>
      <c r="H53" s="570"/>
      <c r="I53" s="590"/>
    </row>
    <row r="54" spans="1:9">
      <c r="A54" s="515"/>
      <c r="B54" s="586" t="s">
        <v>4</v>
      </c>
      <c r="C54" s="570"/>
      <c r="D54" s="570"/>
      <c r="E54" s="570"/>
      <c r="F54" s="570"/>
      <c r="G54" s="570"/>
      <c r="H54" s="570"/>
      <c r="I54" s="612">
        <f>0.03*(I39+I42+I50)</f>
        <v>1.5599999999999998</v>
      </c>
    </row>
    <row r="55" spans="1:9">
      <c r="A55" s="515"/>
      <c r="B55" s="575" t="s">
        <v>467</v>
      </c>
      <c r="C55" s="570"/>
      <c r="D55" s="570"/>
      <c r="E55" s="570"/>
      <c r="F55" s="570"/>
      <c r="G55" s="570"/>
      <c r="H55" s="570"/>
      <c r="I55" s="571"/>
    </row>
    <row r="56" spans="1:9">
      <c r="A56" s="515"/>
      <c r="B56" s="574"/>
      <c r="C56" s="570"/>
      <c r="D56" s="570"/>
      <c r="E56" s="570"/>
      <c r="F56" s="570"/>
      <c r="G56" s="570"/>
      <c r="H56" s="570"/>
      <c r="I56" s="571"/>
    </row>
    <row r="57" spans="1:9">
      <c r="A57" s="515"/>
      <c r="B57" s="586" t="s">
        <v>468</v>
      </c>
      <c r="C57" s="570"/>
      <c r="D57" s="570"/>
      <c r="E57" s="570"/>
      <c r="F57" s="570"/>
      <c r="G57" s="570"/>
      <c r="H57" s="570"/>
      <c r="I57" s="612">
        <v>0</v>
      </c>
    </row>
    <row r="58" spans="1:9">
      <c r="A58" s="515"/>
      <c r="B58" s="575" t="s">
        <v>104</v>
      </c>
      <c r="C58" s="570"/>
      <c r="D58" s="570"/>
      <c r="E58" s="570"/>
      <c r="F58" s="570"/>
      <c r="G58" s="570"/>
      <c r="H58" s="570"/>
      <c r="I58" s="571"/>
    </row>
    <row r="59" spans="1:9">
      <c r="A59" s="515"/>
      <c r="B59" s="574"/>
      <c r="C59" s="570"/>
      <c r="D59" s="570"/>
      <c r="E59" s="570"/>
      <c r="F59" s="570"/>
      <c r="G59" s="570"/>
      <c r="H59" s="570"/>
      <c r="I59" s="571"/>
    </row>
    <row r="60" spans="1:9">
      <c r="A60" s="515"/>
      <c r="B60" s="586" t="s">
        <v>7</v>
      </c>
      <c r="C60" s="570"/>
      <c r="D60" s="570"/>
      <c r="E60" s="570"/>
      <c r="F60" s="570"/>
      <c r="G60" s="570"/>
      <c r="H60" s="570"/>
      <c r="I60" s="587">
        <v>0</v>
      </c>
    </row>
    <row r="61" spans="1:9">
      <c r="A61" s="515"/>
      <c r="B61" s="575" t="s">
        <v>104</v>
      </c>
      <c r="C61" s="570"/>
      <c r="D61" s="570"/>
      <c r="E61" s="570"/>
      <c r="F61" s="570"/>
      <c r="G61" s="570"/>
      <c r="H61" s="570"/>
      <c r="I61" s="571"/>
    </row>
    <row r="62" spans="1:9">
      <c r="A62" s="515"/>
      <c r="B62" s="574"/>
      <c r="C62" s="570"/>
      <c r="D62" s="570"/>
      <c r="E62" s="570"/>
      <c r="F62" s="570"/>
      <c r="G62" s="570"/>
      <c r="H62" s="570"/>
      <c r="I62" s="571"/>
    </row>
    <row r="63" spans="1:9">
      <c r="A63" s="515"/>
      <c r="B63" s="586" t="s">
        <v>471</v>
      </c>
      <c r="C63" s="570"/>
      <c r="D63" s="570"/>
      <c r="E63" s="570"/>
      <c r="F63" s="577"/>
      <c r="G63" s="570"/>
      <c r="H63" s="570"/>
      <c r="I63" s="587">
        <v>0</v>
      </c>
    </row>
    <row r="64" spans="1:9">
      <c r="A64" s="515"/>
      <c r="B64" s="575" t="s">
        <v>104</v>
      </c>
      <c r="C64" s="570"/>
      <c r="D64" s="570"/>
      <c r="E64" s="570"/>
      <c r="F64" s="570"/>
      <c r="G64" s="570"/>
      <c r="H64" s="570"/>
      <c r="I64" s="595"/>
    </row>
    <row r="65" spans="1:9">
      <c r="A65" s="515"/>
      <c r="B65" s="574"/>
      <c r="C65" s="570"/>
      <c r="D65" s="570"/>
      <c r="E65" s="570"/>
      <c r="F65" s="570"/>
      <c r="G65" s="570"/>
      <c r="H65" s="570"/>
      <c r="I65" s="571"/>
    </row>
    <row r="66" spans="1:9">
      <c r="A66" s="515"/>
      <c r="B66" s="586" t="s">
        <v>5</v>
      </c>
      <c r="C66" s="570"/>
      <c r="D66" s="570"/>
      <c r="E66" s="570"/>
      <c r="F66" s="570"/>
      <c r="G66" s="570"/>
      <c r="H66" s="570"/>
      <c r="I66" s="587">
        <v>0</v>
      </c>
    </row>
    <row r="67" spans="1:9">
      <c r="A67" s="515"/>
      <c r="B67" s="575" t="s">
        <v>104</v>
      </c>
      <c r="C67" s="570"/>
      <c r="D67" s="570"/>
      <c r="E67" s="570"/>
      <c r="F67" s="570"/>
      <c r="G67" s="570"/>
      <c r="H67" s="570"/>
      <c r="I67" s="595"/>
    </row>
    <row r="68" spans="1:9">
      <c r="A68" s="515"/>
      <c r="B68" s="574"/>
      <c r="C68" s="570"/>
      <c r="D68" s="570"/>
      <c r="E68" s="570"/>
      <c r="F68" s="570"/>
      <c r="G68" s="570"/>
      <c r="H68" s="570"/>
      <c r="I68" s="571"/>
    </row>
    <row r="69" spans="1:9">
      <c r="A69" s="515"/>
      <c r="B69" s="586" t="s">
        <v>20</v>
      </c>
      <c r="C69" s="570"/>
      <c r="D69" s="570"/>
      <c r="E69" s="570"/>
      <c r="F69" s="570"/>
      <c r="G69" s="570"/>
      <c r="H69" s="570"/>
      <c r="I69" s="587">
        <v>0</v>
      </c>
    </row>
    <row r="70" spans="1:9">
      <c r="A70" s="515"/>
      <c r="B70" s="575" t="s">
        <v>104</v>
      </c>
      <c r="C70" s="570"/>
      <c r="D70" s="570"/>
      <c r="E70" s="570"/>
      <c r="F70" s="570"/>
      <c r="G70" s="570"/>
      <c r="H70" s="570"/>
      <c r="I70" s="571"/>
    </row>
    <row r="71" spans="1:9">
      <c r="A71" s="515"/>
      <c r="B71" s="583"/>
      <c r="C71" s="570"/>
      <c r="D71" s="570"/>
      <c r="E71" s="570"/>
      <c r="F71" s="570"/>
      <c r="G71" s="570"/>
      <c r="H71" s="570"/>
      <c r="I71" s="571"/>
    </row>
    <row r="72" spans="1:9">
      <c r="A72" s="515"/>
      <c r="B72" s="586" t="s">
        <v>473</v>
      </c>
      <c r="C72" s="570"/>
      <c r="D72" s="570"/>
      <c r="E72" s="570"/>
      <c r="F72" s="570"/>
      <c r="G72" s="570"/>
      <c r="H72" s="570"/>
      <c r="I72" s="618">
        <f>+I39+I42+I50+I54+I60+I69</f>
        <v>53.559999999999995</v>
      </c>
    </row>
    <row r="73" spans="1:9" ht="15.75">
      <c r="A73" s="515"/>
      <c r="B73" s="575" t="s">
        <v>474</v>
      </c>
      <c r="C73" s="570"/>
      <c r="D73" s="570"/>
      <c r="E73" s="570"/>
      <c r="F73" s="570"/>
      <c r="G73" s="570"/>
      <c r="H73" s="570"/>
      <c r="I73" s="571"/>
    </row>
    <row r="74" spans="1:9">
      <c r="A74" s="515"/>
      <c r="B74" s="583"/>
      <c r="C74" s="570"/>
      <c r="D74" s="570"/>
      <c r="E74" s="570"/>
      <c r="F74" s="570"/>
      <c r="G74" s="570"/>
      <c r="H74" s="570"/>
      <c r="I74" s="571"/>
    </row>
    <row r="75" spans="1:9">
      <c r="A75" s="515"/>
      <c r="B75" s="619" t="s">
        <v>11</v>
      </c>
      <c r="C75" s="620"/>
      <c r="D75" s="620"/>
      <c r="E75" s="620"/>
      <c r="F75" s="620"/>
      <c r="G75" s="620"/>
      <c r="H75" s="620"/>
      <c r="I75" s="621">
        <f>SUM(I40:I69)</f>
        <v>53.559999999999995</v>
      </c>
    </row>
  </sheetData>
  <mergeCells count="3">
    <mergeCell ref="B1:D1"/>
    <mergeCell ref="E42:H42"/>
    <mergeCell ref="B51:C51"/>
  </mergeCells>
  <pageMargins left="0.75" right="0.75" top="1" bottom="1" header="0.5" footer="0.5"/>
  <pageSetup scale="54" orientation="portrait" r:id="rId1"/>
  <headerFooter alignWithMargins="0"/>
</worksheet>
</file>

<file path=xl/worksheets/sheet227.xml><?xml version="1.0" encoding="utf-8"?>
<worksheet xmlns="http://schemas.openxmlformats.org/spreadsheetml/2006/main" xmlns:r="http://schemas.openxmlformats.org/officeDocument/2006/relationships">
  <sheetPr>
    <pageSetUpPr fitToPage="1"/>
  </sheetPr>
  <dimension ref="A1:L75"/>
  <sheetViews>
    <sheetView topLeftCell="A39" workbookViewId="0">
      <selection activeCell="D37" sqref="D37"/>
    </sheetView>
  </sheetViews>
  <sheetFormatPr defaultRowHeight="12.75"/>
  <cols>
    <col min="1" max="1" width="1.85546875" style="517" customWidth="1"/>
    <col min="2" max="2" width="9.140625" style="517"/>
    <col min="3" max="3" width="24.140625" style="517" customWidth="1"/>
    <col min="4" max="4" width="35" style="517" customWidth="1"/>
    <col min="5" max="5" width="63" style="517" bestFit="1" customWidth="1"/>
    <col min="6" max="6" width="10.42578125" style="517" customWidth="1"/>
    <col min="7"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hidden="1">
      <c r="A3" s="515"/>
      <c r="B3" s="519" t="s">
        <v>17</v>
      </c>
      <c r="C3" s="515"/>
      <c r="D3" s="515"/>
      <c r="E3" s="515"/>
      <c r="F3" s="515"/>
      <c r="G3" s="515"/>
      <c r="H3" s="515"/>
      <c r="I3" s="515"/>
    </row>
    <row r="4" spans="1:12" hidden="1">
      <c r="A4" s="515"/>
      <c r="B4" s="520" t="s">
        <v>1</v>
      </c>
      <c r="C4" s="521" t="s">
        <v>21</v>
      </c>
      <c r="D4" s="522"/>
      <c r="E4" s="522"/>
      <c r="F4" s="522"/>
      <c r="G4" s="523" t="s">
        <v>12</v>
      </c>
    </row>
    <row r="5" spans="1:12" hidden="1">
      <c r="A5" s="515"/>
      <c r="B5" s="524" t="s">
        <v>13</v>
      </c>
      <c r="C5" s="525" t="s">
        <v>22</v>
      </c>
      <c r="D5" s="525" t="s">
        <v>29</v>
      </c>
      <c r="E5" s="525" t="s">
        <v>30</v>
      </c>
      <c r="F5" s="525" t="s">
        <v>23</v>
      </c>
      <c r="G5" s="526" t="s">
        <v>14</v>
      </c>
    </row>
    <row r="6" spans="1:12" ht="25.5" hidden="1">
      <c r="A6" s="515"/>
      <c r="B6" s="631">
        <v>643</v>
      </c>
      <c r="C6" s="531" t="str">
        <f>+E12</f>
        <v>EQIP</v>
      </c>
      <c r="D6" s="622" t="s">
        <v>1194</v>
      </c>
      <c r="E6" s="622" t="s">
        <v>1199</v>
      </c>
      <c r="F6" s="531" t="s">
        <v>394</v>
      </c>
      <c r="G6" s="532">
        <f>+I25</f>
        <v>68.366249999999994</v>
      </c>
    </row>
    <row r="7" spans="1:12" ht="25.5" hidden="1">
      <c r="A7" s="515"/>
      <c r="B7" s="631">
        <f>+B6</f>
        <v>643</v>
      </c>
      <c r="C7" s="531" t="str">
        <f>+C6</f>
        <v>EQIP</v>
      </c>
      <c r="D7" s="622" t="s">
        <v>1194</v>
      </c>
      <c r="E7" s="622" t="str">
        <f>CONCATENATE(E6, "-HU")</f>
        <v>Restoration &amp; Management of Declining Habitats - Mowing + 2X Herbicide-HU</v>
      </c>
      <c r="F7" s="531" t="s">
        <v>394</v>
      </c>
      <c r="G7" s="532">
        <f>+J25</f>
        <v>82.039500000000004</v>
      </c>
    </row>
    <row r="8" spans="1:12" ht="25.5" hidden="1">
      <c r="A8" s="515"/>
      <c r="B8" s="631">
        <v>643</v>
      </c>
      <c r="C8" s="531" t="str">
        <f>+G12</f>
        <v>WHIP</v>
      </c>
      <c r="D8" s="622" t="s">
        <v>1194</v>
      </c>
      <c r="E8" s="1358" t="s">
        <v>1199</v>
      </c>
      <c r="F8" s="531" t="s">
        <v>394</v>
      </c>
      <c r="G8" s="532">
        <f>+K25</f>
        <v>68.366249999999994</v>
      </c>
    </row>
    <row r="9" spans="1:12" ht="25.5" hidden="1">
      <c r="A9" s="515"/>
      <c r="B9" s="633">
        <f>+B8</f>
        <v>643</v>
      </c>
      <c r="C9" s="536" t="str">
        <f>+C8</f>
        <v>WHIP</v>
      </c>
      <c r="D9" s="623" t="s">
        <v>1194</v>
      </c>
      <c r="E9" s="623" t="str">
        <f>CONCATENATE(E6, "-HU")</f>
        <v>Restoration &amp; Management of Declining Habitats - Mowing + 2X Herbicide-HU</v>
      </c>
      <c r="F9" s="536" t="s">
        <v>394</v>
      </c>
      <c r="G9" s="537">
        <f>+L25</f>
        <v>82.039500000000004</v>
      </c>
    </row>
    <row r="10" spans="1:12" hidden="1">
      <c r="A10" s="515"/>
      <c r="B10" s="538"/>
      <c r="C10" s="539"/>
      <c r="D10" s="539"/>
      <c r="E10" s="515"/>
      <c r="F10" s="515"/>
    </row>
    <row r="11" spans="1:12" ht="15.75" hidden="1">
      <c r="A11" s="515"/>
      <c r="B11" s="519" t="s">
        <v>18</v>
      </c>
      <c r="C11" s="539"/>
      <c r="D11" s="539"/>
      <c r="E11" s="515"/>
      <c r="F11" s="515"/>
    </row>
    <row r="12" spans="1:12" hidden="1">
      <c r="A12" s="515"/>
      <c r="B12" s="540"/>
      <c r="C12" s="541"/>
      <c r="D12" s="542"/>
      <c r="E12" s="543" t="s">
        <v>15</v>
      </c>
      <c r="F12" s="543" t="s">
        <v>31</v>
      </c>
      <c r="G12" s="543" t="s">
        <v>86</v>
      </c>
      <c r="H12" s="543" t="s">
        <v>441</v>
      </c>
      <c r="I12" s="543"/>
      <c r="J12" s="543"/>
      <c r="K12" s="543"/>
      <c r="L12" s="624"/>
    </row>
    <row r="13" spans="1:12" hidden="1">
      <c r="A13" s="515"/>
      <c r="B13" s="544"/>
      <c r="C13" s="545"/>
      <c r="D13" s="546"/>
      <c r="E13" s="547" t="s">
        <v>22</v>
      </c>
      <c r="F13" s="547" t="s">
        <v>22</v>
      </c>
      <c r="G13" s="547" t="s">
        <v>22</v>
      </c>
      <c r="H13" s="547" t="s">
        <v>22</v>
      </c>
      <c r="I13" s="547" t="s">
        <v>15</v>
      </c>
      <c r="J13" s="547" t="s">
        <v>31</v>
      </c>
      <c r="K13" s="547" t="s">
        <v>86</v>
      </c>
      <c r="L13" s="625" t="s">
        <v>441</v>
      </c>
    </row>
    <row r="14" spans="1:12" hidden="1">
      <c r="A14" s="515"/>
      <c r="B14" s="548"/>
      <c r="C14" s="546"/>
      <c r="D14" s="546"/>
      <c r="E14" s="547" t="s">
        <v>12</v>
      </c>
      <c r="F14" s="547" t="s">
        <v>12</v>
      </c>
      <c r="G14" s="547" t="s">
        <v>12</v>
      </c>
      <c r="H14" s="547" t="s">
        <v>12</v>
      </c>
      <c r="I14" s="547" t="s">
        <v>12</v>
      </c>
      <c r="J14" s="547" t="s">
        <v>12</v>
      </c>
      <c r="K14" s="547" t="s">
        <v>12</v>
      </c>
      <c r="L14" s="625" t="s">
        <v>12</v>
      </c>
    </row>
    <row r="15" spans="1:12" hidden="1">
      <c r="A15" s="515"/>
      <c r="B15" s="549" t="s">
        <v>16</v>
      </c>
      <c r="C15" s="546"/>
      <c r="D15" s="550" t="s">
        <v>6</v>
      </c>
      <c r="E15" s="551" t="s">
        <v>24</v>
      </c>
      <c r="F15" s="551" t="s">
        <v>24</v>
      </c>
      <c r="G15" s="551" t="s">
        <v>24</v>
      </c>
      <c r="H15" s="551" t="s">
        <v>24</v>
      </c>
      <c r="I15" s="551" t="s">
        <v>14</v>
      </c>
      <c r="J15" s="551" t="s">
        <v>14</v>
      </c>
      <c r="K15" s="551" t="s">
        <v>14</v>
      </c>
      <c r="L15" s="626" t="s">
        <v>14</v>
      </c>
    </row>
    <row r="16" spans="1:12" hidden="1">
      <c r="A16" s="515"/>
      <c r="B16" s="544" t="s">
        <v>0</v>
      </c>
      <c r="C16" s="546"/>
      <c r="D16" s="552">
        <f>+I39</f>
        <v>0</v>
      </c>
      <c r="E16" s="553">
        <f>+'[10]Payment Factors'!D30</f>
        <v>0.75</v>
      </c>
      <c r="F16" s="553">
        <f>+'[10]Payment Factors'!E30</f>
        <v>0.9</v>
      </c>
      <c r="G16" s="553">
        <f>+'[10]Payment Factors'!F30</f>
        <v>0.75</v>
      </c>
      <c r="H16" s="553">
        <f>+'[10]Payment Factors'!G30</f>
        <v>0.9</v>
      </c>
      <c r="I16" s="554">
        <f t="shared" ref="I16:L24" si="0">+$D16*E16</f>
        <v>0</v>
      </c>
      <c r="J16" s="554">
        <f t="shared" si="0"/>
        <v>0</v>
      </c>
      <c r="K16" s="554">
        <f t="shared" si="0"/>
        <v>0</v>
      </c>
      <c r="L16" s="627">
        <f t="shared" si="0"/>
        <v>0</v>
      </c>
    </row>
    <row r="17" spans="1:12" hidden="1">
      <c r="A17" s="515"/>
      <c r="B17" s="544" t="s">
        <v>2</v>
      </c>
      <c r="C17" s="546"/>
      <c r="D17" s="552">
        <f>+I42</f>
        <v>75.224999999999994</v>
      </c>
      <c r="E17" s="553">
        <f t="shared" ref="E17:H19" si="1">+E16</f>
        <v>0.75</v>
      </c>
      <c r="F17" s="553">
        <f t="shared" si="1"/>
        <v>0.9</v>
      </c>
      <c r="G17" s="553">
        <f t="shared" si="1"/>
        <v>0.75</v>
      </c>
      <c r="H17" s="553">
        <f t="shared" si="1"/>
        <v>0.9</v>
      </c>
      <c r="I17" s="554">
        <f t="shared" si="0"/>
        <v>56.418749999999996</v>
      </c>
      <c r="J17" s="554">
        <f t="shared" si="0"/>
        <v>67.702500000000001</v>
      </c>
      <c r="K17" s="554">
        <f t="shared" si="0"/>
        <v>56.418749999999996</v>
      </c>
      <c r="L17" s="627">
        <f t="shared" si="0"/>
        <v>67.702500000000001</v>
      </c>
    </row>
    <row r="18" spans="1:12" hidden="1">
      <c r="A18" s="515"/>
      <c r="B18" s="544" t="s">
        <v>3</v>
      </c>
      <c r="C18" s="546"/>
      <c r="D18" s="552">
        <f>+I50</f>
        <v>13.275</v>
      </c>
      <c r="E18" s="553">
        <f t="shared" si="1"/>
        <v>0.75</v>
      </c>
      <c r="F18" s="553">
        <f t="shared" si="1"/>
        <v>0.9</v>
      </c>
      <c r="G18" s="553">
        <f t="shared" si="1"/>
        <v>0.75</v>
      </c>
      <c r="H18" s="553">
        <f t="shared" si="1"/>
        <v>0.9</v>
      </c>
      <c r="I18" s="554">
        <f t="shared" si="0"/>
        <v>9.9562500000000007</v>
      </c>
      <c r="J18" s="554">
        <f t="shared" si="0"/>
        <v>11.9475</v>
      </c>
      <c r="K18" s="554">
        <f t="shared" si="0"/>
        <v>9.9562500000000007</v>
      </c>
      <c r="L18" s="627">
        <f t="shared" si="0"/>
        <v>11.9475</v>
      </c>
    </row>
    <row r="19" spans="1:12" hidden="1">
      <c r="A19" s="515"/>
      <c r="B19" s="544" t="s">
        <v>4</v>
      </c>
      <c r="C19" s="546"/>
      <c r="D19" s="552">
        <f>+I54</f>
        <v>2.6549999999999998</v>
      </c>
      <c r="E19" s="553">
        <f t="shared" si="1"/>
        <v>0.75</v>
      </c>
      <c r="F19" s="553">
        <f t="shared" si="1"/>
        <v>0.9</v>
      </c>
      <c r="G19" s="553">
        <f t="shared" si="1"/>
        <v>0.75</v>
      </c>
      <c r="H19" s="553">
        <f t="shared" si="1"/>
        <v>0.9</v>
      </c>
      <c r="I19" s="554">
        <f t="shared" si="0"/>
        <v>1.99125</v>
      </c>
      <c r="J19" s="554">
        <f t="shared" si="0"/>
        <v>2.3895</v>
      </c>
      <c r="K19" s="554">
        <f t="shared" si="0"/>
        <v>1.99125</v>
      </c>
      <c r="L19" s="627">
        <f t="shared" si="0"/>
        <v>2.3895</v>
      </c>
    </row>
    <row r="20" spans="1:12" hidden="1">
      <c r="A20" s="515"/>
      <c r="B20" s="544" t="s">
        <v>26</v>
      </c>
      <c r="C20" s="546"/>
      <c r="D20" s="552">
        <f>+I57</f>
        <v>0</v>
      </c>
      <c r="E20" s="553">
        <v>0</v>
      </c>
      <c r="F20" s="553">
        <v>0</v>
      </c>
      <c r="G20" s="553">
        <v>0</v>
      </c>
      <c r="H20" s="553">
        <v>0</v>
      </c>
      <c r="I20" s="554">
        <f t="shared" si="0"/>
        <v>0</v>
      </c>
      <c r="J20" s="554">
        <f t="shared" si="0"/>
        <v>0</v>
      </c>
      <c r="K20" s="554">
        <f t="shared" si="0"/>
        <v>0</v>
      </c>
      <c r="L20" s="627">
        <f t="shared" si="0"/>
        <v>0</v>
      </c>
    </row>
    <row r="21" spans="1:12" hidden="1">
      <c r="A21" s="515"/>
      <c r="B21" s="544" t="s">
        <v>7</v>
      </c>
      <c r="C21" s="546"/>
      <c r="D21" s="552">
        <f>+I60</f>
        <v>0</v>
      </c>
      <c r="E21" s="553">
        <v>0</v>
      </c>
      <c r="F21" s="553">
        <v>0</v>
      </c>
      <c r="G21" s="553">
        <v>0</v>
      </c>
      <c r="H21" s="553">
        <v>0</v>
      </c>
      <c r="I21" s="554">
        <f t="shared" si="0"/>
        <v>0</v>
      </c>
      <c r="J21" s="554">
        <f t="shared" si="0"/>
        <v>0</v>
      </c>
      <c r="K21" s="554">
        <f t="shared" si="0"/>
        <v>0</v>
      </c>
      <c r="L21" s="627">
        <f t="shared" si="0"/>
        <v>0</v>
      </c>
    </row>
    <row r="22" spans="1:12" hidden="1">
      <c r="A22" s="515"/>
      <c r="B22" s="544" t="s">
        <v>27</v>
      </c>
      <c r="C22" s="546"/>
      <c r="D22" s="552">
        <f>+I63</f>
        <v>0</v>
      </c>
      <c r="E22" s="553">
        <v>0</v>
      </c>
      <c r="F22" s="553">
        <v>0</v>
      </c>
      <c r="G22" s="553">
        <v>0</v>
      </c>
      <c r="H22" s="553">
        <v>0</v>
      </c>
      <c r="I22" s="554">
        <f t="shared" si="0"/>
        <v>0</v>
      </c>
      <c r="J22" s="554">
        <f t="shared" si="0"/>
        <v>0</v>
      </c>
      <c r="K22" s="554">
        <f t="shared" si="0"/>
        <v>0</v>
      </c>
      <c r="L22" s="627">
        <f t="shared" si="0"/>
        <v>0</v>
      </c>
    </row>
    <row r="23" spans="1:12" hidden="1">
      <c r="A23" s="515"/>
      <c r="B23" s="544" t="s">
        <v>5</v>
      </c>
      <c r="C23" s="546"/>
      <c r="D23" s="552">
        <f>+I66</f>
        <v>0</v>
      </c>
      <c r="E23" s="553">
        <v>0</v>
      </c>
      <c r="F23" s="553">
        <v>0</v>
      </c>
      <c r="G23" s="553">
        <v>0</v>
      </c>
      <c r="H23" s="553">
        <v>0</v>
      </c>
      <c r="I23" s="554">
        <f t="shared" si="0"/>
        <v>0</v>
      </c>
      <c r="J23" s="554">
        <f t="shared" si="0"/>
        <v>0</v>
      </c>
      <c r="K23" s="554">
        <f t="shared" si="0"/>
        <v>0</v>
      </c>
      <c r="L23" s="627">
        <f t="shared" si="0"/>
        <v>0</v>
      </c>
    </row>
    <row r="24" spans="1:12" hidden="1">
      <c r="A24" s="515"/>
      <c r="B24" s="544" t="s">
        <v>20</v>
      </c>
      <c r="C24" s="546"/>
      <c r="D24" s="555">
        <f>+I69</f>
        <v>0</v>
      </c>
      <c r="E24" s="553">
        <v>0</v>
      </c>
      <c r="F24" s="553">
        <v>0</v>
      </c>
      <c r="G24" s="553">
        <v>0</v>
      </c>
      <c r="H24" s="553">
        <v>0</v>
      </c>
      <c r="I24" s="556">
        <f t="shared" si="0"/>
        <v>0</v>
      </c>
      <c r="J24" s="556">
        <f t="shared" si="0"/>
        <v>0</v>
      </c>
      <c r="K24" s="556">
        <f t="shared" si="0"/>
        <v>0</v>
      </c>
      <c r="L24" s="628">
        <f t="shared" si="0"/>
        <v>0</v>
      </c>
    </row>
    <row r="25" spans="1:12" hidden="1">
      <c r="A25" s="515"/>
      <c r="B25" s="557" t="s">
        <v>19</v>
      </c>
      <c r="C25" s="558"/>
      <c r="D25" s="559">
        <f>SUM(D16:D24)</f>
        <v>91.155000000000001</v>
      </c>
      <c r="E25" s="629"/>
      <c r="F25" s="629"/>
      <c r="G25" s="560"/>
      <c r="H25" s="560"/>
      <c r="I25" s="561">
        <f>SUM(I16:I24)</f>
        <v>68.366249999999994</v>
      </c>
      <c r="J25" s="561">
        <f>SUM(J16:J24)</f>
        <v>82.039500000000004</v>
      </c>
      <c r="K25" s="561">
        <f>SUM(K16:K24)</f>
        <v>68.366249999999994</v>
      </c>
      <c r="L25" s="630">
        <f>SUM(L16:L24)</f>
        <v>82.039500000000004</v>
      </c>
    </row>
    <row r="26" spans="1:12" hidden="1"/>
    <row r="27" spans="1:12" ht="15.75">
      <c r="A27" s="515"/>
      <c r="B27" s="562" t="s">
        <v>28</v>
      </c>
      <c r="C27" s="515"/>
      <c r="D27" s="515"/>
      <c r="E27" s="515"/>
      <c r="F27" s="515"/>
      <c r="G27" s="515"/>
      <c r="H27" s="515"/>
      <c r="I27" s="563"/>
    </row>
    <row r="28" spans="1:12">
      <c r="A28" s="515"/>
      <c r="B28" s="564" t="s">
        <v>89</v>
      </c>
      <c r="C28" s="565"/>
      <c r="D28" s="565"/>
      <c r="E28" s="566"/>
      <c r="F28" s="566"/>
      <c r="G28" s="566"/>
      <c r="H28" s="566"/>
      <c r="I28" s="567"/>
    </row>
    <row r="29" spans="1:12">
      <c r="A29" s="515"/>
      <c r="B29" s="568" t="s">
        <v>1200</v>
      </c>
      <c r="C29" s="569"/>
      <c r="D29" s="569"/>
      <c r="E29" s="570"/>
      <c r="F29" s="570"/>
      <c r="G29" s="570"/>
      <c r="H29" s="570"/>
      <c r="I29" s="571"/>
    </row>
    <row r="30" spans="1:12">
      <c r="A30" s="515"/>
      <c r="B30" s="574" t="s">
        <v>1197</v>
      </c>
      <c r="C30" s="569"/>
      <c r="D30" s="569"/>
      <c r="E30" s="570"/>
      <c r="F30" s="573"/>
      <c r="G30" s="570"/>
      <c r="H30" s="570"/>
      <c r="I30" s="571"/>
    </row>
    <row r="31" spans="1:12">
      <c r="A31" s="515"/>
      <c r="B31" s="568" t="s">
        <v>1198</v>
      </c>
      <c r="C31" s="569"/>
      <c r="D31" s="569"/>
      <c r="E31" s="570"/>
      <c r="F31" s="570"/>
      <c r="G31" s="570"/>
      <c r="H31" s="570"/>
      <c r="I31" s="571"/>
    </row>
    <row r="32" spans="1:12">
      <c r="A32" s="515"/>
      <c r="B32" s="575"/>
      <c r="C32" s="569"/>
      <c r="D32" s="569"/>
      <c r="E32" s="570"/>
      <c r="F32" s="570"/>
      <c r="G32" s="570"/>
      <c r="H32" s="570"/>
      <c r="I32" s="571"/>
    </row>
    <row r="33" spans="1:9">
      <c r="A33" s="515"/>
      <c r="B33" s="576" t="s">
        <v>25</v>
      </c>
      <c r="C33" s="569"/>
      <c r="D33" s="577" t="s">
        <v>91</v>
      </c>
      <c r="E33" s="578"/>
      <c r="F33" s="570"/>
      <c r="G33" s="570"/>
      <c r="H33" s="570"/>
      <c r="I33" s="571"/>
    </row>
    <row r="34" spans="1:9">
      <c r="A34" s="515"/>
      <c r="B34" s="574"/>
      <c r="C34" s="569"/>
      <c r="D34" s="570"/>
      <c r="E34" s="578"/>
      <c r="F34" s="570"/>
      <c r="G34" s="570"/>
      <c r="H34" s="570"/>
      <c r="I34" s="571"/>
    </row>
    <row r="35" spans="1:9">
      <c r="A35" s="515"/>
      <c r="B35" s="576" t="s">
        <v>8</v>
      </c>
      <c r="C35" s="569"/>
      <c r="D35" s="577" t="s">
        <v>394</v>
      </c>
      <c r="E35" s="578"/>
      <c r="F35" s="570"/>
      <c r="G35" s="570"/>
      <c r="H35" s="570"/>
      <c r="I35" s="571"/>
    </row>
    <row r="36" spans="1:9">
      <c r="A36" s="515"/>
      <c r="B36" s="576" t="s">
        <v>9</v>
      </c>
      <c r="C36" s="569"/>
      <c r="D36" s="579">
        <v>1</v>
      </c>
      <c r="E36" s="578"/>
      <c r="F36" s="570"/>
      <c r="G36" s="570"/>
      <c r="H36" s="570"/>
      <c r="I36" s="571"/>
    </row>
    <row r="37" spans="1:9">
      <c r="A37" s="515"/>
      <c r="B37" s="576" t="s">
        <v>10</v>
      </c>
      <c r="C37" s="570"/>
      <c r="D37" s="580"/>
      <c r="E37" s="581"/>
      <c r="F37" s="570"/>
      <c r="G37" s="570"/>
      <c r="H37" s="570"/>
      <c r="I37" s="582" t="s">
        <v>6</v>
      </c>
    </row>
    <row r="38" spans="1:9">
      <c r="A38" s="515"/>
      <c r="B38" s="583"/>
      <c r="C38" s="570"/>
      <c r="D38" s="570"/>
      <c r="E38" s="584"/>
      <c r="F38" s="570"/>
      <c r="G38" s="570"/>
      <c r="H38" s="570"/>
      <c r="I38" s="585"/>
    </row>
    <row r="39" spans="1:9">
      <c r="A39" s="515"/>
      <c r="B39" s="586" t="s">
        <v>0</v>
      </c>
      <c r="C39" s="570"/>
      <c r="D39" s="570"/>
      <c r="E39" s="570"/>
      <c r="F39" s="577"/>
      <c r="G39" s="570"/>
      <c r="H39" s="570"/>
      <c r="I39" s="587">
        <f>SUM(G41:G41)</f>
        <v>0</v>
      </c>
    </row>
    <row r="40" spans="1:9">
      <c r="A40" s="515"/>
      <c r="B40" s="575" t="s">
        <v>104</v>
      </c>
      <c r="C40" s="570"/>
      <c r="D40" s="589"/>
      <c r="E40" s="589"/>
      <c r="F40" s="589"/>
      <c r="G40" s="589"/>
      <c r="H40" s="570"/>
      <c r="I40" s="590"/>
    </row>
    <row r="41" spans="1:9">
      <c r="A41" s="515"/>
      <c r="B41" s="583"/>
      <c r="C41" s="578"/>
      <c r="D41" s="591"/>
      <c r="E41" s="592"/>
      <c r="F41" s="593"/>
      <c r="G41" s="594"/>
      <c r="H41" s="570"/>
      <c r="I41" s="595"/>
    </row>
    <row r="42" spans="1:9">
      <c r="A42" s="515"/>
      <c r="B42" s="586" t="s">
        <v>2</v>
      </c>
      <c r="C42" s="570"/>
      <c r="D42" s="570"/>
      <c r="E42" s="2017" t="s">
        <v>459</v>
      </c>
      <c r="F42" s="2017"/>
      <c r="G42" s="2017"/>
      <c r="H42" s="2017"/>
      <c r="I42" s="587">
        <f>(SUM(G44:G45)*0.85)</f>
        <v>75.224999999999994</v>
      </c>
    </row>
    <row r="43" spans="1:9">
      <c r="A43" s="515"/>
      <c r="B43" s="588"/>
      <c r="C43" s="570"/>
      <c r="D43" s="589" t="s">
        <v>447</v>
      </c>
      <c r="E43" s="589" t="s">
        <v>448</v>
      </c>
      <c r="F43" s="589" t="s">
        <v>449</v>
      </c>
      <c r="G43" s="589" t="s">
        <v>450</v>
      </c>
      <c r="H43" s="570"/>
      <c r="I43" s="590"/>
    </row>
    <row r="44" spans="1:9">
      <c r="A44" s="515"/>
      <c r="B44" s="1359" t="str">
        <f>+'[42]Core Rates'!A146:A146</f>
        <v>Herbicide Application (Including Selective Post-emergent Herbicide)</v>
      </c>
      <c r="C44" s="578"/>
      <c r="D44" s="591" t="s">
        <v>408</v>
      </c>
      <c r="E44" s="592">
        <f>+'[42]Core Rates 2011'!BE146</f>
        <v>36.5</v>
      </c>
      <c r="F44" s="593">
        <v>2</v>
      </c>
      <c r="G44" s="594">
        <f>+F44*E44</f>
        <v>73</v>
      </c>
      <c r="H44" s="570"/>
      <c r="I44" s="595"/>
    </row>
    <row r="45" spans="1:9">
      <c r="A45" s="515"/>
      <c r="B45" s="1357" t="str">
        <f>+'[42]Core Rates'!A216</f>
        <v>Mowing</v>
      </c>
      <c r="C45" s="578"/>
      <c r="D45" s="591" t="s">
        <v>408</v>
      </c>
      <c r="E45" s="592">
        <f>+'[42]Core Rates'!C216</f>
        <v>15.5</v>
      </c>
      <c r="F45" s="593">
        <v>1</v>
      </c>
      <c r="G45" s="594">
        <f>+F45*E45</f>
        <v>15.5</v>
      </c>
      <c r="H45" s="570"/>
      <c r="I45" s="595"/>
    </row>
    <row r="46" spans="1:9">
      <c r="A46" s="515"/>
      <c r="B46" s="583"/>
      <c r="C46" s="578"/>
      <c r="D46" s="606"/>
      <c r="E46" s="607"/>
      <c r="F46" s="607"/>
      <c r="G46" s="592"/>
      <c r="H46" s="570"/>
      <c r="I46" s="595"/>
    </row>
    <row r="47" spans="1:9">
      <c r="A47" s="515"/>
      <c r="B47" s="574" t="s">
        <v>43</v>
      </c>
      <c r="C47" s="570"/>
      <c r="D47" s="570"/>
      <c r="E47" s="608"/>
      <c r="F47" s="608"/>
      <c r="G47" s="608"/>
      <c r="H47" s="570"/>
      <c r="I47" s="590"/>
    </row>
    <row r="48" spans="1:9">
      <c r="A48" s="515"/>
      <c r="B48" s="568" t="s">
        <v>457</v>
      </c>
      <c r="C48" s="610"/>
      <c r="D48" s="610"/>
      <c r="E48" s="610"/>
      <c r="F48" s="610"/>
      <c r="G48" s="610"/>
      <c r="H48" s="610"/>
      <c r="I48" s="611"/>
    </row>
    <row r="49" spans="1:9">
      <c r="A49" s="515"/>
      <c r="B49" s="609"/>
      <c r="C49" s="610"/>
      <c r="D49" s="610"/>
      <c r="E49" s="610"/>
      <c r="F49" s="610"/>
      <c r="G49" s="610"/>
      <c r="H49" s="610"/>
      <c r="I49" s="611"/>
    </row>
    <row r="50" spans="1:9">
      <c r="A50" s="515"/>
      <c r="B50" s="586" t="s">
        <v>3</v>
      </c>
      <c r="C50" s="570"/>
      <c r="D50" s="570"/>
      <c r="E50" s="570"/>
      <c r="F50" s="577"/>
      <c r="G50" s="570"/>
      <c r="H50" s="570"/>
      <c r="I50" s="612">
        <f>E52</f>
        <v>13.275</v>
      </c>
    </row>
    <row r="51" spans="1:9">
      <c r="A51" s="515"/>
      <c r="B51" s="2021" t="s">
        <v>465</v>
      </c>
      <c r="C51" s="2022"/>
      <c r="D51" s="570"/>
      <c r="E51" s="570"/>
      <c r="F51" s="570"/>
      <c r="G51" s="570"/>
      <c r="H51" s="570"/>
      <c r="I51" s="613"/>
    </row>
    <row r="52" spans="1:9">
      <c r="A52" s="515"/>
      <c r="B52" s="574" t="s">
        <v>466</v>
      </c>
      <c r="C52" s="577"/>
      <c r="D52" s="577"/>
      <c r="E52" s="614">
        <f>SUM(G44:G45)*0.15</f>
        <v>13.275</v>
      </c>
      <c r="F52" s="570"/>
      <c r="G52" s="570"/>
      <c r="H52" s="570"/>
      <c r="I52" s="590"/>
    </row>
    <row r="53" spans="1:9">
      <c r="A53" s="515"/>
      <c r="B53" s="574"/>
      <c r="C53" s="577"/>
      <c r="D53" s="615"/>
      <c r="E53" s="614"/>
      <c r="F53" s="570"/>
      <c r="G53" s="570"/>
      <c r="H53" s="570"/>
      <c r="I53" s="590"/>
    </row>
    <row r="54" spans="1:9">
      <c r="A54" s="515"/>
      <c r="B54" s="586" t="s">
        <v>4</v>
      </c>
      <c r="C54" s="570"/>
      <c r="D54" s="570"/>
      <c r="E54" s="570"/>
      <c r="F54" s="570"/>
      <c r="G54" s="570"/>
      <c r="H54" s="570"/>
      <c r="I54" s="612">
        <f>0.03*(I39+I42+I50)</f>
        <v>2.6549999999999998</v>
      </c>
    </row>
    <row r="55" spans="1:9">
      <c r="A55" s="515"/>
      <c r="B55" s="575" t="s">
        <v>467</v>
      </c>
      <c r="C55" s="570"/>
      <c r="D55" s="570"/>
      <c r="E55" s="570"/>
      <c r="F55" s="570"/>
      <c r="G55" s="570"/>
      <c r="H55" s="570"/>
      <c r="I55" s="571"/>
    </row>
    <row r="56" spans="1:9">
      <c r="A56" s="515"/>
      <c r="B56" s="574"/>
      <c r="C56" s="570"/>
      <c r="D56" s="570"/>
      <c r="E56" s="570"/>
      <c r="F56" s="570"/>
      <c r="G56" s="570"/>
      <c r="H56" s="570"/>
      <c r="I56" s="571"/>
    </row>
    <row r="57" spans="1:9">
      <c r="A57" s="515"/>
      <c r="B57" s="586" t="s">
        <v>468</v>
      </c>
      <c r="C57" s="570"/>
      <c r="D57" s="570"/>
      <c r="E57" s="570"/>
      <c r="F57" s="570"/>
      <c r="G57" s="570"/>
      <c r="H57" s="570"/>
      <c r="I57" s="612">
        <v>0</v>
      </c>
    </row>
    <row r="58" spans="1:9">
      <c r="A58" s="515"/>
      <c r="B58" s="575" t="s">
        <v>104</v>
      </c>
      <c r="C58" s="570"/>
      <c r="D58" s="570"/>
      <c r="E58" s="570"/>
      <c r="F58" s="570"/>
      <c r="G58" s="570"/>
      <c r="H58" s="570"/>
      <c r="I58" s="571"/>
    </row>
    <row r="59" spans="1:9">
      <c r="A59" s="515"/>
      <c r="B59" s="574"/>
      <c r="C59" s="570"/>
      <c r="D59" s="570"/>
      <c r="E59" s="570"/>
      <c r="F59" s="570"/>
      <c r="G59" s="570"/>
      <c r="H59" s="570"/>
      <c r="I59" s="571"/>
    </row>
    <row r="60" spans="1:9">
      <c r="A60" s="515"/>
      <c r="B60" s="586" t="s">
        <v>7</v>
      </c>
      <c r="C60" s="570"/>
      <c r="D60" s="570"/>
      <c r="E60" s="570"/>
      <c r="F60" s="570"/>
      <c r="G60" s="570"/>
      <c r="H60" s="570"/>
      <c r="I60" s="587">
        <v>0</v>
      </c>
    </row>
    <row r="61" spans="1:9">
      <c r="A61" s="515"/>
      <c r="B61" s="575" t="s">
        <v>104</v>
      </c>
      <c r="C61" s="570"/>
      <c r="D61" s="570"/>
      <c r="E61" s="570"/>
      <c r="F61" s="570"/>
      <c r="G61" s="570"/>
      <c r="H61" s="570"/>
      <c r="I61" s="571"/>
    </row>
    <row r="62" spans="1:9">
      <c r="A62" s="515"/>
      <c r="B62" s="574"/>
      <c r="C62" s="570"/>
      <c r="D62" s="570"/>
      <c r="E62" s="570"/>
      <c r="F62" s="570"/>
      <c r="G62" s="570"/>
      <c r="H62" s="570"/>
      <c r="I62" s="571"/>
    </row>
    <row r="63" spans="1:9">
      <c r="A63" s="515"/>
      <c r="B63" s="586" t="s">
        <v>471</v>
      </c>
      <c r="C63" s="570"/>
      <c r="D63" s="570"/>
      <c r="E63" s="570"/>
      <c r="F63" s="577"/>
      <c r="G63" s="570"/>
      <c r="H63" s="570"/>
      <c r="I63" s="587">
        <v>0</v>
      </c>
    </row>
    <row r="64" spans="1:9">
      <c r="A64" s="515"/>
      <c r="B64" s="575" t="s">
        <v>104</v>
      </c>
      <c r="C64" s="570"/>
      <c r="D64" s="570"/>
      <c r="E64" s="570"/>
      <c r="F64" s="570"/>
      <c r="G64" s="570"/>
      <c r="H64" s="570"/>
      <c r="I64" s="595"/>
    </row>
    <row r="65" spans="1:9">
      <c r="A65" s="515"/>
      <c r="B65" s="574"/>
      <c r="C65" s="570"/>
      <c r="D65" s="570"/>
      <c r="E65" s="570"/>
      <c r="F65" s="570"/>
      <c r="G65" s="570"/>
      <c r="H65" s="570"/>
      <c r="I65" s="571"/>
    </row>
    <row r="66" spans="1:9">
      <c r="A66" s="515"/>
      <c r="B66" s="586" t="s">
        <v>5</v>
      </c>
      <c r="C66" s="570"/>
      <c r="D66" s="570"/>
      <c r="E66" s="570"/>
      <c r="F66" s="570"/>
      <c r="G66" s="570"/>
      <c r="H66" s="570"/>
      <c r="I66" s="587">
        <v>0</v>
      </c>
    </row>
    <row r="67" spans="1:9">
      <c r="A67" s="515"/>
      <c r="B67" s="575" t="s">
        <v>104</v>
      </c>
      <c r="C67" s="570"/>
      <c r="D67" s="570"/>
      <c r="E67" s="570"/>
      <c r="F67" s="570"/>
      <c r="G67" s="570"/>
      <c r="H67" s="570"/>
      <c r="I67" s="595"/>
    </row>
    <row r="68" spans="1:9">
      <c r="A68" s="515"/>
      <c r="B68" s="574"/>
      <c r="C68" s="570"/>
      <c r="D68" s="570"/>
      <c r="E68" s="570"/>
      <c r="F68" s="570"/>
      <c r="G68" s="570"/>
      <c r="H68" s="570"/>
      <c r="I68" s="571"/>
    </row>
    <row r="69" spans="1:9">
      <c r="A69" s="515"/>
      <c r="B69" s="586" t="s">
        <v>20</v>
      </c>
      <c r="C69" s="570"/>
      <c r="D69" s="570"/>
      <c r="E69" s="570"/>
      <c r="F69" s="570"/>
      <c r="G69" s="570"/>
      <c r="H69" s="570"/>
      <c r="I69" s="587">
        <v>0</v>
      </c>
    </row>
    <row r="70" spans="1:9">
      <c r="A70" s="515"/>
      <c r="B70" s="575" t="s">
        <v>104</v>
      </c>
      <c r="C70" s="570"/>
      <c r="D70" s="570"/>
      <c r="E70" s="570"/>
      <c r="F70" s="570"/>
      <c r="G70" s="570"/>
      <c r="H70" s="570"/>
      <c r="I70" s="571"/>
    </row>
    <row r="71" spans="1:9">
      <c r="A71" s="515"/>
      <c r="B71" s="583"/>
      <c r="C71" s="570"/>
      <c r="D71" s="570"/>
      <c r="E71" s="570"/>
      <c r="F71" s="570"/>
      <c r="G71" s="570"/>
      <c r="H71" s="570"/>
      <c r="I71" s="571"/>
    </row>
    <row r="72" spans="1:9">
      <c r="A72" s="515"/>
      <c r="B72" s="586" t="s">
        <v>473</v>
      </c>
      <c r="C72" s="570"/>
      <c r="D72" s="570"/>
      <c r="E72" s="570"/>
      <c r="F72" s="570"/>
      <c r="G72" s="570"/>
      <c r="H72" s="570"/>
      <c r="I72" s="618">
        <f>+I39+I42+I50+I54+I60+I69</f>
        <v>91.155000000000001</v>
      </c>
    </row>
    <row r="73" spans="1:9" ht="15.75">
      <c r="A73" s="515"/>
      <c r="B73" s="575" t="s">
        <v>474</v>
      </c>
      <c r="C73" s="570"/>
      <c r="D73" s="570"/>
      <c r="E73" s="570"/>
      <c r="F73" s="570"/>
      <c r="G73" s="570"/>
      <c r="H73" s="570"/>
      <c r="I73" s="571"/>
    </row>
    <row r="74" spans="1:9">
      <c r="A74" s="515"/>
      <c r="B74" s="583"/>
      <c r="C74" s="570"/>
      <c r="D74" s="570"/>
      <c r="E74" s="570"/>
      <c r="F74" s="570"/>
      <c r="G74" s="570"/>
      <c r="H74" s="570"/>
      <c r="I74" s="571"/>
    </row>
    <row r="75" spans="1:9">
      <c r="A75" s="515"/>
      <c r="B75" s="619" t="s">
        <v>11</v>
      </c>
      <c r="C75" s="620"/>
      <c r="D75" s="620"/>
      <c r="E75" s="620"/>
      <c r="F75" s="620"/>
      <c r="G75" s="620"/>
      <c r="H75" s="620"/>
      <c r="I75" s="621">
        <f>SUM(I40:I69)</f>
        <v>91.155000000000001</v>
      </c>
    </row>
  </sheetData>
  <mergeCells count="3">
    <mergeCell ref="B1:D1"/>
    <mergeCell ref="E42:H42"/>
    <mergeCell ref="B51:C51"/>
  </mergeCells>
  <pageMargins left="0.75" right="0.75" top="1" bottom="1" header="0.5" footer="0.5"/>
  <pageSetup scale="53" orientation="portrait" r:id="rId1"/>
  <headerFooter alignWithMargins="0"/>
</worksheet>
</file>

<file path=xl/worksheets/sheet228.xml><?xml version="1.0" encoding="utf-8"?>
<worksheet xmlns="http://schemas.openxmlformats.org/spreadsheetml/2006/main" xmlns:r="http://schemas.openxmlformats.org/officeDocument/2006/relationships">
  <sheetPr>
    <pageSetUpPr fitToPage="1"/>
  </sheetPr>
  <dimension ref="A1:L92"/>
  <sheetViews>
    <sheetView zoomScale="75" zoomScaleNormal="75" workbookViewId="0">
      <selection activeCell="D37" sqref="D37"/>
    </sheetView>
  </sheetViews>
  <sheetFormatPr defaultRowHeight="12.75"/>
  <cols>
    <col min="1" max="1" width="1.85546875" style="517" customWidth="1"/>
    <col min="2" max="2" width="9.140625" style="517"/>
    <col min="3" max="3" width="24.140625" style="517" customWidth="1"/>
    <col min="4" max="4" width="23.140625" style="517" customWidth="1"/>
    <col min="5" max="5" width="51.7109375" style="517" bestFit="1" customWidth="1"/>
    <col min="6" max="6" width="10.42578125" style="517" customWidth="1"/>
    <col min="7"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c r="A3" s="515"/>
      <c r="B3" s="519" t="s">
        <v>17</v>
      </c>
      <c r="C3" s="515"/>
      <c r="D3" s="515"/>
      <c r="E3" s="515"/>
      <c r="F3" s="515"/>
      <c r="G3" s="515"/>
      <c r="H3" s="515"/>
      <c r="I3" s="515"/>
    </row>
    <row r="4" spans="1:12">
      <c r="A4" s="515"/>
      <c r="B4" s="520" t="s">
        <v>1</v>
      </c>
      <c r="C4" s="521" t="s">
        <v>21</v>
      </c>
      <c r="D4" s="522"/>
      <c r="E4" s="522"/>
      <c r="F4" s="522"/>
      <c r="G4" s="523" t="s">
        <v>12</v>
      </c>
    </row>
    <row r="5" spans="1:12">
      <c r="A5" s="515"/>
      <c r="B5" s="524" t="s">
        <v>13</v>
      </c>
      <c r="C5" s="525" t="s">
        <v>22</v>
      </c>
      <c r="D5" s="525" t="s">
        <v>29</v>
      </c>
      <c r="E5" s="525" t="s">
        <v>30</v>
      </c>
      <c r="F5" s="525" t="s">
        <v>23</v>
      </c>
      <c r="G5" s="526" t="s">
        <v>14</v>
      </c>
    </row>
    <row r="6" spans="1:12" ht="38.25">
      <c r="A6" s="515"/>
      <c r="B6" s="631">
        <v>643</v>
      </c>
      <c r="C6" s="531" t="str">
        <f>+E12</f>
        <v>EQIP</v>
      </c>
      <c r="D6" s="622" t="s">
        <v>1194</v>
      </c>
      <c r="E6" s="622" t="s">
        <v>1201</v>
      </c>
      <c r="F6" s="531" t="s">
        <v>394</v>
      </c>
      <c r="G6" s="532">
        <f>+I25</f>
        <v>190.25902499999998</v>
      </c>
    </row>
    <row r="7" spans="1:12" ht="38.25">
      <c r="A7" s="515"/>
      <c r="B7" s="631">
        <f>+B6</f>
        <v>643</v>
      </c>
      <c r="C7" s="531" t="str">
        <f>+C6</f>
        <v>EQIP</v>
      </c>
      <c r="D7" s="622" t="s">
        <v>1194</v>
      </c>
      <c r="E7" s="622" t="str">
        <f>CONCATENATE(E6, "-HU")</f>
        <v>Restoration &amp; Management of Declining Habitats - Prairie Planting - Native Grass/ 7 Forb Mix-HU</v>
      </c>
      <c r="F7" s="531" t="s">
        <v>394</v>
      </c>
      <c r="G7" s="532">
        <f>+J25</f>
        <v>228.31083000000001</v>
      </c>
    </row>
    <row r="8" spans="1:12" ht="38.25">
      <c r="A8" s="515"/>
      <c r="B8" s="631">
        <v>643</v>
      </c>
      <c r="C8" s="531" t="str">
        <f>+G12</f>
        <v>WHIP</v>
      </c>
      <c r="D8" s="622" t="s">
        <v>1194</v>
      </c>
      <c r="E8" s="622" t="s">
        <v>1202</v>
      </c>
      <c r="F8" s="531" t="s">
        <v>394</v>
      </c>
      <c r="G8" s="532">
        <f>+K25</f>
        <v>190.25902499999998</v>
      </c>
    </row>
    <row r="9" spans="1:12" ht="38.25">
      <c r="A9" s="515"/>
      <c r="B9" s="633">
        <f>+B8</f>
        <v>643</v>
      </c>
      <c r="C9" s="536" t="str">
        <f>+C8</f>
        <v>WHIP</v>
      </c>
      <c r="D9" s="623" t="s">
        <v>1194</v>
      </c>
      <c r="E9" s="623" t="str">
        <f>CONCATENATE(E6, "-HU")</f>
        <v>Restoration &amp; Management of Declining Habitats - Prairie Planting - Native Grass/ 7 Forb Mix-HU</v>
      </c>
      <c r="F9" s="536" t="s">
        <v>394</v>
      </c>
      <c r="G9" s="537">
        <f>+L25</f>
        <v>228.31083000000001</v>
      </c>
    </row>
    <row r="10" spans="1:12">
      <c r="A10" s="515"/>
      <c r="B10" s="538"/>
      <c r="C10" s="539"/>
      <c r="D10" s="539"/>
      <c r="E10" s="515"/>
      <c r="F10" s="515"/>
    </row>
    <row r="11" spans="1:12" ht="15.75">
      <c r="A11" s="515"/>
      <c r="B11" s="519" t="s">
        <v>18</v>
      </c>
      <c r="C11" s="539"/>
      <c r="D11" s="539"/>
      <c r="E11" s="515"/>
      <c r="F11" s="515"/>
    </row>
    <row r="12" spans="1:12">
      <c r="A12" s="515"/>
      <c r="B12" s="540"/>
      <c r="C12" s="541"/>
      <c r="D12" s="542"/>
      <c r="E12" s="543" t="s">
        <v>15</v>
      </c>
      <c r="F12" s="543" t="s">
        <v>31</v>
      </c>
      <c r="G12" s="543" t="s">
        <v>86</v>
      </c>
      <c r="H12" s="543" t="s">
        <v>441</v>
      </c>
      <c r="I12" s="543"/>
      <c r="J12" s="543"/>
      <c r="K12" s="543"/>
      <c r="L12" s="624"/>
    </row>
    <row r="13" spans="1:12">
      <c r="A13" s="515"/>
      <c r="B13" s="544"/>
      <c r="C13" s="545"/>
      <c r="D13" s="546"/>
      <c r="E13" s="547" t="s">
        <v>22</v>
      </c>
      <c r="F13" s="547" t="s">
        <v>22</v>
      </c>
      <c r="G13" s="547" t="s">
        <v>22</v>
      </c>
      <c r="H13" s="547" t="s">
        <v>22</v>
      </c>
      <c r="I13" s="547" t="s">
        <v>15</v>
      </c>
      <c r="J13" s="547" t="s">
        <v>31</v>
      </c>
      <c r="K13" s="547" t="s">
        <v>86</v>
      </c>
      <c r="L13" s="625" t="s">
        <v>441</v>
      </c>
    </row>
    <row r="14" spans="1:12">
      <c r="A14" s="515"/>
      <c r="B14" s="548"/>
      <c r="C14" s="546"/>
      <c r="D14" s="546"/>
      <c r="E14" s="547" t="s">
        <v>12</v>
      </c>
      <c r="F14" s="547" t="s">
        <v>12</v>
      </c>
      <c r="G14" s="547" t="s">
        <v>12</v>
      </c>
      <c r="H14" s="547" t="s">
        <v>12</v>
      </c>
      <c r="I14" s="547" t="s">
        <v>12</v>
      </c>
      <c r="J14" s="547" t="s">
        <v>12</v>
      </c>
      <c r="K14" s="547" t="s">
        <v>12</v>
      </c>
      <c r="L14" s="625" t="s">
        <v>12</v>
      </c>
    </row>
    <row r="15" spans="1:12">
      <c r="A15" s="515"/>
      <c r="B15" s="549" t="s">
        <v>16</v>
      </c>
      <c r="C15" s="546"/>
      <c r="D15" s="550" t="s">
        <v>6</v>
      </c>
      <c r="E15" s="551" t="s">
        <v>24</v>
      </c>
      <c r="F15" s="551" t="s">
        <v>24</v>
      </c>
      <c r="G15" s="551" t="s">
        <v>24</v>
      </c>
      <c r="H15" s="551" t="s">
        <v>24</v>
      </c>
      <c r="I15" s="551" t="s">
        <v>14</v>
      </c>
      <c r="J15" s="551" t="s">
        <v>14</v>
      </c>
      <c r="K15" s="551" t="s">
        <v>14</v>
      </c>
      <c r="L15" s="626" t="s">
        <v>14</v>
      </c>
    </row>
    <row r="16" spans="1:12">
      <c r="A16" s="515"/>
      <c r="B16" s="544" t="s">
        <v>0</v>
      </c>
      <c r="C16" s="546"/>
      <c r="D16" s="552">
        <f>+I39</f>
        <v>122.28999999999999</v>
      </c>
      <c r="E16" s="553">
        <f>+'[10]Payment Factors'!D30</f>
        <v>0.75</v>
      </c>
      <c r="F16" s="553">
        <f>+'[10]Payment Factors'!E30</f>
        <v>0.9</v>
      </c>
      <c r="G16" s="553">
        <f>+'[10]Payment Factors'!F30</f>
        <v>0.75</v>
      </c>
      <c r="H16" s="553">
        <f>+'[10]Payment Factors'!G30</f>
        <v>0.9</v>
      </c>
      <c r="I16" s="554">
        <f t="shared" ref="I16:L24" si="0">+$D16*E16</f>
        <v>91.717500000000001</v>
      </c>
      <c r="J16" s="554">
        <f t="shared" si="0"/>
        <v>110.06099999999999</v>
      </c>
      <c r="K16" s="554">
        <f t="shared" si="0"/>
        <v>91.717500000000001</v>
      </c>
      <c r="L16" s="627">
        <f t="shared" si="0"/>
        <v>110.06099999999999</v>
      </c>
    </row>
    <row r="17" spans="1:12">
      <c r="A17" s="515"/>
      <c r="B17" s="544" t="s">
        <v>2</v>
      </c>
      <c r="C17" s="546"/>
      <c r="D17" s="552">
        <f>+I55</f>
        <v>105.39999999999999</v>
      </c>
      <c r="E17" s="553">
        <f t="shared" ref="E17:H19" si="1">+E16</f>
        <v>0.75</v>
      </c>
      <c r="F17" s="553">
        <f t="shared" si="1"/>
        <v>0.9</v>
      </c>
      <c r="G17" s="553">
        <f t="shared" si="1"/>
        <v>0.75</v>
      </c>
      <c r="H17" s="553">
        <f t="shared" si="1"/>
        <v>0.9</v>
      </c>
      <c r="I17" s="554">
        <f t="shared" si="0"/>
        <v>79.05</v>
      </c>
      <c r="J17" s="554">
        <f t="shared" si="0"/>
        <v>94.86</v>
      </c>
      <c r="K17" s="554">
        <f t="shared" si="0"/>
        <v>79.05</v>
      </c>
      <c r="L17" s="627">
        <f t="shared" si="0"/>
        <v>94.86</v>
      </c>
    </row>
    <row r="18" spans="1:12">
      <c r="A18" s="515"/>
      <c r="B18" s="544" t="s">
        <v>3</v>
      </c>
      <c r="C18" s="546"/>
      <c r="D18" s="552">
        <f>+I67</f>
        <v>18.599999999999998</v>
      </c>
      <c r="E18" s="553">
        <f t="shared" si="1"/>
        <v>0.75</v>
      </c>
      <c r="F18" s="553">
        <f t="shared" si="1"/>
        <v>0.9</v>
      </c>
      <c r="G18" s="553">
        <f t="shared" si="1"/>
        <v>0.75</v>
      </c>
      <c r="H18" s="553">
        <f t="shared" si="1"/>
        <v>0.9</v>
      </c>
      <c r="I18" s="554">
        <f t="shared" si="0"/>
        <v>13.95</v>
      </c>
      <c r="J18" s="554">
        <f t="shared" si="0"/>
        <v>16.739999999999998</v>
      </c>
      <c r="K18" s="554">
        <f t="shared" si="0"/>
        <v>13.95</v>
      </c>
      <c r="L18" s="627">
        <f t="shared" si="0"/>
        <v>16.739999999999998</v>
      </c>
    </row>
    <row r="19" spans="1:12">
      <c r="A19" s="515"/>
      <c r="B19" s="544" t="s">
        <v>4</v>
      </c>
      <c r="C19" s="546"/>
      <c r="D19" s="552">
        <f>+I71</f>
        <v>7.3886999999999992</v>
      </c>
      <c r="E19" s="553">
        <f t="shared" si="1"/>
        <v>0.75</v>
      </c>
      <c r="F19" s="553">
        <f t="shared" si="1"/>
        <v>0.9</v>
      </c>
      <c r="G19" s="553">
        <f t="shared" si="1"/>
        <v>0.75</v>
      </c>
      <c r="H19" s="553">
        <f t="shared" si="1"/>
        <v>0.9</v>
      </c>
      <c r="I19" s="554">
        <f t="shared" si="0"/>
        <v>5.5415249999999991</v>
      </c>
      <c r="J19" s="554">
        <f t="shared" si="0"/>
        <v>6.6498299999999997</v>
      </c>
      <c r="K19" s="554">
        <f t="shared" si="0"/>
        <v>5.5415249999999991</v>
      </c>
      <c r="L19" s="627">
        <f t="shared" si="0"/>
        <v>6.6498299999999997</v>
      </c>
    </row>
    <row r="20" spans="1:12">
      <c r="A20" s="515"/>
      <c r="B20" s="544" t="s">
        <v>26</v>
      </c>
      <c r="C20" s="546"/>
      <c r="D20" s="552">
        <f>+I74</f>
        <v>0</v>
      </c>
      <c r="E20" s="553">
        <v>0</v>
      </c>
      <c r="F20" s="553">
        <v>0</v>
      </c>
      <c r="G20" s="553">
        <v>0</v>
      </c>
      <c r="H20" s="553">
        <v>0</v>
      </c>
      <c r="I20" s="554">
        <f t="shared" si="0"/>
        <v>0</v>
      </c>
      <c r="J20" s="554">
        <f t="shared" si="0"/>
        <v>0</v>
      </c>
      <c r="K20" s="554">
        <f t="shared" si="0"/>
        <v>0</v>
      </c>
      <c r="L20" s="627">
        <f t="shared" si="0"/>
        <v>0</v>
      </c>
    </row>
    <row r="21" spans="1:12">
      <c r="A21" s="515"/>
      <c r="B21" s="544" t="s">
        <v>7</v>
      </c>
      <c r="C21" s="546"/>
      <c r="D21" s="552">
        <f>+I77</f>
        <v>0</v>
      </c>
      <c r="E21" s="553">
        <v>0</v>
      </c>
      <c r="F21" s="553">
        <v>0</v>
      </c>
      <c r="G21" s="553">
        <v>0</v>
      </c>
      <c r="H21" s="553">
        <v>0</v>
      </c>
      <c r="I21" s="554">
        <f t="shared" si="0"/>
        <v>0</v>
      </c>
      <c r="J21" s="554">
        <f t="shared" si="0"/>
        <v>0</v>
      </c>
      <c r="K21" s="554">
        <f t="shared" si="0"/>
        <v>0</v>
      </c>
      <c r="L21" s="627">
        <f t="shared" si="0"/>
        <v>0</v>
      </c>
    </row>
    <row r="22" spans="1:12">
      <c r="A22" s="515"/>
      <c r="B22" s="544" t="s">
        <v>27</v>
      </c>
      <c r="C22" s="546"/>
      <c r="D22" s="552">
        <f>+I80</f>
        <v>180</v>
      </c>
      <c r="E22" s="553">
        <v>0</v>
      </c>
      <c r="F22" s="553">
        <v>0</v>
      </c>
      <c r="G22" s="553">
        <v>0</v>
      </c>
      <c r="H22" s="553">
        <v>0</v>
      </c>
      <c r="I22" s="554">
        <f t="shared" si="0"/>
        <v>0</v>
      </c>
      <c r="J22" s="554">
        <f t="shared" si="0"/>
        <v>0</v>
      </c>
      <c r="K22" s="554">
        <f t="shared" si="0"/>
        <v>0</v>
      </c>
      <c r="L22" s="627">
        <f t="shared" si="0"/>
        <v>0</v>
      </c>
    </row>
    <row r="23" spans="1:12">
      <c r="A23" s="515"/>
      <c r="B23" s="544" t="s">
        <v>5</v>
      </c>
      <c r="C23" s="546"/>
      <c r="D23" s="552">
        <f>+I83</f>
        <v>0</v>
      </c>
      <c r="E23" s="553">
        <v>0</v>
      </c>
      <c r="F23" s="553">
        <v>0</v>
      </c>
      <c r="G23" s="553">
        <v>0</v>
      </c>
      <c r="H23" s="553">
        <v>0</v>
      </c>
      <c r="I23" s="554">
        <f t="shared" si="0"/>
        <v>0</v>
      </c>
      <c r="J23" s="554">
        <f t="shared" si="0"/>
        <v>0</v>
      </c>
      <c r="K23" s="554">
        <f t="shared" si="0"/>
        <v>0</v>
      </c>
      <c r="L23" s="627">
        <f t="shared" si="0"/>
        <v>0</v>
      </c>
    </row>
    <row r="24" spans="1:12">
      <c r="A24" s="515"/>
      <c r="B24" s="544" t="s">
        <v>20</v>
      </c>
      <c r="C24" s="546"/>
      <c r="D24" s="555">
        <f>+I86</f>
        <v>0</v>
      </c>
      <c r="E24" s="553">
        <v>0</v>
      </c>
      <c r="F24" s="553">
        <v>0</v>
      </c>
      <c r="G24" s="553">
        <v>0</v>
      </c>
      <c r="H24" s="553">
        <v>0</v>
      </c>
      <c r="I24" s="556">
        <f t="shared" si="0"/>
        <v>0</v>
      </c>
      <c r="J24" s="556">
        <f t="shared" si="0"/>
        <v>0</v>
      </c>
      <c r="K24" s="556">
        <f t="shared" si="0"/>
        <v>0</v>
      </c>
      <c r="L24" s="628">
        <f t="shared" si="0"/>
        <v>0</v>
      </c>
    </row>
    <row r="25" spans="1:12">
      <c r="A25" s="515"/>
      <c r="B25" s="557" t="s">
        <v>19</v>
      </c>
      <c r="C25" s="558"/>
      <c r="D25" s="559">
        <f>SUM(D16:D24)</f>
        <v>433.67869999999999</v>
      </c>
      <c r="E25" s="629"/>
      <c r="F25" s="629"/>
      <c r="G25" s="560"/>
      <c r="H25" s="560"/>
      <c r="I25" s="561">
        <f>SUM(I16:I24)</f>
        <v>190.25902499999998</v>
      </c>
      <c r="J25" s="561">
        <f>SUM(J16:J24)</f>
        <v>228.31083000000001</v>
      </c>
      <c r="K25" s="561">
        <f>SUM(K16:K24)</f>
        <v>190.25902499999998</v>
      </c>
      <c r="L25" s="630">
        <f>SUM(L16:L24)</f>
        <v>228.31083000000001</v>
      </c>
    </row>
    <row r="27" spans="1:12" ht="15.75">
      <c r="A27" s="515"/>
      <c r="B27" s="562" t="s">
        <v>28</v>
      </c>
      <c r="C27" s="515"/>
      <c r="D27" s="515"/>
      <c r="E27" s="515"/>
      <c r="F27" s="515"/>
      <c r="G27" s="515"/>
      <c r="H27" s="515"/>
      <c r="I27" s="563"/>
    </row>
    <row r="28" spans="1:12">
      <c r="A28" s="515"/>
      <c r="B28" s="564" t="s">
        <v>89</v>
      </c>
      <c r="C28" s="565"/>
      <c r="D28" s="565"/>
      <c r="E28" s="566"/>
      <c r="F28" s="566"/>
      <c r="G28" s="566"/>
      <c r="H28" s="566"/>
      <c r="I28" s="567"/>
    </row>
    <row r="29" spans="1:12">
      <c r="A29" s="515"/>
      <c r="B29" s="568" t="s">
        <v>1203</v>
      </c>
      <c r="C29" s="569"/>
      <c r="D29" s="569"/>
      <c r="E29" s="570"/>
      <c r="F29" s="570"/>
      <c r="G29" s="570"/>
      <c r="H29" s="570"/>
      <c r="I29" s="571"/>
    </row>
    <row r="30" spans="1:12">
      <c r="A30" s="515"/>
      <c r="B30" s="574" t="s">
        <v>1204</v>
      </c>
      <c r="C30" s="572"/>
      <c r="D30" s="569"/>
      <c r="E30" s="570"/>
      <c r="F30" s="573"/>
      <c r="G30" s="570"/>
      <c r="H30" s="570"/>
      <c r="I30" s="571"/>
    </row>
    <row r="31" spans="1:12">
      <c r="A31" s="515"/>
      <c r="B31" s="568" t="s">
        <v>1205</v>
      </c>
      <c r="C31" s="569"/>
      <c r="D31" s="569"/>
      <c r="E31" s="570"/>
      <c r="F31" s="570"/>
      <c r="G31" s="570"/>
      <c r="H31" s="570"/>
      <c r="I31" s="571"/>
    </row>
    <row r="32" spans="1:12">
      <c r="A32" s="515"/>
      <c r="B32" s="575"/>
      <c r="C32" s="569"/>
      <c r="D32" s="569"/>
      <c r="E32" s="570"/>
      <c r="F32" s="570"/>
      <c r="G32" s="570"/>
      <c r="H32" s="570"/>
      <c r="I32" s="571"/>
    </row>
    <row r="33" spans="1:9">
      <c r="A33" s="515"/>
      <c r="B33" s="576" t="s">
        <v>25</v>
      </c>
      <c r="C33" s="569"/>
      <c r="D33" s="577" t="s">
        <v>91</v>
      </c>
      <c r="E33" s="578"/>
      <c r="F33" s="570"/>
      <c r="G33" s="570"/>
      <c r="H33" s="570"/>
      <c r="I33" s="571"/>
    </row>
    <row r="34" spans="1:9">
      <c r="A34" s="515"/>
      <c r="B34" s="574"/>
      <c r="C34" s="569"/>
      <c r="D34" s="570"/>
      <c r="E34" s="578"/>
      <c r="F34" s="570"/>
      <c r="G34" s="570"/>
      <c r="H34" s="570"/>
      <c r="I34" s="571"/>
    </row>
    <row r="35" spans="1:9">
      <c r="A35" s="515"/>
      <c r="B35" s="576" t="s">
        <v>8</v>
      </c>
      <c r="C35" s="569"/>
      <c r="D35" s="577" t="s">
        <v>394</v>
      </c>
      <c r="E35" s="578"/>
      <c r="F35" s="570"/>
      <c r="G35" s="570"/>
      <c r="H35" s="570"/>
      <c r="I35" s="571"/>
    </row>
    <row r="36" spans="1:9">
      <c r="A36" s="515"/>
      <c r="B36" s="576" t="s">
        <v>9</v>
      </c>
      <c r="C36" s="569"/>
      <c r="D36" s="579">
        <v>1</v>
      </c>
      <c r="E36" s="578"/>
      <c r="F36" s="570"/>
      <c r="G36" s="570"/>
      <c r="H36" s="570"/>
      <c r="I36" s="571"/>
    </row>
    <row r="37" spans="1:9">
      <c r="A37" s="515"/>
      <c r="B37" s="576" t="s">
        <v>10</v>
      </c>
      <c r="C37" s="570"/>
      <c r="D37" s="580"/>
      <c r="E37" s="581"/>
      <c r="F37" s="570"/>
      <c r="G37" s="570"/>
      <c r="H37" s="570"/>
      <c r="I37" s="582" t="s">
        <v>6</v>
      </c>
    </row>
    <row r="38" spans="1:9">
      <c r="A38" s="515"/>
      <c r="B38" s="583"/>
      <c r="C38" s="570"/>
      <c r="D38" s="570"/>
      <c r="E38" s="584"/>
      <c r="F38" s="570"/>
      <c r="G38" s="570"/>
      <c r="H38" s="570"/>
      <c r="I38" s="585"/>
    </row>
    <row r="39" spans="1:9">
      <c r="A39" s="515"/>
      <c r="B39" s="586" t="s">
        <v>0</v>
      </c>
      <c r="C39" s="570"/>
      <c r="D39" s="570"/>
      <c r="E39" s="570"/>
      <c r="F39" s="577"/>
      <c r="G39" s="570"/>
      <c r="H39" s="570"/>
      <c r="I39" s="587">
        <f>SUM(G41:G47)</f>
        <v>122.28999999999999</v>
      </c>
    </row>
    <row r="40" spans="1:9">
      <c r="A40" s="515"/>
      <c r="B40" s="588"/>
      <c r="C40" s="570"/>
      <c r="D40" s="589" t="s">
        <v>447</v>
      </c>
      <c r="E40" s="589" t="s">
        <v>448</v>
      </c>
      <c r="F40" s="589" t="s">
        <v>449</v>
      </c>
      <c r="G40" s="589" t="s">
        <v>450</v>
      </c>
      <c r="H40" s="570"/>
      <c r="I40" s="590"/>
    </row>
    <row r="41" spans="1:9">
      <c r="A41" s="515"/>
      <c r="B41" s="583"/>
      <c r="C41" s="578"/>
      <c r="D41" s="591"/>
      <c r="E41" s="592"/>
      <c r="F41" s="593"/>
      <c r="G41" s="594">
        <f t="shared" ref="G41:G47" si="2">+F41*E41</f>
        <v>0</v>
      </c>
      <c r="H41" s="570"/>
      <c r="I41" s="595"/>
    </row>
    <row r="42" spans="1:9">
      <c r="A42" s="515"/>
      <c r="B42" s="583" t="s">
        <v>451</v>
      </c>
      <c r="C42" s="578"/>
      <c r="D42" s="591" t="s">
        <v>452</v>
      </c>
      <c r="E42" s="592">
        <f>+'[42]Core Rates'!C203</f>
        <v>8.75</v>
      </c>
      <c r="F42" s="593">
        <v>0</v>
      </c>
      <c r="G42" s="594">
        <f t="shared" si="2"/>
        <v>0</v>
      </c>
      <c r="H42" s="570"/>
      <c r="I42" s="571"/>
    </row>
    <row r="43" spans="1:9">
      <c r="A43" s="515"/>
      <c r="B43" s="596" t="s">
        <v>453</v>
      </c>
      <c r="C43" s="578"/>
      <c r="D43" s="597" t="s">
        <v>454</v>
      </c>
      <c r="E43" s="592">
        <f>+'[42]Core Rates'!C228</f>
        <v>0.82427536231884069</v>
      </c>
      <c r="F43" s="593">
        <v>0</v>
      </c>
      <c r="G43" s="594">
        <f t="shared" si="2"/>
        <v>0</v>
      </c>
      <c r="H43" s="570"/>
      <c r="I43" s="571"/>
    </row>
    <row r="44" spans="1:9">
      <c r="A44" s="515"/>
      <c r="B44" s="598" t="s">
        <v>455</v>
      </c>
      <c r="C44" s="599"/>
      <c r="D44" s="597" t="s">
        <v>454</v>
      </c>
      <c r="E44" s="592">
        <f>+'[42]Core Rates'!C235</f>
        <v>1.1702898550724636</v>
      </c>
      <c r="F44" s="593">
        <v>0</v>
      </c>
      <c r="G44" s="594">
        <f t="shared" si="2"/>
        <v>0</v>
      </c>
      <c r="H44" s="570"/>
      <c r="I44" s="571"/>
    </row>
    <row r="45" spans="1:9">
      <c r="A45" s="515"/>
      <c r="B45" s="598" t="s">
        <v>456</v>
      </c>
      <c r="C45" s="599"/>
      <c r="D45" s="591" t="s">
        <v>454</v>
      </c>
      <c r="E45" s="592">
        <f>+'[42]Core Rates'!C246</f>
        <v>0.58825136612021856</v>
      </c>
      <c r="F45" s="593">
        <v>0</v>
      </c>
      <c r="G45" s="594">
        <f t="shared" si="2"/>
        <v>0</v>
      </c>
      <c r="H45" s="570"/>
      <c r="I45" s="571"/>
    </row>
    <row r="46" spans="1:9">
      <c r="A46" s="515"/>
      <c r="B46" s="600" t="str">
        <f>+'[42]Core Rates'!A309</f>
        <v>Seed (Native grass except Prairie Dropseed and Splitbeard Bluestem)</v>
      </c>
      <c r="C46" s="599"/>
      <c r="D46" s="597" t="s">
        <v>454</v>
      </c>
      <c r="E46" s="592">
        <f>+'[42]Core Rates 2011'!BE306</f>
        <v>8.57</v>
      </c>
      <c r="F46" s="593">
        <v>5</v>
      </c>
      <c r="G46" s="594">
        <f t="shared" si="2"/>
        <v>42.85</v>
      </c>
      <c r="H46" s="570"/>
      <c r="I46" s="571"/>
    </row>
    <row r="47" spans="1:9">
      <c r="A47" s="515"/>
      <c r="B47" s="600" t="str">
        <f>+'[42]Core Rates 2011'!A290</f>
        <v>Seed (7 native forb species mix)</v>
      </c>
      <c r="C47" s="599"/>
      <c r="D47" s="597" t="s">
        <v>454</v>
      </c>
      <c r="E47" s="592">
        <f>+'[43]Core Rates 2011'!BE290</f>
        <v>39.72</v>
      </c>
      <c r="F47" s="593">
        <v>2</v>
      </c>
      <c r="G47" s="594">
        <f t="shared" si="2"/>
        <v>79.44</v>
      </c>
      <c r="H47" s="570"/>
      <c r="I47" s="571"/>
    </row>
    <row r="48" spans="1:9">
      <c r="A48" s="515"/>
      <c r="B48" s="601"/>
      <c r="C48" s="578"/>
      <c r="D48" s="602"/>
      <c r="E48" s="570"/>
      <c r="F48" s="570"/>
      <c r="G48" s="570"/>
      <c r="H48" s="570"/>
      <c r="I48" s="571"/>
    </row>
    <row r="49" spans="1:9">
      <c r="A49" s="515"/>
      <c r="B49" s="2219"/>
      <c r="C49" s="2220"/>
      <c r="D49" s="2220"/>
      <c r="E49" s="2220"/>
      <c r="F49" s="2220"/>
      <c r="G49" s="2220"/>
      <c r="H49" s="2220"/>
      <c r="I49" s="2221"/>
    </row>
    <row r="50" spans="1:9">
      <c r="A50" s="515"/>
      <c r="B50" s="2222"/>
      <c r="C50" s="2220"/>
      <c r="D50" s="2220"/>
      <c r="E50" s="2220"/>
      <c r="F50" s="2220"/>
      <c r="G50" s="2220"/>
      <c r="H50" s="2220"/>
      <c r="I50" s="2221"/>
    </row>
    <row r="51" spans="1:9">
      <c r="A51" s="515"/>
      <c r="B51" s="601"/>
      <c r="C51" s="578"/>
      <c r="D51" s="602"/>
      <c r="E51" s="570"/>
      <c r="F51" s="570"/>
      <c r="G51" s="570"/>
      <c r="H51" s="570"/>
      <c r="I51" s="571"/>
    </row>
    <row r="52" spans="1:9">
      <c r="A52" s="515"/>
      <c r="B52" s="574" t="s">
        <v>43</v>
      </c>
      <c r="C52" s="570"/>
      <c r="D52" s="570"/>
      <c r="E52" s="608"/>
      <c r="F52" s="608"/>
      <c r="G52" s="608"/>
      <c r="H52" s="570"/>
      <c r="I52" s="590"/>
    </row>
    <row r="53" spans="1:9">
      <c r="A53" s="515"/>
      <c r="B53" s="568" t="s">
        <v>457</v>
      </c>
      <c r="C53" s="610"/>
      <c r="D53" s="610"/>
      <c r="E53" s="610"/>
      <c r="F53" s="610"/>
      <c r="G53" s="610"/>
      <c r="H53" s="610"/>
      <c r="I53" s="611"/>
    </row>
    <row r="54" spans="1:9">
      <c r="A54" s="515"/>
      <c r="B54" s="601"/>
      <c r="C54" s="578"/>
      <c r="D54" s="602"/>
      <c r="E54" s="570"/>
      <c r="F54" s="570"/>
      <c r="G54" s="570"/>
      <c r="H54" s="570"/>
      <c r="I54" s="571"/>
    </row>
    <row r="55" spans="1:9">
      <c r="A55" s="515"/>
      <c r="B55" s="586" t="s">
        <v>2</v>
      </c>
      <c r="C55" s="570"/>
      <c r="D55" s="570"/>
      <c r="E55" s="2017" t="s">
        <v>459</v>
      </c>
      <c r="F55" s="2017"/>
      <c r="G55" s="2017"/>
      <c r="H55" s="2017"/>
      <c r="I55" s="587">
        <f>(SUM(G57:G62)*0.85)</f>
        <v>105.39999999999999</v>
      </c>
    </row>
    <row r="56" spans="1:9">
      <c r="A56" s="515"/>
      <c r="B56" s="588"/>
      <c r="C56" s="570"/>
      <c r="D56" s="589" t="s">
        <v>447</v>
      </c>
      <c r="E56" s="589" t="s">
        <v>448</v>
      </c>
      <c r="F56" s="589" t="s">
        <v>449</v>
      </c>
      <c r="G56" s="589" t="s">
        <v>450</v>
      </c>
      <c r="H56" s="570"/>
      <c r="I56" s="590"/>
    </row>
    <row r="57" spans="1:9">
      <c r="A57" s="515"/>
      <c r="B57" s="604" t="s">
        <v>460</v>
      </c>
      <c r="C57" s="578"/>
      <c r="D57" s="591" t="s">
        <v>408</v>
      </c>
      <c r="E57" s="592">
        <f>+'[42]Core Rates 2011'!BE145</f>
        <v>36.5</v>
      </c>
      <c r="F57" s="593">
        <v>2</v>
      </c>
      <c r="G57" s="594">
        <f t="shared" ref="G57:G62" si="3">+F57*E57</f>
        <v>73</v>
      </c>
      <c r="H57" s="570"/>
      <c r="I57" s="595"/>
    </row>
    <row r="58" spans="1:9">
      <c r="A58" s="515"/>
      <c r="B58" s="604" t="str">
        <f>+'[42]Core Rates'!A216</f>
        <v>Mowing</v>
      </c>
      <c r="C58" s="578"/>
      <c r="D58" s="605" t="s">
        <v>408</v>
      </c>
      <c r="E58" s="605">
        <f>+'[42]Core Rates'!C216</f>
        <v>15.5</v>
      </c>
      <c r="F58" s="593">
        <v>2</v>
      </c>
      <c r="G58" s="594">
        <f t="shared" si="3"/>
        <v>31</v>
      </c>
      <c r="H58" s="570"/>
      <c r="I58" s="595"/>
    </row>
    <row r="59" spans="1:9">
      <c r="A59" s="515"/>
      <c r="B59" s="583" t="s">
        <v>461</v>
      </c>
      <c r="C59" s="578"/>
      <c r="D59" s="591" t="s">
        <v>408</v>
      </c>
      <c r="E59" s="592">
        <f>+'[42]Core Rates'!C104</f>
        <v>20</v>
      </c>
      <c r="F59" s="593">
        <v>1</v>
      </c>
      <c r="G59" s="594">
        <f t="shared" si="3"/>
        <v>20</v>
      </c>
      <c r="H59" s="570"/>
      <c r="I59" s="595"/>
    </row>
    <row r="60" spans="1:9">
      <c r="A60" s="515"/>
      <c r="B60" s="583" t="s">
        <v>462</v>
      </c>
      <c r="C60" s="578"/>
      <c r="D60" s="591" t="s">
        <v>408</v>
      </c>
      <c r="E60" s="592">
        <f>+'[42]Core Rates'!AN33</f>
        <v>5.416666666666667</v>
      </c>
      <c r="F60" s="593">
        <v>0</v>
      </c>
      <c r="G60" s="594">
        <f t="shared" si="3"/>
        <v>0</v>
      </c>
      <c r="H60" s="570"/>
      <c r="I60" s="595"/>
    </row>
    <row r="61" spans="1:9">
      <c r="A61" s="515"/>
      <c r="B61" s="583" t="s">
        <v>463</v>
      </c>
      <c r="C61" s="578"/>
      <c r="D61" s="591" t="s">
        <v>452</v>
      </c>
      <c r="E61" s="592">
        <f>+'[42]Core Rates'!AN34</f>
        <v>5.5</v>
      </c>
      <c r="F61" s="593">
        <v>0</v>
      </c>
      <c r="G61" s="594">
        <f t="shared" si="3"/>
        <v>0</v>
      </c>
      <c r="H61" s="570"/>
      <c r="I61" s="595"/>
    </row>
    <row r="62" spans="1:9">
      <c r="A62" s="515"/>
      <c r="B62" s="583" t="s">
        <v>464</v>
      </c>
      <c r="C62" s="578"/>
      <c r="D62" s="591" t="s">
        <v>452</v>
      </c>
      <c r="E62" s="592">
        <f>+'[42]Core Rates'!AN32</f>
        <v>6.3125</v>
      </c>
      <c r="F62" s="593">
        <v>0</v>
      </c>
      <c r="G62" s="594">
        <f t="shared" si="3"/>
        <v>0</v>
      </c>
      <c r="H62" s="570"/>
      <c r="I62" s="595"/>
    </row>
    <row r="63" spans="1:9">
      <c r="A63" s="515"/>
      <c r="B63" s="583"/>
      <c r="C63" s="578"/>
      <c r="D63" s="606"/>
      <c r="E63" s="607"/>
      <c r="F63" s="607"/>
      <c r="G63" s="592"/>
      <c r="H63" s="570"/>
      <c r="I63" s="595"/>
    </row>
    <row r="64" spans="1:9">
      <c r="A64" s="515"/>
      <c r="B64" s="574" t="s">
        <v>43</v>
      </c>
      <c r="C64" s="570"/>
      <c r="D64" s="570"/>
      <c r="E64" s="608"/>
      <c r="F64" s="608"/>
      <c r="G64" s="608"/>
      <c r="H64" s="570"/>
      <c r="I64" s="590"/>
    </row>
    <row r="65" spans="1:9">
      <c r="A65" s="515"/>
      <c r="B65" s="568" t="s">
        <v>457</v>
      </c>
      <c r="C65" s="610"/>
      <c r="D65" s="610"/>
      <c r="E65" s="610"/>
      <c r="F65" s="610"/>
      <c r="G65" s="610"/>
      <c r="H65" s="610"/>
      <c r="I65" s="611"/>
    </row>
    <row r="66" spans="1:9">
      <c r="A66" s="515"/>
      <c r="B66" s="609"/>
      <c r="C66" s="610"/>
      <c r="D66" s="610"/>
      <c r="E66" s="610"/>
      <c r="F66" s="610"/>
      <c r="G66" s="610"/>
      <c r="H66" s="610"/>
      <c r="I66" s="611"/>
    </row>
    <row r="67" spans="1:9">
      <c r="A67" s="515"/>
      <c r="B67" s="586" t="s">
        <v>3</v>
      </c>
      <c r="C67" s="570"/>
      <c r="D67" s="570"/>
      <c r="E67" s="570"/>
      <c r="F67" s="577"/>
      <c r="G67" s="570"/>
      <c r="H67" s="570"/>
      <c r="I67" s="612">
        <f>E69</f>
        <v>18.599999999999998</v>
      </c>
    </row>
    <row r="68" spans="1:9">
      <c r="A68" s="515"/>
      <c r="B68" s="2021" t="s">
        <v>465</v>
      </c>
      <c r="C68" s="2022"/>
      <c r="D68" s="570"/>
      <c r="E68" s="570"/>
      <c r="F68" s="570"/>
      <c r="G68" s="570"/>
      <c r="H68" s="570"/>
      <c r="I68" s="613"/>
    </row>
    <row r="69" spans="1:9">
      <c r="A69" s="515"/>
      <c r="B69" s="574" t="s">
        <v>466</v>
      </c>
      <c r="C69" s="577"/>
      <c r="D69" s="577"/>
      <c r="E69" s="614">
        <f>SUM(G57:G62)*0.15</f>
        <v>18.599999999999998</v>
      </c>
      <c r="F69" s="570"/>
      <c r="G69" s="570"/>
      <c r="H69" s="570"/>
      <c r="I69" s="590"/>
    </row>
    <row r="70" spans="1:9">
      <c r="A70" s="515"/>
      <c r="B70" s="574"/>
      <c r="C70" s="577"/>
      <c r="D70" s="616"/>
      <c r="E70" s="614"/>
      <c r="F70" s="570"/>
      <c r="G70" s="570"/>
      <c r="H70" s="570"/>
      <c r="I70" s="590"/>
    </row>
    <row r="71" spans="1:9">
      <c r="A71" s="515"/>
      <c r="B71" s="586" t="s">
        <v>4</v>
      </c>
      <c r="C71" s="570"/>
      <c r="D71" s="570"/>
      <c r="E71" s="570"/>
      <c r="F71" s="570"/>
      <c r="G71" s="570"/>
      <c r="H71" s="570"/>
      <c r="I71" s="612">
        <f>0.03*(I39+I55+I67)</f>
        <v>7.3886999999999992</v>
      </c>
    </row>
    <row r="72" spans="1:9">
      <c r="A72" s="515"/>
      <c r="B72" s="575" t="s">
        <v>467</v>
      </c>
      <c r="C72" s="570"/>
      <c r="D72" s="570"/>
      <c r="E72" s="570"/>
      <c r="F72" s="570"/>
      <c r="G72" s="570"/>
      <c r="H72" s="570"/>
      <c r="I72" s="571"/>
    </row>
    <row r="73" spans="1:9">
      <c r="A73" s="515"/>
      <c r="B73" s="575"/>
      <c r="C73" s="570"/>
      <c r="D73" s="570"/>
      <c r="E73" s="570"/>
      <c r="F73" s="570"/>
      <c r="G73" s="570"/>
      <c r="H73" s="570"/>
      <c r="I73" s="571"/>
    </row>
    <row r="74" spans="1:9">
      <c r="A74" s="515"/>
      <c r="B74" s="586" t="s">
        <v>468</v>
      </c>
      <c r="C74" s="570"/>
      <c r="D74" s="570"/>
      <c r="E74" s="570"/>
      <c r="F74" s="570"/>
      <c r="G74" s="570"/>
      <c r="H74" s="570"/>
      <c r="I74" s="612">
        <v>0</v>
      </c>
    </row>
    <row r="75" spans="1:9">
      <c r="A75" s="515"/>
      <c r="B75" s="575" t="s">
        <v>104</v>
      </c>
      <c r="C75" s="570"/>
      <c r="D75" s="570"/>
      <c r="E75" s="570"/>
      <c r="F75" s="570"/>
      <c r="G75" s="570"/>
      <c r="H75" s="570"/>
      <c r="I75" s="571"/>
    </row>
    <row r="76" spans="1:9">
      <c r="A76" s="515"/>
      <c r="B76" s="574"/>
      <c r="C76" s="570"/>
      <c r="D76" s="570"/>
      <c r="E76" s="570"/>
      <c r="F76" s="570"/>
      <c r="G76" s="570"/>
      <c r="H76" s="570"/>
      <c r="I76" s="571"/>
    </row>
    <row r="77" spans="1:9">
      <c r="A77" s="515"/>
      <c r="B77" s="586" t="s">
        <v>7</v>
      </c>
      <c r="C77" s="570"/>
      <c r="D77" s="570"/>
      <c r="E77" s="570"/>
      <c r="F77" s="570"/>
      <c r="G77" s="570"/>
      <c r="H77" s="570"/>
      <c r="I77" s="587">
        <v>0</v>
      </c>
    </row>
    <row r="78" spans="1:9">
      <c r="A78" s="515"/>
      <c r="B78" s="575" t="s">
        <v>104</v>
      </c>
      <c r="C78" s="570"/>
      <c r="D78" s="570"/>
      <c r="E78" s="570"/>
      <c r="F78" s="570"/>
      <c r="G78" s="570"/>
      <c r="H78" s="570"/>
      <c r="I78" s="571"/>
    </row>
    <row r="79" spans="1:9">
      <c r="A79" s="515"/>
      <c r="B79" s="574"/>
      <c r="C79" s="570"/>
      <c r="D79" s="570"/>
      <c r="E79" s="570"/>
      <c r="F79" s="570"/>
      <c r="G79" s="570"/>
      <c r="H79" s="570"/>
      <c r="I79" s="571"/>
    </row>
    <row r="80" spans="1:9">
      <c r="A80" s="515"/>
      <c r="B80" s="586" t="s">
        <v>471</v>
      </c>
      <c r="C80" s="570"/>
      <c r="D80" s="570"/>
      <c r="E80" s="570"/>
      <c r="F80" s="577"/>
      <c r="G80" s="570"/>
      <c r="H80" s="570"/>
      <c r="I80" s="587">
        <f>E82*3</f>
        <v>180</v>
      </c>
    </row>
    <row r="81" spans="1:9">
      <c r="A81" s="515"/>
      <c r="B81" s="617" t="s">
        <v>472</v>
      </c>
      <c r="C81" s="570"/>
      <c r="D81" s="570"/>
      <c r="E81" s="570"/>
      <c r="F81" s="570"/>
      <c r="G81" s="570"/>
      <c r="H81" s="570"/>
      <c r="I81" s="595"/>
    </row>
    <row r="82" spans="1:9">
      <c r="A82" s="515"/>
      <c r="B82" s="617"/>
      <c r="C82" s="570"/>
      <c r="D82" s="570"/>
      <c r="E82" s="570">
        <v>60</v>
      </c>
      <c r="F82" s="570"/>
      <c r="G82" s="570"/>
      <c r="H82" s="570"/>
      <c r="I82" s="595"/>
    </row>
    <row r="83" spans="1:9">
      <c r="A83" s="515"/>
      <c r="B83" s="586" t="s">
        <v>5</v>
      </c>
      <c r="C83" s="570"/>
      <c r="D83" s="570"/>
      <c r="E83" s="570"/>
      <c r="F83" s="570"/>
      <c r="G83" s="570"/>
      <c r="H83" s="570"/>
      <c r="I83" s="587">
        <v>0</v>
      </c>
    </row>
    <row r="84" spans="1:9">
      <c r="A84" s="515"/>
      <c r="B84" s="575" t="s">
        <v>104</v>
      </c>
      <c r="C84" s="570"/>
      <c r="D84" s="570"/>
      <c r="E84" s="570"/>
      <c r="F84" s="570"/>
      <c r="G84" s="570"/>
      <c r="H84" s="570"/>
      <c r="I84" s="595"/>
    </row>
    <row r="85" spans="1:9">
      <c r="A85" s="515"/>
      <c r="B85" s="574"/>
      <c r="C85" s="570"/>
      <c r="D85" s="570"/>
      <c r="E85" s="570"/>
      <c r="F85" s="570"/>
      <c r="G85" s="570"/>
      <c r="H85" s="570"/>
      <c r="I85" s="571"/>
    </row>
    <row r="86" spans="1:9">
      <c r="A86" s="515"/>
      <c r="B86" s="586" t="s">
        <v>20</v>
      </c>
      <c r="C86" s="570"/>
      <c r="D86" s="570"/>
      <c r="E86" s="570"/>
      <c r="F86" s="570"/>
      <c r="G86" s="570"/>
      <c r="H86" s="570"/>
      <c r="I86" s="587">
        <v>0</v>
      </c>
    </row>
    <row r="87" spans="1:9">
      <c r="A87" s="515"/>
      <c r="B87" s="575" t="s">
        <v>104</v>
      </c>
      <c r="C87" s="570"/>
      <c r="D87" s="570"/>
      <c r="E87" s="570"/>
      <c r="F87" s="570"/>
      <c r="G87" s="570"/>
      <c r="H87" s="570"/>
      <c r="I87" s="571"/>
    </row>
    <row r="88" spans="1:9">
      <c r="A88" s="515"/>
      <c r="B88" s="583"/>
      <c r="C88" s="570"/>
      <c r="D88" s="570"/>
      <c r="E88" s="570"/>
      <c r="F88" s="570"/>
      <c r="G88" s="570"/>
      <c r="H88" s="570"/>
      <c r="I88" s="571"/>
    </row>
    <row r="89" spans="1:9">
      <c r="A89" s="515"/>
      <c r="B89" s="586" t="s">
        <v>473</v>
      </c>
      <c r="C89" s="570"/>
      <c r="D89" s="570"/>
      <c r="E89" s="570"/>
      <c r="F89" s="570"/>
      <c r="G89" s="570"/>
      <c r="H89" s="570"/>
      <c r="I89" s="618">
        <f>+I39+I55+I67+I71+I77+I86</f>
        <v>253.67869999999999</v>
      </c>
    </row>
    <row r="90" spans="1:9" ht="15.75">
      <c r="A90" s="515"/>
      <c r="B90" s="575" t="s">
        <v>474</v>
      </c>
      <c r="C90" s="570"/>
      <c r="D90" s="570"/>
      <c r="E90" s="570"/>
      <c r="F90" s="570"/>
      <c r="G90" s="570"/>
      <c r="H90" s="570"/>
      <c r="I90" s="571"/>
    </row>
    <row r="91" spans="1:9">
      <c r="A91" s="515"/>
      <c r="B91" s="583"/>
      <c r="C91" s="570"/>
      <c r="D91" s="570"/>
      <c r="E91" s="570"/>
      <c r="F91" s="570"/>
      <c r="G91" s="570"/>
      <c r="H91" s="570"/>
      <c r="I91" s="571"/>
    </row>
    <row r="92" spans="1:9">
      <c r="A92" s="515"/>
      <c r="B92" s="619" t="s">
        <v>11</v>
      </c>
      <c r="C92" s="620"/>
      <c r="D92" s="620"/>
      <c r="E92" s="620"/>
      <c r="F92" s="620"/>
      <c r="G92" s="620"/>
      <c r="H92" s="620"/>
      <c r="I92" s="621">
        <f>SUM(I38:I86)</f>
        <v>433.67869999999999</v>
      </c>
    </row>
  </sheetData>
  <mergeCells count="4">
    <mergeCell ref="B1:D1"/>
    <mergeCell ref="B49:I50"/>
    <mergeCell ref="E55:H55"/>
    <mergeCell ref="B68:C68"/>
  </mergeCells>
  <pageMargins left="0.75" right="0.75" top="1" bottom="1" header="0.5" footer="0.5"/>
  <pageSetup scale="51" orientation="portrait" r:id="rId1"/>
  <headerFooter alignWithMargins="0"/>
</worksheet>
</file>

<file path=xl/worksheets/sheet229.xml><?xml version="1.0" encoding="utf-8"?>
<worksheet xmlns="http://schemas.openxmlformats.org/spreadsheetml/2006/main" xmlns:r="http://schemas.openxmlformats.org/officeDocument/2006/relationships">
  <sheetPr>
    <pageSetUpPr fitToPage="1"/>
  </sheetPr>
  <dimension ref="A1:P106"/>
  <sheetViews>
    <sheetView zoomScale="80" zoomScaleNormal="80" workbookViewId="0">
      <selection activeCell="E16" sqref="E16"/>
    </sheetView>
  </sheetViews>
  <sheetFormatPr defaultRowHeight="12.75"/>
  <cols>
    <col min="1" max="1" width="34.5703125" style="2" customWidth="1"/>
    <col min="2" max="2" width="25.42578125" style="2" customWidth="1"/>
    <col min="3" max="3" width="42.28515625" style="2" customWidth="1"/>
    <col min="4" max="4" width="17.5703125" style="2" customWidth="1"/>
    <col min="5" max="5" width="15.140625" style="2" customWidth="1"/>
    <col min="6" max="6" width="11" style="2" customWidth="1"/>
    <col min="7" max="7" width="16.42578125" style="1360" customWidth="1"/>
    <col min="8" max="8" width="15.8554687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1361"/>
    </row>
    <row r="5" spans="1:7" ht="21" customHeight="1">
      <c r="A5" s="454" t="s">
        <v>1</v>
      </c>
      <c r="B5" s="454" t="s">
        <v>77</v>
      </c>
      <c r="C5" s="455" t="s">
        <v>378</v>
      </c>
      <c r="D5" s="456"/>
      <c r="E5" s="457"/>
      <c r="F5" s="458"/>
      <c r="G5" s="1362"/>
    </row>
    <row r="6" spans="1:7" ht="21" customHeight="1">
      <c r="A6" s="454" t="s">
        <v>1</v>
      </c>
      <c r="B6" s="454" t="s">
        <v>379</v>
      </c>
      <c r="C6" s="459" t="s">
        <v>1206</v>
      </c>
      <c r="D6" s="456"/>
      <c r="E6" s="457"/>
      <c r="F6" s="458"/>
      <c r="G6" s="1362"/>
    </row>
    <row r="7" spans="1:7" ht="21" customHeight="1">
      <c r="A7" s="454" t="s">
        <v>1</v>
      </c>
      <c r="B7" s="454" t="s">
        <v>381</v>
      </c>
      <c r="C7" s="459">
        <v>5</v>
      </c>
      <c r="D7" s="456"/>
      <c r="E7" s="457"/>
      <c r="F7" s="458"/>
      <c r="G7" s="1362"/>
    </row>
    <row r="8" spans="1:7" ht="21" customHeight="1">
      <c r="A8" s="454" t="s">
        <v>382</v>
      </c>
      <c r="B8" s="454" t="s">
        <v>383</v>
      </c>
      <c r="C8" s="460" t="s">
        <v>1207</v>
      </c>
      <c r="D8" s="461"/>
      <c r="E8" s="457"/>
      <c r="F8" s="457"/>
      <c r="G8" s="1363"/>
    </row>
    <row r="9" spans="1:7" ht="69" customHeight="1">
      <c r="A9" s="454" t="s">
        <v>382</v>
      </c>
      <c r="B9" s="454" t="s">
        <v>385</v>
      </c>
      <c r="C9" s="2009" t="s">
        <v>1208</v>
      </c>
      <c r="D9" s="2010"/>
      <c r="E9" s="2010"/>
      <c r="F9" s="2010"/>
      <c r="G9" s="2011"/>
    </row>
    <row r="10" spans="1:7" ht="77.25" customHeight="1">
      <c r="A10" s="454" t="s">
        <v>382</v>
      </c>
      <c r="B10" s="454" t="s">
        <v>387</v>
      </c>
      <c r="C10" s="2009" t="s">
        <v>1209</v>
      </c>
      <c r="D10" s="2010"/>
      <c r="E10" s="2010"/>
      <c r="F10" s="2010"/>
      <c r="G10" s="2011"/>
    </row>
    <row r="11" spans="1:7" ht="86.25" customHeight="1">
      <c r="A11" s="454" t="s">
        <v>382</v>
      </c>
      <c r="B11" s="454" t="s">
        <v>389</v>
      </c>
      <c r="C11" s="2009" t="s">
        <v>1210</v>
      </c>
      <c r="D11" s="2010"/>
      <c r="E11" s="2010"/>
      <c r="F11" s="2010"/>
      <c r="G11" s="2011"/>
    </row>
    <row r="12" spans="1:7" ht="51.75" customHeight="1">
      <c r="A12" s="454" t="s">
        <v>382</v>
      </c>
      <c r="B12" s="454" t="s">
        <v>391</v>
      </c>
      <c r="C12" s="2009" t="s">
        <v>1211</v>
      </c>
      <c r="D12" s="2010"/>
      <c r="E12" s="2010"/>
      <c r="F12" s="2010"/>
      <c r="G12" s="2011"/>
    </row>
    <row r="13" spans="1:7" ht="21" customHeight="1">
      <c r="A13" s="454" t="s">
        <v>382</v>
      </c>
      <c r="B13" s="454" t="s">
        <v>393</v>
      </c>
      <c r="C13" s="455" t="s">
        <v>833</v>
      </c>
      <c r="D13" s="456"/>
      <c r="E13" s="457"/>
      <c r="F13" s="457"/>
      <c r="G13" s="1364"/>
    </row>
    <row r="14" spans="1:7" ht="21" customHeight="1">
      <c r="A14" s="454" t="s">
        <v>382</v>
      </c>
      <c r="B14" s="454" t="s">
        <v>395</v>
      </c>
      <c r="C14" s="1365">
        <f>+G31</f>
        <v>444</v>
      </c>
      <c r="D14" s="456"/>
      <c r="E14" s="457"/>
      <c r="F14" s="457"/>
      <c r="G14" s="1364"/>
    </row>
    <row r="15" spans="1:7">
      <c r="A15" s="82"/>
      <c r="B15" s="82"/>
      <c r="C15" s="82"/>
      <c r="D15" s="82"/>
      <c r="E15" s="82"/>
      <c r="F15" s="82"/>
      <c r="G15" s="1361"/>
    </row>
    <row r="16" spans="1:7" ht="15.75">
      <c r="A16" s="462" t="s">
        <v>396</v>
      </c>
      <c r="B16" s="463"/>
      <c r="C16" s="464"/>
      <c r="D16" s="49"/>
      <c r="E16" s="89"/>
      <c r="F16" s="89"/>
      <c r="G16" s="1366"/>
    </row>
    <row r="17" spans="1:16" ht="15">
      <c r="A17" s="452" t="s">
        <v>16</v>
      </c>
      <c r="B17" s="453" t="s">
        <v>397</v>
      </c>
      <c r="C17" s="453" t="s">
        <v>398</v>
      </c>
      <c r="D17" s="49"/>
      <c r="E17" s="89"/>
      <c r="F17" s="89"/>
      <c r="G17" s="1366"/>
    </row>
    <row r="18" spans="1:16" ht="15">
      <c r="A18" s="454" t="s">
        <v>0</v>
      </c>
      <c r="B18" s="465">
        <f>SUM(H31:H35)</f>
        <v>2388.1760335329336</v>
      </c>
      <c r="C18" s="466">
        <f>B18/C$14</f>
        <v>5.3787748502993997</v>
      </c>
      <c r="D18" s="49"/>
      <c r="E18" s="89"/>
      <c r="F18" s="89"/>
      <c r="G18" s="1366"/>
    </row>
    <row r="19" spans="1:16" ht="15">
      <c r="A19" s="454" t="s">
        <v>2</v>
      </c>
      <c r="B19" s="465">
        <f>SUM(H36:H36)</f>
        <v>0</v>
      </c>
      <c r="C19" s="466">
        <f t="shared" ref="C19:C27" si="0">B19/C$14</f>
        <v>0</v>
      </c>
      <c r="D19" s="49"/>
      <c r="E19" s="89"/>
      <c r="F19" s="89"/>
      <c r="G19" s="1366"/>
    </row>
    <row r="20" spans="1:16" ht="15">
      <c r="A20" s="454" t="s">
        <v>3</v>
      </c>
      <c r="B20" s="465">
        <f>SUM(H37:H39)</f>
        <v>0</v>
      </c>
      <c r="C20" s="466">
        <f t="shared" si="0"/>
        <v>0</v>
      </c>
      <c r="D20" s="49"/>
      <c r="E20" s="89"/>
      <c r="F20" s="89"/>
      <c r="G20" s="1366"/>
    </row>
    <row r="21" spans="1:16" ht="15">
      <c r="A21" s="454" t="s">
        <v>4</v>
      </c>
      <c r="B21" s="465">
        <f>H40</f>
        <v>119.40880167664669</v>
      </c>
      <c r="C21" s="466">
        <f t="shared" si="0"/>
        <v>0.26893874251497002</v>
      </c>
      <c r="D21" s="49"/>
      <c r="E21" s="89"/>
      <c r="F21" s="89"/>
      <c r="G21" s="1366"/>
    </row>
    <row r="22" spans="1:16" ht="15">
      <c r="A22" s="454" t="s">
        <v>26</v>
      </c>
      <c r="B22" s="465">
        <f>H41</f>
        <v>0</v>
      </c>
      <c r="C22" s="466">
        <f t="shared" si="0"/>
        <v>0</v>
      </c>
      <c r="D22" s="49"/>
      <c r="E22" s="89"/>
      <c r="F22" s="89"/>
      <c r="G22" s="1366"/>
    </row>
    <row r="23" spans="1:16" ht="15">
      <c r="A23" s="454" t="s">
        <v>7</v>
      </c>
      <c r="B23" s="465">
        <f>SUM(H42:H44)</f>
        <v>0</v>
      </c>
      <c r="C23" s="466">
        <f t="shared" si="0"/>
        <v>0</v>
      </c>
      <c r="D23" s="49"/>
      <c r="E23" s="89"/>
      <c r="F23" s="89"/>
      <c r="G23" s="1366"/>
    </row>
    <row r="24" spans="1:16" ht="15">
      <c r="A24" s="454" t="s">
        <v>27</v>
      </c>
      <c r="B24" s="465">
        <f>SUM(H45:H47)</f>
        <v>0</v>
      </c>
      <c r="C24" s="466">
        <f t="shared" si="0"/>
        <v>0</v>
      </c>
      <c r="D24" s="49"/>
      <c r="E24" s="89"/>
      <c r="F24" s="89"/>
      <c r="G24" s="1366"/>
    </row>
    <row r="25" spans="1:16" ht="15">
      <c r="A25" s="454" t="s">
        <v>5</v>
      </c>
      <c r="B25" s="465">
        <f>G48</f>
        <v>0</v>
      </c>
      <c r="C25" s="466">
        <f t="shared" si="0"/>
        <v>0</v>
      </c>
      <c r="D25" s="49"/>
      <c r="E25" s="89"/>
      <c r="F25" s="89"/>
      <c r="G25" s="1366"/>
    </row>
    <row r="26" spans="1:16" ht="15">
      <c r="A26" s="454" t="s">
        <v>20</v>
      </c>
      <c r="B26" s="465">
        <f>H48</f>
        <v>0</v>
      </c>
      <c r="C26" s="466">
        <f t="shared" si="0"/>
        <v>0</v>
      </c>
      <c r="D26" s="49"/>
      <c r="E26" s="89"/>
      <c r="F26" s="89"/>
      <c r="G26" s="1366"/>
    </row>
    <row r="27" spans="1:16" ht="15">
      <c r="A27" s="454" t="s">
        <v>399</v>
      </c>
      <c r="B27" s="465">
        <f>SUM(B18:B26)</f>
        <v>2507.5848352095804</v>
      </c>
      <c r="C27" s="466">
        <f t="shared" si="0"/>
        <v>5.6477135928143705</v>
      </c>
      <c r="D27" s="49"/>
      <c r="E27" s="89"/>
      <c r="F27" s="89"/>
      <c r="G27" s="1366"/>
    </row>
    <row r="28" spans="1:16">
      <c r="A28" s="467"/>
      <c r="B28" s="126"/>
      <c r="C28" s="126"/>
      <c r="D28" s="49"/>
      <c r="E28" s="49"/>
      <c r="F28" s="49"/>
      <c r="G28" s="1366"/>
    </row>
    <row r="29" spans="1:16" ht="15.75">
      <c r="A29" s="468" t="s">
        <v>400</v>
      </c>
      <c r="B29" s="49"/>
      <c r="C29" s="49"/>
      <c r="D29" s="126"/>
      <c r="E29" s="49"/>
      <c r="F29" s="49"/>
      <c r="G29" s="1366"/>
    </row>
    <row r="30" spans="1:16" ht="15">
      <c r="A30" s="452" t="s">
        <v>16</v>
      </c>
      <c r="B30" s="452" t="s">
        <v>401</v>
      </c>
      <c r="C30" s="453" t="s">
        <v>402</v>
      </c>
      <c r="D30" s="453" t="s">
        <v>403</v>
      </c>
      <c r="E30" s="452" t="s">
        <v>46</v>
      </c>
      <c r="F30" s="453" t="s">
        <v>404</v>
      </c>
      <c r="G30" s="1367" t="s">
        <v>405</v>
      </c>
      <c r="H30" s="453" t="s">
        <v>397</v>
      </c>
      <c r="K30" s="2" t="s">
        <v>1212</v>
      </c>
      <c r="L30" s="2" t="s">
        <v>1213</v>
      </c>
      <c r="M30" s="2" t="s">
        <v>1214</v>
      </c>
      <c r="N30" s="49" t="s">
        <v>1215</v>
      </c>
      <c r="O30" s="49" t="s">
        <v>1216</v>
      </c>
      <c r="P30" s="49" t="s">
        <v>1217</v>
      </c>
    </row>
    <row r="31" spans="1:16" ht="15">
      <c r="A31" s="454" t="s">
        <v>0</v>
      </c>
      <c r="B31" s="1346">
        <v>48</v>
      </c>
      <c r="C31" s="470" t="s">
        <v>1218</v>
      </c>
      <c r="D31" s="470" t="s">
        <v>1219</v>
      </c>
      <c r="E31" s="470" t="s">
        <v>949</v>
      </c>
      <c r="F31" s="1368">
        <v>1.9887748502994</v>
      </c>
      <c r="G31" s="1369">
        <v>444</v>
      </c>
      <c r="H31" s="474">
        <f>IF(G31&lt;=0, 0, F31*G31)</f>
        <v>883.01603353293365</v>
      </c>
      <c r="K31" s="2">
        <v>3</v>
      </c>
      <c r="L31" s="2">
        <v>8</v>
      </c>
      <c r="M31" s="49">
        <v>4</v>
      </c>
      <c r="N31" s="49">
        <v>200</v>
      </c>
      <c r="O31" s="2">
        <f>+(L31*K31+ 2*(K31*M31*K31)/2)*N31/27</f>
        <v>444.44444444444446</v>
      </c>
      <c r="P31" s="2">
        <f>+L31+(K31*M31*2)+2</f>
        <v>34</v>
      </c>
    </row>
    <row r="32" spans="1:16" ht="15">
      <c r="A32" s="454" t="s">
        <v>0</v>
      </c>
      <c r="B32" s="1346">
        <v>49</v>
      </c>
      <c r="C32" s="470" t="s">
        <v>1220</v>
      </c>
      <c r="D32" s="470" t="s">
        <v>1219</v>
      </c>
      <c r="E32" s="470" t="s">
        <v>949</v>
      </c>
      <c r="F32" s="1347">
        <v>3.39</v>
      </c>
      <c r="G32" s="1369">
        <v>444</v>
      </c>
      <c r="H32" s="474">
        <f t="shared" ref="H32:H49" si="1">IF(G32&lt;=0, 0, F32*G32)</f>
        <v>1505.16</v>
      </c>
      <c r="K32" s="2" t="s">
        <v>1221</v>
      </c>
    </row>
    <row r="33" spans="1:15" ht="15">
      <c r="A33" s="454" t="s">
        <v>0</v>
      </c>
      <c r="B33" s="1346"/>
      <c r="C33" s="1274"/>
      <c r="D33" s="1272"/>
      <c r="E33" s="1370"/>
      <c r="F33" s="1273"/>
      <c r="G33" s="1371"/>
      <c r="H33" s="474"/>
      <c r="K33" s="1274" t="s">
        <v>1222</v>
      </c>
      <c r="L33" s="1272" t="s">
        <v>1223</v>
      </c>
      <c r="M33" s="1370" t="s">
        <v>778</v>
      </c>
      <c r="N33" s="1273">
        <f>167+724</f>
        <v>891</v>
      </c>
      <c r="O33" s="1371">
        <v>1</v>
      </c>
    </row>
    <row r="34" spans="1:15" ht="15">
      <c r="A34" s="454" t="s">
        <v>0</v>
      </c>
      <c r="B34" s="1346"/>
      <c r="C34" s="1274"/>
      <c r="D34" s="1272"/>
      <c r="E34" s="1370"/>
      <c r="F34" s="1273"/>
      <c r="G34" s="1371"/>
      <c r="H34" s="474"/>
      <c r="K34" s="1274" t="s">
        <v>1224</v>
      </c>
      <c r="L34" s="1272" t="s">
        <v>1223</v>
      </c>
      <c r="M34" s="1370" t="s">
        <v>785</v>
      </c>
      <c r="N34" s="1273">
        <v>120</v>
      </c>
      <c r="O34" s="1371">
        <v>34</v>
      </c>
    </row>
    <row r="35" spans="1:15" ht="15">
      <c r="A35" s="454" t="s">
        <v>0</v>
      </c>
      <c r="B35" s="1346"/>
      <c r="C35" s="470"/>
      <c r="D35" s="470"/>
      <c r="E35" s="470"/>
      <c r="F35" s="1347"/>
      <c r="G35" s="1369"/>
      <c r="H35" s="474">
        <f t="shared" si="1"/>
        <v>0</v>
      </c>
    </row>
    <row r="36" spans="1:15" ht="15">
      <c r="A36" s="454" t="s">
        <v>2</v>
      </c>
      <c r="B36" s="1346"/>
      <c r="C36" s="470"/>
      <c r="D36" s="470"/>
      <c r="E36" s="470"/>
      <c r="F36" s="1347"/>
      <c r="G36" s="1369"/>
      <c r="H36" s="474">
        <f t="shared" si="1"/>
        <v>0</v>
      </c>
    </row>
    <row r="37" spans="1:15" ht="15">
      <c r="A37" s="1372" t="s">
        <v>3</v>
      </c>
      <c r="B37" s="1346"/>
      <c r="C37" s="470"/>
      <c r="D37" s="470"/>
      <c r="E37" s="470"/>
      <c r="F37" s="1347"/>
      <c r="G37" s="1369"/>
      <c r="H37" s="474">
        <f t="shared" si="1"/>
        <v>0</v>
      </c>
    </row>
    <row r="38" spans="1:15" ht="15">
      <c r="A38" s="454" t="s">
        <v>3</v>
      </c>
      <c r="B38" s="1346"/>
      <c r="C38" s="470"/>
      <c r="D38" s="470"/>
      <c r="E38" s="470"/>
      <c r="F38" s="1347"/>
      <c r="G38" s="1369"/>
      <c r="H38" s="474">
        <f t="shared" si="1"/>
        <v>0</v>
      </c>
    </row>
    <row r="39" spans="1:15" ht="15">
      <c r="A39" s="454" t="s">
        <v>3</v>
      </c>
      <c r="B39" s="1346"/>
      <c r="C39" s="470"/>
      <c r="D39" s="470"/>
      <c r="E39" s="470"/>
      <c r="F39" s="1347"/>
      <c r="G39" s="1369"/>
      <c r="H39" s="474">
        <f t="shared" si="1"/>
        <v>0</v>
      </c>
    </row>
    <row r="40" spans="1:15" ht="15">
      <c r="A40" s="454" t="s">
        <v>4</v>
      </c>
      <c r="B40" s="1346">
        <v>1043</v>
      </c>
      <c r="C40" s="470" t="s">
        <v>4</v>
      </c>
      <c r="D40" s="471"/>
      <c r="E40" s="471"/>
      <c r="F40" s="481">
        <v>0.05</v>
      </c>
      <c r="G40" s="1369">
        <f>SUM(H31:H39)</f>
        <v>2388.1760335329336</v>
      </c>
      <c r="H40" s="474">
        <f t="shared" si="1"/>
        <v>119.40880167664669</v>
      </c>
    </row>
    <row r="41" spans="1:15" ht="16.5" customHeight="1">
      <c r="A41" s="454" t="s">
        <v>419</v>
      </c>
      <c r="B41" s="470"/>
      <c r="C41" s="470"/>
      <c r="D41" s="471"/>
      <c r="E41" s="471"/>
      <c r="F41" s="481"/>
      <c r="G41" s="1369"/>
      <c r="H41" s="474">
        <f t="shared" si="1"/>
        <v>0</v>
      </c>
    </row>
    <row r="42" spans="1:15" ht="15">
      <c r="A42" s="454" t="s">
        <v>7</v>
      </c>
      <c r="B42" s="470"/>
      <c r="C42" s="470"/>
      <c r="D42" s="471"/>
      <c r="E42" s="471"/>
      <c r="F42" s="472"/>
      <c r="G42" s="1369"/>
      <c r="H42" s="474">
        <f t="shared" si="1"/>
        <v>0</v>
      </c>
    </row>
    <row r="43" spans="1:15" ht="15">
      <c r="A43" s="454" t="s">
        <v>7</v>
      </c>
      <c r="B43" s="470"/>
      <c r="C43" s="470"/>
      <c r="D43" s="471"/>
      <c r="E43" s="471"/>
      <c r="F43" s="472"/>
      <c r="G43" s="1369"/>
      <c r="H43" s="474">
        <f t="shared" si="1"/>
        <v>0</v>
      </c>
    </row>
    <row r="44" spans="1:15" ht="15">
      <c r="A44" s="454" t="s">
        <v>7</v>
      </c>
      <c r="B44" s="470"/>
      <c r="C44" s="470"/>
      <c r="D44" s="471"/>
      <c r="E44" s="471"/>
      <c r="F44" s="472"/>
      <c r="G44" s="1369"/>
      <c r="H44" s="474">
        <f t="shared" si="1"/>
        <v>0</v>
      </c>
    </row>
    <row r="45" spans="1:15" ht="15">
      <c r="A45" s="454" t="s">
        <v>421</v>
      </c>
      <c r="B45" s="470"/>
      <c r="C45" s="470"/>
      <c r="D45" s="471"/>
      <c r="E45" s="471"/>
      <c r="F45" s="472"/>
      <c r="G45" s="1369"/>
      <c r="H45" s="474">
        <f t="shared" si="1"/>
        <v>0</v>
      </c>
    </row>
    <row r="46" spans="1:15" ht="15">
      <c r="A46" s="454" t="s">
        <v>421</v>
      </c>
      <c r="B46" s="470"/>
      <c r="C46" s="470"/>
      <c r="D46" s="471"/>
      <c r="E46" s="471"/>
      <c r="F46" s="472"/>
      <c r="G46" s="1369"/>
      <c r="H46" s="474">
        <f t="shared" si="1"/>
        <v>0</v>
      </c>
    </row>
    <row r="47" spans="1:15" ht="15">
      <c r="A47" s="454" t="s">
        <v>421</v>
      </c>
      <c r="B47" s="470"/>
      <c r="C47" s="470"/>
      <c r="D47" s="471"/>
      <c r="E47" s="471"/>
      <c r="F47" s="472"/>
      <c r="G47" s="1369"/>
      <c r="H47" s="474">
        <f t="shared" si="1"/>
        <v>0</v>
      </c>
    </row>
    <row r="48" spans="1:15" ht="15">
      <c r="A48" s="454" t="s">
        <v>5</v>
      </c>
      <c r="B48" s="470"/>
      <c r="C48" s="470"/>
      <c r="D48" s="471"/>
      <c r="E48" s="471"/>
      <c r="F48" s="472"/>
      <c r="G48" s="1369"/>
      <c r="H48" s="474">
        <f t="shared" si="1"/>
        <v>0</v>
      </c>
    </row>
    <row r="49" spans="1:8" ht="15">
      <c r="A49" s="454" t="s">
        <v>20</v>
      </c>
      <c r="B49" s="470"/>
      <c r="C49" s="470"/>
      <c r="D49" s="471"/>
      <c r="E49" s="471"/>
      <c r="F49" s="472"/>
      <c r="G49" s="1369"/>
      <c r="H49" s="474">
        <f t="shared" si="1"/>
        <v>0</v>
      </c>
    </row>
    <row r="50" spans="1:8">
      <c r="A50" s="82"/>
      <c r="B50" s="82"/>
      <c r="C50" s="82"/>
      <c r="D50" s="82"/>
      <c r="E50" s="82"/>
      <c r="F50" s="82"/>
      <c r="G50" s="1361"/>
    </row>
    <row r="51" spans="1:8">
      <c r="A51" s="82"/>
      <c r="B51" s="82"/>
      <c r="C51" s="82"/>
      <c r="D51" s="82"/>
      <c r="E51" s="82"/>
      <c r="F51" s="82"/>
      <c r="G51" s="1361"/>
    </row>
    <row r="52" spans="1:8">
      <c r="A52" s="82"/>
      <c r="B52" s="82"/>
      <c r="C52" s="82"/>
      <c r="D52" s="82"/>
      <c r="E52" s="82"/>
      <c r="F52" s="82"/>
      <c r="G52" s="1361"/>
    </row>
    <row r="53" spans="1:8">
      <c r="A53" s="82"/>
      <c r="B53" s="82"/>
      <c r="C53" s="82"/>
      <c r="D53" s="82"/>
      <c r="E53" s="82"/>
      <c r="F53" s="82"/>
      <c r="G53" s="1361"/>
    </row>
    <row r="54" spans="1:8">
      <c r="A54" s="82"/>
      <c r="B54" s="82"/>
      <c r="C54" s="82"/>
      <c r="D54" s="82"/>
      <c r="E54" s="82"/>
      <c r="F54" s="82"/>
      <c r="G54" s="1361"/>
    </row>
    <row r="55" spans="1:8">
      <c r="A55" s="82"/>
      <c r="B55" s="82"/>
      <c r="C55" s="82"/>
      <c r="D55" s="82"/>
      <c r="E55" s="82"/>
      <c r="F55" s="82"/>
      <c r="G55" s="1361"/>
    </row>
    <row r="56" spans="1:8">
      <c r="A56" s="82"/>
      <c r="B56" s="82"/>
      <c r="C56" s="82"/>
      <c r="D56" s="82"/>
      <c r="E56" s="82"/>
      <c r="F56" s="82"/>
      <c r="G56" s="1361"/>
    </row>
    <row r="57" spans="1:8">
      <c r="A57" s="82"/>
      <c r="B57" s="82"/>
      <c r="C57" s="82"/>
      <c r="D57" s="82"/>
      <c r="E57" s="82"/>
      <c r="F57" s="82"/>
      <c r="G57" s="1361"/>
    </row>
    <row r="58" spans="1:8">
      <c r="A58" s="82"/>
      <c r="B58" s="82"/>
      <c r="C58" s="82"/>
      <c r="D58" s="82"/>
      <c r="E58" s="82"/>
      <c r="F58" s="82"/>
      <c r="G58" s="1361"/>
    </row>
    <row r="59" spans="1:8">
      <c r="A59" s="82"/>
      <c r="B59" s="82"/>
      <c r="C59" s="82"/>
      <c r="D59" s="82"/>
      <c r="E59" s="82"/>
      <c r="F59" s="82"/>
      <c r="G59" s="1361"/>
    </row>
    <row r="60" spans="1:8">
      <c r="A60" s="82"/>
      <c r="B60" s="82"/>
      <c r="C60" s="82"/>
      <c r="D60" s="82"/>
      <c r="E60" s="82"/>
      <c r="F60" s="82"/>
      <c r="G60" s="1361"/>
    </row>
    <row r="61" spans="1:8">
      <c r="A61" s="82"/>
      <c r="B61" s="82"/>
      <c r="C61" s="82"/>
      <c r="D61" s="82"/>
      <c r="E61" s="82"/>
      <c r="F61" s="82"/>
      <c r="G61" s="1361"/>
    </row>
    <row r="62" spans="1:8">
      <c r="A62" s="82"/>
      <c r="B62" s="82"/>
      <c r="C62" s="82"/>
      <c r="D62" s="82"/>
      <c r="E62" s="82"/>
      <c r="F62" s="82"/>
      <c r="G62" s="1361"/>
    </row>
    <row r="63" spans="1:8">
      <c r="A63" s="82"/>
      <c r="B63" s="82"/>
      <c r="C63" s="82"/>
      <c r="D63" s="82"/>
      <c r="E63" s="82"/>
      <c r="F63" s="82"/>
      <c r="G63" s="1361"/>
    </row>
    <row r="64" spans="1:8">
      <c r="A64" s="82"/>
      <c r="B64" s="82"/>
      <c r="C64" s="82"/>
      <c r="D64" s="82"/>
      <c r="E64" s="82"/>
      <c r="F64" s="82"/>
      <c r="G64" s="1361"/>
    </row>
    <row r="65" spans="1:7">
      <c r="A65" s="82"/>
      <c r="B65" s="82"/>
      <c r="C65" s="82"/>
      <c r="D65" s="82"/>
      <c r="E65" s="82"/>
      <c r="F65" s="82"/>
      <c r="G65" s="1361"/>
    </row>
    <row r="66" spans="1:7">
      <c r="A66" s="82"/>
      <c r="B66" s="82"/>
      <c r="C66" s="82"/>
      <c r="D66" s="82"/>
      <c r="E66" s="82"/>
      <c r="F66" s="82"/>
      <c r="G66" s="1361"/>
    </row>
    <row r="67" spans="1:7">
      <c r="A67" s="82"/>
      <c r="B67" s="82"/>
      <c r="C67" s="82"/>
      <c r="D67" s="82"/>
      <c r="E67" s="82"/>
      <c r="F67" s="82"/>
      <c r="G67" s="1361"/>
    </row>
    <row r="68" spans="1:7">
      <c r="A68" s="82"/>
      <c r="B68" s="82"/>
      <c r="C68" s="82"/>
      <c r="D68" s="82"/>
      <c r="E68" s="82"/>
      <c r="F68" s="82"/>
      <c r="G68" s="1361"/>
    </row>
    <row r="69" spans="1:7">
      <c r="A69" s="82"/>
      <c r="B69" s="82"/>
      <c r="C69" s="82"/>
      <c r="D69" s="82"/>
      <c r="E69" s="82"/>
      <c r="F69" s="82"/>
      <c r="G69" s="1361"/>
    </row>
    <row r="70" spans="1:7">
      <c r="A70" s="82"/>
      <c r="B70" s="82"/>
      <c r="C70" s="82"/>
      <c r="D70" s="82"/>
      <c r="E70" s="82"/>
      <c r="F70" s="82"/>
      <c r="G70" s="1361"/>
    </row>
    <row r="71" spans="1:7">
      <c r="A71" s="82"/>
      <c r="B71" s="82"/>
      <c r="C71" s="82"/>
      <c r="D71" s="82"/>
      <c r="E71" s="82"/>
      <c r="F71" s="82"/>
      <c r="G71" s="1361"/>
    </row>
    <row r="72" spans="1:7">
      <c r="A72" s="82"/>
      <c r="B72" s="82"/>
      <c r="C72" s="82"/>
      <c r="D72" s="82"/>
      <c r="E72" s="82"/>
      <c r="F72" s="82"/>
      <c r="G72" s="1361"/>
    </row>
    <row r="73" spans="1:7">
      <c r="A73" s="82"/>
      <c r="B73" s="82"/>
      <c r="C73" s="82"/>
      <c r="D73" s="82"/>
      <c r="E73" s="82"/>
      <c r="F73" s="82"/>
      <c r="G73" s="1361"/>
    </row>
    <row r="74" spans="1:7">
      <c r="A74" s="82"/>
      <c r="B74" s="82"/>
      <c r="C74" s="82"/>
      <c r="D74" s="82"/>
      <c r="E74" s="82"/>
      <c r="F74" s="82"/>
      <c r="G74" s="1361"/>
    </row>
    <row r="75" spans="1:7">
      <c r="A75" s="82"/>
      <c r="B75" s="82"/>
      <c r="C75" s="82"/>
      <c r="D75" s="82"/>
      <c r="E75" s="82"/>
      <c r="F75" s="82"/>
      <c r="G75" s="1361"/>
    </row>
    <row r="76" spans="1:7">
      <c r="A76" s="82"/>
      <c r="B76" s="82"/>
      <c r="C76" s="82"/>
      <c r="D76" s="82"/>
      <c r="E76" s="82"/>
      <c r="F76" s="82"/>
      <c r="G76" s="1361"/>
    </row>
    <row r="77" spans="1:7">
      <c r="A77" s="82"/>
      <c r="B77" s="82"/>
      <c r="C77" s="82"/>
      <c r="D77" s="82"/>
      <c r="E77" s="82"/>
      <c r="F77" s="82"/>
      <c r="G77" s="1361"/>
    </row>
    <row r="78" spans="1:7">
      <c r="A78" s="82"/>
      <c r="B78" s="82"/>
      <c r="C78" s="82"/>
      <c r="D78" s="82"/>
      <c r="E78" s="82"/>
      <c r="F78" s="82"/>
      <c r="G78" s="1361"/>
    </row>
    <row r="79" spans="1:7">
      <c r="A79" s="82"/>
      <c r="B79" s="82"/>
      <c r="C79" s="82"/>
      <c r="D79" s="82"/>
      <c r="E79" s="82"/>
      <c r="F79" s="82"/>
      <c r="G79" s="1361"/>
    </row>
    <row r="80" spans="1:7">
      <c r="A80" s="82"/>
      <c r="B80" s="82"/>
      <c r="C80" s="82"/>
      <c r="D80" s="82"/>
      <c r="E80" s="82"/>
      <c r="F80" s="82"/>
      <c r="G80" s="1361"/>
    </row>
    <row r="81" spans="1:7">
      <c r="A81" s="82"/>
      <c r="B81" s="82"/>
      <c r="C81" s="82"/>
      <c r="D81" s="82"/>
      <c r="E81" s="82"/>
      <c r="F81" s="82"/>
      <c r="G81" s="1361"/>
    </row>
    <row r="82" spans="1:7">
      <c r="A82" s="82"/>
      <c r="B82" s="82"/>
      <c r="C82" s="82"/>
      <c r="D82" s="82"/>
      <c r="E82" s="82"/>
      <c r="F82" s="82"/>
      <c r="G82" s="1361"/>
    </row>
    <row r="83" spans="1:7">
      <c r="A83" s="82"/>
      <c r="B83" s="82"/>
      <c r="C83" s="82"/>
      <c r="D83" s="82"/>
      <c r="E83" s="82"/>
      <c r="F83" s="82"/>
      <c r="G83" s="1361"/>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23.xml><?xml version="1.0" encoding="utf-8"?>
<worksheet xmlns="http://schemas.openxmlformats.org/spreadsheetml/2006/main" xmlns:r="http://schemas.openxmlformats.org/officeDocument/2006/relationships">
  <dimension ref="B1:P108"/>
  <sheetViews>
    <sheetView topLeftCell="A2" zoomScaleNormal="100" workbookViewId="0">
      <selection activeCell="D16" sqref="D16"/>
    </sheetView>
  </sheetViews>
  <sheetFormatPr defaultRowHeight="12.75"/>
  <cols>
    <col min="1" max="1" width="2.85546875" style="2" customWidth="1"/>
    <col min="2" max="2" width="11.5703125" style="2" customWidth="1"/>
    <col min="3" max="3" width="18.7109375" style="2" customWidth="1"/>
    <col min="4" max="4" width="23.5703125" style="2" customWidth="1"/>
    <col min="5" max="5" width="21.5703125" style="2" customWidth="1"/>
    <col min="6" max="6" width="10.85546875" style="2" customWidth="1"/>
    <col min="7" max="7" width="10.42578125" style="2" customWidth="1"/>
    <col min="8" max="8" width="9.140625" style="2" bestFit="1" customWidth="1"/>
    <col min="9" max="9" width="9.85546875" style="2" customWidth="1"/>
    <col min="10" max="10" width="2.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5.5">
      <c r="B2" s="177" t="s">
        <v>42</v>
      </c>
      <c r="C2" s="79">
        <v>114</v>
      </c>
      <c r="D2" s="107" t="s">
        <v>182</v>
      </c>
      <c r="E2" s="107" t="s">
        <v>183</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25.5">
      <c r="B6" s="54">
        <v>114</v>
      </c>
      <c r="C6" s="7" t="str">
        <f>+E10</f>
        <v>EQIP</v>
      </c>
      <c r="D6" s="110" t="s">
        <v>182</v>
      </c>
      <c r="E6" s="110" t="s">
        <v>183</v>
      </c>
      <c r="F6" s="7" t="s">
        <v>38</v>
      </c>
      <c r="G6" s="85">
        <f>G23</f>
        <v>1260</v>
      </c>
      <c r="H6" s="89"/>
      <c r="I6" s="89"/>
      <c r="J6"/>
    </row>
    <row r="7" spans="2:10" ht="25.5" customHeight="1">
      <c r="B7" s="8">
        <v>114</v>
      </c>
      <c r="C7" s="10" t="s">
        <v>15</v>
      </c>
      <c r="D7" s="111" t="s">
        <v>182</v>
      </c>
      <c r="E7" s="111" t="s">
        <v>184</v>
      </c>
      <c r="F7" s="10" t="s">
        <v>38</v>
      </c>
      <c r="G7" s="86">
        <f>$H$23</f>
        <v>1512</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I49</f>
        <v>1680</v>
      </c>
      <c r="E16" s="160">
        <v>0.75</v>
      </c>
      <c r="F16" s="160">
        <v>0.9</v>
      </c>
      <c r="G16" s="73">
        <f t="shared" si="0"/>
        <v>1260</v>
      </c>
      <c r="H16" s="74">
        <f t="shared" si="0"/>
        <v>1512</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I61</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1680</v>
      </c>
      <c r="E23" s="28"/>
      <c r="F23" s="28"/>
      <c r="G23" s="51">
        <f>SUM(G14:G22)</f>
        <v>1260</v>
      </c>
      <c r="H23" s="77">
        <f>SUM(H14:H22)</f>
        <v>1512</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185</v>
      </c>
      <c r="E28" s="1955"/>
      <c r="F28" s="1955"/>
      <c r="G28" s="1955"/>
      <c r="H28" s="1955"/>
      <c r="I28" s="36"/>
    </row>
    <row r="29" spans="2:16">
      <c r="B29" s="42"/>
      <c r="C29" s="34"/>
      <c r="D29" s="115"/>
      <c r="E29" s="97"/>
      <c r="F29" s="97"/>
      <c r="G29" s="97"/>
      <c r="H29" s="97"/>
      <c r="I29" s="36"/>
    </row>
    <row r="30" spans="2:16">
      <c r="B30" s="37" t="s">
        <v>41</v>
      </c>
      <c r="C30" s="34"/>
      <c r="D30" s="1956" t="s">
        <v>186</v>
      </c>
      <c r="E30" s="1957"/>
      <c r="F30" s="1957"/>
      <c r="G30" s="1957"/>
      <c r="H30" s="1957"/>
      <c r="I30" s="36"/>
    </row>
    <row r="31" spans="2:16" ht="15" customHeight="1">
      <c r="B31" s="91" t="s">
        <v>40</v>
      </c>
      <c r="C31" s="34"/>
      <c r="D31" s="1956" t="s">
        <v>187</v>
      </c>
      <c r="E31" s="1957"/>
      <c r="F31" s="1957"/>
      <c r="G31" s="1957"/>
      <c r="H31" s="1957"/>
      <c r="I31" s="36"/>
    </row>
    <row r="32" spans="2:16" ht="56.25" customHeight="1">
      <c r="B32" s="91" t="s">
        <v>33</v>
      </c>
      <c r="C32" s="90"/>
      <c r="D32" s="1956" t="s">
        <v>188</v>
      </c>
      <c r="E32" s="1957"/>
      <c r="F32" s="1957"/>
      <c r="G32" s="1957"/>
      <c r="H32" s="1957"/>
      <c r="I32" s="36"/>
    </row>
    <row r="33" spans="2:15" ht="93" customHeight="1">
      <c r="B33" s="91" t="s">
        <v>35</v>
      </c>
      <c r="C33" s="90"/>
      <c r="D33" s="1956" t="s">
        <v>189</v>
      </c>
      <c r="E33" s="1957"/>
      <c r="F33" s="1957"/>
      <c r="G33" s="1957"/>
      <c r="H33" s="1957"/>
      <c r="I33" s="36"/>
    </row>
    <row r="34" spans="2:15" ht="38.25" customHeight="1">
      <c r="B34" s="91" t="s">
        <v>34</v>
      </c>
      <c r="C34" s="90"/>
      <c r="D34" s="1956" t="s">
        <v>190</v>
      </c>
      <c r="E34" s="1957"/>
      <c r="F34" s="1957"/>
      <c r="G34" s="1957"/>
      <c r="H34" s="1957"/>
      <c r="I34" s="36"/>
    </row>
    <row r="35" spans="2:15">
      <c r="B35" s="37"/>
      <c r="C35" s="34"/>
      <c r="D35" s="34"/>
      <c r="E35" s="35"/>
      <c r="F35" s="35"/>
      <c r="G35" s="35"/>
      <c r="H35" s="35"/>
      <c r="I35" s="36"/>
    </row>
    <row r="36" spans="2:15">
      <c r="B36" s="38" t="s">
        <v>25</v>
      </c>
      <c r="C36" s="34"/>
      <c r="D36" s="1958" t="s">
        <v>42</v>
      </c>
      <c r="E36" s="1952"/>
      <c r="F36" s="1952"/>
      <c r="G36" s="1952"/>
      <c r="H36" s="1952"/>
      <c r="I36" s="36"/>
      <c r="J36" s="49"/>
    </row>
    <row r="37" spans="2:15">
      <c r="B37" s="37"/>
      <c r="C37" s="34"/>
      <c r="D37" s="35"/>
      <c r="E37" s="35"/>
      <c r="F37" s="35"/>
      <c r="G37" s="35"/>
      <c r="H37" s="35"/>
      <c r="I37" s="36"/>
    </row>
    <row r="38" spans="2:15">
      <c r="B38" s="38" t="s">
        <v>8</v>
      </c>
      <c r="C38" s="34"/>
      <c r="D38" s="39" t="s">
        <v>38</v>
      </c>
      <c r="E38" s="35"/>
      <c r="F38" s="35"/>
      <c r="G38" s="35"/>
      <c r="H38" s="35"/>
      <c r="I38" s="36"/>
    </row>
    <row r="39" spans="2:15">
      <c r="B39" s="38" t="s">
        <v>9</v>
      </c>
      <c r="C39" s="34"/>
      <c r="D39" s="92">
        <v>1</v>
      </c>
      <c r="E39" s="35"/>
      <c r="F39" s="35"/>
      <c r="G39" s="35"/>
      <c r="H39" s="35"/>
      <c r="I39" s="36"/>
    </row>
    <row r="40" spans="2:15">
      <c r="B40" s="38" t="s">
        <v>10</v>
      </c>
      <c r="C40" s="35"/>
      <c r="D40" s="93">
        <v>0</v>
      </c>
      <c r="E40" s="35"/>
      <c r="F40" s="35"/>
      <c r="G40" s="35"/>
      <c r="H40" s="35"/>
      <c r="I40" s="96" t="s">
        <v>6</v>
      </c>
    </row>
    <row r="41" spans="2:15">
      <c r="B41" s="40"/>
      <c r="C41" s="35"/>
      <c r="D41" s="35"/>
      <c r="E41" s="41"/>
      <c r="F41" s="35"/>
      <c r="G41" s="35"/>
      <c r="H41" s="35"/>
      <c r="I41" s="149"/>
      <c r="L41" s="64"/>
      <c r="M41" s="64"/>
      <c r="N41" s="61"/>
      <c r="O41" s="61"/>
    </row>
    <row r="42" spans="2:15">
      <c r="B42" s="42" t="s">
        <v>0</v>
      </c>
      <c r="C42" s="35"/>
      <c r="D42" s="35"/>
      <c r="E42" s="35"/>
      <c r="F42" s="35"/>
      <c r="G42" s="35"/>
      <c r="H42" s="35"/>
      <c r="I42" s="46">
        <v>0</v>
      </c>
      <c r="L42" s="64"/>
      <c r="M42" s="64"/>
      <c r="N42" s="61"/>
      <c r="O42" s="61"/>
    </row>
    <row r="43" spans="2:15" ht="14.25" customHeight="1">
      <c r="B43" s="37" t="s">
        <v>39</v>
      </c>
      <c r="C43" s="35"/>
      <c r="D43" s="166"/>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0</v>
      </c>
      <c r="L45" s="64"/>
      <c r="M45" s="61"/>
    </row>
    <row r="46" spans="2:15" ht="12.75" customHeight="1">
      <c r="B46" s="1959" t="s">
        <v>39</v>
      </c>
      <c r="C46" s="1955"/>
      <c r="D46" s="1955"/>
      <c r="E46" s="1955"/>
      <c r="F46" s="1955"/>
      <c r="G46" s="1955"/>
      <c r="H46" s="1955"/>
      <c r="I46" s="46"/>
      <c r="L46" s="64"/>
      <c r="M46" s="61"/>
    </row>
    <row r="47" spans="2:15" ht="6" customHeight="1">
      <c r="B47" s="33"/>
      <c r="C47" s="35"/>
      <c r="D47" s="35"/>
      <c r="E47" s="60"/>
      <c r="F47" s="60"/>
      <c r="G47" s="60"/>
      <c r="H47" s="35"/>
      <c r="I47" s="46"/>
      <c r="L47" s="64"/>
      <c r="M47" s="61"/>
    </row>
    <row r="48" spans="2:15" ht="4.5" customHeight="1">
      <c r="B48" s="42"/>
      <c r="C48" s="35"/>
      <c r="D48" s="35"/>
      <c r="E48" s="35"/>
      <c r="F48" s="35"/>
      <c r="G48" s="58"/>
      <c r="H48" s="59"/>
      <c r="I48" s="46"/>
      <c r="L48" s="64"/>
      <c r="M48" s="61"/>
    </row>
    <row r="49" spans="2:15">
      <c r="B49" s="42" t="s">
        <v>3</v>
      </c>
      <c r="C49" s="35"/>
      <c r="D49" s="35"/>
      <c r="E49" s="35"/>
      <c r="F49" s="35"/>
      <c r="G49" s="35"/>
      <c r="H49" s="35"/>
      <c r="I49" s="46">
        <f>$H$52</f>
        <v>1680</v>
      </c>
      <c r="L49" s="64"/>
      <c r="M49" s="61"/>
    </row>
    <row r="50" spans="2:15" ht="12.75" customHeight="1">
      <c r="B50" s="1959" t="s">
        <v>44</v>
      </c>
      <c r="C50" s="1955"/>
      <c r="D50" s="1955"/>
      <c r="E50" s="1955"/>
      <c r="F50" s="1955"/>
      <c r="G50" s="1955"/>
      <c r="H50" s="1955"/>
      <c r="I50" s="46"/>
      <c r="L50" s="64"/>
      <c r="M50" s="61"/>
    </row>
    <row r="51" spans="2:15" ht="12.75" customHeight="1">
      <c r="B51" s="101"/>
      <c r="C51" s="102"/>
      <c r="D51" s="103" t="s">
        <v>45</v>
      </c>
      <c r="E51" s="104" t="s">
        <v>46</v>
      </c>
      <c r="F51" s="104" t="s">
        <v>6</v>
      </c>
      <c r="G51" s="104" t="s">
        <v>47</v>
      </c>
      <c r="H51" s="104" t="s">
        <v>48</v>
      </c>
      <c r="I51" s="46"/>
      <c r="L51" s="64"/>
      <c r="M51" s="61"/>
    </row>
    <row r="52" spans="2:15" ht="12.75" customHeight="1">
      <c r="B52" s="101"/>
      <c r="C52" s="97"/>
      <c r="D52" s="97" t="s">
        <v>3</v>
      </c>
      <c r="E52" s="105" t="s">
        <v>49</v>
      </c>
      <c r="F52" s="106">
        <v>56</v>
      </c>
      <c r="G52" s="97">
        <v>30</v>
      </c>
      <c r="H52" s="106">
        <f>F52*G52</f>
        <v>1680</v>
      </c>
      <c r="I52" s="46"/>
      <c r="L52" s="64"/>
      <c r="M52" s="61"/>
    </row>
    <row r="53" spans="2:15" ht="11.25" customHeight="1">
      <c r="B53" s="33"/>
      <c r="C53" s="35"/>
      <c r="D53" s="35"/>
      <c r="E53" s="35"/>
      <c r="F53" s="35"/>
      <c r="G53" s="35"/>
      <c r="H53" s="35"/>
      <c r="I53" s="48"/>
      <c r="L53" s="64"/>
      <c r="M53" s="61"/>
    </row>
    <row r="54" spans="2:15">
      <c r="B54" s="42" t="s">
        <v>4</v>
      </c>
      <c r="C54" s="35"/>
      <c r="D54" s="35"/>
      <c r="E54" s="35"/>
      <c r="F54" s="35"/>
      <c r="G54" s="35"/>
      <c r="H54" s="35"/>
      <c r="I54" s="48">
        <v>0</v>
      </c>
      <c r="L54" s="64"/>
      <c r="M54" s="61"/>
    </row>
    <row r="55" spans="2:15" ht="12" customHeight="1">
      <c r="B55" s="37" t="s">
        <v>39</v>
      </c>
      <c r="C55" s="35"/>
      <c r="D55" s="35"/>
      <c r="E55" s="35"/>
      <c r="F55" s="35"/>
      <c r="G55" s="35"/>
      <c r="H55" s="35"/>
      <c r="I55" s="36"/>
      <c r="L55" s="64"/>
      <c r="M55" s="61"/>
    </row>
    <row r="56" spans="2:15" ht="5.25" customHeight="1">
      <c r="B56" s="37"/>
      <c r="C56" s="35"/>
      <c r="D56" s="35"/>
      <c r="E56" s="35"/>
      <c r="F56" s="35"/>
      <c r="G56" s="35"/>
      <c r="H56" s="35"/>
      <c r="I56" s="36"/>
      <c r="L56" s="64"/>
      <c r="M56" s="61"/>
    </row>
    <row r="57" spans="2:15">
      <c r="B57" s="42" t="s">
        <v>26</v>
      </c>
      <c r="C57" s="35"/>
      <c r="D57" s="35"/>
      <c r="E57" s="35"/>
      <c r="F57" s="35"/>
      <c r="G57" s="35"/>
      <c r="H57" s="35"/>
      <c r="I57" s="46">
        <v>0</v>
      </c>
      <c r="L57" s="64"/>
      <c r="M57" s="61"/>
    </row>
    <row r="58" spans="2:15" ht="14.25" customHeight="1">
      <c r="B58" s="1959" t="s">
        <v>39</v>
      </c>
      <c r="C58" s="1960"/>
      <c r="D58" s="1960"/>
      <c r="E58" s="1960"/>
      <c r="F58" s="1960"/>
      <c r="G58" s="1960"/>
      <c r="H58" s="1960"/>
      <c r="I58" s="48"/>
      <c r="L58" s="64"/>
      <c r="M58" s="61"/>
    </row>
    <row r="59" spans="2:15" ht="12" customHeight="1">
      <c r="B59" s="1943"/>
      <c r="C59" s="1944"/>
      <c r="D59" s="1944"/>
      <c r="E59" s="1944"/>
      <c r="F59" s="1944"/>
      <c r="G59" s="1944"/>
      <c r="H59" s="35"/>
      <c r="I59" s="48"/>
      <c r="L59" s="64"/>
      <c r="M59" s="61"/>
    </row>
    <row r="60" spans="2:15" ht="9.75" customHeight="1">
      <c r="B60" s="37"/>
      <c r="C60" s="35"/>
      <c r="D60" s="35"/>
      <c r="E60" s="35"/>
      <c r="F60" s="35"/>
      <c r="G60" s="35"/>
      <c r="H60" s="35"/>
      <c r="I60" s="36"/>
      <c r="L60" s="64"/>
      <c r="M60" s="64"/>
    </row>
    <row r="61" spans="2:15">
      <c r="B61" s="42" t="s">
        <v>7</v>
      </c>
      <c r="C61" s="35"/>
      <c r="D61" s="35"/>
      <c r="E61" s="35"/>
      <c r="F61" s="35"/>
      <c r="G61" s="35"/>
      <c r="H61" s="35"/>
      <c r="I61" s="46">
        <v>0</v>
      </c>
      <c r="L61" s="64"/>
      <c r="M61" s="64"/>
      <c r="N61" s="64"/>
      <c r="O61" s="64"/>
    </row>
    <row r="62" spans="2:15" ht="12" customHeight="1">
      <c r="B62" s="33"/>
      <c r="C62" s="35"/>
      <c r="D62" s="35"/>
      <c r="E62" s="35"/>
      <c r="F62" s="35"/>
      <c r="G62" s="35"/>
      <c r="H62" s="35"/>
      <c r="I62" s="36"/>
      <c r="L62" s="64"/>
      <c r="M62" s="64"/>
      <c r="N62" s="61"/>
      <c r="O62" s="61"/>
    </row>
    <row r="63" spans="2:15" ht="6" customHeight="1">
      <c r="B63" s="37"/>
      <c r="C63" s="35"/>
      <c r="D63" s="35"/>
      <c r="E63" s="35"/>
      <c r="F63" s="35"/>
      <c r="G63" s="35"/>
      <c r="H63" s="35"/>
      <c r="I63" s="36"/>
      <c r="L63" s="64"/>
      <c r="M63" s="64"/>
      <c r="N63" s="65"/>
      <c r="O63" s="65"/>
    </row>
    <row r="64" spans="2:15">
      <c r="B64" s="42" t="s">
        <v>27</v>
      </c>
      <c r="C64" s="35"/>
      <c r="D64" s="35"/>
      <c r="E64" s="35"/>
      <c r="F64" s="35"/>
      <c r="G64" s="35"/>
      <c r="H64" s="35"/>
      <c r="I64" s="46">
        <v>0</v>
      </c>
      <c r="L64" s="64"/>
      <c r="M64" s="64"/>
      <c r="N64" s="61"/>
      <c r="O64" s="61"/>
    </row>
    <row r="65" spans="2:15" ht="13.5" customHeight="1">
      <c r="B65" s="37" t="s">
        <v>39</v>
      </c>
      <c r="C65" s="35"/>
      <c r="D65" s="35"/>
      <c r="E65" s="35"/>
      <c r="F65" s="35"/>
      <c r="G65" s="35"/>
      <c r="H65" s="35"/>
      <c r="I65" s="47"/>
      <c r="L65" s="64"/>
      <c r="M65" s="64"/>
      <c r="N65" s="65"/>
      <c r="O65" s="65"/>
    </row>
    <row r="66" spans="2:15" ht="3.75" customHeight="1">
      <c r="B66" s="37"/>
      <c r="C66" s="35"/>
      <c r="D66" s="35"/>
      <c r="E66" s="35"/>
      <c r="F66" s="35"/>
      <c r="G66" s="35"/>
      <c r="H66" s="35"/>
      <c r="I66" s="36"/>
      <c r="L66" s="64"/>
      <c r="M66" s="64"/>
      <c r="N66" s="61"/>
      <c r="O66" s="61"/>
    </row>
    <row r="67" spans="2:15">
      <c r="B67" s="42" t="s">
        <v>5</v>
      </c>
      <c r="C67" s="35"/>
      <c r="D67" s="35"/>
      <c r="E67" s="35"/>
      <c r="F67" s="35"/>
      <c r="G67" s="35"/>
      <c r="H67" s="35"/>
      <c r="I67" s="46">
        <v>0</v>
      </c>
      <c r="L67" s="64"/>
      <c r="M67" s="64"/>
      <c r="N67" s="61"/>
      <c r="O67" s="61"/>
    </row>
    <row r="68" spans="2:15" ht="11.25" customHeight="1">
      <c r="B68" s="37" t="s">
        <v>39</v>
      </c>
      <c r="C68" s="35"/>
      <c r="D68" s="35"/>
      <c r="E68" s="35"/>
      <c r="F68" s="35"/>
      <c r="G68" s="35"/>
      <c r="H68" s="35"/>
      <c r="I68" s="47"/>
      <c r="L68" s="64"/>
      <c r="M68" s="64"/>
      <c r="N68" s="64"/>
      <c r="O68" s="64"/>
    </row>
    <row r="69" spans="2:15" ht="4.5" customHeight="1">
      <c r="B69" s="37"/>
      <c r="C69" s="35"/>
      <c r="D69" s="35"/>
      <c r="E69" s="35"/>
      <c r="F69" s="35"/>
      <c r="G69" s="35"/>
      <c r="H69" s="35"/>
      <c r="I69" s="36"/>
      <c r="L69" s="64"/>
      <c r="M69" s="64"/>
      <c r="N69" s="64"/>
      <c r="O69" s="64"/>
    </row>
    <row r="70" spans="2:15">
      <c r="B70" s="42" t="s">
        <v>20</v>
      </c>
      <c r="C70" s="35"/>
      <c r="D70" s="35"/>
      <c r="E70" s="35"/>
      <c r="F70" s="35"/>
      <c r="G70" s="35"/>
      <c r="H70" s="35"/>
      <c r="I70" s="46">
        <v>0</v>
      </c>
      <c r="L70" s="64"/>
      <c r="M70" s="64"/>
      <c r="N70" s="61"/>
      <c r="O70" s="61"/>
    </row>
    <row r="71" spans="2:15" ht="12" customHeight="1">
      <c r="B71" s="37" t="s">
        <v>39</v>
      </c>
      <c r="C71" s="35"/>
      <c r="D71" s="35"/>
      <c r="E71" s="35"/>
      <c r="F71" s="35"/>
      <c r="G71" s="35"/>
      <c r="H71" s="35"/>
      <c r="I71" s="46"/>
      <c r="L71" s="64"/>
      <c r="M71" s="64"/>
      <c r="N71" s="61"/>
      <c r="O71" s="61"/>
    </row>
    <row r="72" spans="2:15" ht="6.75" customHeight="1">
      <c r="B72" s="42"/>
      <c r="C72" s="35"/>
      <c r="D72" s="35"/>
      <c r="E72" s="35"/>
      <c r="F72" s="35"/>
      <c r="G72" s="35"/>
      <c r="H72" s="35"/>
      <c r="I72" s="46"/>
      <c r="L72" s="64"/>
      <c r="M72" s="64"/>
      <c r="N72" s="61"/>
      <c r="O72" s="61"/>
    </row>
    <row r="73" spans="2:15" ht="5.25" customHeight="1">
      <c r="B73" s="40"/>
      <c r="C73" s="35"/>
      <c r="D73" s="35"/>
      <c r="E73" s="35"/>
      <c r="F73" s="35"/>
      <c r="G73" s="35"/>
      <c r="H73" s="35"/>
      <c r="I73" s="36"/>
      <c r="L73" s="64"/>
      <c r="M73" s="64"/>
      <c r="N73" s="64"/>
      <c r="O73" s="64"/>
    </row>
    <row r="74" spans="2:15">
      <c r="B74" s="43" t="s">
        <v>11</v>
      </c>
      <c r="C74" s="44"/>
      <c r="D74" s="44"/>
      <c r="E74" s="44"/>
      <c r="F74" s="44"/>
      <c r="G74" s="44"/>
      <c r="H74" s="44"/>
      <c r="I74" s="52">
        <f>+I70+I67+I64+I61+I57+I54+I49+I45+I42</f>
        <v>1680</v>
      </c>
      <c r="L74" s="64"/>
      <c r="M74" s="64"/>
      <c r="N74" s="64"/>
      <c r="O74" s="64"/>
    </row>
    <row r="97" spans="5:5">
      <c r="E97" s="57"/>
    </row>
    <row r="98" spans="5:5">
      <c r="E98" s="57"/>
    </row>
    <row r="99" spans="5:5">
      <c r="E99" s="57"/>
    </row>
    <row r="100" spans="5:5">
      <c r="E100" s="57"/>
    </row>
    <row r="101" spans="5:5">
      <c r="E101" s="57"/>
    </row>
    <row r="102" spans="5:5">
      <c r="E102" s="57"/>
    </row>
    <row r="104" spans="5:5">
      <c r="E104" s="57"/>
    </row>
    <row r="106" spans="5:5">
      <c r="E106" s="56"/>
    </row>
    <row r="108" spans="5:5">
      <c r="E108" s="57"/>
    </row>
  </sheetData>
  <mergeCells count="11">
    <mergeCell ref="D36:H36"/>
    <mergeCell ref="B46:H46"/>
    <mergeCell ref="B50:H50"/>
    <mergeCell ref="B58:H58"/>
    <mergeCell ref="B59:G59"/>
    <mergeCell ref="D34:H34"/>
    <mergeCell ref="D28:H28"/>
    <mergeCell ref="D30:H30"/>
    <mergeCell ref="D31:H31"/>
    <mergeCell ref="D32:H32"/>
    <mergeCell ref="D33:H33"/>
  </mergeCells>
  <pageMargins left="0.36" right="0.3" top="0.43" bottom="0.64" header="0.28000000000000003" footer="0.36"/>
  <pageSetup scale="71" orientation="portrait" r:id="rId1"/>
  <headerFooter alignWithMargins="0"/>
</worksheet>
</file>

<file path=xl/worksheets/sheet230.xml><?xml version="1.0" encoding="utf-8"?>
<worksheet xmlns="http://schemas.openxmlformats.org/spreadsheetml/2006/main" xmlns:r="http://schemas.openxmlformats.org/officeDocument/2006/relationships">
  <sheetPr>
    <pageSetUpPr fitToPage="1"/>
  </sheetPr>
  <dimension ref="A1:P106"/>
  <sheetViews>
    <sheetView topLeftCell="A19" zoomScale="80" zoomScaleNormal="80" workbookViewId="0">
      <selection activeCell="H6" sqref="H6"/>
    </sheetView>
  </sheetViews>
  <sheetFormatPr defaultRowHeight="12.75"/>
  <cols>
    <col min="1" max="1" width="34.5703125" style="2" customWidth="1"/>
    <col min="2" max="2" width="25.42578125" style="2" customWidth="1"/>
    <col min="3" max="3" width="42.28515625" style="2" customWidth="1"/>
    <col min="4" max="4" width="17.5703125" style="2" customWidth="1"/>
    <col min="5" max="5" width="15.140625" style="2" customWidth="1"/>
    <col min="6" max="6" width="11" style="2" customWidth="1"/>
    <col min="7" max="7" width="16.42578125" style="1360" customWidth="1"/>
    <col min="8" max="8" width="12.5703125" style="2" customWidth="1"/>
    <col min="9" max="10" width="9.140625" style="2"/>
    <col min="11" max="11" width="10.28515625" style="2" bestFit="1" customWidth="1"/>
    <col min="12" max="16384" width="9.140625" style="2"/>
  </cols>
  <sheetData>
    <row r="1" spans="1:7" ht="18.75">
      <c r="A1" s="449" t="s">
        <v>373</v>
      </c>
      <c r="B1" s="457"/>
      <c r="C1" s="457"/>
    </row>
    <row r="2" spans="1:7">
      <c r="B2" s="457"/>
      <c r="C2" s="457"/>
    </row>
    <row r="3" spans="1:7" ht="15.75">
      <c r="A3" s="450" t="s">
        <v>374</v>
      </c>
      <c r="B3" s="457"/>
      <c r="C3" s="457"/>
    </row>
    <row r="4" spans="1:7" ht="21" customHeight="1">
      <c r="A4" s="452" t="s">
        <v>375</v>
      </c>
      <c r="B4" s="452" t="s">
        <v>376</v>
      </c>
      <c r="C4" s="453" t="s">
        <v>377</v>
      </c>
      <c r="D4" s="82"/>
      <c r="E4" s="82"/>
      <c r="F4" s="82"/>
      <c r="G4" s="1361"/>
    </row>
    <row r="5" spans="1:7" ht="21" customHeight="1">
      <c r="A5" s="454" t="s">
        <v>1</v>
      </c>
      <c r="B5" s="454" t="s">
        <v>77</v>
      </c>
      <c r="C5" s="455" t="s">
        <v>378</v>
      </c>
      <c r="D5" s="456"/>
      <c r="E5" s="457"/>
      <c r="F5" s="458"/>
      <c r="G5" s="1362"/>
    </row>
    <row r="6" spans="1:7" ht="21" customHeight="1">
      <c r="A6" s="454" t="s">
        <v>1</v>
      </c>
      <c r="B6" s="454" t="s">
        <v>379</v>
      </c>
      <c r="C6" s="459" t="s">
        <v>1206</v>
      </c>
      <c r="D6" s="456"/>
      <c r="E6" s="457"/>
      <c r="F6" s="458"/>
      <c r="G6" s="1362"/>
    </row>
    <row r="7" spans="1:7" ht="21" customHeight="1">
      <c r="A7" s="454" t="s">
        <v>1</v>
      </c>
      <c r="B7" s="454" t="s">
        <v>381</v>
      </c>
      <c r="C7" s="459">
        <v>5</v>
      </c>
      <c r="D7" s="456"/>
      <c r="E7" s="457"/>
      <c r="F7" s="458"/>
      <c r="G7" s="1362"/>
    </row>
    <row r="8" spans="1:7" ht="21" customHeight="1">
      <c r="A8" s="454" t="s">
        <v>382</v>
      </c>
      <c r="B8" s="454" t="s">
        <v>383</v>
      </c>
      <c r="C8" s="460" t="s">
        <v>1225</v>
      </c>
      <c r="D8" s="461"/>
      <c r="E8" s="457"/>
      <c r="F8" s="457"/>
      <c r="G8" s="1363"/>
    </row>
    <row r="9" spans="1:7" ht="65.25" customHeight="1">
      <c r="A9" s="454" t="s">
        <v>382</v>
      </c>
      <c r="B9" s="454" t="s">
        <v>385</v>
      </c>
      <c r="C9" s="2009" t="s">
        <v>1226</v>
      </c>
      <c r="D9" s="2010"/>
      <c r="E9" s="2010"/>
      <c r="F9" s="2010"/>
      <c r="G9" s="2011"/>
    </row>
    <row r="10" spans="1:7" ht="51.75" customHeight="1">
      <c r="A10" s="454" t="s">
        <v>382</v>
      </c>
      <c r="B10" s="454" t="s">
        <v>387</v>
      </c>
      <c r="C10" s="2009" t="s">
        <v>1227</v>
      </c>
      <c r="D10" s="2010"/>
      <c r="E10" s="2010"/>
      <c r="F10" s="2010"/>
      <c r="G10" s="2011"/>
    </row>
    <row r="11" spans="1:7" ht="51.75" customHeight="1">
      <c r="A11" s="454" t="s">
        <v>382</v>
      </c>
      <c r="B11" s="454" t="s">
        <v>389</v>
      </c>
      <c r="C11" s="2009" t="s">
        <v>1228</v>
      </c>
      <c r="D11" s="2010"/>
      <c r="E11" s="2010"/>
      <c r="F11" s="2010"/>
      <c r="G11" s="2011"/>
    </row>
    <row r="12" spans="1:7" ht="51.75" customHeight="1">
      <c r="A12" s="454" t="s">
        <v>382</v>
      </c>
      <c r="B12" s="454" t="s">
        <v>391</v>
      </c>
      <c r="C12" s="2009" t="s">
        <v>1229</v>
      </c>
      <c r="D12" s="2010"/>
      <c r="E12" s="2010"/>
      <c r="F12" s="2010"/>
      <c r="G12" s="2011"/>
    </row>
    <row r="13" spans="1:7" ht="21" customHeight="1">
      <c r="A13" s="454" t="s">
        <v>382</v>
      </c>
      <c r="B13" s="454" t="s">
        <v>393</v>
      </c>
      <c r="C13" s="455" t="s">
        <v>712</v>
      </c>
      <c r="D13" s="456"/>
      <c r="E13" s="457"/>
      <c r="F13" s="457"/>
      <c r="G13" s="1364"/>
    </row>
    <row r="14" spans="1:7" ht="21" customHeight="1">
      <c r="A14" s="454" t="s">
        <v>382</v>
      </c>
      <c r="B14" s="454" t="s">
        <v>395</v>
      </c>
      <c r="C14" s="1365">
        <v>1</v>
      </c>
      <c r="D14" s="456"/>
      <c r="E14" s="457"/>
      <c r="F14" s="457"/>
      <c r="G14" s="1364"/>
    </row>
    <row r="15" spans="1:7">
      <c r="A15" s="82"/>
      <c r="B15" s="82"/>
      <c r="C15" s="82"/>
      <c r="D15" s="82"/>
      <c r="E15" s="82"/>
      <c r="F15" s="82"/>
      <c r="G15" s="1361"/>
    </row>
    <row r="16" spans="1:7" ht="15.75">
      <c r="A16" s="462" t="s">
        <v>396</v>
      </c>
      <c r="B16" s="463"/>
      <c r="C16" s="464"/>
      <c r="D16" s="49"/>
      <c r="E16" s="89"/>
      <c r="F16" s="89"/>
      <c r="G16" s="1366"/>
    </row>
    <row r="17" spans="1:16" ht="15">
      <c r="A17" s="452" t="s">
        <v>16</v>
      </c>
      <c r="B17" s="453" t="s">
        <v>397</v>
      </c>
      <c r="C17" s="453" t="s">
        <v>398</v>
      </c>
      <c r="D17" s="49"/>
      <c r="E17" s="89"/>
      <c r="F17" s="89"/>
      <c r="G17" s="1366"/>
    </row>
    <row r="18" spans="1:16" ht="15">
      <c r="A18" s="454" t="s">
        <v>0</v>
      </c>
      <c r="B18" s="465">
        <f>SUM(H31:H33)</f>
        <v>529.0141101796404</v>
      </c>
      <c r="C18" s="466">
        <f>B18/C$14</f>
        <v>529.0141101796404</v>
      </c>
      <c r="D18" s="49"/>
      <c r="E18" s="89"/>
      <c r="F18" s="89"/>
      <c r="G18" s="1366"/>
    </row>
    <row r="19" spans="1:16" ht="15">
      <c r="A19" s="454" t="s">
        <v>2</v>
      </c>
      <c r="B19" s="465">
        <f>SUM(H34:H36)</f>
        <v>149.63999999999999</v>
      </c>
      <c r="C19" s="466">
        <f t="shared" ref="C19:C27" si="0">B19/C$14</f>
        <v>149.63999999999999</v>
      </c>
      <c r="D19" s="49"/>
      <c r="E19" s="89"/>
      <c r="F19" s="89"/>
      <c r="G19" s="1366"/>
    </row>
    <row r="20" spans="1:16" ht="15">
      <c r="A20" s="454" t="s">
        <v>3</v>
      </c>
      <c r="B20" s="465">
        <f>SUM(H37:H39)</f>
        <v>90.52</v>
      </c>
      <c r="C20" s="466">
        <f t="shared" si="0"/>
        <v>90.52</v>
      </c>
      <c r="D20" s="49"/>
      <c r="E20" s="89"/>
      <c r="F20" s="89"/>
      <c r="G20" s="1366"/>
    </row>
    <row r="21" spans="1:16" ht="15">
      <c r="A21" s="454" t="s">
        <v>4</v>
      </c>
      <c r="B21" s="465">
        <f>H40</f>
        <v>38.458705508982021</v>
      </c>
      <c r="C21" s="466">
        <f t="shared" si="0"/>
        <v>38.458705508982021</v>
      </c>
      <c r="D21" s="49"/>
    </row>
    <row r="22" spans="1:16" ht="15">
      <c r="A22" s="454" t="s">
        <v>26</v>
      </c>
      <c r="B22" s="465">
        <f>H41</f>
        <v>0</v>
      </c>
      <c r="C22" s="466">
        <f t="shared" si="0"/>
        <v>0</v>
      </c>
      <c r="D22" s="49"/>
    </row>
    <row r="23" spans="1:16" ht="15">
      <c r="A23" s="454" t="s">
        <v>7</v>
      </c>
      <c r="B23" s="465">
        <f>SUM(H42:H44)</f>
        <v>0</v>
      </c>
      <c r="C23" s="466">
        <f t="shared" si="0"/>
        <v>0</v>
      </c>
      <c r="D23" s="49"/>
      <c r="E23" s="89"/>
      <c r="F23" s="89"/>
    </row>
    <row r="24" spans="1:16" ht="15">
      <c r="A24" s="454" t="s">
        <v>27</v>
      </c>
      <c r="B24" s="465">
        <f>SUM(H45:H47)</f>
        <v>0</v>
      </c>
      <c r="C24" s="466">
        <f t="shared" si="0"/>
        <v>0</v>
      </c>
      <c r="D24" s="49"/>
      <c r="E24" s="89"/>
      <c r="F24" s="89"/>
    </row>
    <row r="25" spans="1:16" ht="15">
      <c r="A25" s="454" t="s">
        <v>5</v>
      </c>
      <c r="B25" s="465">
        <f>G48</f>
        <v>0</v>
      </c>
      <c r="C25" s="466">
        <f t="shared" si="0"/>
        <v>0</v>
      </c>
      <c r="D25" s="49"/>
      <c r="E25" s="89"/>
      <c r="F25" s="89"/>
    </row>
    <row r="26" spans="1:16" ht="15">
      <c r="A26" s="454" t="s">
        <v>20</v>
      </c>
      <c r="B26" s="465">
        <f>H48</f>
        <v>0</v>
      </c>
      <c r="C26" s="466">
        <f t="shared" si="0"/>
        <v>0</v>
      </c>
      <c r="D26" s="49"/>
      <c r="E26" s="89"/>
      <c r="F26" s="89"/>
      <c r="G26" s="1366"/>
      <c r="K26" s="1366" t="s">
        <v>622</v>
      </c>
    </row>
    <row r="27" spans="1:16" ht="15">
      <c r="A27" s="454" t="s">
        <v>399</v>
      </c>
      <c r="B27" s="465">
        <f>SUM(B18:B26)</f>
        <v>807.63281568862237</v>
      </c>
      <c r="C27" s="466">
        <f t="shared" si="0"/>
        <v>807.63281568862237</v>
      </c>
      <c r="D27" s="49"/>
      <c r="E27" s="89"/>
      <c r="F27" s="89"/>
      <c r="G27" s="1366"/>
      <c r="K27" s="1366">
        <f>+M29*N29</f>
        <v>2500</v>
      </c>
    </row>
    <row r="28" spans="1:16">
      <c r="A28" s="467"/>
      <c r="B28" s="126"/>
      <c r="C28" s="126"/>
      <c r="D28" s="49"/>
      <c r="E28" s="49"/>
      <c r="F28" s="49"/>
      <c r="G28" s="1366"/>
      <c r="K28" s="2" t="s">
        <v>1230</v>
      </c>
      <c r="L28" s="2" t="s">
        <v>1231</v>
      </c>
      <c r="M28" s="2" t="s">
        <v>1232</v>
      </c>
      <c r="N28" s="2" t="s">
        <v>1233</v>
      </c>
      <c r="O28" s="2" t="s">
        <v>1234</v>
      </c>
      <c r="P28" s="2" t="s">
        <v>1235</v>
      </c>
    </row>
    <row r="29" spans="1:16" ht="15.75">
      <c r="A29" s="468" t="s">
        <v>400</v>
      </c>
      <c r="B29" s="49"/>
      <c r="C29" s="49"/>
      <c r="D29" s="126"/>
      <c r="E29" s="49"/>
      <c r="F29" s="49"/>
      <c r="G29" s="1366"/>
      <c r="K29" s="2">
        <f>50-21</f>
        <v>29</v>
      </c>
      <c r="L29" s="2">
        <v>29</v>
      </c>
      <c r="M29" s="2">
        <f>+K29+L33*L31</f>
        <v>50</v>
      </c>
      <c r="N29" s="2">
        <f>+L29+(L31*L33)</f>
        <v>50</v>
      </c>
      <c r="O29" s="2">
        <f>+(K29+M29)/2</f>
        <v>39.5</v>
      </c>
      <c r="P29" s="2">
        <f>+(L29+N29)/2</f>
        <v>39.5</v>
      </c>
    </row>
    <row r="30" spans="1:16" ht="15">
      <c r="A30" s="452" t="s">
        <v>16</v>
      </c>
      <c r="B30" s="452" t="s">
        <v>401</v>
      </c>
      <c r="C30" s="453" t="s">
        <v>402</v>
      </c>
      <c r="D30" s="453" t="s">
        <v>403</v>
      </c>
      <c r="E30" s="452" t="s">
        <v>46</v>
      </c>
      <c r="F30" s="453" t="s">
        <v>404</v>
      </c>
      <c r="G30" s="1367" t="s">
        <v>405</v>
      </c>
      <c r="H30" s="453" t="s">
        <v>397</v>
      </c>
      <c r="K30" s="1366" t="s">
        <v>1236</v>
      </c>
      <c r="L30" s="2" t="s">
        <v>1237</v>
      </c>
      <c r="M30" s="2" t="s">
        <v>1238</v>
      </c>
    </row>
    <row r="31" spans="1:16" ht="15">
      <c r="A31" s="454" t="s">
        <v>0</v>
      </c>
      <c r="B31" s="470">
        <v>48</v>
      </c>
      <c r="C31" s="470" t="s">
        <v>1218</v>
      </c>
      <c r="D31" s="470" t="s">
        <v>1219</v>
      </c>
      <c r="E31" s="470" t="s">
        <v>949</v>
      </c>
      <c r="F31" s="472">
        <v>1.9887748502994</v>
      </c>
      <c r="G31" s="1369">
        <v>266</v>
      </c>
      <c r="H31" s="474">
        <f>IF(G31&lt;=0, 0, F31*G31)</f>
        <v>529.0141101796404</v>
      </c>
      <c r="K31" s="1366">
        <f>+K29*L29</f>
        <v>841</v>
      </c>
      <c r="L31" s="2">
        <v>3.5</v>
      </c>
      <c r="M31" s="2">
        <f>+L31*K31/27</f>
        <v>109.01851851851852</v>
      </c>
    </row>
    <row r="32" spans="1:16" ht="15">
      <c r="A32" s="454" t="s">
        <v>0</v>
      </c>
      <c r="B32" s="470"/>
      <c r="C32" s="470"/>
      <c r="D32" s="470"/>
      <c r="E32" s="470"/>
      <c r="F32" s="472"/>
      <c r="G32" s="1369"/>
      <c r="H32" s="474">
        <f t="shared" ref="H32:H49" si="1">IF(G32&lt;=0, 0, F32*G32)</f>
        <v>0</v>
      </c>
      <c r="K32" s="89" t="s">
        <v>1239</v>
      </c>
      <c r="L32" s="89" t="s">
        <v>1214</v>
      </c>
    </row>
    <row r="33" spans="1:13" ht="15">
      <c r="A33" s="454" t="s">
        <v>0</v>
      </c>
      <c r="B33" s="470"/>
      <c r="C33" s="470"/>
      <c r="D33" s="471"/>
      <c r="E33" s="471"/>
      <c r="F33" s="472"/>
      <c r="G33" s="1369"/>
      <c r="H33" s="474">
        <f t="shared" si="1"/>
        <v>0</v>
      </c>
      <c r="K33" s="89">
        <f>2*K29+2*L29</f>
        <v>116</v>
      </c>
      <c r="L33" s="89">
        <v>6</v>
      </c>
      <c r="M33" s="2">
        <f>+(L31*L33*L31)/2*K33/27</f>
        <v>157.88888888888889</v>
      </c>
    </row>
    <row r="34" spans="1:13" ht="15">
      <c r="A34" s="454" t="s">
        <v>2</v>
      </c>
      <c r="B34" s="470">
        <v>933</v>
      </c>
      <c r="C34" s="470" t="s">
        <v>987</v>
      </c>
      <c r="D34" s="470" t="s">
        <v>430</v>
      </c>
      <c r="E34" s="470" t="s">
        <v>411</v>
      </c>
      <c r="F34" s="470">
        <v>37.409999999999997</v>
      </c>
      <c r="G34" s="1369">
        <v>4</v>
      </c>
      <c r="H34" s="474">
        <f t="shared" si="1"/>
        <v>149.63999999999999</v>
      </c>
      <c r="K34" s="1366"/>
      <c r="M34" s="2">
        <f>+M33+M31</f>
        <v>266.90740740740739</v>
      </c>
    </row>
    <row r="35" spans="1:13" ht="15">
      <c r="A35" s="454" t="s">
        <v>2</v>
      </c>
      <c r="B35" s="470"/>
      <c r="C35" s="470"/>
      <c r="D35" s="471"/>
      <c r="E35" s="471"/>
      <c r="F35" s="472"/>
      <c r="G35" s="1369"/>
      <c r="H35" s="474">
        <f t="shared" si="1"/>
        <v>0</v>
      </c>
    </row>
    <row r="36" spans="1:13" ht="15">
      <c r="A36" s="454" t="s">
        <v>2</v>
      </c>
      <c r="B36" s="470"/>
      <c r="C36" s="470"/>
      <c r="D36" s="471"/>
      <c r="E36" s="471"/>
      <c r="F36" s="472"/>
      <c r="G36" s="1369"/>
      <c r="H36" s="474">
        <f t="shared" si="1"/>
        <v>0</v>
      </c>
    </row>
    <row r="37" spans="1:13" ht="15">
      <c r="A37" s="454" t="s">
        <v>3</v>
      </c>
      <c r="B37" s="470">
        <v>232</v>
      </c>
      <c r="C37" s="470" t="s">
        <v>790</v>
      </c>
      <c r="D37" s="470" t="s">
        <v>1106</v>
      </c>
      <c r="E37" s="470" t="s">
        <v>411</v>
      </c>
      <c r="F37" s="470">
        <v>22.63</v>
      </c>
      <c r="G37" s="1369">
        <v>4</v>
      </c>
      <c r="H37" s="474">
        <f t="shared" si="1"/>
        <v>90.52</v>
      </c>
    </row>
    <row r="38" spans="1:13" ht="15">
      <c r="A38" s="454" t="s">
        <v>3</v>
      </c>
      <c r="B38" s="470"/>
      <c r="C38" s="470"/>
      <c r="D38" s="470"/>
      <c r="E38" s="470"/>
      <c r="F38" s="470"/>
      <c r="G38" s="1369"/>
      <c r="H38" s="474">
        <f t="shared" si="1"/>
        <v>0</v>
      </c>
    </row>
    <row r="39" spans="1:13" ht="15">
      <c r="A39" s="454" t="s">
        <v>3</v>
      </c>
      <c r="B39" s="470"/>
      <c r="C39" s="470"/>
      <c r="D39" s="471"/>
      <c r="E39" s="471"/>
      <c r="F39" s="472"/>
      <c r="G39" s="1369"/>
      <c r="H39" s="474">
        <f t="shared" si="1"/>
        <v>0</v>
      </c>
    </row>
    <row r="40" spans="1:13" ht="15">
      <c r="A40" s="454" t="s">
        <v>4</v>
      </c>
      <c r="B40" s="470">
        <v>1043</v>
      </c>
      <c r="C40" s="470" t="s">
        <v>4</v>
      </c>
      <c r="D40" s="471"/>
      <c r="E40" s="471"/>
      <c r="F40" s="481">
        <v>0.05</v>
      </c>
      <c r="G40" s="1369">
        <f>SUM(H31:H39)</f>
        <v>769.17411017964037</v>
      </c>
      <c r="H40" s="474">
        <f t="shared" si="1"/>
        <v>38.458705508982021</v>
      </c>
    </row>
    <row r="41" spans="1:13" ht="16.5" customHeight="1">
      <c r="A41" s="454" t="s">
        <v>419</v>
      </c>
      <c r="B41" s="470"/>
      <c r="C41" s="470"/>
      <c r="D41" s="471"/>
      <c r="E41" s="471"/>
      <c r="F41" s="481"/>
      <c r="G41" s="1369"/>
      <c r="H41" s="474">
        <f t="shared" si="1"/>
        <v>0</v>
      </c>
    </row>
    <row r="42" spans="1:13" ht="15">
      <c r="A42" s="454" t="s">
        <v>7</v>
      </c>
      <c r="B42" s="470"/>
      <c r="C42" s="470"/>
      <c r="D42" s="471"/>
      <c r="E42" s="471"/>
      <c r="F42" s="472"/>
      <c r="G42" s="1369"/>
      <c r="H42" s="474">
        <f t="shared" si="1"/>
        <v>0</v>
      </c>
    </row>
    <row r="43" spans="1:13" ht="15">
      <c r="A43" s="454" t="s">
        <v>7</v>
      </c>
      <c r="B43" s="470"/>
      <c r="C43" s="470"/>
      <c r="D43" s="471"/>
      <c r="E43" s="471"/>
      <c r="F43" s="472"/>
      <c r="G43" s="1369"/>
      <c r="H43" s="474">
        <f t="shared" si="1"/>
        <v>0</v>
      </c>
    </row>
    <row r="44" spans="1:13" ht="15">
      <c r="A44" s="454" t="s">
        <v>7</v>
      </c>
      <c r="B44" s="470"/>
      <c r="C44" s="470"/>
      <c r="D44" s="471"/>
      <c r="E44" s="471"/>
      <c r="F44" s="472"/>
      <c r="G44" s="1369"/>
      <c r="H44" s="474">
        <f t="shared" si="1"/>
        <v>0</v>
      </c>
    </row>
    <row r="45" spans="1:13" ht="15">
      <c r="A45" s="454" t="s">
        <v>421</v>
      </c>
      <c r="B45" s="470"/>
      <c r="C45" s="470"/>
      <c r="D45" s="471"/>
      <c r="E45" s="471"/>
      <c r="F45" s="472"/>
      <c r="G45" s="1369"/>
      <c r="H45" s="474">
        <f t="shared" si="1"/>
        <v>0</v>
      </c>
    </row>
    <row r="46" spans="1:13" ht="15">
      <c r="A46" s="454" t="s">
        <v>421</v>
      </c>
      <c r="B46" s="470"/>
      <c r="C46" s="470"/>
      <c r="D46" s="471"/>
      <c r="E46" s="471"/>
      <c r="F46" s="472"/>
      <c r="G46" s="1369"/>
      <c r="H46" s="474">
        <f t="shared" si="1"/>
        <v>0</v>
      </c>
    </row>
    <row r="47" spans="1:13" ht="15">
      <c r="A47" s="454" t="s">
        <v>421</v>
      </c>
      <c r="B47" s="470"/>
      <c r="C47" s="470"/>
      <c r="D47" s="471"/>
      <c r="E47" s="471"/>
      <c r="F47" s="472"/>
      <c r="G47" s="1369"/>
      <c r="H47" s="474">
        <f t="shared" si="1"/>
        <v>0</v>
      </c>
    </row>
    <row r="48" spans="1:13" ht="15">
      <c r="A48" s="454" t="s">
        <v>5</v>
      </c>
      <c r="B48" s="470"/>
      <c r="C48" s="470"/>
      <c r="D48" s="471"/>
      <c r="E48" s="471"/>
      <c r="F48" s="472"/>
      <c r="G48" s="1369"/>
      <c r="H48" s="474">
        <f t="shared" si="1"/>
        <v>0</v>
      </c>
    </row>
    <row r="49" spans="1:8" ht="15">
      <c r="A49" s="454" t="s">
        <v>20</v>
      </c>
      <c r="B49" s="470"/>
      <c r="C49" s="470"/>
      <c r="D49" s="471"/>
      <c r="E49" s="471"/>
      <c r="F49" s="472"/>
      <c r="G49" s="1369"/>
      <c r="H49" s="474">
        <f t="shared" si="1"/>
        <v>0</v>
      </c>
    </row>
    <row r="50" spans="1:8">
      <c r="A50" s="82"/>
      <c r="B50" s="82"/>
      <c r="C50" s="82"/>
      <c r="D50" s="82"/>
      <c r="E50" s="82"/>
      <c r="F50" s="82"/>
      <c r="G50" s="1361"/>
    </row>
    <row r="51" spans="1:8">
      <c r="A51" s="82"/>
      <c r="B51" s="82"/>
      <c r="C51" s="82"/>
      <c r="D51" s="82"/>
      <c r="E51" s="82"/>
      <c r="F51" s="82"/>
      <c r="G51" s="1361"/>
    </row>
    <row r="52" spans="1:8">
      <c r="A52" s="82"/>
      <c r="B52" s="82"/>
      <c r="C52" s="82"/>
      <c r="D52" s="82"/>
      <c r="E52" s="82"/>
      <c r="F52" s="82"/>
      <c r="G52" s="1361"/>
    </row>
    <row r="53" spans="1:8">
      <c r="A53" s="82"/>
      <c r="B53" s="82"/>
      <c r="C53" s="82"/>
      <c r="D53" s="82"/>
      <c r="E53" s="82"/>
      <c r="F53" s="82"/>
      <c r="G53" s="1361"/>
    </row>
    <row r="54" spans="1:8">
      <c r="A54" s="82"/>
      <c r="B54" s="82"/>
      <c r="C54" s="82"/>
      <c r="D54" s="82"/>
      <c r="E54" s="82"/>
      <c r="F54" s="82"/>
      <c r="G54" s="1361"/>
    </row>
    <row r="55" spans="1:8">
      <c r="A55" s="82"/>
      <c r="B55" s="82"/>
      <c r="C55" s="82"/>
      <c r="D55" s="82"/>
      <c r="E55" s="82"/>
      <c r="F55" s="82"/>
      <c r="G55" s="1361"/>
    </row>
    <row r="56" spans="1:8">
      <c r="A56" s="82"/>
      <c r="B56" s="82"/>
      <c r="C56" s="82"/>
      <c r="D56" s="82"/>
      <c r="E56" s="82"/>
      <c r="F56" s="82"/>
      <c r="G56" s="1361"/>
    </row>
    <row r="57" spans="1:8">
      <c r="A57" s="82"/>
      <c r="B57" s="82"/>
      <c r="C57" s="82"/>
      <c r="D57" s="82"/>
      <c r="E57" s="82"/>
      <c r="F57" s="82"/>
      <c r="G57" s="1361"/>
    </row>
    <row r="58" spans="1:8">
      <c r="A58" s="82"/>
      <c r="B58" s="82"/>
      <c r="C58" s="82"/>
      <c r="D58" s="82"/>
      <c r="E58" s="82"/>
      <c r="F58" s="82"/>
      <c r="G58" s="1361"/>
    </row>
    <row r="59" spans="1:8">
      <c r="A59" s="82"/>
      <c r="B59" s="82"/>
      <c r="C59" s="82"/>
      <c r="D59" s="82"/>
      <c r="E59" s="82"/>
      <c r="F59" s="82"/>
      <c r="G59" s="1361"/>
    </row>
    <row r="60" spans="1:8">
      <c r="A60" s="82"/>
      <c r="B60" s="82"/>
      <c r="C60" s="82"/>
      <c r="D60" s="82"/>
      <c r="E60" s="82"/>
      <c r="F60" s="82"/>
      <c r="G60" s="1361"/>
    </row>
    <row r="61" spans="1:8">
      <c r="A61" s="82"/>
      <c r="B61" s="82"/>
      <c r="C61" s="82"/>
      <c r="D61" s="82"/>
      <c r="E61" s="82"/>
      <c r="F61" s="82"/>
      <c r="G61" s="1361"/>
    </row>
    <row r="62" spans="1:8">
      <c r="A62" s="82"/>
      <c r="B62" s="82"/>
      <c r="C62" s="82"/>
      <c r="D62" s="82"/>
      <c r="E62" s="82"/>
      <c r="F62" s="82"/>
      <c r="G62" s="1361"/>
    </row>
    <row r="63" spans="1:8">
      <c r="A63" s="82"/>
      <c r="B63" s="82"/>
      <c r="C63" s="82"/>
      <c r="D63" s="82"/>
      <c r="E63" s="82"/>
      <c r="F63" s="82"/>
      <c r="G63" s="1361"/>
    </row>
    <row r="64" spans="1:8">
      <c r="A64" s="82"/>
      <c r="B64" s="82"/>
      <c r="C64" s="82"/>
      <c r="D64" s="82"/>
      <c r="E64" s="82"/>
      <c r="F64" s="82"/>
      <c r="G64" s="1361"/>
    </row>
    <row r="65" spans="1:7">
      <c r="A65" s="82"/>
      <c r="B65" s="82"/>
      <c r="C65" s="82"/>
      <c r="D65" s="82"/>
      <c r="E65" s="82"/>
      <c r="F65" s="82"/>
      <c r="G65" s="1361"/>
    </row>
    <row r="66" spans="1:7">
      <c r="A66" s="82"/>
      <c r="B66" s="82"/>
      <c r="C66" s="82"/>
      <c r="D66" s="82"/>
      <c r="E66" s="82"/>
      <c r="F66" s="82"/>
      <c r="G66" s="1361"/>
    </row>
    <row r="67" spans="1:7">
      <c r="A67" s="82"/>
      <c r="B67" s="82"/>
      <c r="C67" s="82"/>
      <c r="D67" s="82"/>
      <c r="E67" s="82"/>
      <c r="F67" s="82"/>
      <c r="G67" s="1361"/>
    </row>
    <row r="68" spans="1:7">
      <c r="A68" s="82"/>
      <c r="B68" s="82"/>
      <c r="C68" s="82"/>
      <c r="D68" s="82"/>
      <c r="E68" s="82"/>
      <c r="F68" s="82"/>
      <c r="G68" s="1361"/>
    </row>
    <row r="69" spans="1:7">
      <c r="A69" s="82"/>
      <c r="B69" s="82"/>
      <c r="C69" s="82"/>
      <c r="D69" s="82"/>
      <c r="E69" s="82"/>
      <c r="F69" s="82"/>
      <c r="G69" s="1361"/>
    </row>
    <row r="70" spans="1:7">
      <c r="A70" s="82"/>
      <c r="B70" s="82"/>
      <c r="C70" s="82"/>
      <c r="D70" s="82"/>
      <c r="E70" s="82"/>
      <c r="F70" s="82"/>
      <c r="G70" s="1361"/>
    </row>
    <row r="71" spans="1:7">
      <c r="A71" s="82"/>
      <c r="B71" s="82"/>
      <c r="C71" s="82"/>
      <c r="D71" s="82"/>
      <c r="E71" s="82"/>
      <c r="F71" s="82"/>
      <c r="G71" s="1361"/>
    </row>
    <row r="72" spans="1:7">
      <c r="A72" s="82"/>
      <c r="B72" s="82"/>
      <c r="C72" s="82"/>
      <c r="D72" s="82"/>
      <c r="E72" s="82"/>
      <c r="F72" s="82"/>
      <c r="G72" s="1361"/>
    </row>
    <row r="73" spans="1:7">
      <c r="A73" s="82"/>
      <c r="B73" s="82"/>
      <c r="C73" s="82"/>
      <c r="D73" s="82"/>
      <c r="E73" s="82"/>
      <c r="F73" s="82"/>
      <c r="G73" s="1361"/>
    </row>
    <row r="74" spans="1:7">
      <c r="A74" s="82"/>
      <c r="B74" s="82"/>
      <c r="C74" s="82"/>
      <c r="D74" s="82"/>
      <c r="E74" s="82"/>
      <c r="F74" s="82"/>
      <c r="G74" s="1361"/>
    </row>
    <row r="75" spans="1:7">
      <c r="A75" s="82"/>
      <c r="B75" s="82"/>
      <c r="C75" s="82"/>
      <c r="D75" s="82"/>
      <c r="E75" s="82"/>
      <c r="F75" s="82"/>
      <c r="G75" s="1361"/>
    </row>
    <row r="76" spans="1:7">
      <c r="A76" s="82"/>
      <c r="B76" s="82"/>
      <c r="C76" s="82"/>
      <c r="D76" s="82"/>
      <c r="E76" s="82"/>
      <c r="F76" s="82"/>
      <c r="G76" s="1361"/>
    </row>
    <row r="77" spans="1:7">
      <c r="A77" s="82"/>
      <c r="B77" s="82"/>
      <c r="C77" s="82"/>
      <c r="D77" s="82"/>
      <c r="E77" s="82"/>
      <c r="F77" s="82"/>
      <c r="G77" s="1361"/>
    </row>
    <row r="78" spans="1:7">
      <c r="A78" s="82"/>
      <c r="B78" s="82"/>
      <c r="C78" s="82"/>
      <c r="D78" s="82"/>
      <c r="E78" s="82"/>
      <c r="F78" s="82"/>
      <c r="G78" s="1361"/>
    </row>
    <row r="79" spans="1:7">
      <c r="A79" s="82"/>
      <c r="B79" s="82"/>
      <c r="C79" s="82"/>
      <c r="D79" s="82"/>
      <c r="E79" s="82"/>
      <c r="F79" s="82"/>
      <c r="G79" s="1361"/>
    </row>
    <row r="80" spans="1:7">
      <c r="A80" s="82"/>
      <c r="B80" s="82"/>
      <c r="C80" s="82"/>
      <c r="D80" s="82"/>
      <c r="E80" s="82"/>
      <c r="F80" s="82"/>
      <c r="G80" s="1361"/>
    </row>
    <row r="81" spans="1:7">
      <c r="A81" s="82"/>
      <c r="B81" s="82"/>
      <c r="C81" s="82"/>
      <c r="D81" s="82"/>
      <c r="E81" s="82"/>
      <c r="F81" s="82"/>
      <c r="G81" s="1361"/>
    </row>
    <row r="82" spans="1:7">
      <c r="A82" s="82"/>
      <c r="B82" s="82"/>
      <c r="C82" s="82"/>
      <c r="D82" s="82"/>
      <c r="E82" s="82"/>
      <c r="F82" s="82"/>
      <c r="G82" s="1361"/>
    </row>
    <row r="83" spans="1:7">
      <c r="A83" s="82"/>
      <c r="B83" s="82"/>
      <c r="C83" s="82"/>
      <c r="D83" s="82"/>
      <c r="E83" s="82"/>
      <c r="F83" s="82"/>
      <c r="G83" s="1361"/>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6" orientation="portrait" r:id="rId1"/>
  <headerFooter alignWithMargins="0"/>
</worksheet>
</file>

<file path=xl/worksheets/sheet231.xml><?xml version="1.0" encoding="utf-8"?>
<worksheet xmlns="http://schemas.openxmlformats.org/spreadsheetml/2006/main" xmlns:r="http://schemas.openxmlformats.org/officeDocument/2006/relationships">
  <sheetPr>
    <pageSetUpPr fitToPage="1"/>
  </sheetPr>
  <dimension ref="A1:M106"/>
  <sheetViews>
    <sheetView topLeftCell="A4" zoomScale="80" zoomScaleNormal="80" workbookViewId="0">
      <selection activeCell="H6" sqref="H6"/>
    </sheetView>
  </sheetViews>
  <sheetFormatPr defaultRowHeight="12.75"/>
  <cols>
    <col min="1" max="1" width="34.5703125" style="2" customWidth="1"/>
    <col min="2" max="2" width="25.42578125" style="2" customWidth="1"/>
    <col min="3" max="3" width="42.28515625" style="2" customWidth="1"/>
    <col min="4" max="4" width="17.5703125" style="2" customWidth="1"/>
    <col min="5" max="5" width="15.140625" style="2" customWidth="1"/>
    <col min="6" max="6" width="11" style="2" customWidth="1"/>
    <col min="7" max="7" width="16.42578125" style="1360" customWidth="1"/>
    <col min="8" max="8" width="11.1406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1361"/>
    </row>
    <row r="5" spans="1:7" ht="21" customHeight="1">
      <c r="A5" s="454" t="s">
        <v>1</v>
      </c>
      <c r="B5" s="454" t="s">
        <v>77</v>
      </c>
      <c r="C5" s="455" t="s">
        <v>378</v>
      </c>
      <c r="D5" s="456"/>
      <c r="E5" s="457"/>
      <c r="F5" s="458"/>
      <c r="G5" s="1362"/>
    </row>
    <row r="6" spans="1:7" ht="21" customHeight="1">
      <c r="A6" s="454" t="s">
        <v>1</v>
      </c>
      <c r="B6" s="454" t="s">
        <v>379</v>
      </c>
      <c r="C6" s="459" t="s">
        <v>1206</v>
      </c>
      <c r="D6" s="456"/>
      <c r="E6" s="457"/>
      <c r="F6" s="458"/>
      <c r="G6" s="1362"/>
    </row>
    <row r="7" spans="1:7" ht="21" customHeight="1">
      <c r="A7" s="454" t="s">
        <v>1</v>
      </c>
      <c r="B7" s="454" t="s">
        <v>381</v>
      </c>
      <c r="C7" s="459">
        <v>5</v>
      </c>
      <c r="D7" s="456"/>
      <c r="E7" s="457"/>
      <c r="F7" s="458"/>
      <c r="G7" s="1362"/>
    </row>
    <row r="8" spans="1:7" ht="21" customHeight="1">
      <c r="A8" s="454" t="s">
        <v>382</v>
      </c>
      <c r="B8" s="454" t="s">
        <v>383</v>
      </c>
      <c r="C8" s="460" t="s">
        <v>1240</v>
      </c>
      <c r="D8" s="461"/>
      <c r="E8" s="457"/>
      <c r="F8" s="457"/>
      <c r="G8" s="1363"/>
    </row>
    <row r="9" spans="1:7" ht="68.25" customHeight="1">
      <c r="A9" s="454" t="s">
        <v>382</v>
      </c>
      <c r="B9" s="454" t="s">
        <v>385</v>
      </c>
      <c r="C9" s="2009" t="s">
        <v>1241</v>
      </c>
      <c r="D9" s="2010"/>
      <c r="E9" s="2010"/>
      <c r="F9" s="2010"/>
      <c r="G9" s="2011"/>
    </row>
    <row r="10" spans="1:7" ht="51.75" customHeight="1">
      <c r="A10" s="454" t="s">
        <v>382</v>
      </c>
      <c r="B10" s="454" t="s">
        <v>387</v>
      </c>
      <c r="C10" s="2009" t="s">
        <v>1242</v>
      </c>
      <c r="D10" s="2010"/>
      <c r="E10" s="2010"/>
      <c r="F10" s="2010"/>
      <c r="G10" s="2011"/>
    </row>
    <row r="11" spans="1:7" ht="51.75" customHeight="1">
      <c r="A11" s="454" t="s">
        <v>382</v>
      </c>
      <c r="B11" s="454" t="s">
        <v>389</v>
      </c>
      <c r="C11" s="2009" t="s">
        <v>1243</v>
      </c>
      <c r="D11" s="2010"/>
      <c r="E11" s="2010"/>
      <c r="F11" s="2010"/>
      <c r="G11" s="2011"/>
    </row>
    <row r="12" spans="1:7" ht="51.75" customHeight="1">
      <c r="A12" s="454" t="s">
        <v>382</v>
      </c>
      <c r="B12" s="454" t="s">
        <v>391</v>
      </c>
      <c r="C12" s="2009" t="s">
        <v>1229</v>
      </c>
      <c r="D12" s="2010"/>
      <c r="E12" s="2010"/>
      <c r="F12" s="2010"/>
      <c r="G12" s="2011"/>
    </row>
    <row r="13" spans="1:7" ht="21" customHeight="1">
      <c r="A13" s="454" t="s">
        <v>382</v>
      </c>
      <c r="B13" s="454" t="s">
        <v>393</v>
      </c>
      <c r="C13" s="455" t="s">
        <v>619</v>
      </c>
      <c r="D13" s="456"/>
      <c r="E13" s="457"/>
      <c r="F13" s="457"/>
      <c r="G13" s="1364"/>
    </row>
    <row r="14" spans="1:7" ht="21" customHeight="1">
      <c r="A14" s="454" t="s">
        <v>382</v>
      </c>
      <c r="B14" s="454" t="s">
        <v>395</v>
      </c>
      <c r="C14" s="459">
        <v>1</v>
      </c>
      <c r="D14" s="456"/>
      <c r="E14" s="457"/>
      <c r="F14" s="457"/>
      <c r="G14" s="1364"/>
    </row>
    <row r="15" spans="1:7">
      <c r="A15" s="82"/>
      <c r="B15" s="82"/>
      <c r="C15" s="82"/>
      <c r="D15" s="82"/>
      <c r="E15" s="82"/>
      <c r="F15" s="82"/>
      <c r="G15" s="1361"/>
    </row>
    <row r="16" spans="1:7" ht="15.75">
      <c r="A16" s="462" t="s">
        <v>396</v>
      </c>
      <c r="B16" s="463"/>
      <c r="C16" s="464"/>
      <c r="D16" s="49"/>
      <c r="E16" s="89"/>
      <c r="F16" s="89"/>
      <c r="G16" s="1366"/>
    </row>
    <row r="17" spans="1:13" ht="15">
      <c r="A17" s="452" t="s">
        <v>16</v>
      </c>
      <c r="B17" s="453" t="s">
        <v>397</v>
      </c>
      <c r="C17" s="453" t="s">
        <v>398</v>
      </c>
      <c r="D17" s="49"/>
      <c r="E17" s="89"/>
      <c r="F17" s="89"/>
      <c r="G17" s="1366"/>
    </row>
    <row r="18" spans="1:13" ht="15">
      <c r="A18" s="454" t="s">
        <v>0</v>
      </c>
      <c r="B18" s="465">
        <f>SUM(H31:H33)</f>
        <v>2139.9217389221544</v>
      </c>
      <c r="C18" s="466">
        <f>B18/C$14</f>
        <v>2139.9217389221544</v>
      </c>
      <c r="D18" s="49"/>
      <c r="E18" s="89"/>
      <c r="F18" s="89"/>
      <c r="G18" s="1366"/>
    </row>
    <row r="19" spans="1:13" ht="15">
      <c r="A19" s="454" t="s">
        <v>2</v>
      </c>
      <c r="B19" s="465">
        <f>SUM(H34:H36)</f>
        <v>598.55999999999995</v>
      </c>
      <c r="C19" s="466">
        <f t="shared" ref="C19:C27" si="0">B19/C$14</f>
        <v>598.55999999999995</v>
      </c>
      <c r="D19" s="49"/>
      <c r="E19" s="89"/>
      <c r="F19" s="89"/>
      <c r="G19" s="1366"/>
    </row>
    <row r="20" spans="1:13" ht="15">
      <c r="A20" s="454" t="s">
        <v>3</v>
      </c>
      <c r="B20" s="465">
        <f>SUM(H37:H39)</f>
        <v>362.08</v>
      </c>
      <c r="C20" s="466">
        <f t="shared" si="0"/>
        <v>362.08</v>
      </c>
      <c r="D20" s="49"/>
      <c r="E20" s="89"/>
      <c r="F20" s="89"/>
      <c r="G20" s="1366"/>
    </row>
    <row r="21" spans="1:13" ht="15">
      <c r="A21" s="454" t="s">
        <v>4</v>
      </c>
      <c r="B21" s="465">
        <f>H40</f>
        <v>155.02808694610772</v>
      </c>
      <c r="C21" s="466">
        <f t="shared" si="0"/>
        <v>155.02808694610772</v>
      </c>
      <c r="D21" s="49"/>
      <c r="E21" s="89"/>
      <c r="F21" s="89"/>
      <c r="G21" s="1366"/>
    </row>
    <row r="22" spans="1:13" ht="15">
      <c r="A22" s="454" t="s">
        <v>26</v>
      </c>
      <c r="B22" s="465">
        <f>H41</f>
        <v>0</v>
      </c>
      <c r="C22" s="466">
        <f t="shared" si="0"/>
        <v>0</v>
      </c>
      <c r="D22" s="49"/>
      <c r="E22" s="89"/>
      <c r="F22" s="89"/>
      <c r="G22" s="1366"/>
    </row>
    <row r="23" spans="1:13" ht="15">
      <c r="A23" s="454" t="s">
        <v>7</v>
      </c>
      <c r="B23" s="465">
        <f>SUM(H42:H44)</f>
        <v>0</v>
      </c>
      <c r="C23" s="466">
        <f t="shared" si="0"/>
        <v>0</v>
      </c>
      <c r="D23" s="49"/>
      <c r="E23" s="89"/>
      <c r="F23" s="89"/>
      <c r="G23" s="1366"/>
    </row>
    <row r="24" spans="1:13" ht="15">
      <c r="A24" s="454" t="s">
        <v>27</v>
      </c>
      <c r="B24" s="465">
        <f>SUM(H45:H47)</f>
        <v>0</v>
      </c>
      <c r="C24" s="466">
        <f t="shared" si="0"/>
        <v>0</v>
      </c>
      <c r="D24" s="49"/>
      <c r="E24" s="89"/>
      <c r="F24" s="89"/>
      <c r="G24" s="1366"/>
    </row>
    <row r="25" spans="1:13" ht="15">
      <c r="A25" s="454" t="s">
        <v>5</v>
      </c>
      <c r="B25" s="465">
        <f>G48</f>
        <v>0</v>
      </c>
      <c r="C25" s="466">
        <f t="shared" si="0"/>
        <v>0</v>
      </c>
      <c r="D25" s="49"/>
      <c r="E25" s="89"/>
      <c r="F25" s="89"/>
      <c r="G25" s="1366"/>
    </row>
    <row r="26" spans="1:13" ht="15">
      <c r="A26" s="454" t="s">
        <v>20</v>
      </c>
      <c r="B26" s="465">
        <f>H48</f>
        <v>0</v>
      </c>
      <c r="C26" s="466">
        <f t="shared" si="0"/>
        <v>0</v>
      </c>
      <c r="D26" s="49"/>
      <c r="E26" s="89"/>
      <c r="F26" s="89"/>
      <c r="G26" s="1366"/>
    </row>
    <row r="27" spans="1:13" ht="15">
      <c r="A27" s="454" t="s">
        <v>399</v>
      </c>
      <c r="B27" s="465">
        <f>SUM(B18:B26)</f>
        <v>3255.5898258682619</v>
      </c>
      <c r="C27" s="466">
        <f t="shared" si="0"/>
        <v>3255.5898258682619</v>
      </c>
      <c r="D27" s="49"/>
      <c r="E27" s="89"/>
      <c r="F27" s="89"/>
      <c r="G27" s="1366"/>
    </row>
    <row r="28" spans="1:13">
      <c r="A28" s="467"/>
      <c r="B28" s="126"/>
      <c r="C28" s="126"/>
      <c r="D28" s="49"/>
      <c r="E28" s="49"/>
      <c r="F28" s="49"/>
      <c r="G28" s="1366"/>
    </row>
    <row r="29" spans="1:13" ht="15.75">
      <c r="A29" s="468" t="s">
        <v>400</v>
      </c>
      <c r="B29" s="49"/>
      <c r="C29" s="49"/>
      <c r="D29" s="126"/>
      <c r="E29" s="49"/>
      <c r="F29" s="49"/>
      <c r="G29" s="1366"/>
    </row>
    <row r="30" spans="1:13" ht="15">
      <c r="A30" s="452" t="s">
        <v>16</v>
      </c>
      <c r="B30" s="452" t="s">
        <v>401</v>
      </c>
      <c r="C30" s="453" t="s">
        <v>402</v>
      </c>
      <c r="D30" s="453" t="s">
        <v>403</v>
      </c>
      <c r="E30" s="452" t="s">
        <v>46</v>
      </c>
      <c r="F30" s="453" t="s">
        <v>404</v>
      </c>
      <c r="G30" s="1367" t="s">
        <v>405</v>
      </c>
      <c r="H30" s="453" t="s">
        <v>397</v>
      </c>
      <c r="K30" s="1366">
        <v>6</v>
      </c>
      <c r="L30" s="2">
        <v>416</v>
      </c>
      <c r="M30" s="2">
        <f>+L30*K30/27</f>
        <v>92.444444444444443</v>
      </c>
    </row>
    <row r="31" spans="1:13" ht="15">
      <c r="A31" s="454" t="s">
        <v>0</v>
      </c>
      <c r="B31" s="470">
        <v>48</v>
      </c>
      <c r="C31" s="470" t="s">
        <v>1218</v>
      </c>
      <c r="D31" s="470" t="s">
        <v>1219</v>
      </c>
      <c r="E31" s="470" t="s">
        <v>949</v>
      </c>
      <c r="F31" s="472">
        <v>1.9887748502994</v>
      </c>
      <c r="G31" s="1369">
        <v>1076</v>
      </c>
      <c r="H31" s="474">
        <f>IF(G31&lt;=0, 0, F31*G31)</f>
        <v>2139.9217389221544</v>
      </c>
      <c r="K31" s="1366">
        <v>43560</v>
      </c>
      <c r="L31" s="2">
        <v>1</v>
      </c>
      <c r="M31" s="2">
        <f>+L31*K31/27</f>
        <v>1613.3333333333333</v>
      </c>
    </row>
    <row r="32" spans="1:13" ht="15">
      <c r="A32" s="454" t="s">
        <v>0</v>
      </c>
      <c r="B32" s="470"/>
      <c r="C32" s="470"/>
      <c r="D32" s="470"/>
      <c r="E32" s="470"/>
      <c r="F32" s="472"/>
      <c r="G32" s="1369"/>
      <c r="H32" s="474">
        <f t="shared" ref="H32:H49" si="1">IF(G32&lt;=0, 0, F32*G32)</f>
        <v>0</v>
      </c>
      <c r="K32" s="1366"/>
      <c r="M32" s="2">
        <f>+M31+M30</f>
        <v>1705.7777777777776</v>
      </c>
    </row>
    <row r="33" spans="1:8" ht="15">
      <c r="A33" s="454" t="s">
        <v>0</v>
      </c>
      <c r="B33" s="470"/>
      <c r="C33" s="470"/>
      <c r="D33" s="471"/>
      <c r="E33" s="471"/>
      <c r="F33" s="472"/>
      <c r="G33" s="1369"/>
      <c r="H33" s="474">
        <f t="shared" si="1"/>
        <v>0</v>
      </c>
    </row>
    <row r="34" spans="1:8" ht="15">
      <c r="A34" s="454" t="s">
        <v>2</v>
      </c>
      <c r="B34" s="470">
        <v>933</v>
      </c>
      <c r="C34" s="470" t="s">
        <v>987</v>
      </c>
      <c r="D34" s="470" t="s">
        <v>430</v>
      </c>
      <c r="E34" s="470" t="s">
        <v>411</v>
      </c>
      <c r="F34" s="470">
        <v>37.409999999999997</v>
      </c>
      <c r="G34" s="1369">
        <v>16</v>
      </c>
      <c r="H34" s="474">
        <f t="shared" si="1"/>
        <v>598.55999999999995</v>
      </c>
    </row>
    <row r="35" spans="1:8" ht="15">
      <c r="A35" s="454" t="s">
        <v>2</v>
      </c>
      <c r="B35" s="470"/>
      <c r="C35" s="470"/>
      <c r="D35" s="471"/>
      <c r="E35" s="471"/>
      <c r="F35" s="472"/>
      <c r="G35" s="1369"/>
      <c r="H35" s="474">
        <f t="shared" si="1"/>
        <v>0</v>
      </c>
    </row>
    <row r="36" spans="1:8" ht="15">
      <c r="A36" s="454" t="s">
        <v>2</v>
      </c>
      <c r="B36" s="470"/>
      <c r="C36" s="470"/>
      <c r="D36" s="471"/>
      <c r="E36" s="471"/>
      <c r="F36" s="472"/>
      <c r="G36" s="1369"/>
      <c r="H36" s="474">
        <f t="shared" si="1"/>
        <v>0</v>
      </c>
    </row>
    <row r="37" spans="1:8" ht="15">
      <c r="A37" s="454" t="s">
        <v>3</v>
      </c>
      <c r="B37" s="470">
        <v>232</v>
      </c>
      <c r="C37" s="470" t="s">
        <v>790</v>
      </c>
      <c r="D37" s="470" t="s">
        <v>1106</v>
      </c>
      <c r="E37" s="470" t="s">
        <v>411</v>
      </c>
      <c r="F37" s="470">
        <v>22.63</v>
      </c>
      <c r="G37" s="1369">
        <v>16</v>
      </c>
      <c r="H37" s="474">
        <f t="shared" si="1"/>
        <v>362.08</v>
      </c>
    </row>
    <row r="38" spans="1:8" ht="15">
      <c r="A38" s="454" t="s">
        <v>3</v>
      </c>
      <c r="B38" s="470"/>
      <c r="C38" s="470"/>
      <c r="D38" s="470"/>
      <c r="E38" s="470"/>
      <c r="F38" s="470"/>
      <c r="G38" s="1369"/>
      <c r="H38" s="474">
        <f t="shared" si="1"/>
        <v>0</v>
      </c>
    </row>
    <row r="39" spans="1:8" ht="15">
      <c r="A39" s="454" t="s">
        <v>3</v>
      </c>
      <c r="B39" s="470"/>
      <c r="C39" s="470"/>
      <c r="D39" s="471"/>
      <c r="E39" s="471"/>
      <c r="F39" s="472"/>
      <c r="G39" s="1369"/>
      <c r="H39" s="474">
        <f t="shared" si="1"/>
        <v>0</v>
      </c>
    </row>
    <row r="40" spans="1:8" ht="15">
      <c r="A40" s="454" t="s">
        <v>4</v>
      </c>
      <c r="B40" s="470">
        <v>1043</v>
      </c>
      <c r="C40" s="470" t="s">
        <v>4</v>
      </c>
      <c r="D40" s="471"/>
      <c r="E40" s="471"/>
      <c r="F40" s="481">
        <v>0.05</v>
      </c>
      <c r="G40" s="1369">
        <f>SUM(H31:H39)</f>
        <v>3100.5617389221543</v>
      </c>
      <c r="H40" s="474">
        <f t="shared" si="1"/>
        <v>155.02808694610772</v>
      </c>
    </row>
    <row r="41" spans="1:8" ht="16.5" customHeight="1">
      <c r="A41" s="454" t="s">
        <v>419</v>
      </c>
      <c r="B41" s="470"/>
      <c r="C41" s="470"/>
      <c r="D41" s="471"/>
      <c r="E41" s="471"/>
      <c r="F41" s="481"/>
      <c r="G41" s="1369"/>
      <c r="H41" s="474">
        <f t="shared" si="1"/>
        <v>0</v>
      </c>
    </row>
    <row r="42" spans="1:8" ht="15">
      <c r="A42" s="454" t="s">
        <v>7</v>
      </c>
      <c r="B42" s="470"/>
      <c r="C42" s="470"/>
      <c r="D42" s="471"/>
      <c r="E42" s="471"/>
      <c r="F42" s="472"/>
      <c r="G42" s="1369"/>
      <c r="H42" s="474">
        <f t="shared" si="1"/>
        <v>0</v>
      </c>
    </row>
    <row r="43" spans="1:8" ht="15">
      <c r="A43" s="454" t="s">
        <v>7</v>
      </c>
      <c r="B43" s="470"/>
      <c r="C43" s="470"/>
      <c r="D43" s="471"/>
      <c r="E43" s="471"/>
      <c r="F43" s="472"/>
      <c r="G43" s="1369"/>
      <c r="H43" s="474">
        <f t="shared" si="1"/>
        <v>0</v>
      </c>
    </row>
    <row r="44" spans="1:8" ht="15">
      <c r="A44" s="454" t="s">
        <v>7</v>
      </c>
      <c r="B44" s="470"/>
      <c r="C44" s="470"/>
      <c r="D44" s="471"/>
      <c r="E44" s="471"/>
      <c r="F44" s="472"/>
      <c r="G44" s="1369"/>
      <c r="H44" s="474">
        <f t="shared" si="1"/>
        <v>0</v>
      </c>
    </row>
    <row r="45" spans="1:8" ht="15">
      <c r="A45" s="454" t="s">
        <v>421</v>
      </c>
      <c r="B45" s="470"/>
      <c r="C45" s="470"/>
      <c r="D45" s="471"/>
      <c r="E45" s="471"/>
      <c r="F45" s="472"/>
      <c r="G45" s="1369"/>
      <c r="H45" s="474">
        <f t="shared" si="1"/>
        <v>0</v>
      </c>
    </row>
    <row r="46" spans="1:8" ht="15">
      <c r="A46" s="454" t="s">
        <v>421</v>
      </c>
      <c r="B46" s="470"/>
      <c r="C46" s="470"/>
      <c r="D46" s="471"/>
      <c r="E46" s="471"/>
      <c r="F46" s="472"/>
      <c r="G46" s="1369"/>
      <c r="H46" s="474">
        <f t="shared" si="1"/>
        <v>0</v>
      </c>
    </row>
    <row r="47" spans="1:8" ht="15">
      <c r="A47" s="454" t="s">
        <v>421</v>
      </c>
      <c r="B47" s="470"/>
      <c r="C47" s="470"/>
      <c r="D47" s="471"/>
      <c r="E47" s="471"/>
      <c r="F47" s="472"/>
      <c r="G47" s="1369"/>
      <c r="H47" s="474">
        <f t="shared" si="1"/>
        <v>0</v>
      </c>
    </row>
    <row r="48" spans="1:8" ht="15">
      <c r="A48" s="454" t="s">
        <v>5</v>
      </c>
      <c r="B48" s="470"/>
      <c r="C48" s="470"/>
      <c r="D48" s="471"/>
      <c r="E48" s="471"/>
      <c r="F48" s="472"/>
      <c r="G48" s="1369"/>
      <c r="H48" s="474">
        <f t="shared" si="1"/>
        <v>0</v>
      </c>
    </row>
    <row r="49" spans="1:8" ht="15">
      <c r="A49" s="454" t="s">
        <v>20</v>
      </c>
      <c r="B49" s="470"/>
      <c r="C49" s="470"/>
      <c r="D49" s="471"/>
      <c r="E49" s="471"/>
      <c r="F49" s="472"/>
      <c r="G49" s="1369"/>
      <c r="H49" s="474">
        <f t="shared" si="1"/>
        <v>0</v>
      </c>
    </row>
    <row r="50" spans="1:8">
      <c r="A50" s="82"/>
      <c r="B50" s="82"/>
      <c r="C50" s="82"/>
      <c r="D50" s="82"/>
      <c r="E50" s="82"/>
      <c r="F50" s="82"/>
      <c r="G50" s="1361"/>
    </row>
    <row r="51" spans="1:8">
      <c r="A51" s="82"/>
      <c r="B51" s="82"/>
      <c r="C51" s="82"/>
      <c r="D51" s="82"/>
      <c r="E51" s="82"/>
      <c r="F51" s="82"/>
      <c r="G51" s="1361"/>
    </row>
    <row r="52" spans="1:8">
      <c r="A52" s="82"/>
      <c r="B52" s="82"/>
      <c r="C52" s="82"/>
      <c r="D52" s="82"/>
      <c r="E52" s="82"/>
      <c r="F52" s="82"/>
      <c r="G52" s="1361"/>
    </row>
    <row r="53" spans="1:8">
      <c r="A53" s="82"/>
      <c r="B53" s="82"/>
      <c r="C53" s="82"/>
      <c r="D53" s="82"/>
      <c r="E53" s="82"/>
      <c r="F53" s="82"/>
      <c r="G53" s="1361"/>
    </row>
    <row r="54" spans="1:8">
      <c r="A54" s="82"/>
      <c r="B54" s="82"/>
      <c r="C54" s="82"/>
      <c r="D54" s="82"/>
      <c r="E54" s="82"/>
      <c r="F54" s="82"/>
      <c r="G54" s="1361"/>
    </row>
    <row r="55" spans="1:8">
      <c r="A55" s="82"/>
      <c r="B55" s="82"/>
      <c r="C55" s="82"/>
      <c r="D55" s="82"/>
      <c r="E55" s="82"/>
      <c r="F55" s="82"/>
      <c r="G55" s="1361"/>
    </row>
    <row r="56" spans="1:8">
      <c r="A56" s="82"/>
      <c r="B56" s="82"/>
      <c r="C56" s="82"/>
      <c r="D56" s="82"/>
      <c r="E56" s="82"/>
      <c r="F56" s="82"/>
      <c r="G56" s="1361"/>
    </row>
    <row r="57" spans="1:8">
      <c r="A57" s="82"/>
      <c r="B57" s="82"/>
      <c r="C57" s="82"/>
      <c r="D57" s="82"/>
      <c r="E57" s="82"/>
      <c r="F57" s="82"/>
      <c r="G57" s="1361"/>
    </row>
    <row r="58" spans="1:8">
      <c r="A58" s="82"/>
      <c r="B58" s="82"/>
      <c r="C58" s="82"/>
      <c r="D58" s="82"/>
      <c r="E58" s="82"/>
      <c r="F58" s="82"/>
      <c r="G58" s="1361"/>
    </row>
    <row r="59" spans="1:8">
      <c r="A59" s="82"/>
      <c r="B59" s="82"/>
      <c r="C59" s="82"/>
      <c r="D59" s="82"/>
      <c r="E59" s="82"/>
      <c r="F59" s="82"/>
      <c r="G59" s="1361"/>
    </row>
    <row r="60" spans="1:8">
      <c r="A60" s="82"/>
      <c r="B60" s="82"/>
      <c r="C60" s="82"/>
      <c r="D60" s="82"/>
      <c r="E60" s="82"/>
      <c r="F60" s="82"/>
      <c r="G60" s="1361"/>
    </row>
    <row r="61" spans="1:8">
      <c r="A61" s="82"/>
      <c r="B61" s="82"/>
      <c r="C61" s="82"/>
      <c r="D61" s="82"/>
      <c r="E61" s="82"/>
      <c r="F61" s="82"/>
      <c r="G61" s="1361"/>
    </row>
    <row r="62" spans="1:8">
      <c r="A62" s="82"/>
      <c r="B62" s="82"/>
      <c r="C62" s="82"/>
      <c r="D62" s="82"/>
      <c r="E62" s="82"/>
      <c r="F62" s="82"/>
      <c r="G62" s="1361"/>
    </row>
    <row r="63" spans="1:8">
      <c r="A63" s="82"/>
      <c r="B63" s="82"/>
      <c r="C63" s="82"/>
      <c r="D63" s="82"/>
      <c r="E63" s="82"/>
      <c r="F63" s="82"/>
      <c r="G63" s="1361"/>
    </row>
    <row r="64" spans="1:8">
      <c r="A64" s="82"/>
      <c r="B64" s="82"/>
      <c r="C64" s="82"/>
      <c r="D64" s="82"/>
      <c r="E64" s="82"/>
      <c r="F64" s="82"/>
      <c r="G64" s="1361"/>
    </row>
    <row r="65" spans="1:7">
      <c r="A65" s="82"/>
      <c r="B65" s="82"/>
      <c r="C65" s="82"/>
      <c r="D65" s="82"/>
      <c r="E65" s="82"/>
      <c r="F65" s="82"/>
      <c r="G65" s="1361"/>
    </row>
    <row r="66" spans="1:7">
      <c r="A66" s="82"/>
      <c r="B66" s="82"/>
      <c r="C66" s="82"/>
      <c r="D66" s="82"/>
      <c r="E66" s="82"/>
      <c r="F66" s="82"/>
      <c r="G66" s="1361"/>
    </row>
    <row r="67" spans="1:7">
      <c r="A67" s="82"/>
      <c r="B67" s="82"/>
      <c r="C67" s="82"/>
      <c r="D67" s="82"/>
      <c r="E67" s="82"/>
      <c r="F67" s="82"/>
      <c r="G67" s="1361"/>
    </row>
    <row r="68" spans="1:7">
      <c r="A68" s="82"/>
      <c r="B68" s="82"/>
      <c r="C68" s="82"/>
      <c r="D68" s="82"/>
      <c r="E68" s="82"/>
      <c r="F68" s="82"/>
      <c r="G68" s="1361"/>
    </row>
    <row r="69" spans="1:7">
      <c r="A69" s="82"/>
      <c r="B69" s="82"/>
      <c r="C69" s="82"/>
      <c r="D69" s="82"/>
      <c r="E69" s="82"/>
      <c r="F69" s="82"/>
      <c r="G69" s="1361"/>
    </row>
    <row r="70" spans="1:7">
      <c r="A70" s="82"/>
      <c r="B70" s="82"/>
      <c r="C70" s="82"/>
      <c r="D70" s="82"/>
      <c r="E70" s="82"/>
      <c r="F70" s="82"/>
      <c r="G70" s="1361"/>
    </row>
    <row r="71" spans="1:7">
      <c r="A71" s="82"/>
      <c r="B71" s="82"/>
      <c r="C71" s="82"/>
      <c r="D71" s="82"/>
      <c r="E71" s="82"/>
      <c r="F71" s="82"/>
      <c r="G71" s="1361"/>
    </row>
    <row r="72" spans="1:7">
      <c r="A72" s="82"/>
      <c r="B72" s="82"/>
      <c r="C72" s="82"/>
      <c r="D72" s="82"/>
      <c r="E72" s="82"/>
      <c r="F72" s="82"/>
      <c r="G72" s="1361"/>
    </row>
    <row r="73" spans="1:7">
      <c r="A73" s="82"/>
      <c r="B73" s="82"/>
      <c r="C73" s="82"/>
      <c r="D73" s="82"/>
      <c r="E73" s="82"/>
      <c r="F73" s="82"/>
      <c r="G73" s="1361"/>
    </row>
    <row r="74" spans="1:7">
      <c r="A74" s="82"/>
      <c r="B74" s="82"/>
      <c r="C74" s="82"/>
      <c r="D74" s="82"/>
      <c r="E74" s="82"/>
      <c r="F74" s="82"/>
      <c r="G74" s="1361"/>
    </row>
    <row r="75" spans="1:7">
      <c r="A75" s="82"/>
      <c r="B75" s="82"/>
      <c r="C75" s="82"/>
      <c r="D75" s="82"/>
      <c r="E75" s="82"/>
      <c r="F75" s="82"/>
      <c r="G75" s="1361"/>
    </row>
    <row r="76" spans="1:7">
      <c r="A76" s="82"/>
      <c r="B76" s="82"/>
      <c r="C76" s="82"/>
      <c r="D76" s="82"/>
      <c r="E76" s="82"/>
      <c r="F76" s="82"/>
      <c r="G76" s="1361"/>
    </row>
    <row r="77" spans="1:7">
      <c r="A77" s="82"/>
      <c r="B77" s="82"/>
      <c r="C77" s="82"/>
      <c r="D77" s="82"/>
      <c r="E77" s="82"/>
      <c r="F77" s="82"/>
      <c r="G77" s="1361"/>
    </row>
    <row r="78" spans="1:7">
      <c r="A78" s="82"/>
      <c r="B78" s="82"/>
      <c r="C78" s="82"/>
      <c r="D78" s="82"/>
      <c r="E78" s="82"/>
      <c r="F78" s="82"/>
      <c r="G78" s="1361"/>
    </row>
    <row r="79" spans="1:7">
      <c r="A79" s="82"/>
      <c r="B79" s="82"/>
      <c r="C79" s="82"/>
      <c r="D79" s="82"/>
      <c r="E79" s="82"/>
      <c r="F79" s="82"/>
      <c r="G79" s="1361"/>
    </row>
    <row r="80" spans="1:7">
      <c r="A80" s="82"/>
      <c r="B80" s="82"/>
      <c r="C80" s="82"/>
      <c r="D80" s="82"/>
      <c r="E80" s="82"/>
      <c r="F80" s="82"/>
      <c r="G80" s="1361"/>
    </row>
    <row r="81" spans="1:7">
      <c r="A81" s="82"/>
      <c r="B81" s="82"/>
      <c r="C81" s="82"/>
      <c r="D81" s="82"/>
      <c r="E81" s="82"/>
      <c r="F81" s="82"/>
      <c r="G81" s="1361"/>
    </row>
    <row r="82" spans="1:7">
      <c r="A82" s="82"/>
      <c r="B82" s="82"/>
      <c r="C82" s="82"/>
      <c r="D82" s="82"/>
      <c r="E82" s="82"/>
      <c r="F82" s="82"/>
      <c r="G82" s="1361"/>
    </row>
    <row r="83" spans="1:7">
      <c r="A83" s="82"/>
      <c r="B83" s="82"/>
      <c r="C83" s="82"/>
      <c r="D83" s="82"/>
      <c r="E83" s="82"/>
      <c r="F83" s="82"/>
      <c r="G83" s="1361"/>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232.xml><?xml version="1.0" encoding="utf-8"?>
<worksheet xmlns="http://schemas.openxmlformats.org/spreadsheetml/2006/main" xmlns:r="http://schemas.openxmlformats.org/officeDocument/2006/relationships">
  <sheetPr>
    <pageSetUpPr fitToPage="1"/>
  </sheetPr>
  <dimension ref="A1:M106"/>
  <sheetViews>
    <sheetView topLeftCell="A16" zoomScale="80" zoomScaleNormal="80" workbookViewId="0">
      <selection activeCell="H6" sqref="H6"/>
    </sheetView>
  </sheetViews>
  <sheetFormatPr defaultRowHeight="12.75"/>
  <cols>
    <col min="1" max="1" width="34.5703125" style="2" customWidth="1"/>
    <col min="2" max="2" width="25.42578125" style="2" customWidth="1"/>
    <col min="3" max="3" width="42.28515625" style="2" customWidth="1"/>
    <col min="4" max="4" width="17.5703125" style="2" customWidth="1"/>
    <col min="5" max="5" width="15.140625" style="2" customWidth="1"/>
    <col min="6" max="6" width="11" style="2" customWidth="1"/>
    <col min="7" max="7" width="16.42578125" style="1360" customWidth="1"/>
    <col min="8" max="8" width="11.140625" style="2" customWidth="1"/>
    <col min="9" max="16384" width="9.140625" style="2"/>
  </cols>
  <sheetData>
    <row r="1" spans="1:7" ht="18.75">
      <c r="A1" s="449" t="s">
        <v>373</v>
      </c>
    </row>
    <row r="3" spans="1:7" ht="15.75">
      <c r="A3" s="450" t="s">
        <v>374</v>
      </c>
    </row>
    <row r="4" spans="1:7" ht="21" customHeight="1">
      <c r="A4" s="452" t="s">
        <v>375</v>
      </c>
      <c r="B4" s="452" t="s">
        <v>376</v>
      </c>
      <c r="C4" s="453" t="s">
        <v>377</v>
      </c>
      <c r="D4" s="82"/>
      <c r="E4" s="82"/>
      <c r="F4" s="82"/>
      <c r="G4" s="1361"/>
    </row>
    <row r="5" spans="1:7" ht="21" customHeight="1">
      <c r="A5" s="454" t="s">
        <v>1</v>
      </c>
      <c r="B5" s="454" t="s">
        <v>77</v>
      </c>
      <c r="C5" s="455" t="s">
        <v>378</v>
      </c>
      <c r="D5" s="456"/>
      <c r="E5" s="457"/>
      <c r="F5" s="458"/>
      <c r="G5" s="1362"/>
    </row>
    <row r="6" spans="1:7" ht="21" customHeight="1">
      <c r="A6" s="454" t="s">
        <v>1</v>
      </c>
      <c r="B6" s="454" t="s">
        <v>379</v>
      </c>
      <c r="C6" s="459" t="s">
        <v>1206</v>
      </c>
      <c r="D6" s="456"/>
      <c r="E6" s="457"/>
      <c r="F6" s="458"/>
      <c r="G6" s="1362"/>
    </row>
    <row r="7" spans="1:7" ht="21" customHeight="1">
      <c r="A7" s="454" t="s">
        <v>1</v>
      </c>
      <c r="B7" s="454" t="s">
        <v>381</v>
      </c>
      <c r="C7" s="459">
        <v>5</v>
      </c>
      <c r="D7" s="456"/>
      <c r="E7" s="457"/>
      <c r="F7" s="458"/>
      <c r="G7" s="1362"/>
    </row>
    <row r="8" spans="1:7" ht="21" customHeight="1">
      <c r="A8" s="454" t="s">
        <v>382</v>
      </c>
      <c r="B8" s="454" t="s">
        <v>383</v>
      </c>
      <c r="C8" s="460" t="s">
        <v>1244</v>
      </c>
      <c r="D8" s="461"/>
      <c r="E8" s="457"/>
      <c r="F8" s="457"/>
      <c r="G8" s="1363"/>
    </row>
    <row r="9" spans="1:7" ht="47.25" customHeight="1">
      <c r="A9" s="454" t="s">
        <v>382</v>
      </c>
      <c r="B9" s="454" t="s">
        <v>385</v>
      </c>
      <c r="C9" s="2009" t="s">
        <v>1245</v>
      </c>
      <c r="D9" s="2010"/>
      <c r="E9" s="2010"/>
      <c r="F9" s="2010"/>
      <c r="G9" s="2011"/>
    </row>
    <row r="10" spans="1:7" ht="51.75" customHeight="1">
      <c r="A10" s="454" t="s">
        <v>382</v>
      </c>
      <c r="B10" s="454" t="s">
        <v>387</v>
      </c>
      <c r="C10" s="2009" t="s">
        <v>1242</v>
      </c>
      <c r="D10" s="2010"/>
      <c r="E10" s="2010"/>
      <c r="F10" s="2010"/>
      <c r="G10" s="2011"/>
    </row>
    <row r="11" spans="1:7" ht="51.75" customHeight="1">
      <c r="A11" s="454" t="s">
        <v>382</v>
      </c>
      <c r="B11" s="454" t="s">
        <v>389</v>
      </c>
      <c r="C11" s="2009" t="s">
        <v>1246</v>
      </c>
      <c r="D11" s="2010"/>
      <c r="E11" s="2010"/>
      <c r="F11" s="2010"/>
      <c r="G11" s="2011"/>
    </row>
    <row r="12" spans="1:7" ht="51.75" customHeight="1">
      <c r="A12" s="454" t="s">
        <v>382</v>
      </c>
      <c r="B12" s="454" t="s">
        <v>391</v>
      </c>
      <c r="C12" s="2009" t="s">
        <v>1229</v>
      </c>
      <c r="D12" s="2010"/>
      <c r="E12" s="2010"/>
      <c r="F12" s="2010"/>
      <c r="G12" s="2011"/>
    </row>
    <row r="13" spans="1:7" ht="21" customHeight="1">
      <c r="A13" s="454" t="s">
        <v>382</v>
      </c>
      <c r="B13" s="454" t="s">
        <v>393</v>
      </c>
      <c r="C13" s="455" t="s">
        <v>619</v>
      </c>
      <c r="D13" s="456"/>
      <c r="E13" s="457"/>
      <c r="F13" s="457"/>
      <c r="G13" s="1364"/>
    </row>
    <row r="14" spans="1:7" ht="21" customHeight="1">
      <c r="A14" s="454" t="s">
        <v>382</v>
      </c>
      <c r="B14" s="454" t="s">
        <v>395</v>
      </c>
      <c r="C14" s="1365">
        <v>1</v>
      </c>
      <c r="D14" s="456"/>
      <c r="E14" s="457"/>
      <c r="F14" s="457"/>
      <c r="G14" s="1364"/>
    </row>
    <row r="15" spans="1:7">
      <c r="A15" s="82"/>
      <c r="B15" s="82"/>
      <c r="C15" s="82"/>
      <c r="D15" s="82"/>
      <c r="E15" s="82"/>
      <c r="F15" s="82"/>
      <c r="G15" s="1361"/>
    </row>
    <row r="16" spans="1:7" ht="15.75">
      <c r="A16" s="462" t="s">
        <v>396</v>
      </c>
      <c r="B16" s="463"/>
      <c r="C16" s="464"/>
      <c r="D16" s="49"/>
      <c r="E16" s="89"/>
      <c r="F16" s="89"/>
      <c r="G16" s="1366"/>
    </row>
    <row r="17" spans="1:13" ht="15">
      <c r="A17" s="452" t="s">
        <v>16</v>
      </c>
      <c r="B17" s="453" t="s">
        <v>397</v>
      </c>
      <c r="C17" s="453" t="s">
        <v>398</v>
      </c>
      <c r="D17" s="49"/>
      <c r="E17" s="89"/>
      <c r="F17" s="89"/>
      <c r="G17" s="1366"/>
    </row>
    <row r="18" spans="1:13" ht="15">
      <c r="A18" s="454" t="s">
        <v>0</v>
      </c>
      <c r="B18" s="465">
        <f>SUM(H31:H33)</f>
        <v>7151.6343616766426</v>
      </c>
      <c r="C18" s="466">
        <f>B18/C$14</f>
        <v>7151.6343616766426</v>
      </c>
      <c r="D18" s="49"/>
      <c r="E18" s="89"/>
      <c r="F18" s="89"/>
      <c r="G18" s="1366"/>
    </row>
    <row r="19" spans="1:13" ht="15">
      <c r="A19" s="454" t="s">
        <v>2</v>
      </c>
      <c r="B19" s="465">
        <f>SUM(H34:H36)</f>
        <v>598.55999999999995</v>
      </c>
      <c r="C19" s="466">
        <f t="shared" ref="C19:C27" si="0">B19/C$14</f>
        <v>598.55999999999995</v>
      </c>
      <c r="D19" s="49"/>
      <c r="E19" s="89"/>
      <c r="F19" s="89"/>
      <c r="G19" s="1366"/>
    </row>
    <row r="20" spans="1:13" ht="15">
      <c r="A20" s="454" t="s">
        <v>3</v>
      </c>
      <c r="B20" s="465">
        <f>SUM(H37:H39)</f>
        <v>362.08</v>
      </c>
      <c r="C20" s="466">
        <f t="shared" si="0"/>
        <v>362.08</v>
      </c>
      <c r="D20" s="49"/>
      <c r="E20" s="89"/>
      <c r="F20" s="89"/>
      <c r="G20" s="1366"/>
    </row>
    <row r="21" spans="1:13" ht="15">
      <c r="A21" s="454" t="s">
        <v>4</v>
      </c>
      <c r="B21" s="465">
        <f>H40</f>
        <v>405.61371808383211</v>
      </c>
      <c r="C21" s="466">
        <f t="shared" si="0"/>
        <v>405.61371808383211</v>
      </c>
      <c r="D21" s="49"/>
      <c r="E21" s="89"/>
      <c r="F21" s="89"/>
      <c r="G21" s="1366"/>
    </row>
    <row r="22" spans="1:13" ht="15">
      <c r="A22" s="454" t="s">
        <v>26</v>
      </c>
      <c r="B22" s="465">
        <f>H41</f>
        <v>0</v>
      </c>
      <c r="C22" s="466">
        <f t="shared" si="0"/>
        <v>0</v>
      </c>
      <c r="D22" s="49"/>
      <c r="E22" s="89"/>
      <c r="F22" s="89"/>
      <c r="G22" s="1366"/>
    </row>
    <row r="23" spans="1:13" ht="15">
      <c r="A23" s="454" t="s">
        <v>7</v>
      </c>
      <c r="B23" s="465">
        <f>SUM(H42:H44)</f>
        <v>0</v>
      </c>
      <c r="C23" s="466">
        <f t="shared" si="0"/>
        <v>0</v>
      </c>
      <c r="D23" s="49"/>
      <c r="E23" s="89"/>
      <c r="F23" s="89"/>
      <c r="G23" s="1366"/>
    </row>
    <row r="24" spans="1:13" ht="15">
      <c r="A24" s="454" t="s">
        <v>27</v>
      </c>
      <c r="B24" s="465">
        <f>SUM(H45:H47)</f>
        <v>0</v>
      </c>
      <c r="C24" s="466">
        <f t="shared" si="0"/>
        <v>0</v>
      </c>
      <c r="D24" s="49"/>
      <c r="E24" s="89"/>
      <c r="F24" s="89"/>
      <c r="G24" s="1366"/>
      <c r="K24" s="1366">
        <v>24</v>
      </c>
      <c r="L24" s="2">
        <v>416</v>
      </c>
      <c r="M24" s="2">
        <f>+L24*K24/27</f>
        <v>369.77777777777777</v>
      </c>
    </row>
    <row r="25" spans="1:13" ht="15">
      <c r="A25" s="454" t="s">
        <v>5</v>
      </c>
      <c r="B25" s="465">
        <f>G48</f>
        <v>0</v>
      </c>
      <c r="C25" s="466">
        <f t="shared" si="0"/>
        <v>0</v>
      </c>
      <c r="D25" s="49"/>
      <c r="E25" s="89"/>
      <c r="F25" s="89"/>
      <c r="G25" s="1366"/>
      <c r="K25" s="1366">
        <v>43560</v>
      </c>
      <c r="L25" s="2">
        <v>2</v>
      </c>
      <c r="M25" s="2">
        <f>+L25*K25/27</f>
        <v>3226.6666666666665</v>
      </c>
    </row>
    <row r="26" spans="1:13" ht="15">
      <c r="A26" s="454" t="s">
        <v>20</v>
      </c>
      <c r="B26" s="465">
        <f>H48</f>
        <v>0</v>
      </c>
      <c r="C26" s="466">
        <f t="shared" si="0"/>
        <v>0</v>
      </c>
      <c r="D26" s="49"/>
      <c r="E26" s="89"/>
      <c r="F26" s="89"/>
      <c r="G26" s="1366"/>
      <c r="K26" s="1366"/>
      <c r="M26" s="2">
        <f>+M25+M24</f>
        <v>3596.4444444444443</v>
      </c>
    </row>
    <row r="27" spans="1:13" ht="15">
      <c r="A27" s="454" t="s">
        <v>399</v>
      </c>
      <c r="B27" s="465">
        <f>SUM(B18:B26)</f>
        <v>8517.8880797604743</v>
      </c>
      <c r="C27" s="466">
        <f t="shared" si="0"/>
        <v>8517.8880797604743</v>
      </c>
      <c r="D27" s="49"/>
      <c r="E27" s="89"/>
      <c r="F27" s="89"/>
      <c r="G27" s="1366"/>
      <c r="K27" s="1366"/>
    </row>
    <row r="28" spans="1:13">
      <c r="A28" s="467"/>
      <c r="B28" s="126"/>
      <c r="C28" s="126"/>
      <c r="D28" s="49"/>
      <c r="E28" s="49"/>
      <c r="F28" s="49"/>
      <c r="G28" s="1366"/>
    </row>
    <row r="29" spans="1:13" ht="15.75">
      <c r="A29" s="468" t="s">
        <v>400</v>
      </c>
      <c r="B29" s="49"/>
      <c r="C29" s="49"/>
      <c r="D29" s="126"/>
      <c r="E29" s="49"/>
      <c r="F29" s="49"/>
      <c r="G29" s="1366"/>
    </row>
    <row r="30" spans="1:13" ht="15">
      <c r="A30" s="452" t="s">
        <v>16</v>
      </c>
      <c r="B30" s="452" t="s">
        <v>401</v>
      </c>
      <c r="C30" s="453" t="s">
        <v>402</v>
      </c>
      <c r="D30" s="453" t="s">
        <v>403</v>
      </c>
      <c r="E30" s="452" t="s">
        <v>46</v>
      </c>
      <c r="F30" s="453" t="s">
        <v>404</v>
      </c>
      <c r="G30" s="1367" t="s">
        <v>405</v>
      </c>
      <c r="H30" s="453" t="s">
        <v>397</v>
      </c>
    </row>
    <row r="31" spans="1:13" ht="15">
      <c r="A31" s="454" t="s">
        <v>0</v>
      </c>
      <c r="B31" s="470">
        <v>48</v>
      </c>
      <c r="C31" s="470" t="s">
        <v>1218</v>
      </c>
      <c r="D31" s="470" t="s">
        <v>1219</v>
      </c>
      <c r="E31" s="470" t="s">
        <v>949</v>
      </c>
      <c r="F31" s="472">
        <v>1.9887748502994</v>
      </c>
      <c r="G31" s="1369">
        <f>370+3226</f>
        <v>3596</v>
      </c>
      <c r="H31" s="474">
        <f>IF(G31&lt;=0, 0, F31*G31)</f>
        <v>7151.6343616766426</v>
      </c>
    </row>
    <row r="32" spans="1:13" ht="15">
      <c r="A32" s="454" t="s">
        <v>0</v>
      </c>
      <c r="B32" s="470"/>
      <c r="C32" s="470"/>
      <c r="D32" s="470"/>
      <c r="E32" s="470"/>
      <c r="F32" s="472"/>
      <c r="G32" s="1369"/>
      <c r="H32" s="474">
        <f t="shared" ref="H32:H49" si="1">IF(G32&lt;=0, 0, F32*G32)</f>
        <v>0</v>
      </c>
    </row>
    <row r="33" spans="1:8" ht="15">
      <c r="A33" s="454" t="s">
        <v>0</v>
      </c>
      <c r="B33" s="470"/>
      <c r="C33" s="470"/>
      <c r="D33" s="471"/>
      <c r="E33" s="471"/>
      <c r="F33" s="472"/>
      <c r="G33" s="1369"/>
      <c r="H33" s="474">
        <f t="shared" si="1"/>
        <v>0</v>
      </c>
    </row>
    <row r="34" spans="1:8" ht="15">
      <c r="A34" s="454" t="s">
        <v>2</v>
      </c>
      <c r="B34" s="470">
        <v>933</v>
      </c>
      <c r="C34" s="470" t="s">
        <v>987</v>
      </c>
      <c r="D34" s="470" t="s">
        <v>430</v>
      </c>
      <c r="E34" s="470" t="s">
        <v>411</v>
      </c>
      <c r="F34" s="470">
        <v>37.409999999999997</v>
      </c>
      <c r="G34" s="1369">
        <v>16</v>
      </c>
      <c r="H34" s="474">
        <f t="shared" si="1"/>
        <v>598.55999999999995</v>
      </c>
    </row>
    <row r="35" spans="1:8" ht="15">
      <c r="A35" s="454" t="s">
        <v>2</v>
      </c>
      <c r="B35" s="470"/>
      <c r="C35" s="470"/>
      <c r="D35" s="471"/>
      <c r="E35" s="471"/>
      <c r="F35" s="472"/>
      <c r="G35" s="1369"/>
      <c r="H35" s="474">
        <f t="shared" si="1"/>
        <v>0</v>
      </c>
    </row>
    <row r="36" spans="1:8" ht="15">
      <c r="A36" s="454" t="s">
        <v>2</v>
      </c>
      <c r="B36" s="470"/>
      <c r="C36" s="470"/>
      <c r="D36" s="471"/>
      <c r="E36" s="471"/>
      <c r="F36" s="472"/>
      <c r="G36" s="1369"/>
      <c r="H36" s="474">
        <f t="shared" si="1"/>
        <v>0</v>
      </c>
    </row>
    <row r="37" spans="1:8" ht="15">
      <c r="A37" s="454" t="s">
        <v>3</v>
      </c>
      <c r="B37" s="470">
        <v>232</v>
      </c>
      <c r="C37" s="470" t="s">
        <v>790</v>
      </c>
      <c r="D37" s="470" t="s">
        <v>1106</v>
      </c>
      <c r="E37" s="470" t="s">
        <v>411</v>
      </c>
      <c r="F37" s="470">
        <v>22.63</v>
      </c>
      <c r="G37" s="1369">
        <v>16</v>
      </c>
      <c r="H37" s="474">
        <f t="shared" si="1"/>
        <v>362.08</v>
      </c>
    </row>
    <row r="38" spans="1:8" ht="15">
      <c r="A38" s="454" t="s">
        <v>3</v>
      </c>
      <c r="B38" s="470"/>
      <c r="C38" s="470"/>
      <c r="D38" s="470"/>
      <c r="E38" s="470"/>
      <c r="F38" s="470"/>
      <c r="G38" s="1369"/>
      <c r="H38" s="474">
        <f t="shared" si="1"/>
        <v>0</v>
      </c>
    </row>
    <row r="39" spans="1:8" ht="15">
      <c r="A39" s="454" t="s">
        <v>3</v>
      </c>
      <c r="B39" s="470"/>
      <c r="C39" s="470"/>
      <c r="D39" s="471"/>
      <c r="E39" s="471"/>
      <c r="F39" s="472"/>
      <c r="G39" s="1369"/>
      <c r="H39" s="474">
        <f t="shared" si="1"/>
        <v>0</v>
      </c>
    </row>
    <row r="40" spans="1:8" ht="15">
      <c r="A40" s="454" t="s">
        <v>4</v>
      </c>
      <c r="B40" s="470">
        <v>1043</v>
      </c>
      <c r="C40" s="470" t="s">
        <v>4</v>
      </c>
      <c r="D40" s="471"/>
      <c r="E40" s="471"/>
      <c r="F40" s="481">
        <v>0.05</v>
      </c>
      <c r="G40" s="1369">
        <f>SUM(H31:H39)</f>
        <v>8112.274361676642</v>
      </c>
      <c r="H40" s="474">
        <f t="shared" si="1"/>
        <v>405.61371808383211</v>
      </c>
    </row>
    <row r="41" spans="1:8" ht="16.5" customHeight="1">
      <c r="A41" s="454" t="s">
        <v>419</v>
      </c>
      <c r="B41" s="470"/>
      <c r="C41" s="470"/>
      <c r="D41" s="471"/>
      <c r="E41" s="471"/>
      <c r="F41" s="481"/>
      <c r="G41" s="1369"/>
      <c r="H41" s="474">
        <f t="shared" si="1"/>
        <v>0</v>
      </c>
    </row>
    <row r="42" spans="1:8" ht="15">
      <c r="A42" s="454" t="s">
        <v>7</v>
      </c>
      <c r="B42" s="470"/>
      <c r="C42" s="470"/>
      <c r="D42" s="471"/>
      <c r="E42" s="471"/>
      <c r="F42" s="472"/>
      <c r="G42" s="1369"/>
      <c r="H42" s="474">
        <f t="shared" si="1"/>
        <v>0</v>
      </c>
    </row>
    <row r="43" spans="1:8" ht="15">
      <c r="A43" s="454" t="s">
        <v>7</v>
      </c>
      <c r="B43" s="470"/>
      <c r="C43" s="470"/>
      <c r="D43" s="471"/>
      <c r="E43" s="471"/>
      <c r="F43" s="472"/>
      <c r="G43" s="1369"/>
      <c r="H43" s="474">
        <f t="shared" si="1"/>
        <v>0</v>
      </c>
    </row>
    <row r="44" spans="1:8" ht="15">
      <c r="A44" s="454" t="s">
        <v>7</v>
      </c>
      <c r="B44" s="470"/>
      <c r="C44" s="470"/>
      <c r="D44" s="471"/>
      <c r="E44" s="471"/>
      <c r="F44" s="472"/>
      <c r="G44" s="1369"/>
      <c r="H44" s="474">
        <f t="shared" si="1"/>
        <v>0</v>
      </c>
    </row>
    <row r="45" spans="1:8" ht="15">
      <c r="A45" s="454" t="s">
        <v>421</v>
      </c>
      <c r="B45" s="470"/>
      <c r="C45" s="470"/>
      <c r="D45" s="471"/>
      <c r="E45" s="471"/>
      <c r="F45" s="472"/>
      <c r="G45" s="1369"/>
      <c r="H45" s="474">
        <f t="shared" si="1"/>
        <v>0</v>
      </c>
    </row>
    <row r="46" spans="1:8" ht="15">
      <c r="A46" s="454" t="s">
        <v>421</v>
      </c>
      <c r="B46" s="470"/>
      <c r="C46" s="470"/>
      <c r="D46" s="471"/>
      <c r="E46" s="471"/>
      <c r="F46" s="472"/>
      <c r="G46" s="1369"/>
      <c r="H46" s="474">
        <f t="shared" si="1"/>
        <v>0</v>
      </c>
    </row>
    <row r="47" spans="1:8" ht="15">
      <c r="A47" s="454" t="s">
        <v>421</v>
      </c>
      <c r="B47" s="470"/>
      <c r="C47" s="470"/>
      <c r="D47" s="471"/>
      <c r="E47" s="471"/>
      <c r="F47" s="472"/>
      <c r="G47" s="1369"/>
      <c r="H47" s="474">
        <f t="shared" si="1"/>
        <v>0</v>
      </c>
    </row>
    <row r="48" spans="1:8" ht="15">
      <c r="A48" s="454" t="s">
        <v>5</v>
      </c>
      <c r="B48" s="470"/>
      <c r="C48" s="470"/>
      <c r="D48" s="471"/>
      <c r="E48" s="471"/>
      <c r="F48" s="472"/>
      <c r="G48" s="1369"/>
      <c r="H48" s="474">
        <f t="shared" si="1"/>
        <v>0</v>
      </c>
    </row>
    <row r="49" spans="1:8" ht="15">
      <c r="A49" s="454" t="s">
        <v>20</v>
      </c>
      <c r="B49" s="470"/>
      <c r="C49" s="470"/>
      <c r="D49" s="471"/>
      <c r="E49" s="471"/>
      <c r="F49" s="472"/>
      <c r="G49" s="1369"/>
      <c r="H49" s="474">
        <f t="shared" si="1"/>
        <v>0</v>
      </c>
    </row>
    <row r="50" spans="1:8">
      <c r="A50" s="82"/>
      <c r="B50" s="82"/>
      <c r="C50" s="82"/>
      <c r="D50" s="82"/>
      <c r="E50" s="82"/>
      <c r="F50" s="82"/>
      <c r="G50" s="1361"/>
    </row>
    <row r="51" spans="1:8">
      <c r="A51" s="82"/>
      <c r="B51" s="82"/>
      <c r="C51" s="82"/>
      <c r="D51" s="82"/>
      <c r="E51" s="82"/>
      <c r="F51" s="82"/>
      <c r="G51" s="1361"/>
    </row>
    <row r="52" spans="1:8">
      <c r="A52" s="82"/>
      <c r="B52" s="82"/>
      <c r="C52" s="82"/>
      <c r="D52" s="82"/>
      <c r="E52" s="82"/>
      <c r="F52" s="82"/>
      <c r="G52" s="1361"/>
    </row>
    <row r="53" spans="1:8">
      <c r="A53" s="82"/>
      <c r="B53" s="82"/>
      <c r="C53" s="82"/>
      <c r="D53" s="82"/>
      <c r="E53" s="82"/>
      <c r="F53" s="82"/>
      <c r="G53" s="1361"/>
    </row>
    <row r="54" spans="1:8">
      <c r="A54" s="82"/>
      <c r="B54" s="82"/>
      <c r="C54" s="82"/>
      <c r="D54" s="82"/>
      <c r="E54" s="82"/>
      <c r="F54" s="82"/>
      <c r="G54" s="1361"/>
    </row>
    <row r="55" spans="1:8">
      <c r="A55" s="82"/>
      <c r="B55" s="82"/>
      <c r="C55" s="82"/>
      <c r="D55" s="82"/>
      <c r="E55" s="82"/>
      <c r="F55" s="82"/>
      <c r="G55" s="1361"/>
    </row>
    <row r="56" spans="1:8">
      <c r="A56" s="82"/>
      <c r="B56" s="82"/>
      <c r="C56" s="82"/>
      <c r="D56" s="82"/>
      <c r="E56" s="82"/>
      <c r="F56" s="82"/>
      <c r="G56" s="1361"/>
    </row>
    <row r="57" spans="1:8">
      <c r="A57" s="82"/>
      <c r="B57" s="82"/>
      <c r="C57" s="82"/>
      <c r="D57" s="82"/>
      <c r="E57" s="82"/>
      <c r="F57" s="82"/>
      <c r="G57" s="1361"/>
    </row>
    <row r="58" spans="1:8">
      <c r="A58" s="82"/>
      <c r="B58" s="82"/>
      <c r="C58" s="82"/>
      <c r="D58" s="82"/>
      <c r="E58" s="82"/>
      <c r="F58" s="82"/>
      <c r="G58" s="1361"/>
    </row>
    <row r="59" spans="1:8">
      <c r="A59" s="82"/>
      <c r="B59" s="82"/>
      <c r="C59" s="82"/>
      <c r="D59" s="82"/>
      <c r="E59" s="82"/>
      <c r="F59" s="82"/>
      <c r="G59" s="1361"/>
    </row>
    <row r="60" spans="1:8">
      <c r="A60" s="82"/>
      <c r="B60" s="82"/>
      <c r="C60" s="82"/>
      <c r="D60" s="82"/>
      <c r="E60" s="82"/>
      <c r="F60" s="82"/>
      <c r="G60" s="1361"/>
    </row>
    <row r="61" spans="1:8">
      <c r="A61" s="82"/>
      <c r="B61" s="82"/>
      <c r="C61" s="82"/>
      <c r="D61" s="82"/>
      <c r="E61" s="82"/>
      <c r="F61" s="82"/>
      <c r="G61" s="1361"/>
    </row>
    <row r="62" spans="1:8">
      <c r="A62" s="82"/>
      <c r="B62" s="82"/>
      <c r="C62" s="82"/>
      <c r="D62" s="82"/>
      <c r="E62" s="82"/>
      <c r="F62" s="82"/>
      <c r="G62" s="1361"/>
    </row>
    <row r="63" spans="1:8">
      <c r="A63" s="82"/>
      <c r="B63" s="82"/>
      <c r="C63" s="82"/>
      <c r="D63" s="82"/>
      <c r="E63" s="82"/>
      <c r="F63" s="82"/>
      <c r="G63" s="1361"/>
    </row>
    <row r="64" spans="1:8">
      <c r="A64" s="82"/>
      <c r="B64" s="82"/>
      <c r="C64" s="82"/>
      <c r="D64" s="82"/>
      <c r="E64" s="82"/>
      <c r="F64" s="82"/>
      <c r="G64" s="1361"/>
    </row>
    <row r="65" spans="1:7">
      <c r="A65" s="82"/>
      <c r="B65" s="82"/>
      <c r="C65" s="82"/>
      <c r="D65" s="82"/>
      <c r="E65" s="82"/>
      <c r="F65" s="82"/>
      <c r="G65" s="1361"/>
    </row>
    <row r="66" spans="1:7">
      <c r="A66" s="82"/>
      <c r="B66" s="82"/>
      <c r="C66" s="82"/>
      <c r="D66" s="82"/>
      <c r="E66" s="82"/>
      <c r="F66" s="82"/>
      <c r="G66" s="1361"/>
    </row>
    <row r="67" spans="1:7">
      <c r="A67" s="82"/>
      <c r="B67" s="82"/>
      <c r="C67" s="82"/>
      <c r="D67" s="82"/>
      <c r="E67" s="82"/>
      <c r="F67" s="82"/>
      <c r="G67" s="1361"/>
    </row>
    <row r="68" spans="1:7">
      <c r="A68" s="82"/>
      <c r="B68" s="82"/>
      <c r="C68" s="82"/>
      <c r="D68" s="82"/>
      <c r="E68" s="82"/>
      <c r="F68" s="82"/>
      <c r="G68" s="1361"/>
    </row>
    <row r="69" spans="1:7">
      <c r="A69" s="82"/>
      <c r="B69" s="82"/>
      <c r="C69" s="82"/>
      <c r="D69" s="82"/>
      <c r="E69" s="82"/>
      <c r="F69" s="82"/>
      <c r="G69" s="1361"/>
    </row>
    <row r="70" spans="1:7">
      <c r="A70" s="82"/>
      <c r="B70" s="82"/>
      <c r="C70" s="82"/>
      <c r="D70" s="82"/>
      <c r="E70" s="82"/>
      <c r="F70" s="82"/>
      <c r="G70" s="1361"/>
    </row>
    <row r="71" spans="1:7">
      <c r="A71" s="82"/>
      <c r="B71" s="82"/>
      <c r="C71" s="82"/>
      <c r="D71" s="82"/>
      <c r="E71" s="82"/>
      <c r="F71" s="82"/>
      <c r="G71" s="1361"/>
    </row>
    <row r="72" spans="1:7">
      <c r="A72" s="82"/>
      <c r="B72" s="82"/>
      <c r="C72" s="82"/>
      <c r="D72" s="82"/>
      <c r="E72" s="82"/>
      <c r="F72" s="82"/>
      <c r="G72" s="1361"/>
    </row>
    <row r="73" spans="1:7">
      <c r="A73" s="82"/>
      <c r="B73" s="82"/>
      <c r="C73" s="82"/>
      <c r="D73" s="82"/>
      <c r="E73" s="82"/>
      <c r="F73" s="82"/>
      <c r="G73" s="1361"/>
    </row>
    <row r="74" spans="1:7">
      <c r="A74" s="82"/>
      <c r="B74" s="82"/>
      <c r="C74" s="82"/>
      <c r="D74" s="82"/>
      <c r="E74" s="82"/>
      <c r="F74" s="82"/>
      <c r="G74" s="1361"/>
    </row>
    <row r="75" spans="1:7">
      <c r="A75" s="82"/>
      <c r="B75" s="82"/>
      <c r="C75" s="82"/>
      <c r="D75" s="82"/>
      <c r="E75" s="82"/>
      <c r="F75" s="82"/>
      <c r="G75" s="1361"/>
    </row>
    <row r="76" spans="1:7">
      <c r="A76" s="82"/>
      <c r="B76" s="82"/>
      <c r="C76" s="82"/>
      <c r="D76" s="82"/>
      <c r="E76" s="82"/>
      <c r="F76" s="82"/>
      <c r="G76" s="1361"/>
    </row>
    <row r="77" spans="1:7">
      <c r="A77" s="82"/>
      <c r="B77" s="82"/>
      <c r="C77" s="82"/>
      <c r="D77" s="82"/>
      <c r="E77" s="82"/>
      <c r="F77" s="82"/>
      <c r="G77" s="1361"/>
    </row>
    <row r="78" spans="1:7">
      <c r="A78" s="82"/>
      <c r="B78" s="82"/>
      <c r="C78" s="82"/>
      <c r="D78" s="82"/>
      <c r="E78" s="82"/>
      <c r="F78" s="82"/>
      <c r="G78" s="1361"/>
    </row>
    <row r="79" spans="1:7">
      <c r="A79" s="82"/>
      <c r="B79" s="82"/>
      <c r="C79" s="82"/>
      <c r="D79" s="82"/>
      <c r="E79" s="82"/>
      <c r="F79" s="82"/>
      <c r="G79" s="1361"/>
    </row>
    <row r="80" spans="1:7">
      <c r="A80" s="82"/>
      <c r="B80" s="82"/>
      <c r="C80" s="82"/>
      <c r="D80" s="82"/>
      <c r="E80" s="82"/>
      <c r="F80" s="82"/>
      <c r="G80" s="1361"/>
    </row>
    <row r="81" spans="1:7">
      <c r="A81" s="82"/>
      <c r="B81" s="82"/>
      <c r="C81" s="82"/>
      <c r="D81" s="82"/>
      <c r="E81" s="82"/>
      <c r="F81" s="82"/>
      <c r="G81" s="1361"/>
    </row>
    <row r="82" spans="1:7">
      <c r="A82" s="82"/>
      <c r="B82" s="82"/>
      <c r="C82" s="82"/>
      <c r="D82" s="82"/>
      <c r="E82" s="82"/>
      <c r="F82" s="82"/>
      <c r="G82" s="1361"/>
    </row>
    <row r="83" spans="1:7">
      <c r="A83" s="82"/>
      <c r="B83" s="82"/>
      <c r="C83" s="82"/>
      <c r="D83" s="82"/>
      <c r="E83" s="82"/>
      <c r="F83" s="82"/>
      <c r="G83" s="1361"/>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6" orientation="portrait" r:id="rId1"/>
  <headerFooter alignWithMargins="0"/>
</worksheet>
</file>

<file path=xl/worksheets/sheet233.xml><?xml version="1.0" encoding="utf-8"?>
<worksheet xmlns="http://schemas.openxmlformats.org/spreadsheetml/2006/main" xmlns:r="http://schemas.openxmlformats.org/officeDocument/2006/relationships">
  <sheetPr>
    <pageSetUpPr fitToPage="1"/>
  </sheetPr>
  <dimension ref="A1:I106"/>
  <sheetViews>
    <sheetView topLeftCell="A16" zoomScale="80" zoomScaleNormal="80" workbookViewId="0">
      <selection activeCell="H6" sqref="H6"/>
    </sheetView>
  </sheetViews>
  <sheetFormatPr defaultRowHeight="12.75"/>
  <cols>
    <col min="1" max="1" width="34.5703125" style="2" customWidth="1"/>
    <col min="2" max="2" width="25.42578125" style="2" customWidth="1"/>
    <col min="3" max="3" width="42.28515625" style="2" customWidth="1"/>
    <col min="4" max="4" width="17.5703125" style="2" customWidth="1"/>
    <col min="5" max="5" width="15.140625" style="2" customWidth="1"/>
    <col min="6" max="6" width="11" style="2" customWidth="1"/>
    <col min="7" max="7" width="16.42578125" style="1360" customWidth="1"/>
    <col min="8" max="8" width="12.5703125" style="2" customWidth="1"/>
    <col min="9" max="16384" width="9.140625" style="2"/>
  </cols>
  <sheetData>
    <row r="1" spans="1:7" ht="18.75">
      <c r="A1" s="449" t="s">
        <v>373</v>
      </c>
    </row>
    <row r="3" spans="1:7" ht="15.75">
      <c r="A3" s="450" t="s">
        <v>374</v>
      </c>
      <c r="B3" s="82"/>
      <c r="C3" s="82"/>
      <c r="D3" s="82"/>
    </row>
    <row r="4" spans="1:7" ht="21" customHeight="1">
      <c r="A4" s="452" t="s">
        <v>375</v>
      </c>
      <c r="B4" s="452" t="s">
        <v>376</v>
      </c>
      <c r="C4" s="453" t="s">
        <v>377</v>
      </c>
      <c r="D4" s="82"/>
      <c r="E4" s="82"/>
      <c r="F4" s="82"/>
      <c r="G4" s="1361"/>
    </row>
    <row r="5" spans="1:7" ht="21" customHeight="1">
      <c r="A5" s="454" t="s">
        <v>1</v>
      </c>
      <c r="B5" s="454" t="s">
        <v>77</v>
      </c>
      <c r="C5" s="455" t="s">
        <v>378</v>
      </c>
      <c r="D5" s="456"/>
      <c r="E5" s="457"/>
      <c r="F5" s="458"/>
      <c r="G5" s="1362"/>
    </row>
    <row r="6" spans="1:7" ht="21" customHeight="1">
      <c r="A6" s="454" t="s">
        <v>1</v>
      </c>
      <c r="B6" s="454" t="s">
        <v>379</v>
      </c>
      <c r="C6" s="459" t="s">
        <v>1206</v>
      </c>
      <c r="D6" s="456"/>
      <c r="E6" s="457"/>
      <c r="F6" s="458"/>
      <c r="G6" s="1362"/>
    </row>
    <row r="7" spans="1:7" ht="21" customHeight="1">
      <c r="A7" s="454" t="s">
        <v>1</v>
      </c>
      <c r="B7" s="454" t="s">
        <v>381</v>
      </c>
      <c r="C7" s="459">
        <v>5</v>
      </c>
      <c r="D7" s="456"/>
      <c r="E7" s="457"/>
      <c r="F7" s="458"/>
      <c r="G7" s="1362"/>
    </row>
    <row r="8" spans="1:7" ht="21" customHeight="1">
      <c r="A8" s="454" t="s">
        <v>382</v>
      </c>
      <c r="B8" s="454" t="s">
        <v>383</v>
      </c>
      <c r="C8" s="460" t="s">
        <v>1247</v>
      </c>
      <c r="D8" s="461"/>
      <c r="E8" s="457"/>
      <c r="F8" s="457"/>
      <c r="G8" s="1363"/>
    </row>
    <row r="9" spans="1:7" ht="65.25" customHeight="1">
      <c r="A9" s="454" t="s">
        <v>382</v>
      </c>
      <c r="B9" s="454" t="s">
        <v>385</v>
      </c>
      <c r="C9" s="2009" t="s">
        <v>1248</v>
      </c>
      <c r="D9" s="2010"/>
      <c r="E9" s="2010"/>
      <c r="F9" s="2010"/>
      <c r="G9" s="2011"/>
    </row>
    <row r="10" spans="1:7" ht="51.75" customHeight="1">
      <c r="A10" s="454" t="s">
        <v>382</v>
      </c>
      <c r="B10" s="454" t="s">
        <v>387</v>
      </c>
      <c r="C10" s="2009" t="s">
        <v>1227</v>
      </c>
      <c r="D10" s="2010"/>
      <c r="E10" s="2010"/>
      <c r="F10" s="2010"/>
      <c r="G10" s="2011"/>
    </row>
    <row r="11" spans="1:7" ht="51.75" customHeight="1">
      <c r="A11" s="454" t="s">
        <v>382</v>
      </c>
      <c r="B11" s="454" t="s">
        <v>389</v>
      </c>
      <c r="C11" s="2009" t="s">
        <v>1249</v>
      </c>
      <c r="D11" s="2010"/>
      <c r="E11" s="2010"/>
      <c r="F11" s="2010"/>
      <c r="G11" s="2011"/>
    </row>
    <row r="12" spans="1:7" ht="51.75" customHeight="1">
      <c r="A12" s="454" t="s">
        <v>382</v>
      </c>
      <c r="B12" s="454" t="s">
        <v>391</v>
      </c>
      <c r="C12" s="2009" t="s">
        <v>1229</v>
      </c>
      <c r="D12" s="2010"/>
      <c r="E12" s="2010"/>
      <c r="F12" s="2010"/>
      <c r="G12" s="2011"/>
    </row>
    <row r="13" spans="1:7" ht="21" customHeight="1">
      <c r="A13" s="454" t="s">
        <v>382</v>
      </c>
      <c r="B13" s="454" t="s">
        <v>393</v>
      </c>
      <c r="C13" s="455" t="s">
        <v>619</v>
      </c>
      <c r="D13" s="456"/>
      <c r="E13" s="457"/>
      <c r="F13" s="457"/>
      <c r="G13" s="1364"/>
    </row>
    <row r="14" spans="1:7" ht="21" customHeight="1">
      <c r="A14" s="454" t="s">
        <v>382</v>
      </c>
      <c r="B14" s="454" t="s">
        <v>395</v>
      </c>
      <c r="C14" s="1365">
        <v>1</v>
      </c>
      <c r="D14" s="456"/>
      <c r="E14" s="457"/>
      <c r="F14" s="457"/>
      <c r="G14" s="1364"/>
    </row>
    <row r="15" spans="1:7">
      <c r="A15" s="82"/>
      <c r="B15" s="82"/>
      <c r="C15" s="82"/>
      <c r="D15" s="82"/>
      <c r="E15" s="82"/>
      <c r="F15" s="82"/>
      <c r="G15" s="1361"/>
    </row>
    <row r="16" spans="1:7" ht="15.75">
      <c r="A16" s="462" t="s">
        <v>396</v>
      </c>
      <c r="B16" s="463"/>
      <c r="C16" s="464"/>
      <c r="D16" s="49"/>
      <c r="E16" s="89"/>
      <c r="F16" s="89"/>
      <c r="G16" s="1366"/>
    </row>
    <row r="17" spans="1:9" ht="15">
      <c r="A17" s="452" t="s">
        <v>16</v>
      </c>
      <c r="B17" s="453" t="s">
        <v>397</v>
      </c>
      <c r="C17" s="453" t="s">
        <v>398</v>
      </c>
      <c r="D17" s="49"/>
      <c r="E17" s="89"/>
      <c r="F17" s="89"/>
      <c r="G17" s="1366"/>
    </row>
    <row r="18" spans="1:9" ht="15">
      <c r="A18" s="454" t="s">
        <v>0</v>
      </c>
      <c r="B18" s="465">
        <f>SUM(H31:H33)</f>
        <v>10727.451542514964</v>
      </c>
      <c r="C18" s="466">
        <f>B18/C$14</f>
        <v>10727.451542514964</v>
      </c>
      <c r="D18" s="49"/>
      <c r="E18" s="89"/>
      <c r="F18" s="89"/>
      <c r="G18" s="1366"/>
    </row>
    <row r="19" spans="1:9" ht="15">
      <c r="A19" s="454" t="s">
        <v>2</v>
      </c>
      <c r="B19" s="465">
        <f>SUM(H34:H36)</f>
        <v>598.55999999999995</v>
      </c>
      <c r="C19" s="466">
        <f t="shared" ref="C19:C27" si="0">B19/C$14</f>
        <v>598.55999999999995</v>
      </c>
      <c r="D19" s="49"/>
      <c r="E19" s="89"/>
      <c r="F19" s="89"/>
      <c r="G19" s="1366"/>
    </row>
    <row r="20" spans="1:9" ht="15">
      <c r="A20" s="454" t="s">
        <v>3</v>
      </c>
      <c r="B20" s="465">
        <f>SUM(H37:H39)</f>
        <v>362.08</v>
      </c>
      <c r="C20" s="466">
        <f t="shared" si="0"/>
        <v>362.08</v>
      </c>
      <c r="D20" s="49"/>
      <c r="E20" s="89"/>
      <c r="F20" s="89"/>
      <c r="G20" s="1366"/>
    </row>
    <row r="21" spans="1:9" ht="15">
      <c r="A21" s="454" t="s">
        <v>4</v>
      </c>
      <c r="B21" s="465">
        <f>H40</f>
        <v>584.40457712574823</v>
      </c>
      <c r="C21" s="466">
        <f t="shared" si="0"/>
        <v>584.40457712574823</v>
      </c>
      <c r="D21" s="49"/>
      <c r="E21" s="89"/>
      <c r="F21" s="89"/>
      <c r="G21" s="1366">
        <v>36</v>
      </c>
      <c r="H21" s="2">
        <v>416</v>
      </c>
      <c r="I21" s="2">
        <f>+H21*G21/27</f>
        <v>554.66666666666663</v>
      </c>
    </row>
    <row r="22" spans="1:9" ht="15">
      <c r="A22" s="454" t="s">
        <v>26</v>
      </c>
      <c r="B22" s="465">
        <f>H41</f>
        <v>0</v>
      </c>
      <c r="C22" s="466">
        <f t="shared" si="0"/>
        <v>0</v>
      </c>
      <c r="D22" s="49"/>
      <c r="E22" s="89"/>
      <c r="F22" s="89"/>
      <c r="G22" s="1366">
        <v>43560</v>
      </c>
      <c r="H22" s="2">
        <v>3</v>
      </c>
      <c r="I22" s="2">
        <f>+H22*G22/27</f>
        <v>4840</v>
      </c>
    </row>
    <row r="23" spans="1:9" ht="15">
      <c r="A23" s="454" t="s">
        <v>7</v>
      </c>
      <c r="B23" s="465">
        <f>SUM(H42:H44)</f>
        <v>0</v>
      </c>
      <c r="C23" s="466">
        <f t="shared" si="0"/>
        <v>0</v>
      </c>
      <c r="D23" s="49"/>
      <c r="E23" s="89"/>
      <c r="F23" s="89"/>
      <c r="G23" s="1366"/>
      <c r="I23" s="2">
        <f>+I22+I21</f>
        <v>5394.666666666667</v>
      </c>
    </row>
    <row r="24" spans="1:9" ht="15">
      <c r="A24" s="454" t="s">
        <v>27</v>
      </c>
      <c r="B24" s="465">
        <f>SUM(H45:H47)</f>
        <v>0</v>
      </c>
      <c r="C24" s="466">
        <f t="shared" si="0"/>
        <v>0</v>
      </c>
      <c r="D24" s="49"/>
      <c r="E24" s="89"/>
      <c r="F24" s="89"/>
      <c r="G24" s="1366"/>
    </row>
    <row r="25" spans="1:9" ht="15">
      <c r="A25" s="454" t="s">
        <v>5</v>
      </c>
      <c r="B25" s="465">
        <f>G48</f>
        <v>0</v>
      </c>
      <c r="C25" s="466">
        <f t="shared" si="0"/>
        <v>0</v>
      </c>
      <c r="D25" s="49"/>
      <c r="E25" s="89"/>
      <c r="F25" s="89"/>
      <c r="G25" s="1366"/>
    </row>
    <row r="26" spans="1:9" ht="15">
      <c r="A26" s="454" t="s">
        <v>20</v>
      </c>
      <c r="B26" s="465">
        <f>H48</f>
        <v>0</v>
      </c>
      <c r="C26" s="466">
        <f t="shared" si="0"/>
        <v>0</v>
      </c>
      <c r="D26" s="49"/>
      <c r="E26" s="89"/>
      <c r="F26" s="89"/>
      <c r="G26" s="1366"/>
    </row>
    <row r="27" spans="1:9" ht="15">
      <c r="A27" s="454" t="s">
        <v>399</v>
      </c>
      <c r="B27" s="465">
        <f>SUM(B18:B26)</f>
        <v>12272.496119640711</v>
      </c>
      <c r="C27" s="466">
        <f t="shared" si="0"/>
        <v>12272.496119640711</v>
      </c>
      <c r="D27" s="49"/>
      <c r="E27" s="89"/>
      <c r="F27" s="89"/>
      <c r="G27" s="1366"/>
    </row>
    <row r="28" spans="1:9">
      <c r="A28" s="467"/>
      <c r="B28" s="126"/>
      <c r="C28" s="126"/>
      <c r="D28" s="49"/>
      <c r="E28" s="49"/>
      <c r="F28" s="49"/>
      <c r="G28" s="1366"/>
    </row>
    <row r="29" spans="1:9" ht="15.75">
      <c r="A29" s="468" t="s">
        <v>400</v>
      </c>
      <c r="B29" s="49"/>
      <c r="C29" s="49"/>
      <c r="D29" s="126"/>
      <c r="E29" s="49"/>
      <c r="F29" s="49"/>
      <c r="G29" s="1366"/>
    </row>
    <row r="30" spans="1:9" ht="15">
      <c r="A30" s="452" t="s">
        <v>16</v>
      </c>
      <c r="B30" s="452" t="s">
        <v>401</v>
      </c>
      <c r="C30" s="453" t="s">
        <v>402</v>
      </c>
      <c r="D30" s="453" t="s">
        <v>403</v>
      </c>
      <c r="E30" s="452" t="s">
        <v>46</v>
      </c>
      <c r="F30" s="453" t="s">
        <v>404</v>
      </c>
      <c r="G30" s="1367" t="s">
        <v>405</v>
      </c>
      <c r="H30" s="453" t="s">
        <v>397</v>
      </c>
    </row>
    <row r="31" spans="1:9" ht="15">
      <c r="A31" s="454" t="s">
        <v>0</v>
      </c>
      <c r="B31" s="470">
        <v>48</v>
      </c>
      <c r="C31" s="470" t="s">
        <v>1218</v>
      </c>
      <c r="D31" s="470" t="s">
        <v>1219</v>
      </c>
      <c r="E31" s="470" t="s">
        <v>949</v>
      </c>
      <c r="F31" s="472">
        <v>1.9887748502994</v>
      </c>
      <c r="G31" s="1369">
        <f>554+4840</f>
        <v>5394</v>
      </c>
      <c r="H31" s="474">
        <f>IF(G31&lt;=0, 0, F31*G31)</f>
        <v>10727.451542514964</v>
      </c>
    </row>
    <row r="32" spans="1:9" ht="15">
      <c r="A32" s="454" t="s">
        <v>0</v>
      </c>
      <c r="B32" s="470"/>
      <c r="C32" s="470"/>
      <c r="D32" s="470"/>
      <c r="E32" s="470"/>
      <c r="F32" s="472"/>
      <c r="G32" s="1369"/>
      <c r="H32" s="474">
        <f t="shared" ref="H32:H49" si="1">IF(G32&lt;=0, 0, F32*G32)</f>
        <v>0</v>
      </c>
    </row>
    <row r="33" spans="1:8" ht="15">
      <c r="A33" s="454" t="s">
        <v>0</v>
      </c>
      <c r="B33" s="470"/>
      <c r="C33" s="470"/>
      <c r="D33" s="471"/>
      <c r="E33" s="471"/>
      <c r="F33" s="472"/>
      <c r="G33" s="1369"/>
      <c r="H33" s="474">
        <f t="shared" si="1"/>
        <v>0</v>
      </c>
    </row>
    <row r="34" spans="1:8" ht="15">
      <c r="A34" s="454" t="s">
        <v>2</v>
      </c>
      <c r="B34" s="470">
        <v>933</v>
      </c>
      <c r="C34" s="470" t="s">
        <v>987</v>
      </c>
      <c r="D34" s="470" t="s">
        <v>430</v>
      </c>
      <c r="E34" s="470" t="s">
        <v>411</v>
      </c>
      <c r="F34" s="470">
        <v>37.409999999999997</v>
      </c>
      <c r="G34" s="1369">
        <v>16</v>
      </c>
      <c r="H34" s="474">
        <f t="shared" si="1"/>
        <v>598.55999999999995</v>
      </c>
    </row>
    <row r="35" spans="1:8" ht="15">
      <c r="A35" s="454" t="s">
        <v>2</v>
      </c>
      <c r="B35" s="470"/>
      <c r="C35" s="470"/>
      <c r="D35" s="471"/>
      <c r="E35" s="471"/>
      <c r="F35" s="472"/>
      <c r="G35" s="1369"/>
      <c r="H35" s="474">
        <f t="shared" si="1"/>
        <v>0</v>
      </c>
    </row>
    <row r="36" spans="1:8" ht="15">
      <c r="A36" s="454" t="s">
        <v>2</v>
      </c>
      <c r="B36" s="470"/>
      <c r="C36" s="470"/>
      <c r="D36" s="471"/>
      <c r="E36" s="471"/>
      <c r="F36" s="472"/>
      <c r="G36" s="1369"/>
      <c r="H36" s="474">
        <f t="shared" si="1"/>
        <v>0</v>
      </c>
    </row>
    <row r="37" spans="1:8" ht="15">
      <c r="A37" s="454" t="s">
        <v>3</v>
      </c>
      <c r="B37" s="470">
        <v>232</v>
      </c>
      <c r="C37" s="470" t="s">
        <v>790</v>
      </c>
      <c r="D37" s="470" t="s">
        <v>1106</v>
      </c>
      <c r="E37" s="470" t="s">
        <v>411</v>
      </c>
      <c r="F37" s="470">
        <v>22.63</v>
      </c>
      <c r="G37" s="1369">
        <v>16</v>
      </c>
      <c r="H37" s="474">
        <f t="shared" si="1"/>
        <v>362.08</v>
      </c>
    </row>
    <row r="38" spans="1:8" ht="15">
      <c r="A38" s="454" t="s">
        <v>3</v>
      </c>
      <c r="B38" s="470"/>
      <c r="C38" s="470"/>
      <c r="D38" s="470"/>
      <c r="E38" s="470"/>
      <c r="F38" s="470"/>
      <c r="G38" s="1369"/>
      <c r="H38" s="474">
        <f t="shared" si="1"/>
        <v>0</v>
      </c>
    </row>
    <row r="39" spans="1:8" ht="15">
      <c r="A39" s="454" t="s">
        <v>3</v>
      </c>
      <c r="B39" s="470"/>
      <c r="C39" s="470"/>
      <c r="D39" s="471"/>
      <c r="E39" s="471"/>
      <c r="F39" s="472"/>
      <c r="G39" s="1369"/>
      <c r="H39" s="474">
        <f t="shared" si="1"/>
        <v>0</v>
      </c>
    </row>
    <row r="40" spans="1:8" ht="15">
      <c r="A40" s="454" t="s">
        <v>4</v>
      </c>
      <c r="B40" s="470">
        <v>1043</v>
      </c>
      <c r="C40" s="470" t="s">
        <v>4</v>
      </c>
      <c r="D40" s="471"/>
      <c r="E40" s="471"/>
      <c r="F40" s="481">
        <v>0.05</v>
      </c>
      <c r="G40" s="1369">
        <f>SUM(H31:H39)</f>
        <v>11688.091542514963</v>
      </c>
      <c r="H40" s="474">
        <f t="shared" si="1"/>
        <v>584.40457712574823</v>
      </c>
    </row>
    <row r="41" spans="1:8" ht="16.5" customHeight="1">
      <c r="A41" s="454" t="s">
        <v>419</v>
      </c>
      <c r="B41" s="470"/>
      <c r="C41" s="470"/>
      <c r="D41" s="471"/>
      <c r="E41" s="471"/>
      <c r="F41" s="481"/>
      <c r="G41" s="1369"/>
      <c r="H41" s="474">
        <f t="shared" si="1"/>
        <v>0</v>
      </c>
    </row>
    <row r="42" spans="1:8" ht="15">
      <c r="A42" s="454" t="s">
        <v>7</v>
      </c>
      <c r="B42" s="470"/>
      <c r="C42" s="470"/>
      <c r="D42" s="471"/>
      <c r="E42" s="471"/>
      <c r="F42" s="472"/>
      <c r="G42" s="1369"/>
      <c r="H42" s="474">
        <f t="shared" si="1"/>
        <v>0</v>
      </c>
    </row>
    <row r="43" spans="1:8" ht="15">
      <c r="A43" s="454" t="s">
        <v>7</v>
      </c>
      <c r="B43" s="470"/>
      <c r="C43" s="470"/>
      <c r="D43" s="471"/>
      <c r="E43" s="471"/>
      <c r="F43" s="472"/>
      <c r="G43" s="1369"/>
      <c r="H43" s="474">
        <f t="shared" si="1"/>
        <v>0</v>
      </c>
    </row>
    <row r="44" spans="1:8" ht="15">
      <c r="A44" s="454" t="s">
        <v>7</v>
      </c>
      <c r="B44" s="470"/>
      <c r="C44" s="470"/>
      <c r="D44" s="471"/>
      <c r="E44" s="471"/>
      <c r="F44" s="472"/>
      <c r="G44" s="1369"/>
      <c r="H44" s="474">
        <f t="shared" si="1"/>
        <v>0</v>
      </c>
    </row>
    <row r="45" spans="1:8" ht="15">
      <c r="A45" s="454" t="s">
        <v>421</v>
      </c>
      <c r="B45" s="470"/>
      <c r="C45" s="470"/>
      <c r="D45" s="471"/>
      <c r="E45" s="471"/>
      <c r="F45" s="472"/>
      <c r="G45" s="1369"/>
      <c r="H45" s="474">
        <f t="shared" si="1"/>
        <v>0</v>
      </c>
    </row>
    <row r="46" spans="1:8" ht="15">
      <c r="A46" s="454" t="s">
        <v>421</v>
      </c>
      <c r="B46" s="470"/>
      <c r="C46" s="470"/>
      <c r="D46" s="471"/>
      <c r="E46" s="471"/>
      <c r="F46" s="472"/>
      <c r="G46" s="1369"/>
      <c r="H46" s="474">
        <f t="shared" si="1"/>
        <v>0</v>
      </c>
    </row>
    <row r="47" spans="1:8" ht="15">
      <c r="A47" s="454" t="s">
        <v>421</v>
      </c>
      <c r="B47" s="470"/>
      <c r="C47" s="470"/>
      <c r="D47" s="471"/>
      <c r="E47" s="471"/>
      <c r="F47" s="472"/>
      <c r="G47" s="1369"/>
      <c r="H47" s="474">
        <f t="shared" si="1"/>
        <v>0</v>
      </c>
    </row>
    <row r="48" spans="1:8" ht="15">
      <c r="A48" s="454" t="s">
        <v>5</v>
      </c>
      <c r="B48" s="470"/>
      <c r="C48" s="470"/>
      <c r="D48" s="471"/>
      <c r="E48" s="471"/>
      <c r="F48" s="472"/>
      <c r="G48" s="1369"/>
      <c r="H48" s="474">
        <f t="shared" si="1"/>
        <v>0</v>
      </c>
    </row>
    <row r="49" spans="1:8" ht="15">
      <c r="A49" s="454" t="s">
        <v>20</v>
      </c>
      <c r="B49" s="470"/>
      <c r="C49" s="470"/>
      <c r="D49" s="471"/>
      <c r="E49" s="471"/>
      <c r="F49" s="472"/>
      <c r="G49" s="1369"/>
      <c r="H49" s="474">
        <f t="shared" si="1"/>
        <v>0</v>
      </c>
    </row>
    <row r="50" spans="1:8">
      <c r="A50" s="82"/>
      <c r="B50" s="82"/>
      <c r="C50" s="82"/>
      <c r="D50" s="82"/>
      <c r="E50" s="82"/>
      <c r="F50" s="82"/>
      <c r="G50" s="1361"/>
    </row>
    <row r="51" spans="1:8">
      <c r="A51" s="82"/>
      <c r="B51" s="82"/>
      <c r="C51" s="82"/>
      <c r="D51" s="82"/>
      <c r="E51" s="82"/>
      <c r="F51" s="82"/>
      <c r="G51" s="1361"/>
    </row>
    <row r="52" spans="1:8">
      <c r="A52" s="82"/>
      <c r="B52" s="82"/>
      <c r="C52" s="82"/>
      <c r="D52" s="82"/>
      <c r="E52" s="82"/>
      <c r="F52" s="82"/>
      <c r="G52" s="1361"/>
    </row>
    <row r="53" spans="1:8">
      <c r="A53" s="82"/>
      <c r="B53" s="82"/>
      <c r="C53" s="82"/>
      <c r="D53" s="82"/>
      <c r="E53" s="82"/>
      <c r="F53" s="82"/>
      <c r="G53" s="1361"/>
    </row>
    <row r="54" spans="1:8">
      <c r="A54" s="82"/>
      <c r="B54" s="82"/>
      <c r="C54" s="82"/>
      <c r="D54" s="82"/>
      <c r="E54" s="82"/>
      <c r="F54" s="82"/>
      <c r="G54" s="1361"/>
    </row>
    <row r="55" spans="1:8">
      <c r="A55" s="82"/>
      <c r="B55" s="82"/>
      <c r="C55" s="82"/>
      <c r="D55" s="82"/>
      <c r="E55" s="82"/>
      <c r="F55" s="82"/>
      <c r="G55" s="1361"/>
    </row>
    <row r="56" spans="1:8">
      <c r="A56" s="82"/>
      <c r="B56" s="82"/>
      <c r="C56" s="82"/>
      <c r="D56" s="82"/>
      <c r="E56" s="82"/>
      <c r="F56" s="82"/>
      <c r="G56" s="1361"/>
    </row>
    <row r="57" spans="1:8">
      <c r="A57" s="82"/>
      <c r="B57" s="82"/>
      <c r="C57" s="82"/>
      <c r="D57" s="82"/>
      <c r="E57" s="82"/>
      <c r="F57" s="82"/>
      <c r="G57" s="1361"/>
    </row>
    <row r="58" spans="1:8">
      <c r="A58" s="82"/>
      <c r="B58" s="82"/>
      <c r="C58" s="82"/>
      <c r="D58" s="82"/>
      <c r="E58" s="82"/>
      <c r="F58" s="82"/>
      <c r="G58" s="1361"/>
    </row>
    <row r="59" spans="1:8">
      <c r="A59" s="82"/>
      <c r="B59" s="82"/>
      <c r="C59" s="82"/>
      <c r="D59" s="82"/>
      <c r="E59" s="82"/>
      <c r="F59" s="82"/>
      <c r="G59" s="1361"/>
    </row>
    <row r="60" spans="1:8">
      <c r="A60" s="82"/>
      <c r="B60" s="82"/>
      <c r="C60" s="82"/>
      <c r="D60" s="82"/>
      <c r="E60" s="82"/>
      <c r="F60" s="82"/>
      <c r="G60" s="1361"/>
    </row>
    <row r="61" spans="1:8">
      <c r="A61" s="82"/>
      <c r="B61" s="82"/>
      <c r="C61" s="82"/>
      <c r="D61" s="82"/>
      <c r="E61" s="82"/>
      <c r="F61" s="82"/>
      <c r="G61" s="1361"/>
    </row>
    <row r="62" spans="1:8">
      <c r="A62" s="82"/>
      <c r="B62" s="82"/>
      <c r="C62" s="82"/>
      <c r="D62" s="82"/>
      <c r="E62" s="82"/>
      <c r="F62" s="82"/>
      <c r="G62" s="1361"/>
    </row>
    <row r="63" spans="1:8">
      <c r="A63" s="82"/>
      <c r="B63" s="82"/>
      <c r="C63" s="82"/>
      <c r="D63" s="82"/>
      <c r="E63" s="82"/>
      <c r="F63" s="82"/>
      <c r="G63" s="1361"/>
    </row>
    <row r="64" spans="1:8">
      <c r="A64" s="82"/>
      <c r="B64" s="82"/>
      <c r="C64" s="82"/>
      <c r="D64" s="82"/>
      <c r="E64" s="82"/>
      <c r="F64" s="82"/>
      <c r="G64" s="1361"/>
    </row>
    <row r="65" spans="1:7">
      <c r="A65" s="82"/>
      <c r="B65" s="82"/>
      <c r="C65" s="82"/>
      <c r="D65" s="82"/>
      <c r="E65" s="82"/>
      <c r="F65" s="82"/>
      <c r="G65" s="1361"/>
    </row>
    <row r="66" spans="1:7">
      <c r="A66" s="82"/>
      <c r="B66" s="82"/>
      <c r="C66" s="82"/>
      <c r="D66" s="82"/>
      <c r="E66" s="82"/>
      <c r="F66" s="82"/>
      <c r="G66" s="1361"/>
    </row>
    <row r="67" spans="1:7">
      <c r="A67" s="82"/>
      <c r="B67" s="82"/>
      <c r="C67" s="82"/>
      <c r="D67" s="82"/>
      <c r="E67" s="82"/>
      <c r="F67" s="82"/>
      <c r="G67" s="1361"/>
    </row>
    <row r="68" spans="1:7">
      <c r="A68" s="82"/>
      <c r="B68" s="82"/>
      <c r="C68" s="82"/>
      <c r="D68" s="82"/>
      <c r="E68" s="82"/>
      <c r="F68" s="82"/>
      <c r="G68" s="1361"/>
    </row>
    <row r="69" spans="1:7">
      <c r="A69" s="82"/>
      <c r="B69" s="82"/>
      <c r="C69" s="82"/>
      <c r="D69" s="82"/>
      <c r="E69" s="82"/>
      <c r="F69" s="82"/>
      <c r="G69" s="1361"/>
    </row>
    <row r="70" spans="1:7">
      <c r="A70" s="82"/>
      <c r="B70" s="82"/>
      <c r="C70" s="82"/>
      <c r="D70" s="82"/>
      <c r="E70" s="82"/>
      <c r="F70" s="82"/>
      <c r="G70" s="1361"/>
    </row>
    <row r="71" spans="1:7">
      <c r="A71" s="82"/>
      <c r="B71" s="82"/>
      <c r="C71" s="82"/>
      <c r="D71" s="82"/>
      <c r="E71" s="82"/>
      <c r="F71" s="82"/>
      <c r="G71" s="1361"/>
    </row>
    <row r="72" spans="1:7">
      <c r="A72" s="82"/>
      <c r="B72" s="82"/>
      <c r="C72" s="82"/>
      <c r="D72" s="82"/>
      <c r="E72" s="82"/>
      <c r="F72" s="82"/>
      <c r="G72" s="1361"/>
    </row>
    <row r="73" spans="1:7">
      <c r="A73" s="82"/>
      <c r="B73" s="82"/>
      <c r="C73" s="82"/>
      <c r="D73" s="82"/>
      <c r="E73" s="82"/>
      <c r="F73" s="82"/>
      <c r="G73" s="1361"/>
    </row>
    <row r="74" spans="1:7">
      <c r="A74" s="82"/>
      <c r="B74" s="82"/>
      <c r="C74" s="82"/>
      <c r="D74" s="82"/>
      <c r="E74" s="82"/>
      <c r="F74" s="82"/>
      <c r="G74" s="1361"/>
    </row>
    <row r="75" spans="1:7">
      <c r="A75" s="82"/>
      <c r="B75" s="82"/>
      <c r="C75" s="82"/>
      <c r="D75" s="82"/>
      <c r="E75" s="82"/>
      <c r="F75" s="82"/>
      <c r="G75" s="1361"/>
    </row>
    <row r="76" spans="1:7">
      <c r="A76" s="82"/>
      <c r="B76" s="82"/>
      <c r="C76" s="82"/>
      <c r="D76" s="82"/>
      <c r="E76" s="82"/>
      <c r="F76" s="82"/>
      <c r="G76" s="1361"/>
    </row>
    <row r="77" spans="1:7">
      <c r="A77" s="82"/>
      <c r="B77" s="82"/>
      <c r="C77" s="82"/>
      <c r="D77" s="82"/>
      <c r="E77" s="82"/>
      <c r="F77" s="82"/>
      <c r="G77" s="1361"/>
    </row>
    <row r="78" spans="1:7">
      <c r="A78" s="82"/>
      <c r="B78" s="82"/>
      <c r="C78" s="82"/>
      <c r="D78" s="82"/>
      <c r="E78" s="82"/>
      <c r="F78" s="82"/>
      <c r="G78" s="1361"/>
    </row>
    <row r="79" spans="1:7">
      <c r="A79" s="82"/>
      <c r="B79" s="82"/>
      <c r="C79" s="82"/>
      <c r="D79" s="82"/>
      <c r="E79" s="82"/>
      <c r="F79" s="82"/>
      <c r="G79" s="1361"/>
    </row>
    <row r="80" spans="1:7">
      <c r="A80" s="82"/>
      <c r="B80" s="82"/>
      <c r="C80" s="82"/>
      <c r="D80" s="82"/>
      <c r="E80" s="82"/>
      <c r="F80" s="82"/>
      <c r="G80" s="1361"/>
    </row>
    <row r="81" spans="1:7">
      <c r="A81" s="82"/>
      <c r="B81" s="82"/>
      <c r="C81" s="82"/>
      <c r="D81" s="82"/>
      <c r="E81" s="82"/>
      <c r="F81" s="82"/>
      <c r="G81" s="1361"/>
    </row>
    <row r="82" spans="1:7">
      <c r="A82" s="82"/>
      <c r="B82" s="82"/>
      <c r="C82" s="82"/>
      <c r="D82" s="82"/>
      <c r="E82" s="82"/>
      <c r="F82" s="82"/>
      <c r="G82" s="1361"/>
    </row>
    <row r="83" spans="1:7">
      <c r="A83" s="82"/>
      <c r="B83" s="82"/>
      <c r="C83" s="82"/>
      <c r="D83" s="82"/>
      <c r="E83" s="82"/>
      <c r="F83" s="82"/>
      <c r="G83" s="1361"/>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234.xml><?xml version="1.0" encoding="utf-8"?>
<worksheet xmlns="http://schemas.openxmlformats.org/spreadsheetml/2006/main" xmlns:r="http://schemas.openxmlformats.org/officeDocument/2006/relationships">
  <sheetPr>
    <pageSetUpPr fitToPage="1"/>
  </sheetPr>
  <dimension ref="A1:L74"/>
  <sheetViews>
    <sheetView zoomScale="75" zoomScaleNormal="75" workbookViewId="0">
      <selection activeCell="F6" sqref="F6:F9"/>
    </sheetView>
  </sheetViews>
  <sheetFormatPr defaultRowHeight="12.75"/>
  <cols>
    <col min="1" max="1" width="1.85546875" customWidth="1"/>
    <col min="3" max="3" width="24.140625" customWidth="1"/>
    <col min="4" max="4" width="41.42578125" customWidth="1"/>
    <col min="5" max="5" width="61.8554687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647</v>
      </c>
      <c r="C6" s="7" t="str">
        <f>+E12</f>
        <v>EQIP</v>
      </c>
      <c r="D6" s="53" t="s">
        <v>1250</v>
      </c>
      <c r="E6" s="110" t="s">
        <v>1251</v>
      </c>
      <c r="F6" s="7" t="s">
        <v>394</v>
      </c>
      <c r="G6" s="85">
        <f>+I25</f>
        <v>300.11624999999998</v>
      </c>
    </row>
    <row r="7" spans="1:12">
      <c r="A7" s="2"/>
      <c r="B7" s="54">
        <f>+B6</f>
        <v>647</v>
      </c>
      <c r="C7" s="7" t="str">
        <f>+C6</f>
        <v>EQIP</v>
      </c>
      <c r="D7" s="53" t="s">
        <v>1250</v>
      </c>
      <c r="E7" s="110" t="str">
        <f>CONCATENATE(E6, "-HU")</f>
        <v>Edge Feathering - Removal of Woody Vegetation-HU</v>
      </c>
      <c r="F7" s="7" t="s">
        <v>394</v>
      </c>
      <c r="G7" s="85">
        <f>+J25</f>
        <v>360.1395</v>
      </c>
    </row>
    <row r="8" spans="1:12">
      <c r="A8" s="2"/>
      <c r="B8" s="54">
        <v>647</v>
      </c>
      <c r="C8" s="7" t="str">
        <f>+G12</f>
        <v>WHIP</v>
      </c>
      <c r="D8" s="53" t="s">
        <v>1250</v>
      </c>
      <c r="E8" s="110" t="s">
        <v>1251</v>
      </c>
      <c r="F8" s="7" t="s">
        <v>394</v>
      </c>
      <c r="G8" s="85">
        <f>+K25</f>
        <v>300.11624999999998</v>
      </c>
    </row>
    <row r="9" spans="1:12">
      <c r="A9" s="2"/>
      <c r="B9" s="8">
        <f>+B8</f>
        <v>647</v>
      </c>
      <c r="C9" s="10" t="str">
        <f>+C8</f>
        <v>WHIP</v>
      </c>
      <c r="D9" s="53" t="s">
        <v>1250</v>
      </c>
      <c r="E9" s="111" t="str">
        <f>CONCATENATE(E6, "-HU")</f>
        <v>Edge Feathering - Removal of Woody Vegetation-HU</v>
      </c>
      <c r="F9" s="7" t="s">
        <v>394</v>
      </c>
      <c r="G9" s="86"/>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+I39</f>
        <v>0</v>
      </c>
      <c r="E16" s="160">
        <f>+'[10]Payment Factors'!D43</f>
        <v>0.75</v>
      </c>
      <c r="F16" s="160">
        <f>+'[10]Payment Factors'!E43</f>
        <v>0.9</v>
      </c>
      <c r="G16" s="160">
        <f>+'[10]Payment Factors'!F43</f>
        <v>0.75</v>
      </c>
      <c r="H16" s="160">
        <f>+'[10]Payment Factors'!G43</f>
        <v>0.9</v>
      </c>
      <c r="I16" s="1154">
        <f t="shared" ref="I16:L24" si="0">+$D16*E16</f>
        <v>0</v>
      </c>
      <c r="J16" s="1154">
        <f t="shared" si="0"/>
        <v>0</v>
      </c>
      <c r="K16" s="1154">
        <f t="shared" si="0"/>
        <v>0</v>
      </c>
      <c r="L16" s="1155">
        <f t="shared" si="0"/>
        <v>0</v>
      </c>
    </row>
    <row r="17" spans="1:12">
      <c r="A17" s="2"/>
      <c r="B17" s="15" t="s">
        <v>2</v>
      </c>
      <c r="C17" s="16"/>
      <c r="D17" s="24">
        <f>+I42</f>
        <v>330.22499999999997</v>
      </c>
      <c r="E17" s="160">
        <f t="shared" ref="E17:H19" si="1">+E16</f>
        <v>0.75</v>
      </c>
      <c r="F17" s="160">
        <f t="shared" si="1"/>
        <v>0.9</v>
      </c>
      <c r="G17" s="160">
        <f t="shared" si="1"/>
        <v>0.75</v>
      </c>
      <c r="H17" s="160">
        <f t="shared" si="1"/>
        <v>0.9</v>
      </c>
      <c r="I17" s="1154">
        <f t="shared" si="0"/>
        <v>247.66874999999999</v>
      </c>
      <c r="J17" s="1154">
        <f t="shared" si="0"/>
        <v>297.20249999999999</v>
      </c>
      <c r="K17" s="1154">
        <f t="shared" si="0"/>
        <v>247.66874999999999</v>
      </c>
      <c r="L17" s="1155">
        <f t="shared" si="0"/>
        <v>297.20249999999999</v>
      </c>
    </row>
    <row r="18" spans="1:12">
      <c r="A18" s="2"/>
      <c r="B18" s="15" t="s">
        <v>3</v>
      </c>
      <c r="C18" s="16"/>
      <c r="D18" s="24">
        <f>+I49</f>
        <v>58.274999999999999</v>
      </c>
      <c r="E18" s="160">
        <f t="shared" si="1"/>
        <v>0.75</v>
      </c>
      <c r="F18" s="160">
        <f t="shared" si="1"/>
        <v>0.9</v>
      </c>
      <c r="G18" s="160">
        <f t="shared" si="1"/>
        <v>0.75</v>
      </c>
      <c r="H18" s="160">
        <f t="shared" si="1"/>
        <v>0.9</v>
      </c>
      <c r="I18" s="1154">
        <f t="shared" si="0"/>
        <v>43.706249999999997</v>
      </c>
      <c r="J18" s="1154">
        <f t="shared" si="0"/>
        <v>52.447499999999998</v>
      </c>
      <c r="K18" s="1154">
        <f t="shared" si="0"/>
        <v>43.706249999999997</v>
      </c>
      <c r="L18" s="1155">
        <f t="shared" si="0"/>
        <v>52.447499999999998</v>
      </c>
    </row>
    <row r="19" spans="1:12">
      <c r="A19" s="2"/>
      <c r="B19" s="15" t="s">
        <v>4</v>
      </c>
      <c r="C19" s="16"/>
      <c r="D19" s="24">
        <f>+I53</f>
        <v>11.654999999999998</v>
      </c>
      <c r="E19" s="160">
        <f t="shared" si="1"/>
        <v>0.75</v>
      </c>
      <c r="F19" s="160">
        <f t="shared" si="1"/>
        <v>0.9</v>
      </c>
      <c r="G19" s="160">
        <f t="shared" si="1"/>
        <v>0.75</v>
      </c>
      <c r="H19" s="160">
        <f t="shared" si="1"/>
        <v>0.9</v>
      </c>
      <c r="I19" s="1154">
        <f t="shared" si="0"/>
        <v>8.7412499999999973</v>
      </c>
      <c r="J19" s="1154">
        <f t="shared" si="0"/>
        <v>10.489499999999998</v>
      </c>
      <c r="K19" s="1154">
        <f t="shared" si="0"/>
        <v>8.7412499999999973</v>
      </c>
      <c r="L19" s="1155">
        <f t="shared" si="0"/>
        <v>10.489499999999998</v>
      </c>
    </row>
    <row r="20" spans="1:12">
      <c r="A20" s="2"/>
      <c r="B20" s="15" t="s">
        <v>26</v>
      </c>
      <c r="C20" s="16"/>
      <c r="D20" s="24">
        <f>+I56</f>
        <v>0</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+I59</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+I62</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+I65</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+I68</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400.15499999999992</v>
      </c>
      <c r="E25" s="1158"/>
      <c r="F25" s="1158"/>
      <c r="G25" s="28"/>
      <c r="H25" s="28"/>
      <c r="I25" s="1159">
        <f>SUM(I16:I24)</f>
        <v>300.11624999999998</v>
      </c>
      <c r="J25" s="1159">
        <f>SUM(J16:J24)</f>
        <v>360.1395</v>
      </c>
      <c r="K25" s="1159">
        <f>SUM(K16:K24)</f>
        <v>300.11624999999998</v>
      </c>
      <c r="L25" s="1160">
        <f>SUM(L16:L24)</f>
        <v>360.1395</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s="1373" customFormat="1">
      <c r="A29" s="82"/>
      <c r="B29" s="1161" t="s">
        <v>1252</v>
      </c>
      <c r="C29" s="34"/>
      <c r="D29" s="34"/>
      <c r="E29" s="35"/>
      <c r="F29" s="35"/>
      <c r="G29" s="35"/>
      <c r="H29" s="35"/>
      <c r="I29" s="36"/>
    </row>
    <row r="30" spans="1:12" s="1373" customFormat="1">
      <c r="A30" s="82"/>
      <c r="B30" s="37" t="s">
        <v>1253</v>
      </c>
      <c r="C30" s="34"/>
      <c r="D30" s="34"/>
      <c r="E30" s="1162"/>
      <c r="F30" s="1163"/>
      <c r="G30" s="35"/>
      <c r="H30" s="35"/>
      <c r="I30" s="36"/>
    </row>
    <row r="31" spans="1:12" s="1373" customFormat="1">
      <c r="A31" s="82"/>
      <c r="B31" s="37" t="s">
        <v>1254</v>
      </c>
      <c r="C31" s="34"/>
      <c r="D31" s="34"/>
      <c r="E31" s="35"/>
      <c r="F31" s="35"/>
      <c r="G31" s="35"/>
      <c r="H31" s="35"/>
      <c r="I31" s="36"/>
    </row>
    <row r="32" spans="1:12">
      <c r="A32" s="2"/>
      <c r="B32" s="33"/>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f>+'[10]Payment Factors'!C43</f>
        <v>1</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f>SUM(G41:G41)</f>
        <v>0</v>
      </c>
    </row>
    <row r="40" spans="1:9">
      <c r="A40" s="2"/>
      <c r="B40" s="33" t="s">
        <v>104</v>
      </c>
      <c r="C40" s="35"/>
      <c r="D40" s="1167"/>
      <c r="E40" s="1167"/>
      <c r="F40" s="1167"/>
      <c r="G40" s="1167"/>
      <c r="H40" s="35"/>
      <c r="I40" s="46"/>
    </row>
    <row r="41" spans="1:9">
      <c r="A41" s="2"/>
      <c r="B41" s="40"/>
      <c r="C41" s="6"/>
      <c r="D41" s="1168"/>
      <c r="E41" s="1169"/>
      <c r="F41" s="1170"/>
      <c r="G41" s="1171"/>
      <c r="H41" s="35"/>
      <c r="I41" s="47"/>
    </row>
    <row r="42" spans="1:9">
      <c r="A42" s="2"/>
      <c r="B42" s="42" t="s">
        <v>2</v>
      </c>
      <c r="C42" s="35"/>
      <c r="D42" s="35"/>
      <c r="E42" s="2003" t="s">
        <v>459</v>
      </c>
      <c r="F42" s="2003"/>
      <c r="G42" s="2003"/>
      <c r="H42" s="2003"/>
      <c r="I42" s="1166">
        <f>(SUM(G44:G44)*0.85)</f>
        <v>330.22499999999997</v>
      </c>
    </row>
    <row r="43" spans="1:9">
      <c r="A43" s="2"/>
      <c r="B43" s="1174"/>
      <c r="C43" s="35"/>
      <c r="D43" s="1167" t="s">
        <v>447</v>
      </c>
      <c r="E43" s="1167" t="s">
        <v>448</v>
      </c>
      <c r="F43" s="1167" t="s">
        <v>449</v>
      </c>
      <c r="G43" s="1167" t="s">
        <v>450</v>
      </c>
      <c r="H43" s="35"/>
      <c r="I43" s="46"/>
    </row>
    <row r="44" spans="1:9">
      <c r="A44" s="2"/>
      <c r="B44" s="1374" t="str">
        <f>+'[44]Core Rates'!A36</f>
        <v>Basal Area Removed</v>
      </c>
      <c r="C44" s="6"/>
      <c r="D44" s="1189" t="str">
        <f>+'[44]Core Rates'!B36</f>
        <v>Sq Ft</v>
      </c>
      <c r="E44" s="1169">
        <v>5.55</v>
      </c>
      <c r="F44" s="1170">
        <v>70</v>
      </c>
      <c r="G44" s="1171">
        <f>+F44*E44</f>
        <v>388.5</v>
      </c>
      <c r="H44" s="35"/>
      <c r="I44" s="47"/>
    </row>
    <row r="45" spans="1:9">
      <c r="A45" s="2"/>
      <c r="B45" s="40"/>
      <c r="C45" s="6"/>
      <c r="D45" s="63"/>
      <c r="E45" s="150"/>
      <c r="F45" s="150"/>
      <c r="G45" s="1169"/>
      <c r="H45" s="35"/>
      <c r="I45" s="47"/>
    </row>
    <row r="46" spans="1:9">
      <c r="A46" s="2"/>
      <c r="B46" s="37" t="s">
        <v>43</v>
      </c>
      <c r="C46" s="35"/>
      <c r="D46" s="35"/>
      <c r="E46" s="60"/>
      <c r="F46" s="60"/>
      <c r="G46" s="60"/>
      <c r="H46" s="35"/>
      <c r="I46" s="46"/>
    </row>
    <row r="47" spans="1:9">
      <c r="A47" s="2"/>
      <c r="B47" s="1161" t="s">
        <v>457</v>
      </c>
      <c r="C47" s="1178"/>
      <c r="D47" s="1178"/>
      <c r="E47" s="1178"/>
      <c r="F47" s="1178"/>
      <c r="G47" s="1178"/>
      <c r="H47" s="1178"/>
      <c r="I47" s="1179"/>
    </row>
    <row r="48" spans="1:9">
      <c r="A48" s="2"/>
      <c r="B48" s="1177"/>
      <c r="C48" s="1178"/>
      <c r="D48" s="1178"/>
      <c r="E48" s="1178"/>
      <c r="F48" s="1178"/>
      <c r="G48" s="1178"/>
      <c r="H48" s="1178"/>
      <c r="I48" s="1179"/>
    </row>
    <row r="49" spans="1:9">
      <c r="A49" s="2"/>
      <c r="B49" s="42" t="s">
        <v>3</v>
      </c>
      <c r="C49" s="35"/>
      <c r="D49" s="35"/>
      <c r="E49" s="35"/>
      <c r="F49" s="39"/>
      <c r="G49" s="35"/>
      <c r="H49" s="35"/>
      <c r="I49" s="1182">
        <f>E51</f>
        <v>58.274999999999999</v>
      </c>
    </row>
    <row r="50" spans="1:9">
      <c r="A50" s="2"/>
      <c r="B50" s="2007" t="s">
        <v>465</v>
      </c>
      <c r="C50" s="2008"/>
      <c r="D50" s="35"/>
      <c r="E50" s="35"/>
      <c r="F50" s="35"/>
      <c r="G50" s="35"/>
      <c r="H50" s="35"/>
      <c r="I50" s="48"/>
    </row>
    <row r="51" spans="1:9">
      <c r="A51" s="2"/>
      <c r="B51" s="37" t="s">
        <v>466</v>
      </c>
      <c r="C51" s="39"/>
      <c r="D51" s="39"/>
      <c r="E51" s="153">
        <f>SUM(G44:G44)*0.15</f>
        <v>58.274999999999999</v>
      </c>
      <c r="F51" s="35"/>
      <c r="G51" s="35"/>
      <c r="H51" s="35"/>
      <c r="I51" s="46"/>
    </row>
    <row r="52" spans="1:9">
      <c r="A52" s="2"/>
      <c r="B52" s="37"/>
      <c r="C52" s="39"/>
      <c r="D52" s="1180"/>
      <c r="E52" s="153"/>
      <c r="F52" s="35"/>
      <c r="G52" s="35"/>
      <c r="H52" s="35"/>
      <c r="I52" s="46"/>
    </row>
    <row r="53" spans="1:9">
      <c r="A53" s="2"/>
      <c r="B53" s="42" t="s">
        <v>4</v>
      </c>
      <c r="C53" s="35"/>
      <c r="D53" s="35"/>
      <c r="E53" s="35"/>
      <c r="F53" s="35"/>
      <c r="G53" s="35"/>
      <c r="H53" s="35"/>
      <c r="I53" s="1182">
        <f>0.03*(I39+I42+I49)</f>
        <v>11.654999999999998</v>
      </c>
    </row>
    <row r="54" spans="1:9">
      <c r="A54" s="2"/>
      <c r="B54" s="33" t="s">
        <v>467</v>
      </c>
      <c r="C54" s="35"/>
      <c r="D54" s="35"/>
      <c r="E54" s="35"/>
      <c r="F54" s="35"/>
      <c r="G54" s="35"/>
      <c r="H54" s="35"/>
      <c r="I54" s="36"/>
    </row>
    <row r="55" spans="1:9">
      <c r="A55" s="2"/>
      <c r="B55" s="37"/>
      <c r="C55" s="35"/>
      <c r="D55" s="35"/>
      <c r="E55" s="35"/>
      <c r="F55" s="35"/>
      <c r="G55" s="35"/>
      <c r="H55" s="35"/>
      <c r="I55" s="1166"/>
    </row>
    <row r="56" spans="1:9">
      <c r="A56" s="2"/>
      <c r="B56" s="42" t="s">
        <v>468</v>
      </c>
      <c r="C56" s="35"/>
      <c r="D56" s="35"/>
      <c r="E56" s="35"/>
      <c r="F56" s="35"/>
      <c r="G56" s="35"/>
      <c r="H56" s="35"/>
      <c r="I56" s="1182">
        <v>0</v>
      </c>
    </row>
    <row r="57" spans="1:9">
      <c r="A57" s="2"/>
      <c r="B57" s="33" t="s">
        <v>104</v>
      </c>
      <c r="C57" s="35"/>
      <c r="D57" s="35"/>
      <c r="E57" s="35"/>
      <c r="F57" s="35"/>
      <c r="G57" s="35"/>
      <c r="H57" s="35"/>
      <c r="I57" s="36"/>
    </row>
    <row r="58" spans="1:9">
      <c r="A58" s="2"/>
      <c r="B58" s="37"/>
      <c r="C58" s="35"/>
      <c r="D58" s="35"/>
      <c r="E58" s="35"/>
      <c r="F58" s="35"/>
      <c r="G58" s="35"/>
      <c r="H58" s="35"/>
      <c r="I58" s="36"/>
    </row>
    <row r="59" spans="1:9">
      <c r="A59" s="2"/>
      <c r="B59" s="42" t="s">
        <v>7</v>
      </c>
      <c r="C59" s="35"/>
      <c r="D59" s="35"/>
      <c r="E59" s="35"/>
      <c r="F59" s="35"/>
      <c r="G59" s="35"/>
      <c r="H59" s="35"/>
      <c r="I59" s="1166">
        <v>0</v>
      </c>
    </row>
    <row r="60" spans="1:9">
      <c r="A60" s="2"/>
      <c r="B60" s="33" t="s">
        <v>104</v>
      </c>
      <c r="C60" s="35"/>
      <c r="D60" s="35"/>
      <c r="E60" s="35"/>
      <c r="F60" s="35"/>
      <c r="G60" s="35"/>
      <c r="H60" s="35"/>
      <c r="I60" s="36"/>
    </row>
    <row r="61" spans="1:9">
      <c r="A61" s="2"/>
      <c r="B61" s="37"/>
      <c r="C61" s="35"/>
      <c r="D61" s="35"/>
      <c r="E61" s="35"/>
      <c r="F61" s="35"/>
      <c r="G61" s="35"/>
      <c r="H61" s="35"/>
      <c r="I61" s="36"/>
    </row>
    <row r="62" spans="1:9">
      <c r="A62" s="2"/>
      <c r="B62" s="42" t="s">
        <v>471</v>
      </c>
      <c r="C62" s="35"/>
      <c r="D62" s="35"/>
      <c r="E62" s="35"/>
      <c r="F62" s="39"/>
      <c r="G62" s="35"/>
      <c r="H62" s="35"/>
      <c r="I62" s="1166">
        <v>0</v>
      </c>
    </row>
    <row r="63" spans="1:9">
      <c r="A63" s="2"/>
      <c r="B63" s="756" t="s">
        <v>1255</v>
      </c>
      <c r="C63" s="35"/>
      <c r="D63" s="35"/>
      <c r="E63" s="35"/>
      <c r="F63" s="35"/>
      <c r="G63" s="35"/>
      <c r="H63" s="35"/>
      <c r="I63" s="47"/>
    </row>
    <row r="64" spans="1:9">
      <c r="A64" s="2"/>
      <c r="B64" s="756"/>
      <c r="C64" s="35"/>
      <c r="D64" s="35"/>
      <c r="E64" s="35"/>
      <c r="F64" s="35"/>
      <c r="G64" s="35"/>
      <c r="H64" s="35"/>
      <c r="I64" s="47"/>
    </row>
    <row r="65" spans="1:9">
      <c r="A65" s="2"/>
      <c r="B65" s="42" t="s">
        <v>5</v>
      </c>
      <c r="C65" s="35"/>
      <c r="D65" s="35"/>
      <c r="E65" s="35"/>
      <c r="F65" s="35"/>
      <c r="G65" s="35"/>
      <c r="H65" s="35"/>
      <c r="I65" s="1166">
        <v>0</v>
      </c>
    </row>
    <row r="66" spans="1:9">
      <c r="A66" s="2"/>
      <c r="B66" s="33" t="s">
        <v>104</v>
      </c>
      <c r="C66" s="35"/>
      <c r="D66" s="35"/>
      <c r="E66" s="35"/>
      <c r="F66" s="35"/>
      <c r="G66" s="35"/>
      <c r="H66" s="35"/>
      <c r="I66" s="47"/>
    </row>
    <row r="67" spans="1:9">
      <c r="A67" s="2"/>
      <c r="B67" s="37"/>
      <c r="C67" s="35"/>
      <c r="D67" s="35"/>
      <c r="E67" s="35"/>
      <c r="F67" s="35"/>
      <c r="G67" s="35"/>
      <c r="H67" s="35"/>
      <c r="I67" s="36"/>
    </row>
    <row r="68" spans="1:9">
      <c r="A68" s="2"/>
      <c r="B68" s="42" t="s">
        <v>20</v>
      </c>
      <c r="C68" s="35"/>
      <c r="D68" s="35"/>
      <c r="E68" s="35"/>
      <c r="F68" s="35"/>
      <c r="G68" s="35"/>
      <c r="H68" s="35"/>
      <c r="I68" s="1166">
        <v>0</v>
      </c>
    </row>
    <row r="69" spans="1:9">
      <c r="A69" s="2"/>
      <c r="B69" s="33" t="s">
        <v>104</v>
      </c>
      <c r="C69" s="35"/>
      <c r="D69" s="35"/>
      <c r="E69" s="35"/>
      <c r="F69" s="35"/>
      <c r="G69" s="35"/>
      <c r="H69" s="35"/>
      <c r="I69" s="36"/>
    </row>
    <row r="70" spans="1:9">
      <c r="A70" s="2"/>
      <c r="B70" s="40"/>
      <c r="C70" s="35"/>
      <c r="D70" s="35"/>
      <c r="E70" s="35"/>
      <c r="F70" s="35"/>
      <c r="G70" s="35"/>
      <c r="H70" s="35"/>
      <c r="I70" s="36"/>
    </row>
    <row r="71" spans="1:9">
      <c r="A71" s="2"/>
      <c r="B71" s="42" t="s">
        <v>473</v>
      </c>
      <c r="C71" s="35"/>
      <c r="D71" s="35"/>
      <c r="E71" s="35"/>
      <c r="F71" s="35"/>
      <c r="G71" s="35"/>
      <c r="H71" s="35"/>
      <c r="I71" s="1183">
        <f>+I39+I42+I49+I53+I59+I68</f>
        <v>400.15499999999992</v>
      </c>
    </row>
    <row r="72" spans="1:9" ht="15.75">
      <c r="A72" s="2"/>
      <c r="B72" s="33" t="s">
        <v>474</v>
      </c>
      <c r="C72" s="35"/>
      <c r="D72" s="35"/>
      <c r="E72" s="35"/>
      <c r="F72" s="35"/>
      <c r="G72" s="35"/>
      <c r="H72" s="35"/>
      <c r="I72" s="36"/>
    </row>
    <row r="73" spans="1:9">
      <c r="A73" s="2"/>
      <c r="B73" s="40"/>
      <c r="C73" s="35"/>
      <c r="D73" s="35"/>
      <c r="E73" s="35"/>
      <c r="F73" s="35"/>
      <c r="G73" s="35"/>
      <c r="H73" s="35"/>
      <c r="I73" s="36"/>
    </row>
    <row r="74" spans="1:9">
      <c r="A74" s="2"/>
      <c r="B74" s="43" t="s">
        <v>11</v>
      </c>
      <c r="C74" s="44"/>
      <c r="D74" s="44"/>
      <c r="E74" s="44"/>
      <c r="F74" s="44"/>
      <c r="G74" s="44"/>
      <c r="H74" s="44"/>
      <c r="I74" s="621">
        <f>SUM(I38:I68)</f>
        <v>400.15499999999992</v>
      </c>
    </row>
  </sheetData>
  <mergeCells count="3">
    <mergeCell ref="B1:D1"/>
    <mergeCell ref="E42:H42"/>
    <mergeCell ref="B50:C50"/>
  </mergeCells>
  <pageMargins left="0.75" right="0.75" top="1" bottom="1" header="0.5" footer="0.5"/>
  <pageSetup scale="46" orientation="portrait" r:id="rId1"/>
  <headerFooter alignWithMargins="0"/>
</worksheet>
</file>

<file path=xl/worksheets/sheet235.xml><?xml version="1.0" encoding="utf-8"?>
<worksheet xmlns="http://schemas.openxmlformats.org/spreadsheetml/2006/main" xmlns:r="http://schemas.openxmlformats.org/officeDocument/2006/relationships">
  <sheetPr>
    <pageSetUpPr fitToPage="1"/>
  </sheetPr>
  <dimension ref="A1:L96"/>
  <sheetViews>
    <sheetView zoomScale="75" zoomScaleNormal="75"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58.7109375" style="19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857" t="s">
        <v>2417</v>
      </c>
      <c r="F6" s="198" t="str">
        <f>+D36</f>
        <v>Acre</v>
      </c>
      <c r="G6" s="686">
        <f>+I25</f>
        <v>676.27160303813253</v>
      </c>
    </row>
    <row r="7" spans="1:12" ht="25.5">
      <c r="A7" s="182"/>
      <c r="B7" s="197">
        <f>+B6</f>
        <v>654</v>
      </c>
      <c r="C7" s="198" t="str">
        <f>+C6</f>
        <v>EQIP</v>
      </c>
      <c r="D7" s="199" t="s">
        <v>2416</v>
      </c>
      <c r="E7" s="1857" t="str">
        <f>CONCATENATE(E6, "-HU")</f>
        <v>Road/Trail/Landing Closure &amp; Treatment (Ac) - Light Grading/Shaping (1-2hr/Ac), Introd. Grasses, Mulch  -HU</v>
      </c>
      <c r="F7" s="198" t="str">
        <f>+F6</f>
        <v>Acre</v>
      </c>
      <c r="G7" s="686">
        <f>+J25</f>
        <v>811.52592364575889</v>
      </c>
    </row>
    <row r="8" spans="1:12" ht="25.5">
      <c r="A8" s="182"/>
      <c r="B8" s="197">
        <v>654</v>
      </c>
      <c r="C8" s="198" t="str">
        <f>+G12</f>
        <v>WHIP</v>
      </c>
      <c r="D8" s="199" t="s">
        <v>2416</v>
      </c>
      <c r="E8" s="1857" t="str">
        <f>+E6</f>
        <v xml:space="preserve">Road/Trail/Landing Closure &amp; Treatment (Ac) - Light Grading/Shaping (1-2hr/Ac), Introd. Grasses, Mulch  </v>
      </c>
      <c r="F8" s="198" t="str">
        <f>+D36</f>
        <v>Acre</v>
      </c>
      <c r="G8" s="686">
        <f>+K25</f>
        <v>0</v>
      </c>
    </row>
    <row r="9" spans="1:12" ht="25.5">
      <c r="A9" s="182"/>
      <c r="B9" s="203">
        <f>+B8</f>
        <v>654</v>
      </c>
      <c r="C9" s="204" t="str">
        <f>+C8</f>
        <v>WHIP</v>
      </c>
      <c r="D9" s="199" t="s">
        <v>2416</v>
      </c>
      <c r="E9" s="1858" t="str">
        <f>CONCATENATE(E6, "-HU")</f>
        <v>Road/Trail/Landing Closure &amp; Treatment (Ac) - Light Grading/Shaping (1-2hr/Ac), Introd. Grasses, Mulch  -HU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188.14082917557616</v>
      </c>
      <c r="E16" s="226">
        <f>+'[10]Payment Factors'!D11</f>
        <v>0.75</v>
      </c>
      <c r="F16" s="226">
        <f>+'[10]Payment Factors'!E11</f>
        <v>0.9</v>
      </c>
      <c r="G16" s="226">
        <f>+'[10]Payment Factors'!F11</f>
        <v>0</v>
      </c>
      <c r="H16" s="226">
        <f>+'[10]Payment Factors'!G11</f>
        <v>0</v>
      </c>
      <c r="I16" s="689">
        <f t="shared" ref="I16:L24" si="0">+$D16*E16</f>
        <v>141.10562188168211</v>
      </c>
      <c r="J16" s="689">
        <f t="shared" si="0"/>
        <v>169.32674625801855</v>
      </c>
      <c r="K16" s="689">
        <f t="shared" si="0"/>
        <v>0</v>
      </c>
      <c r="L16" s="690">
        <f t="shared" si="0"/>
        <v>0</v>
      </c>
    </row>
    <row r="17" spans="1:12">
      <c r="A17" s="182"/>
      <c r="B17" s="215" t="s">
        <v>2</v>
      </c>
      <c r="C17" s="217"/>
      <c r="D17" s="688">
        <f>+I54</f>
        <v>584.19791666666663</v>
      </c>
      <c r="E17" s="226">
        <f t="shared" ref="E17:H19" si="1">+E16</f>
        <v>0.75</v>
      </c>
      <c r="F17" s="226">
        <f t="shared" si="1"/>
        <v>0.9</v>
      </c>
      <c r="G17" s="226">
        <f t="shared" si="1"/>
        <v>0</v>
      </c>
      <c r="H17" s="226">
        <f t="shared" si="1"/>
        <v>0</v>
      </c>
      <c r="I17" s="689">
        <f t="shared" si="0"/>
        <v>438.1484375</v>
      </c>
      <c r="J17" s="689">
        <f t="shared" si="0"/>
        <v>525.77812499999993</v>
      </c>
      <c r="K17" s="689">
        <f t="shared" si="0"/>
        <v>0</v>
      </c>
      <c r="L17" s="690">
        <f t="shared" si="0"/>
        <v>0</v>
      </c>
    </row>
    <row r="18" spans="1:12">
      <c r="A18" s="182"/>
      <c r="B18" s="215" t="s">
        <v>3</v>
      </c>
      <c r="C18" s="217"/>
      <c r="D18" s="688">
        <f>+I68</f>
        <v>103.09374999999999</v>
      </c>
      <c r="E18" s="226">
        <f t="shared" si="1"/>
        <v>0.75</v>
      </c>
      <c r="F18" s="226">
        <f t="shared" si="1"/>
        <v>0.9</v>
      </c>
      <c r="G18" s="226">
        <f t="shared" si="1"/>
        <v>0</v>
      </c>
      <c r="H18" s="226">
        <f t="shared" si="1"/>
        <v>0</v>
      </c>
      <c r="I18" s="689">
        <f t="shared" si="0"/>
        <v>77.320312499999986</v>
      </c>
      <c r="J18" s="689">
        <f t="shared" si="0"/>
        <v>92.784374999999983</v>
      </c>
      <c r="K18" s="689">
        <f t="shared" si="0"/>
        <v>0</v>
      </c>
      <c r="L18" s="690">
        <f t="shared" si="0"/>
        <v>0</v>
      </c>
    </row>
    <row r="19" spans="1:12">
      <c r="A19" s="182"/>
      <c r="B19" s="215" t="s">
        <v>4</v>
      </c>
      <c r="C19" s="217"/>
      <c r="D19" s="688">
        <f>+I74</f>
        <v>26.262974875267282</v>
      </c>
      <c r="E19" s="226">
        <f t="shared" si="1"/>
        <v>0.75</v>
      </c>
      <c r="F19" s="226">
        <f t="shared" si="1"/>
        <v>0.9</v>
      </c>
      <c r="G19" s="226">
        <f t="shared" si="1"/>
        <v>0</v>
      </c>
      <c r="H19" s="226">
        <f t="shared" si="1"/>
        <v>0</v>
      </c>
      <c r="I19" s="689">
        <f t="shared" si="0"/>
        <v>19.697231156450464</v>
      </c>
      <c r="J19" s="689">
        <f t="shared" si="0"/>
        <v>23.636677387740555</v>
      </c>
      <c r="K19" s="689">
        <f t="shared" si="0"/>
        <v>0</v>
      </c>
      <c r="L19" s="690">
        <f t="shared" si="0"/>
        <v>0</v>
      </c>
    </row>
    <row r="20" spans="1:12">
      <c r="A20" s="182"/>
      <c r="B20" s="215" t="s">
        <v>26</v>
      </c>
      <c r="C20" s="217"/>
      <c r="D20" s="688">
        <f>+I77</f>
        <v>8.7543249584224281</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+I80</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+I83</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+I87</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+I90</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1510.4497956759326</v>
      </c>
      <c r="E25" s="695"/>
      <c r="F25" s="695"/>
      <c r="G25" s="234"/>
      <c r="H25" s="234"/>
      <c r="I25" s="696">
        <f>SUM(I16:I24)</f>
        <v>676.27160303813253</v>
      </c>
      <c r="J25" s="696">
        <f>SUM(J16:J24)</f>
        <v>811.52592364575889</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SUM(G42:G49)</f>
        <v>188.14082917557616</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9" si="2">+F42*E42</f>
        <v>0</v>
      </c>
      <c r="H42" s="254"/>
      <c r="I42" s="286"/>
    </row>
    <row r="43" spans="1:9">
      <c r="A43" s="182"/>
      <c r="B43" s="261" t="s">
        <v>451</v>
      </c>
      <c r="C43" s="268"/>
      <c r="D43" s="705" t="s">
        <v>452</v>
      </c>
      <c r="E43" s="706">
        <f>+'[20]Core Rates'!C203</f>
        <v>8.75</v>
      </c>
      <c r="F43" s="707">
        <v>2</v>
      </c>
      <c r="G43" s="708">
        <f t="shared" si="2"/>
        <v>17.5</v>
      </c>
      <c r="H43" s="254"/>
      <c r="I43" s="248"/>
    </row>
    <row r="44" spans="1:9">
      <c r="A44" s="182"/>
      <c r="B44" s="1849" t="s">
        <v>453</v>
      </c>
      <c r="C44" s="268"/>
      <c r="D44" s="711" t="s">
        <v>454</v>
      </c>
      <c r="E44" s="706">
        <f>+'[20]Core Rates'!C228</f>
        <v>0.82427536231884069</v>
      </c>
      <c r="F44" s="707">
        <v>50</v>
      </c>
      <c r="G44" s="708">
        <f t="shared" si="2"/>
        <v>41.213768115942031</v>
      </c>
      <c r="H44" s="254"/>
      <c r="I44" s="248"/>
    </row>
    <row r="45" spans="1:9">
      <c r="A45" s="182"/>
      <c r="B45" s="709" t="s">
        <v>455</v>
      </c>
      <c r="C45" s="710"/>
      <c r="D45" s="711" t="s">
        <v>454</v>
      </c>
      <c r="E45" s="706">
        <f>+'[20]Core Rates'!C235</f>
        <v>1.1702898550724636</v>
      </c>
      <c r="F45" s="707">
        <v>50</v>
      </c>
      <c r="G45" s="708">
        <f t="shared" si="2"/>
        <v>58.51449275362318</v>
      </c>
      <c r="H45" s="254"/>
      <c r="I45" s="248"/>
    </row>
    <row r="46" spans="1:9">
      <c r="A46" s="182"/>
      <c r="B46" s="709" t="s">
        <v>456</v>
      </c>
      <c r="C46" s="710"/>
      <c r="D46" s="705" t="s">
        <v>454</v>
      </c>
      <c r="E46" s="706">
        <f>+'[20]Core Rates'!C246</f>
        <v>0.58825136612021856</v>
      </c>
      <c r="F46" s="707">
        <v>50</v>
      </c>
      <c r="G46" s="708">
        <f t="shared" si="2"/>
        <v>29.412568306010929</v>
      </c>
      <c r="H46" s="254"/>
      <c r="I46" s="248"/>
    </row>
    <row r="47" spans="1:9">
      <c r="A47" s="182"/>
      <c r="B47" s="709" t="s">
        <v>479</v>
      </c>
      <c r="C47" s="710"/>
      <c r="D47" s="711" t="s">
        <v>454</v>
      </c>
      <c r="E47" s="706">
        <f>+'[20]Core Rates 2011'!BE307</f>
        <v>1.68</v>
      </c>
      <c r="F47" s="707">
        <v>15</v>
      </c>
      <c r="G47" s="708">
        <f t="shared" si="2"/>
        <v>25.2</v>
      </c>
      <c r="H47" s="254"/>
      <c r="I47" s="248"/>
    </row>
    <row r="48" spans="1:9">
      <c r="A48" s="182"/>
      <c r="B48" s="709" t="s">
        <v>480</v>
      </c>
      <c r="C48" s="710"/>
      <c r="D48" s="711" t="s">
        <v>454</v>
      </c>
      <c r="E48" s="706">
        <f>+'[20]Core Rates 2011'!BE308</f>
        <v>1.61</v>
      </c>
      <c r="F48" s="707">
        <v>5</v>
      </c>
      <c r="G48" s="708">
        <f t="shared" si="2"/>
        <v>8.0500000000000007</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49"/>
      <c r="C50" s="268"/>
      <c r="D50" s="1851"/>
      <c r="E50" s="1852"/>
      <c r="F50" s="254"/>
      <c r="G50" s="254"/>
      <c r="H50" s="254"/>
      <c r="I50" s="248"/>
    </row>
    <row r="51" spans="1:9">
      <c r="A51" s="182"/>
      <c r="B51" s="251" t="s">
        <v>43</v>
      </c>
      <c r="C51" s="254"/>
      <c r="D51" s="254"/>
      <c r="E51" s="272"/>
      <c r="F51" s="272"/>
      <c r="G51" s="272"/>
      <c r="H51" s="254"/>
      <c r="I51" s="265"/>
    </row>
    <row r="52" spans="1:9">
      <c r="A52" s="182"/>
      <c r="B52" s="261" t="s">
        <v>1348</v>
      </c>
      <c r="C52" s="254"/>
      <c r="D52" s="254"/>
      <c r="E52" s="272"/>
      <c r="F52" s="272"/>
      <c r="G52" s="272"/>
      <c r="H52" s="254"/>
      <c r="I52" s="265"/>
    </row>
    <row r="53" spans="1:9">
      <c r="A53" s="182"/>
      <c r="B53" s="1850"/>
      <c r="C53" s="268"/>
      <c r="D53" s="1851"/>
      <c r="E53" s="254"/>
      <c r="F53" s="254"/>
      <c r="G53" s="254"/>
      <c r="H53" s="254"/>
      <c r="I53" s="248"/>
    </row>
    <row r="54" spans="1:9">
      <c r="A54" s="182"/>
      <c r="B54" s="246" t="s">
        <v>2</v>
      </c>
      <c r="C54" s="254"/>
      <c r="D54" s="254"/>
      <c r="E54" s="2147" t="s">
        <v>459</v>
      </c>
      <c r="F54" s="2147"/>
      <c r="G54" s="2147"/>
      <c r="H54" s="2147"/>
      <c r="I54" s="702">
        <f>(SUM(G56:G61)*0.85)</f>
        <v>584.19791666666663</v>
      </c>
    </row>
    <row r="55" spans="1:9">
      <c r="A55" s="182"/>
      <c r="B55" s="703"/>
      <c r="C55" s="254"/>
      <c r="D55" s="704" t="s">
        <v>447</v>
      </c>
      <c r="E55" s="704" t="s">
        <v>448</v>
      </c>
      <c r="F55" s="704" t="s">
        <v>449</v>
      </c>
      <c r="G55" s="704" t="s">
        <v>450</v>
      </c>
      <c r="H55" s="254"/>
      <c r="I55" s="265"/>
    </row>
    <row r="56" spans="1:9">
      <c r="A56" s="182"/>
      <c r="B56" s="1861" t="str">
        <f>+'[20]Core Rates'!A109</f>
        <v>Earthmoving: Light grading/shaping (1-2 hrs/ac)</v>
      </c>
      <c r="C56" s="1861"/>
      <c r="D56" s="1862" t="s">
        <v>408</v>
      </c>
      <c r="E56" s="706">
        <f>+'[20]Core Rates'!C109</f>
        <v>165.75</v>
      </c>
      <c r="F56" s="707">
        <v>1</v>
      </c>
      <c r="G56" s="708">
        <f t="shared" ref="G56:G61" si="3">+F56*E56</f>
        <v>165.75</v>
      </c>
      <c r="H56" s="254"/>
      <c r="I56" s="286"/>
    </row>
    <row r="57" spans="1:9">
      <c r="A57" s="182"/>
      <c r="B57" s="1863" t="str">
        <f>+'[20]Core Rates'!A217</f>
        <v>Mulching (2 tons/ac applied)</v>
      </c>
      <c r="C57" s="720"/>
      <c r="D57" s="708" t="s">
        <v>408</v>
      </c>
      <c r="E57" s="708">
        <f>+'[20]Core Rates'!C217</f>
        <v>472.5</v>
      </c>
      <c r="F57" s="707">
        <v>1</v>
      </c>
      <c r="G57" s="708">
        <f>+F57*E57</f>
        <v>472.5</v>
      </c>
      <c r="H57" s="254"/>
      <c r="I57" s="286"/>
    </row>
    <row r="58" spans="1:9">
      <c r="A58" s="182"/>
      <c r="B58" s="261" t="s">
        <v>461</v>
      </c>
      <c r="C58" s="268"/>
      <c r="D58" s="705" t="s">
        <v>408</v>
      </c>
      <c r="E58" s="706">
        <f>+'[20]Core Rates'!C104</f>
        <v>20</v>
      </c>
      <c r="F58" s="707">
        <v>1</v>
      </c>
      <c r="G58" s="708">
        <f t="shared" si="3"/>
        <v>20</v>
      </c>
      <c r="H58" s="254"/>
      <c r="I58" s="286"/>
    </row>
    <row r="59" spans="1:9">
      <c r="A59" s="182"/>
      <c r="B59" s="261" t="s">
        <v>462</v>
      </c>
      <c r="C59" s="268"/>
      <c r="D59" s="705" t="s">
        <v>408</v>
      </c>
      <c r="E59" s="706">
        <f>+'[20]Core Rates'!AN33</f>
        <v>5.416666666666667</v>
      </c>
      <c r="F59" s="707">
        <v>1</v>
      </c>
      <c r="G59" s="708">
        <f t="shared" si="3"/>
        <v>5.416666666666667</v>
      </c>
      <c r="H59" s="254"/>
      <c r="I59" s="286"/>
    </row>
    <row r="60" spans="1:9">
      <c r="A60" s="182"/>
      <c r="B60" s="261" t="s">
        <v>463</v>
      </c>
      <c r="C60" s="268"/>
      <c r="D60" s="705" t="s">
        <v>452</v>
      </c>
      <c r="E60" s="706">
        <f>+'[20]Core Rates'!AN34</f>
        <v>5.5</v>
      </c>
      <c r="F60" s="707">
        <v>2</v>
      </c>
      <c r="G60" s="708">
        <f t="shared" si="3"/>
        <v>11</v>
      </c>
      <c r="H60" s="254"/>
      <c r="I60" s="286"/>
    </row>
    <row r="61" spans="1:9">
      <c r="A61" s="182"/>
      <c r="B61" s="261" t="s">
        <v>464</v>
      </c>
      <c r="C61" s="268"/>
      <c r="D61" s="705" t="s">
        <v>452</v>
      </c>
      <c r="E61" s="706">
        <f>+'[20]Core Rates'!AN32</f>
        <v>6.3125</v>
      </c>
      <c r="F61" s="707">
        <v>2</v>
      </c>
      <c r="G61" s="708">
        <f t="shared" si="3"/>
        <v>12.625</v>
      </c>
      <c r="H61" s="254"/>
      <c r="I61" s="286"/>
    </row>
    <row r="62" spans="1:9">
      <c r="A62" s="182"/>
      <c r="B62" s="261"/>
      <c r="C62" s="268"/>
      <c r="D62" s="269"/>
      <c r="E62" s="714"/>
      <c r="F62" s="714"/>
      <c r="G62" s="706"/>
      <c r="H62" s="254"/>
      <c r="I62" s="286"/>
    </row>
    <row r="63" spans="1:9">
      <c r="A63" s="182"/>
      <c r="B63" s="251" t="s">
        <v>43</v>
      </c>
      <c r="C63" s="254"/>
      <c r="D63" s="254"/>
      <c r="E63" s="272"/>
      <c r="F63" s="272"/>
      <c r="G63" s="272"/>
      <c r="H63" s="254"/>
      <c r="I63" s="265"/>
    </row>
    <row r="64" spans="1:9" ht="12.75" customHeight="1">
      <c r="A64" s="182"/>
      <c r="B64" s="2148" t="s">
        <v>457</v>
      </c>
      <c r="C64" s="2149"/>
      <c r="D64" s="2149"/>
      <c r="E64" s="2149"/>
      <c r="F64" s="2149"/>
      <c r="G64" s="2149"/>
      <c r="H64" s="2149"/>
      <c r="I64" s="2150"/>
    </row>
    <row r="65" spans="1:9">
      <c r="A65" s="182"/>
      <c r="B65" s="2148"/>
      <c r="C65" s="2149"/>
      <c r="D65" s="2149"/>
      <c r="E65" s="2149"/>
      <c r="F65" s="2149"/>
      <c r="G65" s="2149"/>
      <c r="H65" s="2149"/>
      <c r="I65" s="2150"/>
    </row>
    <row r="66" spans="1:9">
      <c r="A66" s="182"/>
      <c r="B66" s="715"/>
      <c r="C66" s="716"/>
      <c r="D66" s="716"/>
      <c r="E66" s="716"/>
      <c r="F66" s="716"/>
      <c r="G66" s="716"/>
      <c r="H66" s="716"/>
      <c r="I66" s="717"/>
    </row>
    <row r="67" spans="1:9">
      <c r="A67" s="182"/>
      <c r="B67" s="715"/>
      <c r="C67" s="716"/>
      <c r="D67" s="716"/>
      <c r="E67" s="716"/>
      <c r="F67" s="716"/>
      <c r="G67" s="716"/>
      <c r="H67" s="716"/>
      <c r="I67" s="717"/>
    </row>
    <row r="68" spans="1:9">
      <c r="A68" s="182"/>
      <c r="B68" s="246" t="s">
        <v>3</v>
      </c>
      <c r="C68" s="254"/>
      <c r="D68" s="254"/>
      <c r="E68" s="254"/>
      <c r="F68" s="256"/>
      <c r="G68" s="254"/>
      <c r="H68" s="254"/>
      <c r="I68" s="718">
        <f>E70</f>
        <v>103.09374999999999</v>
      </c>
    </row>
    <row r="69" spans="1:9">
      <c r="A69" s="182"/>
      <c r="B69" s="2151" t="s">
        <v>465</v>
      </c>
      <c r="C69" s="2152"/>
      <c r="D69" s="254"/>
      <c r="E69" s="254"/>
      <c r="F69" s="254"/>
      <c r="G69" s="254"/>
      <c r="H69" s="254"/>
      <c r="I69" s="282"/>
    </row>
    <row r="70" spans="1:9">
      <c r="A70" s="182"/>
      <c r="B70" s="251" t="s">
        <v>466</v>
      </c>
      <c r="C70" s="256"/>
      <c r="D70" s="256"/>
      <c r="E70" s="720">
        <f>SUM(G56:G61)*0.15</f>
        <v>103.09374999999999</v>
      </c>
      <c r="F70" s="254"/>
      <c r="G70" s="254"/>
      <c r="H70" s="254"/>
      <c r="I70" s="265"/>
    </row>
    <row r="71" spans="1:9">
      <c r="A71" s="182"/>
      <c r="B71" s="251"/>
      <c r="C71" s="256"/>
      <c r="D71" s="721"/>
      <c r="E71" s="720"/>
      <c r="F71" s="254"/>
      <c r="G71" s="254"/>
      <c r="H71" s="254"/>
      <c r="I71" s="265"/>
    </row>
    <row r="72" spans="1:9">
      <c r="A72" s="182"/>
      <c r="B72" s="251"/>
      <c r="C72" s="256"/>
      <c r="D72" s="722"/>
      <c r="E72" s="720"/>
      <c r="F72" s="254"/>
      <c r="G72" s="254"/>
      <c r="H72" s="254"/>
      <c r="I72" s="265"/>
    </row>
    <row r="73" spans="1:9">
      <c r="A73" s="182"/>
      <c r="B73" s="271"/>
      <c r="C73" s="254"/>
      <c r="D73" s="254"/>
      <c r="E73" s="254"/>
      <c r="F73" s="254"/>
      <c r="G73" s="254"/>
      <c r="H73" s="254"/>
      <c r="I73" s="248"/>
    </row>
    <row r="74" spans="1:9">
      <c r="A74" s="182"/>
      <c r="B74" s="246" t="s">
        <v>4</v>
      </c>
      <c r="C74" s="254"/>
      <c r="D74" s="254"/>
      <c r="E74" s="254"/>
      <c r="F74" s="254"/>
      <c r="G74" s="254"/>
      <c r="H74" s="254"/>
      <c r="I74" s="718">
        <f>0.03*(I40+I54+I68)</f>
        <v>26.262974875267282</v>
      </c>
    </row>
    <row r="75" spans="1:9">
      <c r="A75" s="182"/>
      <c r="B75" s="271" t="s">
        <v>467</v>
      </c>
      <c r="C75" s="254"/>
      <c r="D75" s="254"/>
      <c r="E75" s="254"/>
      <c r="F75" s="254"/>
      <c r="G75" s="254"/>
      <c r="H75" s="254"/>
      <c r="I75" s="248"/>
    </row>
    <row r="76" spans="1:9">
      <c r="A76" s="182"/>
      <c r="B76" s="251"/>
      <c r="C76" s="254"/>
      <c r="D76" s="254"/>
      <c r="E76" s="254"/>
      <c r="F76" s="254"/>
      <c r="G76" s="254"/>
      <c r="H76" s="254"/>
      <c r="I76" s="248"/>
    </row>
    <row r="77" spans="1:9">
      <c r="A77" s="182"/>
      <c r="B77" s="246" t="s">
        <v>468</v>
      </c>
      <c r="C77" s="254"/>
      <c r="D77" s="254"/>
      <c r="E77" s="254"/>
      <c r="F77" s="254"/>
      <c r="G77" s="254"/>
      <c r="H77" s="254"/>
      <c r="I77" s="718">
        <f>0.01*(I40+I54+I68)</f>
        <v>8.7543249584224281</v>
      </c>
    </row>
    <row r="78" spans="1:9">
      <c r="A78" s="182"/>
      <c r="B78" s="271" t="s">
        <v>749</v>
      </c>
      <c r="C78" s="254"/>
      <c r="D78" s="254"/>
      <c r="E78" s="254"/>
      <c r="F78" s="254"/>
      <c r="G78" s="254"/>
      <c r="H78" s="254"/>
      <c r="I78" s="248"/>
    </row>
    <row r="79" spans="1:9">
      <c r="A79" s="182"/>
      <c r="B79" s="251"/>
      <c r="C79" s="254"/>
      <c r="D79" s="254"/>
      <c r="E79" s="254"/>
      <c r="F79" s="254"/>
      <c r="G79" s="254"/>
      <c r="H79" s="254"/>
      <c r="I79" s="248"/>
    </row>
    <row r="80" spans="1:9">
      <c r="A80" s="182"/>
      <c r="B80" s="246" t="s">
        <v>7</v>
      </c>
      <c r="C80" s="254"/>
      <c r="D80" s="254"/>
      <c r="E80" s="254"/>
      <c r="F80" s="254"/>
      <c r="G80" s="254"/>
      <c r="H80" s="254"/>
      <c r="I80" s="702">
        <v>0</v>
      </c>
    </row>
    <row r="81" spans="1:9">
      <c r="A81" s="182"/>
      <c r="B81" s="271" t="s">
        <v>1349</v>
      </c>
      <c r="C81" s="254"/>
      <c r="D81" s="254"/>
      <c r="E81" s="254"/>
      <c r="F81" s="254"/>
      <c r="G81" s="254"/>
      <c r="H81" s="254"/>
      <c r="I81" s="248"/>
    </row>
    <row r="82" spans="1:9">
      <c r="A82" s="182"/>
      <c r="B82" s="251"/>
      <c r="C82" s="254"/>
      <c r="D82" s="254"/>
      <c r="E82" s="254"/>
      <c r="F82" s="254"/>
      <c r="G82" s="254"/>
      <c r="H82" s="254"/>
      <c r="I82" s="248"/>
    </row>
    <row r="83" spans="1:9">
      <c r="A83" s="182"/>
      <c r="B83" s="246" t="s">
        <v>471</v>
      </c>
      <c r="C83" s="254"/>
      <c r="D83" s="254"/>
      <c r="E83" s="254"/>
      <c r="F83" s="256"/>
      <c r="G83" s="254"/>
      <c r="H83" s="254"/>
      <c r="I83" s="702">
        <v>600</v>
      </c>
    </row>
    <row r="84" spans="1:9">
      <c r="A84" s="182"/>
      <c r="B84" s="726" t="s">
        <v>1350</v>
      </c>
      <c r="C84" s="254"/>
      <c r="D84" s="254"/>
      <c r="E84" s="254"/>
      <c r="F84" s="254"/>
      <c r="G84" s="254"/>
      <c r="H84" s="254"/>
      <c r="I84" s="286"/>
    </row>
    <row r="85" spans="1:9">
      <c r="A85" s="182"/>
      <c r="B85" s="726"/>
      <c r="C85" s="254"/>
      <c r="D85" s="254"/>
      <c r="E85" s="254"/>
      <c r="F85" s="254"/>
      <c r="G85" s="254"/>
      <c r="H85" s="254"/>
      <c r="I85" s="286"/>
    </row>
    <row r="86" spans="1:9">
      <c r="A86" s="182"/>
      <c r="B86" s="251"/>
      <c r="C86" s="254"/>
      <c r="D86" s="254"/>
      <c r="E86" s="254"/>
      <c r="F86" s="254"/>
      <c r="G86" s="254"/>
      <c r="H86" s="254"/>
      <c r="I86" s="248"/>
    </row>
    <row r="87" spans="1:9">
      <c r="A87" s="182"/>
      <c r="B87" s="246" t="s">
        <v>5</v>
      </c>
      <c r="C87" s="254"/>
      <c r="D87" s="254"/>
      <c r="E87" s="254"/>
      <c r="F87" s="254"/>
      <c r="G87" s="254"/>
      <c r="H87" s="254"/>
      <c r="I87" s="702">
        <v>0</v>
      </c>
    </row>
    <row r="88" spans="1:9">
      <c r="A88" s="182"/>
      <c r="B88" s="271" t="s">
        <v>1351</v>
      </c>
      <c r="C88" s="254"/>
      <c r="D88" s="254"/>
      <c r="E88" s="254"/>
      <c r="F88" s="254"/>
      <c r="G88" s="254"/>
      <c r="H88" s="254"/>
      <c r="I88" s="286"/>
    </row>
    <row r="89" spans="1:9">
      <c r="A89" s="182"/>
      <c r="B89" s="251"/>
      <c r="C89" s="254"/>
      <c r="D89" s="254"/>
      <c r="E89" s="254"/>
      <c r="F89" s="254"/>
      <c r="G89" s="254"/>
      <c r="H89" s="254"/>
      <c r="I89" s="248"/>
    </row>
    <row r="90" spans="1:9">
      <c r="A90" s="182"/>
      <c r="B90" s="246" t="s">
        <v>20</v>
      </c>
      <c r="C90" s="254"/>
      <c r="D90" s="254"/>
      <c r="E90" s="254"/>
      <c r="F90" s="254"/>
      <c r="G90" s="254"/>
      <c r="H90" s="254"/>
      <c r="I90" s="702">
        <v>0</v>
      </c>
    </row>
    <row r="91" spans="1:9">
      <c r="A91" s="182"/>
      <c r="B91" s="271" t="s">
        <v>104</v>
      </c>
      <c r="C91" s="254"/>
      <c r="D91" s="254"/>
      <c r="E91" s="254"/>
      <c r="F91" s="254"/>
      <c r="G91" s="254"/>
      <c r="H91" s="254"/>
      <c r="I91" s="248"/>
    </row>
    <row r="92" spans="1:9">
      <c r="A92" s="182"/>
      <c r="B92" s="261"/>
      <c r="C92" s="254"/>
      <c r="D92" s="254"/>
      <c r="E92" s="254"/>
      <c r="F92" s="254"/>
      <c r="G92" s="254"/>
      <c r="H92" s="254"/>
      <c r="I92" s="248"/>
    </row>
    <row r="93" spans="1:9">
      <c r="A93" s="182"/>
      <c r="B93" s="246" t="s">
        <v>473</v>
      </c>
      <c r="C93" s="254"/>
      <c r="D93" s="254"/>
      <c r="E93" s="254"/>
      <c r="F93" s="254"/>
      <c r="G93" s="254"/>
      <c r="H93" s="254"/>
      <c r="I93" s="728">
        <f>+I40+I54+I68+I74+I80+I90</f>
        <v>901.69547071751015</v>
      </c>
    </row>
    <row r="94" spans="1:9" ht="15.75">
      <c r="A94" s="182"/>
      <c r="B94" s="271" t="s">
        <v>474</v>
      </c>
      <c r="C94" s="254"/>
      <c r="D94" s="254"/>
      <c r="E94" s="254"/>
      <c r="F94" s="254"/>
      <c r="G94" s="254"/>
      <c r="H94" s="254"/>
      <c r="I94" s="248"/>
    </row>
    <row r="95" spans="1:9">
      <c r="A95" s="182"/>
      <c r="B95" s="261"/>
      <c r="C95" s="254"/>
      <c r="D95" s="254"/>
      <c r="E95" s="254"/>
      <c r="F95" s="254"/>
      <c r="G95" s="254"/>
      <c r="H95" s="254"/>
      <c r="I95" s="248"/>
    </row>
    <row r="96" spans="1:9">
      <c r="A96" s="182"/>
      <c r="B96" s="287" t="s">
        <v>11</v>
      </c>
      <c r="C96" s="288"/>
      <c r="D96" s="288"/>
      <c r="E96" s="288"/>
      <c r="F96" s="288"/>
      <c r="G96" s="288"/>
      <c r="H96" s="288"/>
      <c r="I96" s="621">
        <f>SUM(I40:I90)</f>
        <v>1510.4497956759326</v>
      </c>
    </row>
  </sheetData>
  <mergeCells count="4">
    <mergeCell ref="B1:D1"/>
    <mergeCell ref="E54:H54"/>
    <mergeCell ref="B64:I65"/>
    <mergeCell ref="B69:C69"/>
  </mergeCells>
  <pageMargins left="0.75" right="0.75" top="1" bottom="1" header="0.5" footer="0.5"/>
  <pageSetup scale="49" orientation="portrait" r:id="rId1"/>
  <headerFooter alignWithMargins="0"/>
</worksheet>
</file>

<file path=xl/worksheets/sheet236.xml><?xml version="1.0" encoding="utf-8"?>
<worksheet xmlns="http://schemas.openxmlformats.org/spreadsheetml/2006/main" xmlns:r="http://schemas.openxmlformats.org/officeDocument/2006/relationships">
  <sheetPr>
    <pageSetUpPr fitToPage="1"/>
  </sheetPr>
  <dimension ref="A1:L96"/>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1" style="19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2418</v>
      </c>
      <c r="F6" s="198" t="str">
        <f>+D36</f>
        <v>Acre</v>
      </c>
      <c r="G6" s="686">
        <f>+I25</f>
        <v>937.28004053813254</v>
      </c>
    </row>
    <row r="7" spans="1:12" ht="25.5">
      <c r="A7" s="182"/>
      <c r="B7" s="197">
        <f>+B6</f>
        <v>654</v>
      </c>
      <c r="C7" s="198" t="str">
        <f>+C6</f>
        <v>EQIP</v>
      </c>
      <c r="D7" s="199" t="s">
        <v>2416</v>
      </c>
      <c r="E7" s="199" t="str">
        <f>CONCATENATE(E6, "-HU")</f>
        <v>Road/Trail/Landing Closure &amp; Treatment (Ac) - Medium Grading/Shaping (2-6hr/Ac), Introd. Grasses, Mulch  -HU</v>
      </c>
      <c r="F7" s="198" t="str">
        <f>+F6</f>
        <v>Acre</v>
      </c>
      <c r="G7" s="686">
        <f>+J25</f>
        <v>1124.736048645759</v>
      </c>
    </row>
    <row r="8" spans="1:12" ht="12.75" customHeight="1">
      <c r="A8" s="182"/>
      <c r="B8" s="197">
        <v>654</v>
      </c>
      <c r="C8" s="198" t="str">
        <f>+G12</f>
        <v>WHIP</v>
      </c>
      <c r="D8" s="199" t="s">
        <v>2416</v>
      </c>
      <c r="E8" s="199" t="str">
        <f>+E6</f>
        <v xml:space="preserve">Road/Trail/Landing Closure &amp; Treatment (Ac) - Medium Grading/Shaping (2-6hr/Ac), Introd. Grasses, Mulch  </v>
      </c>
      <c r="F8" s="198" t="str">
        <f>+D36</f>
        <v>Acre</v>
      </c>
      <c r="G8" s="686">
        <f>+K25</f>
        <v>0</v>
      </c>
    </row>
    <row r="9" spans="1:12" ht="25.5">
      <c r="A9" s="182"/>
      <c r="B9" s="203">
        <f>+B8</f>
        <v>654</v>
      </c>
      <c r="C9" s="204" t="str">
        <f>+C8</f>
        <v>WHIP</v>
      </c>
      <c r="D9" s="199" t="s">
        <v>2416</v>
      </c>
      <c r="E9" s="205" t="str">
        <f>CONCATENATE(E6, "-HU")</f>
        <v>Road/Trail/Landing Closure &amp; Treatment (Ac) - Medium Grading/Shaping (2-6hr/Ac), Introd. Grasses, Mulch  -HU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188.14082917557616</v>
      </c>
      <c r="E16" s="226">
        <f>+'[10]Payment Factors'!D11</f>
        <v>0.75</v>
      </c>
      <c r="F16" s="226">
        <f>+'[10]Payment Factors'!E11</f>
        <v>0.9</v>
      </c>
      <c r="G16" s="226">
        <f>+'[10]Payment Factors'!F11</f>
        <v>0</v>
      </c>
      <c r="H16" s="226">
        <f>+'[10]Payment Factors'!G11</f>
        <v>0</v>
      </c>
      <c r="I16" s="689">
        <f t="shared" ref="I16:L24" si="0">+$D16*E16</f>
        <v>141.10562188168211</v>
      </c>
      <c r="J16" s="689">
        <f t="shared" si="0"/>
        <v>169.32674625801855</v>
      </c>
      <c r="K16" s="689">
        <f t="shared" si="0"/>
        <v>0</v>
      </c>
      <c r="L16" s="690">
        <f t="shared" si="0"/>
        <v>0</v>
      </c>
    </row>
    <row r="17" spans="1:12">
      <c r="A17" s="182"/>
      <c r="B17" s="215" t="s">
        <v>2</v>
      </c>
      <c r="C17" s="217"/>
      <c r="D17" s="688">
        <f>+I54</f>
        <v>871.39166666666654</v>
      </c>
      <c r="E17" s="226">
        <f t="shared" ref="E17:H19" si="1">+E16</f>
        <v>0.75</v>
      </c>
      <c r="F17" s="226">
        <f t="shared" si="1"/>
        <v>0.9</v>
      </c>
      <c r="G17" s="226">
        <f t="shared" si="1"/>
        <v>0</v>
      </c>
      <c r="H17" s="226">
        <f t="shared" si="1"/>
        <v>0</v>
      </c>
      <c r="I17" s="689">
        <f t="shared" si="0"/>
        <v>653.54374999999993</v>
      </c>
      <c r="J17" s="689">
        <f t="shared" si="0"/>
        <v>784.25249999999994</v>
      </c>
      <c r="K17" s="689">
        <f t="shared" si="0"/>
        <v>0</v>
      </c>
      <c r="L17" s="690">
        <f t="shared" si="0"/>
        <v>0</v>
      </c>
    </row>
    <row r="18" spans="1:12">
      <c r="A18" s="182"/>
      <c r="B18" s="215" t="s">
        <v>3</v>
      </c>
      <c r="C18" s="217"/>
      <c r="D18" s="688">
        <f>+I68</f>
        <v>153.77499999999998</v>
      </c>
      <c r="E18" s="226">
        <f t="shared" si="1"/>
        <v>0.75</v>
      </c>
      <c r="F18" s="226">
        <f t="shared" si="1"/>
        <v>0.9</v>
      </c>
      <c r="G18" s="226">
        <f t="shared" si="1"/>
        <v>0</v>
      </c>
      <c r="H18" s="226">
        <f t="shared" si="1"/>
        <v>0</v>
      </c>
      <c r="I18" s="689">
        <f t="shared" si="0"/>
        <v>115.33124999999998</v>
      </c>
      <c r="J18" s="689">
        <f t="shared" si="0"/>
        <v>138.39749999999998</v>
      </c>
      <c r="K18" s="689">
        <f t="shared" si="0"/>
        <v>0</v>
      </c>
      <c r="L18" s="690">
        <f t="shared" si="0"/>
        <v>0</v>
      </c>
    </row>
    <row r="19" spans="1:12">
      <c r="A19" s="182"/>
      <c r="B19" s="215" t="s">
        <v>4</v>
      </c>
      <c r="C19" s="217"/>
      <c r="D19" s="688">
        <f>+I74</f>
        <v>36.399224875267279</v>
      </c>
      <c r="E19" s="226">
        <f t="shared" si="1"/>
        <v>0.75</v>
      </c>
      <c r="F19" s="226">
        <f t="shared" si="1"/>
        <v>0.9</v>
      </c>
      <c r="G19" s="226">
        <f t="shared" si="1"/>
        <v>0</v>
      </c>
      <c r="H19" s="226">
        <f t="shared" si="1"/>
        <v>0</v>
      </c>
      <c r="I19" s="689">
        <f t="shared" si="0"/>
        <v>27.29941865645046</v>
      </c>
      <c r="J19" s="689">
        <f t="shared" si="0"/>
        <v>32.759302387740554</v>
      </c>
      <c r="K19" s="689">
        <f t="shared" si="0"/>
        <v>0</v>
      </c>
      <c r="L19" s="690">
        <f t="shared" si="0"/>
        <v>0</v>
      </c>
    </row>
    <row r="20" spans="1:12">
      <c r="A20" s="182"/>
      <c r="B20" s="215" t="s">
        <v>26</v>
      </c>
      <c r="C20" s="217"/>
      <c r="D20" s="688">
        <f>+I77</f>
        <v>12.133074958422426</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+I80</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+I83</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+I87</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+I90</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1861.8397956759322</v>
      </c>
      <c r="E25" s="695"/>
      <c r="F25" s="695"/>
      <c r="G25" s="234"/>
      <c r="H25" s="234"/>
      <c r="I25" s="696">
        <f>SUM(I16:I24)</f>
        <v>937.28004053813254</v>
      </c>
      <c r="J25" s="696">
        <f>SUM(J16:J24)</f>
        <v>1124.736048645759</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SUM(G42:G49)</f>
        <v>188.14082917557616</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9" si="2">+F42*E42</f>
        <v>0</v>
      </c>
      <c r="H42" s="254"/>
      <c r="I42" s="286"/>
    </row>
    <row r="43" spans="1:9">
      <c r="A43" s="182"/>
      <c r="B43" s="261" t="s">
        <v>451</v>
      </c>
      <c r="C43" s="268"/>
      <c r="D43" s="705" t="s">
        <v>452</v>
      </c>
      <c r="E43" s="706">
        <f>+'[20]Core Rates'!C203</f>
        <v>8.75</v>
      </c>
      <c r="F43" s="707">
        <v>2</v>
      </c>
      <c r="G43" s="708">
        <f t="shared" si="2"/>
        <v>17.5</v>
      </c>
      <c r="H43" s="254"/>
      <c r="I43" s="248"/>
    </row>
    <row r="44" spans="1:9">
      <c r="A44" s="182"/>
      <c r="B44" s="1849" t="s">
        <v>453</v>
      </c>
      <c r="C44" s="268"/>
      <c r="D44" s="711" t="s">
        <v>454</v>
      </c>
      <c r="E44" s="706">
        <f>+'[20]Core Rates'!C228</f>
        <v>0.82427536231884069</v>
      </c>
      <c r="F44" s="707">
        <v>50</v>
      </c>
      <c r="G44" s="708">
        <f t="shared" si="2"/>
        <v>41.213768115942031</v>
      </c>
      <c r="H44" s="254"/>
      <c r="I44" s="248"/>
    </row>
    <row r="45" spans="1:9">
      <c r="A45" s="182"/>
      <c r="B45" s="709" t="s">
        <v>455</v>
      </c>
      <c r="C45" s="710"/>
      <c r="D45" s="711" t="s">
        <v>454</v>
      </c>
      <c r="E45" s="706">
        <f>+'[20]Core Rates'!C235</f>
        <v>1.1702898550724636</v>
      </c>
      <c r="F45" s="707">
        <v>50</v>
      </c>
      <c r="G45" s="708">
        <f t="shared" si="2"/>
        <v>58.51449275362318</v>
      </c>
      <c r="H45" s="254"/>
      <c r="I45" s="248"/>
    </row>
    <row r="46" spans="1:9">
      <c r="A46" s="182"/>
      <c r="B46" s="709" t="s">
        <v>456</v>
      </c>
      <c r="C46" s="710"/>
      <c r="D46" s="705" t="s">
        <v>454</v>
      </c>
      <c r="E46" s="706">
        <f>+'[20]Core Rates'!C246</f>
        <v>0.58825136612021856</v>
      </c>
      <c r="F46" s="707">
        <v>50</v>
      </c>
      <c r="G46" s="708">
        <f t="shared" si="2"/>
        <v>29.412568306010929</v>
      </c>
      <c r="H46" s="254"/>
      <c r="I46" s="248"/>
    </row>
    <row r="47" spans="1:9">
      <c r="A47" s="182"/>
      <c r="B47" s="709" t="s">
        <v>479</v>
      </c>
      <c r="C47" s="710"/>
      <c r="D47" s="711" t="s">
        <v>454</v>
      </c>
      <c r="E47" s="706">
        <f>+'[20]Core Rates 2011'!BE307</f>
        <v>1.68</v>
      </c>
      <c r="F47" s="707">
        <v>15</v>
      </c>
      <c r="G47" s="708">
        <f t="shared" si="2"/>
        <v>25.2</v>
      </c>
      <c r="H47" s="254"/>
      <c r="I47" s="248"/>
    </row>
    <row r="48" spans="1:9">
      <c r="A48" s="182"/>
      <c r="B48" s="709" t="s">
        <v>480</v>
      </c>
      <c r="C48" s="710"/>
      <c r="D48" s="711" t="s">
        <v>454</v>
      </c>
      <c r="E48" s="706">
        <f>+'[20]Core Rates 2011'!BE308</f>
        <v>1.61</v>
      </c>
      <c r="F48" s="707">
        <v>5</v>
      </c>
      <c r="G48" s="708">
        <f t="shared" si="2"/>
        <v>8.0500000000000007</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49"/>
      <c r="C50" s="268"/>
      <c r="D50" s="1851"/>
      <c r="E50" s="1852"/>
      <c r="F50" s="254"/>
      <c r="G50" s="254"/>
      <c r="H50" s="254"/>
      <c r="I50" s="248"/>
    </row>
    <row r="51" spans="1:9">
      <c r="A51" s="182"/>
      <c r="B51" s="251" t="s">
        <v>43</v>
      </c>
      <c r="C51" s="254"/>
      <c r="D51" s="254"/>
      <c r="E51" s="272"/>
      <c r="F51" s="272"/>
      <c r="G51" s="272"/>
      <c r="H51" s="254"/>
      <c r="I51" s="265"/>
    </row>
    <row r="52" spans="1:9">
      <c r="A52" s="182"/>
      <c r="B52" s="261" t="s">
        <v>457</v>
      </c>
      <c r="C52" s="254"/>
      <c r="D52" s="254"/>
      <c r="E52" s="272"/>
      <c r="F52" s="272"/>
      <c r="G52" s="272"/>
      <c r="H52" s="254"/>
      <c r="I52" s="265"/>
    </row>
    <row r="53" spans="1:9">
      <c r="A53" s="182"/>
      <c r="B53" s="1850"/>
      <c r="C53" s="268"/>
      <c r="D53" s="1851"/>
      <c r="E53" s="254"/>
      <c r="F53" s="254"/>
      <c r="G53" s="254"/>
      <c r="H53" s="254"/>
      <c r="I53" s="248"/>
    </row>
    <row r="54" spans="1:9">
      <c r="A54" s="182"/>
      <c r="B54" s="246" t="s">
        <v>2</v>
      </c>
      <c r="C54" s="254"/>
      <c r="D54" s="254"/>
      <c r="E54" s="2147" t="s">
        <v>459</v>
      </c>
      <c r="F54" s="2147"/>
      <c r="G54" s="2147"/>
      <c r="H54" s="2147"/>
      <c r="I54" s="702">
        <f>(SUM(G56:G61)*0.85)</f>
        <v>871.39166666666654</v>
      </c>
    </row>
    <row r="55" spans="1:9">
      <c r="A55" s="182"/>
      <c r="B55" s="703"/>
      <c r="C55" s="254"/>
      <c r="D55" s="704" t="s">
        <v>447</v>
      </c>
      <c r="E55" s="704" t="s">
        <v>448</v>
      </c>
      <c r="F55" s="704" t="s">
        <v>449</v>
      </c>
      <c r="G55" s="704" t="s">
        <v>450</v>
      </c>
      <c r="H55" s="254"/>
      <c r="I55" s="265"/>
    </row>
    <row r="56" spans="1:9">
      <c r="A56" s="182"/>
      <c r="B56" s="1864" t="str">
        <f>+'[20]Core Rates'!A111</f>
        <v>Earthmoving: Medium grading/shaping (2-6 hrs/ac)</v>
      </c>
      <c r="C56" s="1865"/>
      <c r="D56" s="1862" t="s">
        <v>408</v>
      </c>
      <c r="E56" s="706">
        <f>+'[20]Core Rates'!C111</f>
        <v>503.625</v>
      </c>
      <c r="F56" s="707">
        <v>1</v>
      </c>
      <c r="G56" s="708">
        <f t="shared" ref="G56:G61" si="3">+F56*E56</f>
        <v>503.625</v>
      </c>
      <c r="H56" s="254"/>
      <c r="I56" s="286"/>
    </row>
    <row r="57" spans="1:9">
      <c r="A57" s="182"/>
      <c r="B57" s="1863" t="str">
        <f>+'[20]Core Rates'!A217</f>
        <v>Mulching (2 tons/ac applied)</v>
      </c>
      <c r="C57" s="720"/>
      <c r="D57" s="708" t="s">
        <v>408</v>
      </c>
      <c r="E57" s="708">
        <f>+'[20]Core Rates'!C217</f>
        <v>472.5</v>
      </c>
      <c r="F57" s="707">
        <v>1</v>
      </c>
      <c r="G57" s="708">
        <f t="shared" si="3"/>
        <v>472.5</v>
      </c>
      <c r="H57" s="254"/>
      <c r="I57" s="286"/>
    </row>
    <row r="58" spans="1:9">
      <c r="A58" s="182"/>
      <c r="B58" s="261" t="s">
        <v>461</v>
      </c>
      <c r="C58" s="268"/>
      <c r="D58" s="705" t="s">
        <v>408</v>
      </c>
      <c r="E58" s="706">
        <f>+'[20]Core Rates'!C104</f>
        <v>20</v>
      </c>
      <c r="F58" s="707">
        <v>1</v>
      </c>
      <c r="G58" s="708">
        <f t="shared" si="3"/>
        <v>20</v>
      </c>
      <c r="H58" s="254"/>
      <c r="I58" s="286"/>
    </row>
    <row r="59" spans="1:9">
      <c r="A59" s="182"/>
      <c r="B59" s="261" t="s">
        <v>462</v>
      </c>
      <c r="C59" s="268"/>
      <c r="D59" s="705" t="s">
        <v>408</v>
      </c>
      <c r="E59" s="706">
        <f>+'[20]Core Rates'!AN33</f>
        <v>5.416666666666667</v>
      </c>
      <c r="F59" s="707">
        <v>1</v>
      </c>
      <c r="G59" s="708">
        <f t="shared" si="3"/>
        <v>5.416666666666667</v>
      </c>
      <c r="H59" s="254"/>
      <c r="I59" s="286"/>
    </row>
    <row r="60" spans="1:9">
      <c r="A60" s="182"/>
      <c r="B60" s="261" t="s">
        <v>463</v>
      </c>
      <c r="C60" s="268"/>
      <c r="D60" s="705" t="s">
        <v>452</v>
      </c>
      <c r="E60" s="706">
        <f>+'[20]Core Rates'!AN34</f>
        <v>5.5</v>
      </c>
      <c r="F60" s="707">
        <v>2</v>
      </c>
      <c r="G60" s="708">
        <f t="shared" si="3"/>
        <v>11</v>
      </c>
      <c r="H60" s="254"/>
      <c r="I60" s="286"/>
    </row>
    <row r="61" spans="1:9">
      <c r="A61" s="182"/>
      <c r="B61" s="261" t="s">
        <v>464</v>
      </c>
      <c r="C61" s="268"/>
      <c r="D61" s="705" t="s">
        <v>452</v>
      </c>
      <c r="E61" s="706">
        <f>+'[20]Core Rates'!AN32</f>
        <v>6.3125</v>
      </c>
      <c r="F61" s="707">
        <v>2</v>
      </c>
      <c r="G61" s="708">
        <f t="shared" si="3"/>
        <v>12.625</v>
      </c>
      <c r="H61" s="254"/>
      <c r="I61" s="286"/>
    </row>
    <row r="62" spans="1:9">
      <c r="A62" s="182"/>
      <c r="B62" s="261"/>
      <c r="C62" s="268"/>
      <c r="D62" s="269"/>
      <c r="E62" s="714"/>
      <c r="F62" s="714"/>
      <c r="G62" s="706"/>
      <c r="H62" s="254"/>
      <c r="I62" s="286"/>
    </row>
    <row r="63" spans="1:9">
      <c r="A63" s="182"/>
      <c r="B63" s="251" t="s">
        <v>43</v>
      </c>
      <c r="C63" s="254"/>
      <c r="D63" s="254"/>
      <c r="E63" s="272"/>
      <c r="F63" s="272"/>
      <c r="G63" s="272"/>
      <c r="H63" s="254"/>
      <c r="I63" s="265"/>
    </row>
    <row r="64" spans="1:9" ht="12.75" customHeight="1">
      <c r="A64" s="182"/>
      <c r="B64" s="2148" t="s">
        <v>457</v>
      </c>
      <c r="C64" s="2149"/>
      <c r="D64" s="2149"/>
      <c r="E64" s="2149"/>
      <c r="F64" s="2149"/>
      <c r="G64" s="2149"/>
      <c r="H64" s="2149"/>
      <c r="I64" s="2150"/>
    </row>
    <row r="65" spans="1:9">
      <c r="A65" s="182"/>
      <c r="B65" s="2148"/>
      <c r="C65" s="2149"/>
      <c r="D65" s="2149"/>
      <c r="E65" s="2149"/>
      <c r="F65" s="2149"/>
      <c r="G65" s="2149"/>
      <c r="H65" s="2149"/>
      <c r="I65" s="2150"/>
    </row>
    <row r="66" spans="1:9">
      <c r="A66" s="182"/>
      <c r="B66" s="715"/>
      <c r="C66" s="716"/>
      <c r="D66" s="716"/>
      <c r="E66" s="716"/>
      <c r="F66" s="716"/>
      <c r="G66" s="716"/>
      <c r="H66" s="716"/>
      <c r="I66" s="717"/>
    </row>
    <row r="67" spans="1:9">
      <c r="A67" s="182"/>
      <c r="B67" s="715"/>
      <c r="C67" s="716"/>
      <c r="D67" s="716"/>
      <c r="E67" s="716"/>
      <c r="F67" s="716"/>
      <c r="G67" s="716"/>
      <c r="H67" s="716"/>
      <c r="I67" s="717"/>
    </row>
    <row r="68" spans="1:9">
      <c r="A68" s="182"/>
      <c r="B68" s="246" t="s">
        <v>3</v>
      </c>
      <c r="C68" s="254"/>
      <c r="D68" s="254"/>
      <c r="E68" s="254"/>
      <c r="F68" s="256"/>
      <c r="G68" s="254"/>
      <c r="H68" s="254"/>
      <c r="I68" s="718">
        <f>E70</f>
        <v>153.77499999999998</v>
      </c>
    </row>
    <row r="69" spans="1:9">
      <c r="A69" s="182"/>
      <c r="B69" s="2151" t="s">
        <v>465</v>
      </c>
      <c r="C69" s="2152"/>
      <c r="D69" s="254"/>
      <c r="E69" s="254"/>
      <c r="F69" s="254"/>
      <c r="G69" s="254"/>
      <c r="H69" s="254"/>
      <c r="I69" s="282"/>
    </row>
    <row r="70" spans="1:9">
      <c r="A70" s="182"/>
      <c r="B70" s="251" t="s">
        <v>466</v>
      </c>
      <c r="C70" s="256"/>
      <c r="D70" s="256"/>
      <c r="E70" s="720">
        <f>SUM(G56:G61)*0.15</f>
        <v>153.77499999999998</v>
      </c>
      <c r="F70" s="254"/>
      <c r="G70" s="254"/>
      <c r="H70" s="254"/>
      <c r="I70" s="265"/>
    </row>
    <row r="71" spans="1:9">
      <c r="A71" s="182"/>
      <c r="B71" s="251"/>
      <c r="C71" s="256"/>
      <c r="D71" s="721"/>
      <c r="E71" s="720"/>
      <c r="F71" s="254"/>
      <c r="G71" s="254"/>
      <c r="H71" s="254"/>
      <c r="I71" s="265"/>
    </row>
    <row r="72" spans="1:9">
      <c r="A72" s="182"/>
      <c r="B72" s="251"/>
      <c r="C72" s="256"/>
      <c r="D72" s="722"/>
      <c r="E72" s="720"/>
      <c r="F72" s="254"/>
      <c r="G72" s="254"/>
      <c r="H72" s="254"/>
      <c r="I72" s="265"/>
    </row>
    <row r="73" spans="1:9">
      <c r="A73" s="182"/>
      <c r="B73" s="271"/>
      <c r="C73" s="254"/>
      <c r="D73" s="254"/>
      <c r="E73" s="254"/>
      <c r="F73" s="254"/>
      <c r="G73" s="254"/>
      <c r="H73" s="254"/>
      <c r="I73" s="248"/>
    </row>
    <row r="74" spans="1:9">
      <c r="A74" s="182"/>
      <c r="B74" s="246" t="s">
        <v>4</v>
      </c>
      <c r="C74" s="254"/>
      <c r="D74" s="254"/>
      <c r="E74" s="254"/>
      <c r="F74" s="254"/>
      <c r="G74" s="254"/>
      <c r="H74" s="254"/>
      <c r="I74" s="718">
        <f>0.03*(I40+I54+I68)</f>
        <v>36.399224875267279</v>
      </c>
    </row>
    <row r="75" spans="1:9">
      <c r="A75" s="182"/>
      <c r="B75" s="271" t="s">
        <v>467</v>
      </c>
      <c r="C75" s="254"/>
      <c r="D75" s="254"/>
      <c r="E75" s="254"/>
      <c r="F75" s="254"/>
      <c r="G75" s="254"/>
      <c r="H75" s="254"/>
      <c r="I75" s="248"/>
    </row>
    <row r="76" spans="1:9">
      <c r="A76" s="182"/>
      <c r="B76" s="251"/>
      <c r="C76" s="254"/>
      <c r="D76" s="254"/>
      <c r="E76" s="254"/>
      <c r="F76" s="254"/>
      <c r="G76" s="254"/>
      <c r="H76" s="254"/>
      <c r="I76" s="248"/>
    </row>
    <row r="77" spans="1:9">
      <c r="A77" s="182"/>
      <c r="B77" s="246" t="s">
        <v>468</v>
      </c>
      <c r="C77" s="254"/>
      <c r="D77" s="254"/>
      <c r="E77" s="254"/>
      <c r="F77" s="254"/>
      <c r="G77" s="254"/>
      <c r="H77" s="254"/>
      <c r="I77" s="718">
        <f>0.01*(I40+I54+I68)</f>
        <v>12.133074958422426</v>
      </c>
    </row>
    <row r="78" spans="1:9">
      <c r="A78" s="182"/>
      <c r="B78" s="271" t="s">
        <v>749</v>
      </c>
      <c r="C78" s="254"/>
      <c r="D78" s="254"/>
      <c r="E78" s="254"/>
      <c r="F78" s="254"/>
      <c r="G78" s="254"/>
      <c r="H78" s="254"/>
      <c r="I78" s="248"/>
    </row>
    <row r="79" spans="1:9">
      <c r="A79" s="182"/>
      <c r="B79" s="251"/>
      <c r="C79" s="254"/>
      <c r="D79" s="254"/>
      <c r="E79" s="254"/>
      <c r="F79" s="254"/>
      <c r="G79" s="254"/>
      <c r="H79" s="254"/>
      <c r="I79" s="248"/>
    </row>
    <row r="80" spans="1:9">
      <c r="A80" s="182"/>
      <c r="B80" s="246" t="s">
        <v>7</v>
      </c>
      <c r="C80" s="254"/>
      <c r="D80" s="254"/>
      <c r="E80" s="254"/>
      <c r="F80" s="254"/>
      <c r="G80" s="254"/>
      <c r="H80" s="254"/>
      <c r="I80" s="702">
        <v>0</v>
      </c>
    </row>
    <row r="81" spans="1:9">
      <c r="A81" s="182"/>
      <c r="B81" s="271" t="s">
        <v>1349</v>
      </c>
      <c r="C81" s="254"/>
      <c r="D81" s="254"/>
      <c r="E81" s="254"/>
      <c r="F81" s="254"/>
      <c r="G81" s="254"/>
      <c r="H81" s="254"/>
      <c r="I81" s="248"/>
    </row>
    <row r="82" spans="1:9">
      <c r="A82" s="182"/>
      <c r="B82" s="251"/>
      <c r="C82" s="254"/>
      <c r="D82" s="254"/>
      <c r="E82" s="254"/>
      <c r="F82" s="254"/>
      <c r="G82" s="254"/>
      <c r="H82" s="254"/>
      <c r="I82" s="248"/>
    </row>
    <row r="83" spans="1:9">
      <c r="A83" s="182"/>
      <c r="B83" s="246" t="s">
        <v>471</v>
      </c>
      <c r="C83" s="254"/>
      <c r="D83" s="254"/>
      <c r="E83" s="254"/>
      <c r="F83" s="256"/>
      <c r="G83" s="254"/>
      <c r="H83" s="254"/>
      <c r="I83" s="702">
        <v>600</v>
      </c>
    </row>
    <row r="84" spans="1:9">
      <c r="A84" s="182"/>
      <c r="B84" s="726" t="s">
        <v>1350</v>
      </c>
      <c r="C84" s="254"/>
      <c r="D84" s="254"/>
      <c r="E84" s="254"/>
      <c r="F84" s="254"/>
      <c r="G84" s="254"/>
      <c r="H84" s="254"/>
      <c r="I84" s="286"/>
    </row>
    <row r="85" spans="1:9">
      <c r="A85" s="182"/>
      <c r="B85" s="726"/>
      <c r="C85" s="254"/>
      <c r="D85" s="254"/>
      <c r="E85" s="254"/>
      <c r="F85" s="254"/>
      <c r="G85" s="254"/>
      <c r="H85" s="254"/>
      <c r="I85" s="286"/>
    </row>
    <row r="86" spans="1:9">
      <c r="A86" s="182"/>
      <c r="B86" s="251"/>
      <c r="C86" s="254"/>
      <c r="D86" s="254"/>
      <c r="E86" s="254"/>
      <c r="F86" s="254"/>
      <c r="G86" s="254"/>
      <c r="H86" s="254"/>
      <c r="I86" s="248"/>
    </row>
    <row r="87" spans="1:9">
      <c r="A87" s="182"/>
      <c r="B87" s="246" t="s">
        <v>5</v>
      </c>
      <c r="C87" s="254"/>
      <c r="D87" s="254"/>
      <c r="E87" s="254"/>
      <c r="F87" s="254"/>
      <c r="G87" s="254"/>
      <c r="H87" s="254"/>
      <c r="I87" s="702">
        <v>0</v>
      </c>
    </row>
    <row r="88" spans="1:9">
      <c r="A88" s="182"/>
      <c r="B88" s="271" t="s">
        <v>1351</v>
      </c>
      <c r="C88" s="254"/>
      <c r="D88" s="254"/>
      <c r="E88" s="254"/>
      <c r="F88" s="254"/>
      <c r="G88" s="254"/>
      <c r="H88" s="254"/>
      <c r="I88" s="286"/>
    </row>
    <row r="89" spans="1:9">
      <c r="A89" s="182"/>
      <c r="B89" s="251"/>
      <c r="C89" s="254"/>
      <c r="D89" s="254"/>
      <c r="E89" s="254"/>
      <c r="F89" s="254"/>
      <c r="G89" s="254"/>
      <c r="H89" s="254"/>
      <c r="I89" s="248"/>
    </row>
    <row r="90" spans="1:9">
      <c r="A90" s="182"/>
      <c r="B90" s="246" t="s">
        <v>20</v>
      </c>
      <c r="C90" s="254"/>
      <c r="D90" s="254"/>
      <c r="E90" s="254"/>
      <c r="F90" s="254"/>
      <c r="G90" s="254"/>
      <c r="H90" s="254"/>
      <c r="I90" s="702">
        <v>0</v>
      </c>
    </row>
    <row r="91" spans="1:9">
      <c r="A91" s="182"/>
      <c r="B91" s="271" t="s">
        <v>104</v>
      </c>
      <c r="C91" s="254"/>
      <c r="D91" s="254"/>
      <c r="E91" s="254"/>
      <c r="F91" s="254"/>
      <c r="G91" s="254"/>
      <c r="H91" s="254"/>
      <c r="I91" s="248"/>
    </row>
    <row r="92" spans="1:9">
      <c r="A92" s="182"/>
      <c r="B92" s="261"/>
      <c r="C92" s="254"/>
      <c r="D92" s="254"/>
      <c r="E92" s="254"/>
      <c r="F92" s="254"/>
      <c r="G92" s="254"/>
      <c r="H92" s="254"/>
      <c r="I92" s="248"/>
    </row>
    <row r="93" spans="1:9">
      <c r="A93" s="182"/>
      <c r="B93" s="246" t="s">
        <v>473</v>
      </c>
      <c r="C93" s="254"/>
      <c r="D93" s="254"/>
      <c r="E93" s="254"/>
      <c r="F93" s="254"/>
      <c r="G93" s="254"/>
      <c r="H93" s="254"/>
      <c r="I93" s="728">
        <f>+I40+I54+I68+I74+I80+I90</f>
        <v>1249.7067207175098</v>
      </c>
    </row>
    <row r="94" spans="1:9" ht="15.75">
      <c r="A94" s="182"/>
      <c r="B94" s="271" t="s">
        <v>474</v>
      </c>
      <c r="C94" s="254"/>
      <c r="D94" s="254"/>
      <c r="E94" s="254"/>
      <c r="F94" s="254"/>
      <c r="G94" s="254"/>
      <c r="H94" s="254"/>
      <c r="I94" s="248"/>
    </row>
    <row r="95" spans="1:9">
      <c r="A95" s="182"/>
      <c r="B95" s="261"/>
      <c r="C95" s="254"/>
      <c r="D95" s="254"/>
      <c r="E95" s="254"/>
      <c r="F95" s="254"/>
      <c r="G95" s="254"/>
      <c r="H95" s="254"/>
      <c r="I95" s="248"/>
    </row>
    <row r="96" spans="1:9">
      <c r="A96" s="182"/>
      <c r="B96" s="287" t="s">
        <v>11</v>
      </c>
      <c r="C96" s="288"/>
      <c r="D96" s="288"/>
      <c r="E96" s="288"/>
      <c r="F96" s="288"/>
      <c r="G96" s="288"/>
      <c r="H96" s="288"/>
      <c r="I96" s="621">
        <f>SUM(I40:I90)</f>
        <v>1861.8397956759322</v>
      </c>
    </row>
  </sheetData>
  <mergeCells count="4">
    <mergeCell ref="B1:D1"/>
    <mergeCell ref="E54:H54"/>
    <mergeCell ref="B64:I65"/>
    <mergeCell ref="B69:C69"/>
  </mergeCells>
  <pageMargins left="0.75" right="0.75" top="1" bottom="1" header="0.5" footer="0.5"/>
  <pageSetup scale="57" orientation="portrait" r:id="rId1"/>
  <headerFooter alignWithMargins="0"/>
</worksheet>
</file>

<file path=xl/worksheets/sheet237.xml><?xml version="1.0" encoding="utf-8"?>
<worksheet xmlns="http://schemas.openxmlformats.org/spreadsheetml/2006/main" xmlns:r="http://schemas.openxmlformats.org/officeDocument/2006/relationships">
  <sheetPr>
    <pageSetUpPr fitToPage="1"/>
  </sheetPr>
  <dimension ref="A1:L96"/>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59.85546875" style="19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2419</v>
      </c>
      <c r="F6" s="198" t="str">
        <f>+D36</f>
        <v>Acre</v>
      </c>
      <c r="G6" s="686">
        <f>+I25</f>
        <v>1193.3637905381324</v>
      </c>
    </row>
    <row r="7" spans="1:12" ht="25.5">
      <c r="A7" s="182"/>
      <c r="B7" s="197">
        <f>+B6</f>
        <v>654</v>
      </c>
      <c r="C7" s="198" t="str">
        <f>+C6</f>
        <v>EQIP</v>
      </c>
      <c r="D7" s="199" t="s">
        <v>2416</v>
      </c>
      <c r="E7" s="199" t="str">
        <f>CONCATENATE(E6, "-HU")</f>
        <v>Road/Trail/Landing Closure &amp; Treatment (Ac) - Heavy Grading/Shaping (6-10hr/Ac), Introd. Grasses, Mulch  -HU</v>
      </c>
      <c r="F7" s="198" t="str">
        <f>+F6</f>
        <v>Acre</v>
      </c>
      <c r="G7" s="686">
        <f>+J25</f>
        <v>1432.0365486457595</v>
      </c>
    </row>
    <row r="8" spans="1:12" ht="25.5">
      <c r="A8" s="182"/>
      <c r="B8" s="197">
        <v>654</v>
      </c>
      <c r="C8" s="198" t="str">
        <f>+G12</f>
        <v>WHIP</v>
      </c>
      <c r="D8" s="199" t="s">
        <v>2416</v>
      </c>
      <c r="E8" s="199" t="str">
        <f>+E6</f>
        <v xml:space="preserve">Road/Trail/Landing Closure &amp; Treatment (Ac) - Heavy Grading/Shaping (6-10hr/Ac), Introd. Grasses, Mulch  </v>
      </c>
      <c r="F8" s="198" t="str">
        <f>+D36</f>
        <v>Acre</v>
      </c>
      <c r="G8" s="686">
        <f>+K25</f>
        <v>0</v>
      </c>
    </row>
    <row r="9" spans="1:12" ht="25.5">
      <c r="A9" s="182"/>
      <c r="B9" s="203">
        <f>+B8</f>
        <v>654</v>
      </c>
      <c r="C9" s="204" t="str">
        <f>+C8</f>
        <v>WHIP</v>
      </c>
      <c r="D9" s="199" t="s">
        <v>2416</v>
      </c>
      <c r="E9" s="205" t="str">
        <f>CONCATENATE(E6, "-HU")</f>
        <v>Road/Trail/Landing Closure &amp; Treatment (Ac) - Heavy Grading/Shaping (6-10hr/Ac), Introd. Grasses, Mulch  -HU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188.14082917557616</v>
      </c>
      <c r="E16" s="226">
        <f>+'[10]Payment Factors'!D11</f>
        <v>0.75</v>
      </c>
      <c r="F16" s="226">
        <f>+'[10]Payment Factors'!E11</f>
        <v>0.9</v>
      </c>
      <c r="G16" s="226">
        <f>+'[10]Payment Factors'!F11</f>
        <v>0</v>
      </c>
      <c r="H16" s="226">
        <f>+'[10]Payment Factors'!G11</f>
        <v>0</v>
      </c>
      <c r="I16" s="689">
        <f t="shared" ref="I16:L24" si="0">+$D16*E16</f>
        <v>141.10562188168211</v>
      </c>
      <c r="J16" s="689">
        <f t="shared" si="0"/>
        <v>169.32674625801855</v>
      </c>
      <c r="K16" s="689">
        <f t="shared" si="0"/>
        <v>0</v>
      </c>
      <c r="L16" s="690">
        <f t="shared" si="0"/>
        <v>0</v>
      </c>
    </row>
    <row r="17" spans="1:12">
      <c r="A17" s="182"/>
      <c r="B17" s="215" t="s">
        <v>2</v>
      </c>
      <c r="C17" s="217"/>
      <c r="D17" s="688">
        <f>+I54</f>
        <v>1153.1666666666667</v>
      </c>
      <c r="E17" s="226">
        <f t="shared" ref="E17:H19" si="1">+E16</f>
        <v>0.75</v>
      </c>
      <c r="F17" s="226">
        <f t="shared" si="1"/>
        <v>0.9</v>
      </c>
      <c r="G17" s="226">
        <f t="shared" si="1"/>
        <v>0</v>
      </c>
      <c r="H17" s="226">
        <f t="shared" si="1"/>
        <v>0</v>
      </c>
      <c r="I17" s="689">
        <f t="shared" si="0"/>
        <v>864.875</v>
      </c>
      <c r="J17" s="689">
        <f t="shared" si="0"/>
        <v>1037.8500000000001</v>
      </c>
      <c r="K17" s="689">
        <f t="shared" si="0"/>
        <v>0</v>
      </c>
      <c r="L17" s="690">
        <f t="shared" si="0"/>
        <v>0</v>
      </c>
    </row>
    <row r="18" spans="1:12">
      <c r="A18" s="182"/>
      <c r="B18" s="215" t="s">
        <v>3</v>
      </c>
      <c r="C18" s="217"/>
      <c r="D18" s="688">
        <f>+I68</f>
        <v>203.5</v>
      </c>
      <c r="E18" s="226">
        <f t="shared" si="1"/>
        <v>0.75</v>
      </c>
      <c r="F18" s="226">
        <f t="shared" si="1"/>
        <v>0.9</v>
      </c>
      <c r="G18" s="226">
        <f t="shared" si="1"/>
        <v>0</v>
      </c>
      <c r="H18" s="226">
        <f t="shared" si="1"/>
        <v>0</v>
      </c>
      <c r="I18" s="689">
        <f t="shared" si="0"/>
        <v>152.625</v>
      </c>
      <c r="J18" s="689">
        <f t="shared" si="0"/>
        <v>183.15</v>
      </c>
      <c r="K18" s="689">
        <f t="shared" si="0"/>
        <v>0</v>
      </c>
      <c r="L18" s="690">
        <f t="shared" si="0"/>
        <v>0</v>
      </c>
    </row>
    <row r="19" spans="1:12">
      <c r="A19" s="182"/>
      <c r="B19" s="215" t="s">
        <v>4</v>
      </c>
      <c r="C19" s="217"/>
      <c r="D19" s="688">
        <f>+I74</f>
        <v>46.34422487526728</v>
      </c>
      <c r="E19" s="226">
        <f t="shared" si="1"/>
        <v>0.75</v>
      </c>
      <c r="F19" s="226">
        <f t="shared" si="1"/>
        <v>0.9</v>
      </c>
      <c r="G19" s="226">
        <f t="shared" si="1"/>
        <v>0</v>
      </c>
      <c r="H19" s="226">
        <f t="shared" si="1"/>
        <v>0</v>
      </c>
      <c r="I19" s="689">
        <f t="shared" si="0"/>
        <v>34.758168656450458</v>
      </c>
      <c r="J19" s="689">
        <f t="shared" si="0"/>
        <v>41.709802387740552</v>
      </c>
      <c r="K19" s="689">
        <f t="shared" si="0"/>
        <v>0</v>
      </c>
      <c r="L19" s="690">
        <f t="shared" si="0"/>
        <v>0</v>
      </c>
    </row>
    <row r="20" spans="1:12">
      <c r="A20" s="182"/>
      <c r="B20" s="215" t="s">
        <v>26</v>
      </c>
      <c r="C20" s="217"/>
      <c r="D20" s="688">
        <f>+I77</f>
        <v>15.448074958422428</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+I80</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+I83</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+I87</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+I90</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2206.5997956759325</v>
      </c>
      <c r="E25" s="695"/>
      <c r="F25" s="695"/>
      <c r="G25" s="234"/>
      <c r="H25" s="234"/>
      <c r="I25" s="696">
        <f>SUM(I16:I24)</f>
        <v>1193.3637905381324</v>
      </c>
      <c r="J25" s="696">
        <f>SUM(J16:J24)</f>
        <v>1432.0365486457595</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SUM(G42:G49)</f>
        <v>188.14082917557616</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9" si="2">+F42*E42</f>
        <v>0</v>
      </c>
      <c r="H42" s="254"/>
      <c r="I42" s="286"/>
    </row>
    <row r="43" spans="1:9">
      <c r="A43" s="182"/>
      <c r="B43" s="261" t="s">
        <v>451</v>
      </c>
      <c r="C43" s="268"/>
      <c r="D43" s="705" t="s">
        <v>452</v>
      </c>
      <c r="E43" s="706">
        <f>+'[20]Core Rates'!C203</f>
        <v>8.75</v>
      </c>
      <c r="F43" s="707">
        <v>2</v>
      </c>
      <c r="G43" s="708">
        <f t="shared" si="2"/>
        <v>17.5</v>
      </c>
      <c r="H43" s="254"/>
      <c r="I43" s="248"/>
    </row>
    <row r="44" spans="1:9">
      <c r="A44" s="182"/>
      <c r="B44" s="1849" t="s">
        <v>453</v>
      </c>
      <c r="C44" s="268"/>
      <c r="D44" s="711" t="s">
        <v>454</v>
      </c>
      <c r="E44" s="706">
        <f>+'[20]Core Rates'!C228</f>
        <v>0.82427536231884069</v>
      </c>
      <c r="F44" s="707">
        <v>50</v>
      </c>
      <c r="G44" s="708">
        <f t="shared" si="2"/>
        <v>41.213768115942031</v>
      </c>
      <c r="H44" s="254"/>
      <c r="I44" s="248"/>
    </row>
    <row r="45" spans="1:9">
      <c r="A45" s="182"/>
      <c r="B45" s="709" t="s">
        <v>455</v>
      </c>
      <c r="C45" s="710"/>
      <c r="D45" s="711" t="s">
        <v>454</v>
      </c>
      <c r="E45" s="706">
        <f>+'[20]Core Rates'!C235</f>
        <v>1.1702898550724636</v>
      </c>
      <c r="F45" s="707">
        <v>50</v>
      </c>
      <c r="G45" s="708">
        <f t="shared" si="2"/>
        <v>58.51449275362318</v>
      </c>
      <c r="H45" s="254"/>
      <c r="I45" s="248"/>
    </row>
    <row r="46" spans="1:9">
      <c r="A46" s="182"/>
      <c r="B46" s="709" t="s">
        <v>456</v>
      </c>
      <c r="C46" s="710"/>
      <c r="D46" s="705" t="s">
        <v>454</v>
      </c>
      <c r="E46" s="706">
        <f>+'[20]Core Rates'!C246</f>
        <v>0.58825136612021856</v>
      </c>
      <c r="F46" s="707">
        <v>50</v>
      </c>
      <c r="G46" s="708">
        <f t="shared" si="2"/>
        <v>29.412568306010929</v>
      </c>
      <c r="H46" s="254"/>
      <c r="I46" s="248"/>
    </row>
    <row r="47" spans="1:9">
      <c r="A47" s="182"/>
      <c r="B47" s="709" t="s">
        <v>479</v>
      </c>
      <c r="C47" s="710"/>
      <c r="D47" s="711" t="s">
        <v>454</v>
      </c>
      <c r="E47" s="706">
        <f>+'[20]Core Rates 2011'!BE307</f>
        <v>1.68</v>
      </c>
      <c r="F47" s="707">
        <v>15</v>
      </c>
      <c r="G47" s="708">
        <f t="shared" si="2"/>
        <v>25.2</v>
      </c>
      <c r="H47" s="254"/>
      <c r="I47" s="248"/>
    </row>
    <row r="48" spans="1:9">
      <c r="A48" s="182"/>
      <c r="B48" s="709" t="s">
        <v>480</v>
      </c>
      <c r="C48" s="710"/>
      <c r="D48" s="711" t="s">
        <v>454</v>
      </c>
      <c r="E48" s="706">
        <f>+'[20]Core Rates 2011'!BE308</f>
        <v>1.61</v>
      </c>
      <c r="F48" s="707">
        <v>5</v>
      </c>
      <c r="G48" s="708">
        <f t="shared" si="2"/>
        <v>8.0500000000000007</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49"/>
      <c r="C50" s="268"/>
      <c r="D50" s="1851"/>
      <c r="E50" s="1852"/>
      <c r="F50" s="254"/>
      <c r="G50" s="254"/>
      <c r="H50" s="254"/>
      <c r="I50" s="248"/>
    </row>
    <row r="51" spans="1:9">
      <c r="A51" s="182"/>
      <c r="B51" s="251" t="s">
        <v>43</v>
      </c>
      <c r="C51" s="254"/>
      <c r="D51" s="254"/>
      <c r="E51" s="272"/>
      <c r="F51" s="272"/>
      <c r="G51" s="272"/>
      <c r="H51" s="254"/>
      <c r="I51" s="265"/>
    </row>
    <row r="52" spans="1:9">
      <c r="A52" s="182"/>
      <c r="B52" s="261" t="s">
        <v>457</v>
      </c>
      <c r="C52" s="254"/>
      <c r="D52" s="254"/>
      <c r="E52" s="272"/>
      <c r="F52" s="272"/>
      <c r="G52" s="272"/>
      <c r="H52" s="254"/>
      <c r="I52" s="265"/>
    </row>
    <row r="53" spans="1:9">
      <c r="A53" s="182"/>
      <c r="B53" s="1850"/>
      <c r="C53" s="268"/>
      <c r="D53" s="1851"/>
      <c r="E53" s="254"/>
      <c r="F53" s="254"/>
      <c r="G53" s="254"/>
      <c r="H53" s="254"/>
      <c r="I53" s="248"/>
    </row>
    <row r="54" spans="1:9">
      <c r="A54" s="182"/>
      <c r="B54" s="246" t="s">
        <v>2</v>
      </c>
      <c r="C54" s="254"/>
      <c r="D54" s="254"/>
      <c r="E54" s="2147" t="s">
        <v>459</v>
      </c>
      <c r="F54" s="2147"/>
      <c r="G54" s="2147"/>
      <c r="H54" s="2147"/>
      <c r="I54" s="702">
        <f>(SUM(G56:G61)*0.85)</f>
        <v>1153.1666666666667</v>
      </c>
    </row>
    <row r="55" spans="1:9">
      <c r="A55" s="182"/>
      <c r="B55" s="703"/>
      <c r="C55" s="254"/>
      <c r="D55" s="704" t="s">
        <v>447</v>
      </c>
      <c r="E55" s="704" t="s">
        <v>448</v>
      </c>
      <c r="F55" s="704" t="s">
        <v>449</v>
      </c>
      <c r="G55" s="704" t="s">
        <v>450</v>
      </c>
      <c r="H55" s="254"/>
      <c r="I55" s="265"/>
    </row>
    <row r="56" spans="1:9">
      <c r="A56" s="182"/>
      <c r="B56" s="1864" t="str">
        <f>+'[20]Core Rates'!A113</f>
        <v>Earthmoving: Heavy grading/shaping (6-10 hrs/ac)</v>
      </c>
      <c r="C56" s="1865"/>
      <c r="D56" s="1862" t="s">
        <v>408</v>
      </c>
      <c r="E56" s="706">
        <f>+'[20]Core Rates'!C113</f>
        <v>835.125</v>
      </c>
      <c r="F56" s="707">
        <v>1</v>
      </c>
      <c r="G56" s="708">
        <f t="shared" ref="G56:G61" si="3">+F56*E56</f>
        <v>835.125</v>
      </c>
      <c r="H56" s="254"/>
      <c r="I56" s="286"/>
    </row>
    <row r="57" spans="1:9">
      <c r="A57" s="182"/>
      <c r="B57" s="1863" t="str">
        <f>+'[20]Core Rates'!A217</f>
        <v>Mulching (2 tons/ac applied)</v>
      </c>
      <c r="C57" s="720"/>
      <c r="D57" s="708" t="s">
        <v>408</v>
      </c>
      <c r="E57" s="708">
        <f>+'[20]Core Rates'!C217</f>
        <v>472.5</v>
      </c>
      <c r="F57" s="707">
        <v>1</v>
      </c>
      <c r="G57" s="708">
        <f t="shared" si="3"/>
        <v>472.5</v>
      </c>
      <c r="H57" s="254"/>
      <c r="I57" s="286"/>
    </row>
    <row r="58" spans="1:9">
      <c r="A58" s="182"/>
      <c r="B58" s="261" t="s">
        <v>461</v>
      </c>
      <c r="C58" s="268"/>
      <c r="D58" s="705" t="s">
        <v>408</v>
      </c>
      <c r="E58" s="706">
        <f>+'[20]Core Rates'!C104</f>
        <v>20</v>
      </c>
      <c r="F58" s="707">
        <v>1</v>
      </c>
      <c r="G58" s="708">
        <f t="shared" si="3"/>
        <v>20</v>
      </c>
      <c r="H58" s="254"/>
      <c r="I58" s="286"/>
    </row>
    <row r="59" spans="1:9">
      <c r="A59" s="182"/>
      <c r="B59" s="261" t="s">
        <v>462</v>
      </c>
      <c r="C59" s="268"/>
      <c r="D59" s="705" t="s">
        <v>408</v>
      </c>
      <c r="E59" s="706">
        <f>+'[20]Core Rates'!AN33</f>
        <v>5.416666666666667</v>
      </c>
      <c r="F59" s="707">
        <v>1</v>
      </c>
      <c r="G59" s="708">
        <f t="shared" si="3"/>
        <v>5.416666666666667</v>
      </c>
      <c r="H59" s="254"/>
      <c r="I59" s="286"/>
    </row>
    <row r="60" spans="1:9">
      <c r="A60" s="182"/>
      <c r="B60" s="261" t="s">
        <v>463</v>
      </c>
      <c r="C60" s="268"/>
      <c r="D60" s="705" t="s">
        <v>452</v>
      </c>
      <c r="E60" s="706">
        <f>+'[20]Core Rates'!AN34</f>
        <v>5.5</v>
      </c>
      <c r="F60" s="707">
        <v>2</v>
      </c>
      <c r="G60" s="708">
        <f t="shared" si="3"/>
        <v>11</v>
      </c>
      <c r="H60" s="254"/>
      <c r="I60" s="286"/>
    </row>
    <row r="61" spans="1:9">
      <c r="A61" s="182"/>
      <c r="B61" s="261" t="s">
        <v>464</v>
      </c>
      <c r="C61" s="268"/>
      <c r="D61" s="705" t="s">
        <v>452</v>
      </c>
      <c r="E61" s="706">
        <f>+'[20]Core Rates'!AN32</f>
        <v>6.3125</v>
      </c>
      <c r="F61" s="707">
        <v>2</v>
      </c>
      <c r="G61" s="708">
        <f t="shared" si="3"/>
        <v>12.625</v>
      </c>
      <c r="H61" s="254"/>
      <c r="I61" s="286"/>
    </row>
    <row r="62" spans="1:9">
      <c r="A62" s="182"/>
      <c r="B62" s="261"/>
      <c r="C62" s="268"/>
      <c r="D62" s="269"/>
      <c r="E62" s="714"/>
      <c r="F62" s="714"/>
      <c r="G62" s="706"/>
      <c r="H62" s="254"/>
      <c r="I62" s="286"/>
    </row>
    <row r="63" spans="1:9">
      <c r="A63" s="182"/>
      <c r="B63" s="251" t="s">
        <v>43</v>
      </c>
      <c r="C63" s="254"/>
      <c r="D63" s="254"/>
      <c r="E63" s="272"/>
      <c r="F63" s="272"/>
      <c r="G63" s="272"/>
      <c r="H63" s="254"/>
      <c r="I63" s="265"/>
    </row>
    <row r="64" spans="1:9" ht="12.75" customHeight="1">
      <c r="A64" s="182"/>
      <c r="B64" s="2148" t="s">
        <v>457</v>
      </c>
      <c r="C64" s="2149"/>
      <c r="D64" s="2149"/>
      <c r="E64" s="2149"/>
      <c r="F64" s="2149"/>
      <c r="G64" s="2149"/>
      <c r="H64" s="2149"/>
      <c r="I64" s="2150"/>
    </row>
    <row r="65" spans="1:9">
      <c r="A65" s="182"/>
      <c r="B65" s="2148"/>
      <c r="C65" s="2149"/>
      <c r="D65" s="2149"/>
      <c r="E65" s="2149"/>
      <c r="F65" s="2149"/>
      <c r="G65" s="2149"/>
      <c r="H65" s="2149"/>
      <c r="I65" s="2150"/>
    </row>
    <row r="66" spans="1:9">
      <c r="A66" s="182"/>
      <c r="B66" s="715"/>
      <c r="C66" s="716"/>
      <c r="D66" s="716"/>
      <c r="E66" s="716"/>
      <c r="F66" s="716"/>
      <c r="G66" s="716"/>
      <c r="H66" s="716"/>
      <c r="I66" s="717"/>
    </row>
    <row r="67" spans="1:9">
      <c r="A67" s="182"/>
      <c r="B67" s="715"/>
      <c r="C67" s="716"/>
      <c r="D67" s="716"/>
      <c r="E67" s="716"/>
      <c r="F67" s="716"/>
      <c r="G67" s="716"/>
      <c r="H67" s="716"/>
      <c r="I67" s="717"/>
    </row>
    <row r="68" spans="1:9">
      <c r="A68" s="182"/>
      <c r="B68" s="246" t="s">
        <v>3</v>
      </c>
      <c r="C68" s="254"/>
      <c r="D68" s="254"/>
      <c r="E68" s="254"/>
      <c r="F68" s="256"/>
      <c r="G68" s="254"/>
      <c r="H68" s="254"/>
      <c r="I68" s="718">
        <f>E70</f>
        <v>203.5</v>
      </c>
    </row>
    <row r="69" spans="1:9">
      <c r="A69" s="182"/>
      <c r="B69" s="2151" t="s">
        <v>465</v>
      </c>
      <c r="C69" s="2152"/>
      <c r="D69" s="254"/>
      <c r="E69" s="254"/>
      <c r="F69" s="254"/>
      <c r="G69" s="254"/>
      <c r="H69" s="254"/>
      <c r="I69" s="282"/>
    </row>
    <row r="70" spans="1:9">
      <c r="A70" s="182"/>
      <c r="B70" s="251" t="s">
        <v>466</v>
      </c>
      <c r="C70" s="256"/>
      <c r="D70" s="256"/>
      <c r="E70" s="720">
        <f>SUM(G56:G61)*0.15</f>
        <v>203.5</v>
      </c>
      <c r="F70" s="254"/>
      <c r="G70" s="254"/>
      <c r="H70" s="254"/>
      <c r="I70" s="265"/>
    </row>
    <row r="71" spans="1:9">
      <c r="A71" s="182"/>
      <c r="B71" s="251"/>
      <c r="C71" s="256"/>
      <c r="D71" s="721"/>
      <c r="E71" s="720"/>
      <c r="F71" s="254"/>
      <c r="G71" s="254"/>
      <c r="H71" s="254"/>
      <c r="I71" s="265"/>
    </row>
    <row r="72" spans="1:9">
      <c r="A72" s="182"/>
      <c r="B72" s="251"/>
      <c r="C72" s="256"/>
      <c r="D72" s="722"/>
      <c r="E72" s="720"/>
      <c r="F72" s="254"/>
      <c r="G72" s="254"/>
      <c r="H72" s="254"/>
      <c r="I72" s="265"/>
    </row>
    <row r="73" spans="1:9">
      <c r="A73" s="182"/>
      <c r="B73" s="271"/>
      <c r="C73" s="254"/>
      <c r="D73" s="254"/>
      <c r="E73" s="254"/>
      <c r="F73" s="254"/>
      <c r="G73" s="254"/>
      <c r="H73" s="254"/>
      <c r="I73" s="248"/>
    </row>
    <row r="74" spans="1:9">
      <c r="A74" s="182"/>
      <c r="B74" s="246" t="s">
        <v>4</v>
      </c>
      <c r="C74" s="254"/>
      <c r="D74" s="254"/>
      <c r="E74" s="254"/>
      <c r="F74" s="254"/>
      <c r="G74" s="254"/>
      <c r="H74" s="254"/>
      <c r="I74" s="718">
        <f>0.03*(I40+I54+I68)</f>
        <v>46.34422487526728</v>
      </c>
    </row>
    <row r="75" spans="1:9">
      <c r="A75" s="182"/>
      <c r="B75" s="271" t="s">
        <v>467</v>
      </c>
      <c r="C75" s="254"/>
      <c r="D75" s="254"/>
      <c r="E75" s="254"/>
      <c r="F75" s="254"/>
      <c r="G75" s="254"/>
      <c r="H75" s="254"/>
      <c r="I75" s="248"/>
    </row>
    <row r="76" spans="1:9">
      <c r="A76" s="182"/>
      <c r="B76" s="251"/>
      <c r="C76" s="254"/>
      <c r="D76" s="254"/>
      <c r="E76" s="254"/>
      <c r="F76" s="254"/>
      <c r="G76" s="254"/>
      <c r="H76" s="254"/>
      <c r="I76" s="248"/>
    </row>
    <row r="77" spans="1:9">
      <c r="A77" s="182"/>
      <c r="B77" s="246" t="s">
        <v>468</v>
      </c>
      <c r="C77" s="254"/>
      <c r="D77" s="254"/>
      <c r="E77" s="254"/>
      <c r="F77" s="254"/>
      <c r="G77" s="254"/>
      <c r="H77" s="254"/>
      <c r="I77" s="718">
        <f>0.01*(I40+I54+I68)</f>
        <v>15.448074958422428</v>
      </c>
    </row>
    <row r="78" spans="1:9">
      <c r="A78" s="182"/>
      <c r="B78" s="271" t="s">
        <v>749</v>
      </c>
      <c r="C78" s="254"/>
      <c r="D78" s="254"/>
      <c r="E78" s="254"/>
      <c r="F78" s="254"/>
      <c r="G78" s="254"/>
      <c r="H78" s="254"/>
      <c r="I78" s="248"/>
    </row>
    <row r="79" spans="1:9">
      <c r="A79" s="182"/>
      <c r="B79" s="251"/>
      <c r="C79" s="254"/>
      <c r="D79" s="254"/>
      <c r="E79" s="254"/>
      <c r="F79" s="254"/>
      <c r="G79" s="254"/>
      <c r="H79" s="254"/>
      <c r="I79" s="248"/>
    </row>
    <row r="80" spans="1:9">
      <c r="A80" s="182"/>
      <c r="B80" s="246" t="s">
        <v>7</v>
      </c>
      <c r="C80" s="254"/>
      <c r="D80" s="254"/>
      <c r="E80" s="254"/>
      <c r="F80" s="254"/>
      <c r="G80" s="254"/>
      <c r="H80" s="254"/>
      <c r="I80" s="702">
        <v>0</v>
      </c>
    </row>
    <row r="81" spans="1:9">
      <c r="A81" s="182"/>
      <c r="B81" s="271" t="s">
        <v>1349</v>
      </c>
      <c r="C81" s="254"/>
      <c r="D81" s="254"/>
      <c r="E81" s="254"/>
      <c r="F81" s="254"/>
      <c r="G81" s="254"/>
      <c r="H81" s="254"/>
      <c r="I81" s="248"/>
    </row>
    <row r="82" spans="1:9">
      <c r="A82" s="182"/>
      <c r="B82" s="251"/>
      <c r="C82" s="254"/>
      <c r="D82" s="254"/>
      <c r="E82" s="254"/>
      <c r="F82" s="254"/>
      <c r="G82" s="254"/>
      <c r="H82" s="254"/>
      <c r="I82" s="248"/>
    </row>
    <row r="83" spans="1:9">
      <c r="A83" s="182"/>
      <c r="B83" s="246" t="s">
        <v>471</v>
      </c>
      <c r="C83" s="254"/>
      <c r="D83" s="254"/>
      <c r="E83" s="254"/>
      <c r="F83" s="256"/>
      <c r="G83" s="254"/>
      <c r="H83" s="254"/>
      <c r="I83" s="702">
        <v>600</v>
      </c>
    </row>
    <row r="84" spans="1:9">
      <c r="A84" s="182"/>
      <c r="B84" s="726" t="s">
        <v>1350</v>
      </c>
      <c r="C84" s="254"/>
      <c r="D84" s="254"/>
      <c r="E84" s="254"/>
      <c r="F84" s="254"/>
      <c r="G84" s="254"/>
      <c r="H84" s="254"/>
      <c r="I84" s="286"/>
    </row>
    <row r="85" spans="1:9">
      <c r="A85" s="182"/>
      <c r="B85" s="726"/>
      <c r="C85" s="254"/>
      <c r="D85" s="254"/>
      <c r="E85" s="254"/>
      <c r="F85" s="254"/>
      <c r="G85" s="254"/>
      <c r="H85" s="254"/>
      <c r="I85" s="286"/>
    </row>
    <row r="86" spans="1:9">
      <c r="A86" s="182"/>
      <c r="B86" s="251"/>
      <c r="C86" s="254"/>
      <c r="D86" s="254"/>
      <c r="E86" s="254"/>
      <c r="F86" s="254"/>
      <c r="G86" s="254"/>
      <c r="H86" s="254"/>
      <c r="I86" s="248"/>
    </row>
    <row r="87" spans="1:9">
      <c r="A87" s="182"/>
      <c r="B87" s="246" t="s">
        <v>5</v>
      </c>
      <c r="C87" s="254"/>
      <c r="D87" s="254"/>
      <c r="E87" s="254"/>
      <c r="F87" s="254"/>
      <c r="G87" s="254"/>
      <c r="H87" s="254"/>
      <c r="I87" s="702">
        <v>0</v>
      </c>
    </row>
    <row r="88" spans="1:9">
      <c r="A88" s="182"/>
      <c r="B88" s="271" t="s">
        <v>1351</v>
      </c>
      <c r="C88" s="254"/>
      <c r="D88" s="254"/>
      <c r="E88" s="254"/>
      <c r="F88" s="254"/>
      <c r="G88" s="254"/>
      <c r="H88" s="254"/>
      <c r="I88" s="286"/>
    </row>
    <row r="89" spans="1:9">
      <c r="A89" s="182"/>
      <c r="B89" s="251"/>
      <c r="C89" s="254"/>
      <c r="D89" s="254"/>
      <c r="E89" s="254"/>
      <c r="F89" s="254"/>
      <c r="G89" s="254"/>
      <c r="H89" s="254"/>
      <c r="I89" s="248"/>
    </row>
    <row r="90" spans="1:9">
      <c r="A90" s="182"/>
      <c r="B90" s="246" t="s">
        <v>20</v>
      </c>
      <c r="C90" s="254"/>
      <c r="D90" s="254"/>
      <c r="E90" s="254"/>
      <c r="F90" s="254"/>
      <c r="G90" s="254"/>
      <c r="H90" s="254"/>
      <c r="I90" s="702">
        <v>0</v>
      </c>
    </row>
    <row r="91" spans="1:9">
      <c r="A91" s="182"/>
      <c r="B91" s="271" t="s">
        <v>104</v>
      </c>
      <c r="C91" s="254"/>
      <c r="D91" s="254"/>
      <c r="E91" s="254"/>
      <c r="F91" s="254"/>
      <c r="G91" s="254"/>
      <c r="H91" s="254"/>
      <c r="I91" s="248"/>
    </row>
    <row r="92" spans="1:9">
      <c r="A92" s="182"/>
      <c r="B92" s="261"/>
      <c r="C92" s="254"/>
      <c r="D92" s="254"/>
      <c r="E92" s="254"/>
      <c r="F92" s="254"/>
      <c r="G92" s="254"/>
      <c r="H92" s="254"/>
      <c r="I92" s="248"/>
    </row>
    <row r="93" spans="1:9">
      <c r="A93" s="182"/>
      <c r="B93" s="246" t="s">
        <v>473</v>
      </c>
      <c r="C93" s="254"/>
      <c r="D93" s="254"/>
      <c r="E93" s="254"/>
      <c r="F93" s="254"/>
      <c r="G93" s="254"/>
      <c r="H93" s="254"/>
      <c r="I93" s="728">
        <f>+I40+I54+I68+I74+I80+I90</f>
        <v>1591.15172071751</v>
      </c>
    </row>
    <row r="94" spans="1:9" ht="15.75">
      <c r="A94" s="182"/>
      <c r="B94" s="271" t="s">
        <v>474</v>
      </c>
      <c r="C94" s="254"/>
      <c r="D94" s="254"/>
      <c r="E94" s="254"/>
      <c r="F94" s="254"/>
      <c r="G94" s="254"/>
      <c r="H94" s="254"/>
      <c r="I94" s="248"/>
    </row>
    <row r="95" spans="1:9">
      <c r="A95" s="182"/>
      <c r="B95" s="261"/>
      <c r="C95" s="254"/>
      <c r="D95" s="254"/>
      <c r="E95" s="254"/>
      <c r="F95" s="254"/>
      <c r="G95" s="254"/>
      <c r="H95" s="254"/>
      <c r="I95" s="248"/>
    </row>
    <row r="96" spans="1:9">
      <c r="A96" s="182"/>
      <c r="B96" s="287" t="s">
        <v>11</v>
      </c>
      <c r="C96" s="288"/>
      <c r="D96" s="288"/>
      <c r="E96" s="288"/>
      <c r="F96" s="288"/>
      <c r="G96" s="288"/>
      <c r="H96" s="288"/>
      <c r="I96" s="621">
        <f>SUM(I40:I90)</f>
        <v>2206.5997956759325</v>
      </c>
    </row>
  </sheetData>
  <mergeCells count="4">
    <mergeCell ref="B1:D1"/>
    <mergeCell ref="E54:H54"/>
    <mergeCell ref="B64:I65"/>
    <mergeCell ref="B69:C69"/>
  </mergeCells>
  <pageMargins left="0.75" right="0.75" top="1" bottom="1" header="0.5" footer="0.5"/>
  <pageSetup scale="58" orientation="portrait" r:id="rId1"/>
  <headerFooter alignWithMargins="0"/>
</worksheet>
</file>

<file path=xl/worksheets/sheet238.xml><?xml version="1.0" encoding="utf-8"?>
<worksheet xmlns="http://schemas.openxmlformats.org/spreadsheetml/2006/main" xmlns:r="http://schemas.openxmlformats.org/officeDocument/2006/relationships">
  <sheetPr>
    <pageSetUpPr fitToPage="1"/>
  </sheetPr>
  <dimension ref="A1:L97"/>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bestFit="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2420</v>
      </c>
      <c r="F6" s="198" t="str">
        <f>+D36</f>
        <v>Acre</v>
      </c>
      <c r="G6" s="686">
        <f>+I25</f>
        <v>1504.8357905381326</v>
      </c>
    </row>
    <row r="7" spans="1:12" ht="25.5">
      <c r="A7" s="182"/>
      <c r="B7" s="197">
        <f>+B6</f>
        <v>654</v>
      </c>
      <c r="C7" s="198" t="str">
        <f>+C6</f>
        <v>EQIP</v>
      </c>
      <c r="D7" s="199" t="s">
        <v>2416</v>
      </c>
      <c r="E7" s="199" t="str">
        <f>CONCATENATE(E6, "-HU")</f>
        <v>Road/Trail/Landing Closure &amp; Treatment (Ac) - Light Grading/Shaping (1-2hr/Ac), Introd. Grasses, ECB &amp; Mulch  -HU</v>
      </c>
      <c r="F7" s="198" t="str">
        <f>+F6</f>
        <v>Acre</v>
      </c>
      <c r="G7" s="686">
        <f>+J25</f>
        <v>1805.8029486457594</v>
      </c>
    </row>
    <row r="8" spans="1:12" ht="25.5">
      <c r="A8" s="182"/>
      <c r="B8" s="197">
        <v>654</v>
      </c>
      <c r="C8" s="198" t="str">
        <f>+G12</f>
        <v>WHIP</v>
      </c>
      <c r="D8" s="199" t="s">
        <v>2416</v>
      </c>
      <c r="E8" s="199" t="str">
        <f>+E6</f>
        <v xml:space="preserve">Road/Trail/Landing Closure &amp; Treatment (Ac) - Light Grading/Shaping (1-2hr/Ac), Introd. Grasses, ECB &amp; Mulch  </v>
      </c>
      <c r="F8" s="198" t="str">
        <f>+D36</f>
        <v>Acre</v>
      </c>
      <c r="G8" s="686">
        <f>+K25</f>
        <v>0</v>
      </c>
    </row>
    <row r="9" spans="1:12" ht="25.5">
      <c r="A9" s="182"/>
      <c r="B9" s="203">
        <f>+B8</f>
        <v>654</v>
      </c>
      <c r="C9" s="204" t="str">
        <f>+C8</f>
        <v>WHIP</v>
      </c>
      <c r="D9" s="199" t="s">
        <v>2416</v>
      </c>
      <c r="E9" s="205" t="str">
        <f>CONCATENATE(E6, "-HU")</f>
        <v>Road/Trail/Landing Closure &amp; Treatment (Ac) - Light Grading/Shaping (1-2hr/Ac), Introd. Grasses, ECB &amp; Mulch  -HU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188.14082917557616</v>
      </c>
      <c r="E16" s="226">
        <f>+'[10]Payment Factors'!D11</f>
        <v>0.75</v>
      </c>
      <c r="F16" s="226">
        <f>+'[10]Payment Factors'!E11</f>
        <v>0.9</v>
      </c>
      <c r="G16" s="226">
        <f>+'[10]Payment Factors'!F11</f>
        <v>0</v>
      </c>
      <c r="H16" s="226">
        <f>+'[10]Payment Factors'!G11</f>
        <v>0</v>
      </c>
      <c r="I16" s="689">
        <f t="shared" ref="I16:L24" si="0">+$D16*E16</f>
        <v>141.10562188168211</v>
      </c>
      <c r="J16" s="689">
        <f t="shared" si="0"/>
        <v>169.32674625801855</v>
      </c>
      <c r="K16" s="689">
        <f t="shared" si="0"/>
        <v>0</v>
      </c>
      <c r="L16" s="690">
        <f t="shared" si="0"/>
        <v>0</v>
      </c>
    </row>
    <row r="17" spans="1:12">
      <c r="A17" s="182"/>
      <c r="B17" s="215" t="s">
        <v>2</v>
      </c>
      <c r="C17" s="217"/>
      <c r="D17" s="688">
        <f>+I54</f>
        <v>1495.8866666666668</v>
      </c>
      <c r="E17" s="226">
        <f t="shared" ref="E17:H19" si="1">+E16</f>
        <v>0.75</v>
      </c>
      <c r="F17" s="226">
        <f t="shared" si="1"/>
        <v>0.9</v>
      </c>
      <c r="G17" s="226">
        <f t="shared" si="1"/>
        <v>0</v>
      </c>
      <c r="H17" s="226">
        <f t="shared" si="1"/>
        <v>0</v>
      </c>
      <c r="I17" s="689">
        <f t="shared" si="0"/>
        <v>1121.915</v>
      </c>
      <c r="J17" s="689">
        <f t="shared" si="0"/>
        <v>1346.2980000000002</v>
      </c>
      <c r="K17" s="689">
        <f t="shared" si="0"/>
        <v>0</v>
      </c>
      <c r="L17" s="690">
        <f t="shared" si="0"/>
        <v>0</v>
      </c>
    </row>
    <row r="18" spans="1:12">
      <c r="A18" s="182"/>
      <c r="B18" s="215" t="s">
        <v>3</v>
      </c>
      <c r="C18" s="217"/>
      <c r="D18" s="688">
        <f>+I69</f>
        <v>263.98</v>
      </c>
      <c r="E18" s="226">
        <f t="shared" si="1"/>
        <v>0.75</v>
      </c>
      <c r="F18" s="226">
        <f t="shared" si="1"/>
        <v>0.9</v>
      </c>
      <c r="G18" s="226">
        <f t="shared" si="1"/>
        <v>0</v>
      </c>
      <c r="H18" s="226">
        <f t="shared" si="1"/>
        <v>0</v>
      </c>
      <c r="I18" s="689">
        <f t="shared" si="0"/>
        <v>197.98500000000001</v>
      </c>
      <c r="J18" s="689">
        <f t="shared" si="0"/>
        <v>237.58200000000002</v>
      </c>
      <c r="K18" s="689">
        <f t="shared" si="0"/>
        <v>0</v>
      </c>
      <c r="L18" s="690">
        <f t="shared" si="0"/>
        <v>0</v>
      </c>
    </row>
    <row r="19" spans="1:12">
      <c r="A19" s="182"/>
      <c r="B19" s="215" t="s">
        <v>4</v>
      </c>
      <c r="C19" s="217"/>
      <c r="D19" s="688">
        <f>+I75</f>
        <v>58.440224875267283</v>
      </c>
      <c r="E19" s="226">
        <f t="shared" si="1"/>
        <v>0.75</v>
      </c>
      <c r="F19" s="226">
        <f t="shared" si="1"/>
        <v>0.9</v>
      </c>
      <c r="G19" s="226">
        <f t="shared" si="1"/>
        <v>0</v>
      </c>
      <c r="H19" s="226">
        <f t="shared" si="1"/>
        <v>0</v>
      </c>
      <c r="I19" s="689">
        <f t="shared" si="0"/>
        <v>43.830168656450461</v>
      </c>
      <c r="J19" s="689">
        <f t="shared" si="0"/>
        <v>52.596202387740554</v>
      </c>
      <c r="K19" s="689">
        <f t="shared" si="0"/>
        <v>0</v>
      </c>
      <c r="L19" s="690">
        <f t="shared" si="0"/>
        <v>0</v>
      </c>
    </row>
    <row r="20" spans="1:12">
      <c r="A20" s="182"/>
      <c r="B20" s="215" t="s">
        <v>26</v>
      </c>
      <c r="C20" s="217"/>
      <c r="D20" s="688">
        <f>+I78</f>
        <v>19.480074958422428</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+I81</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+I84</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+I88</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+I91</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2625.9277956759324</v>
      </c>
      <c r="E25" s="695"/>
      <c r="F25" s="695"/>
      <c r="G25" s="234"/>
      <c r="H25" s="234"/>
      <c r="I25" s="696">
        <f>SUM(I16:I24)</f>
        <v>1504.8357905381326</v>
      </c>
      <c r="J25" s="696">
        <f>SUM(J16:J24)</f>
        <v>1805.8029486457594</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SUM(G42:G49)</f>
        <v>188.14082917557616</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9" si="2">+F42*E42</f>
        <v>0</v>
      </c>
      <c r="H42" s="254"/>
      <c r="I42" s="286"/>
    </row>
    <row r="43" spans="1:9">
      <c r="A43" s="182"/>
      <c r="B43" s="261" t="s">
        <v>451</v>
      </c>
      <c r="C43" s="268"/>
      <c r="D43" s="705" t="s">
        <v>452</v>
      </c>
      <c r="E43" s="706">
        <f>+'[20]Core Rates'!C203</f>
        <v>8.75</v>
      </c>
      <c r="F43" s="707">
        <v>2</v>
      </c>
      <c r="G43" s="708">
        <f t="shared" si="2"/>
        <v>17.5</v>
      </c>
      <c r="H43" s="254"/>
      <c r="I43" s="248"/>
    </row>
    <row r="44" spans="1:9">
      <c r="A44" s="182"/>
      <c r="B44" s="1849" t="s">
        <v>453</v>
      </c>
      <c r="C44" s="268"/>
      <c r="D44" s="711" t="s">
        <v>454</v>
      </c>
      <c r="E44" s="706">
        <f>+'[20]Core Rates'!C228</f>
        <v>0.82427536231884069</v>
      </c>
      <c r="F44" s="707">
        <v>50</v>
      </c>
      <c r="G44" s="708">
        <f t="shared" si="2"/>
        <v>41.213768115942031</v>
      </c>
      <c r="H44" s="254"/>
      <c r="I44" s="248"/>
    </row>
    <row r="45" spans="1:9">
      <c r="A45" s="182"/>
      <c r="B45" s="709" t="s">
        <v>455</v>
      </c>
      <c r="C45" s="710"/>
      <c r="D45" s="711" t="s">
        <v>454</v>
      </c>
      <c r="E45" s="706">
        <f>+'[20]Core Rates'!C235</f>
        <v>1.1702898550724636</v>
      </c>
      <c r="F45" s="707">
        <v>50</v>
      </c>
      <c r="G45" s="708">
        <f t="shared" si="2"/>
        <v>58.51449275362318</v>
      </c>
      <c r="H45" s="254"/>
      <c r="I45" s="248"/>
    </row>
    <row r="46" spans="1:9">
      <c r="A46" s="182"/>
      <c r="B46" s="709" t="s">
        <v>456</v>
      </c>
      <c r="C46" s="710"/>
      <c r="D46" s="705" t="s">
        <v>454</v>
      </c>
      <c r="E46" s="706">
        <f>+'[20]Core Rates'!C246</f>
        <v>0.58825136612021856</v>
      </c>
      <c r="F46" s="707">
        <v>50</v>
      </c>
      <c r="G46" s="708">
        <f t="shared" si="2"/>
        <v>29.412568306010929</v>
      </c>
      <c r="H46" s="254"/>
      <c r="I46" s="248"/>
    </row>
    <row r="47" spans="1:9">
      <c r="A47" s="182"/>
      <c r="B47" s="709" t="s">
        <v>479</v>
      </c>
      <c r="C47" s="710"/>
      <c r="D47" s="711" t="s">
        <v>454</v>
      </c>
      <c r="E47" s="706">
        <f>+'[20]Core Rates 2011'!BE307</f>
        <v>1.68</v>
      </c>
      <c r="F47" s="707">
        <v>15</v>
      </c>
      <c r="G47" s="708">
        <f t="shared" si="2"/>
        <v>25.2</v>
      </c>
      <c r="H47" s="254"/>
      <c r="I47" s="248"/>
    </row>
    <row r="48" spans="1:9">
      <c r="A48" s="182"/>
      <c r="B48" s="709" t="s">
        <v>480</v>
      </c>
      <c r="C48" s="710"/>
      <c r="D48" s="711" t="s">
        <v>454</v>
      </c>
      <c r="E48" s="706">
        <f>+'[20]Core Rates 2011'!BE308</f>
        <v>1.61</v>
      </c>
      <c r="F48" s="707">
        <v>5</v>
      </c>
      <c r="G48" s="708">
        <f t="shared" si="2"/>
        <v>8.0500000000000007</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49"/>
      <c r="C50" s="268"/>
      <c r="D50" s="1851"/>
      <c r="E50" s="1852"/>
      <c r="F50" s="254"/>
      <c r="G50" s="254"/>
      <c r="H50" s="254"/>
      <c r="I50" s="248"/>
    </row>
    <row r="51" spans="1:9">
      <c r="A51" s="182"/>
      <c r="B51" s="251" t="s">
        <v>43</v>
      </c>
      <c r="C51" s="254"/>
      <c r="D51" s="254"/>
      <c r="E51" s="272"/>
      <c r="F51" s="272"/>
      <c r="G51" s="272"/>
      <c r="H51" s="254"/>
      <c r="I51" s="265"/>
    </row>
    <row r="52" spans="1:9">
      <c r="A52" s="182"/>
      <c r="B52" s="261" t="s">
        <v>457</v>
      </c>
      <c r="C52" s="254"/>
      <c r="D52" s="254"/>
      <c r="E52" s="272"/>
      <c r="F52" s="272"/>
      <c r="G52" s="272"/>
      <c r="H52" s="254"/>
      <c r="I52" s="265"/>
    </row>
    <row r="53" spans="1:9">
      <c r="A53" s="182"/>
      <c r="B53" s="1850"/>
      <c r="C53" s="268"/>
      <c r="D53" s="1851"/>
      <c r="E53" s="254"/>
      <c r="F53" s="254"/>
      <c r="G53" s="254"/>
      <c r="H53" s="254"/>
      <c r="I53" s="248"/>
    </row>
    <row r="54" spans="1:9">
      <c r="A54" s="182"/>
      <c r="B54" s="246" t="s">
        <v>2</v>
      </c>
      <c r="C54" s="254"/>
      <c r="D54" s="254"/>
      <c r="E54" s="2147" t="s">
        <v>459</v>
      </c>
      <c r="F54" s="2147"/>
      <c r="G54" s="2147"/>
      <c r="H54" s="2147"/>
      <c r="I54" s="702">
        <f>(SUM(G56:G62)*0.85)</f>
        <v>1495.8866666666668</v>
      </c>
    </row>
    <row r="55" spans="1:9">
      <c r="A55" s="182"/>
      <c r="B55" s="703"/>
      <c r="C55" s="254"/>
      <c r="D55" s="704" t="s">
        <v>447</v>
      </c>
      <c r="E55" s="704" t="s">
        <v>448</v>
      </c>
      <c r="F55" s="704" t="s">
        <v>449</v>
      </c>
      <c r="G55" s="704" t="s">
        <v>450</v>
      </c>
      <c r="H55" s="254"/>
      <c r="I55" s="265"/>
    </row>
    <row r="56" spans="1:9">
      <c r="A56" s="182"/>
      <c r="B56" s="1861" t="str">
        <f>+'[20]Core Rates'!A109</f>
        <v>Earthmoving: Light grading/shaping (1-2 hrs/ac)</v>
      </c>
      <c r="C56" s="1861"/>
      <c r="D56" s="1862" t="s">
        <v>408</v>
      </c>
      <c r="E56" s="706">
        <f>+'[20]Core Rates'!C109</f>
        <v>165.75</v>
      </c>
      <c r="F56" s="707">
        <v>1</v>
      </c>
      <c r="G56" s="708">
        <f t="shared" ref="G56:G62" si="3">+F56*E56</f>
        <v>165.75</v>
      </c>
      <c r="H56" s="254"/>
      <c r="I56" s="286"/>
    </row>
    <row r="57" spans="1:9">
      <c r="A57" s="182"/>
      <c r="B57" s="1863" t="str">
        <f>+'[20]Core Rates'!A217</f>
        <v>Mulching (2 tons/ac applied)</v>
      </c>
      <c r="C57" s="720"/>
      <c r="D57" s="708" t="s">
        <v>408</v>
      </c>
      <c r="E57" s="708">
        <f>+'[20]Core Rates'!C217</f>
        <v>472.5</v>
      </c>
      <c r="F57" s="706">
        <v>0.85</v>
      </c>
      <c r="G57" s="708">
        <f t="shared" si="3"/>
        <v>401.625</v>
      </c>
      <c r="H57" s="254"/>
      <c r="I57" s="286"/>
    </row>
    <row r="58" spans="1:9">
      <c r="A58" s="182"/>
      <c r="B58" s="1866" t="str">
        <f>+'[20]Core Rates'!A123</f>
        <v>Erosion Control Blanket, Type II (Installed)</v>
      </c>
      <c r="C58" s="720"/>
      <c r="D58" s="708" t="str">
        <f>+'[20]Core Rates'!B123</f>
        <v>Sq Yd</v>
      </c>
      <c r="E58" s="708">
        <f>+'[20]Core Rates'!C123</f>
        <v>1.5750000000000002</v>
      </c>
      <c r="F58" s="706">
        <v>0.15</v>
      </c>
      <c r="G58" s="708">
        <f>+E58/9*43560*F58</f>
        <v>1143.45</v>
      </c>
      <c r="H58" s="254"/>
      <c r="I58" s="286"/>
    </row>
    <row r="59" spans="1:9">
      <c r="A59" s="182"/>
      <c r="B59" s="261" t="s">
        <v>461</v>
      </c>
      <c r="C59" s="268"/>
      <c r="D59" s="705" t="s">
        <v>408</v>
      </c>
      <c r="E59" s="706">
        <f>+'[20]Core Rates'!C104</f>
        <v>20</v>
      </c>
      <c r="F59" s="707">
        <v>1</v>
      </c>
      <c r="G59" s="708">
        <f t="shared" si="3"/>
        <v>20</v>
      </c>
      <c r="H59" s="254"/>
      <c r="I59" s="286"/>
    </row>
    <row r="60" spans="1:9">
      <c r="A60" s="182"/>
      <c r="B60" s="261" t="s">
        <v>462</v>
      </c>
      <c r="C60" s="268"/>
      <c r="D60" s="705" t="s">
        <v>408</v>
      </c>
      <c r="E60" s="706">
        <f>+'[20]Core Rates'!AN33</f>
        <v>5.416666666666667</v>
      </c>
      <c r="F60" s="707">
        <v>1</v>
      </c>
      <c r="G60" s="708">
        <f t="shared" si="3"/>
        <v>5.416666666666667</v>
      </c>
      <c r="H60" s="254"/>
      <c r="I60" s="286"/>
    </row>
    <row r="61" spans="1:9">
      <c r="A61" s="182"/>
      <c r="B61" s="261" t="s">
        <v>463</v>
      </c>
      <c r="C61" s="268"/>
      <c r="D61" s="705" t="s">
        <v>452</v>
      </c>
      <c r="E61" s="706">
        <f>+'[20]Core Rates'!AN34</f>
        <v>5.5</v>
      </c>
      <c r="F61" s="707">
        <v>2</v>
      </c>
      <c r="G61" s="708">
        <f t="shared" si="3"/>
        <v>11</v>
      </c>
      <c r="H61" s="254"/>
      <c r="I61" s="286"/>
    </row>
    <row r="62" spans="1:9">
      <c r="A62" s="182"/>
      <c r="B62" s="261" t="s">
        <v>464</v>
      </c>
      <c r="C62" s="268"/>
      <c r="D62" s="705" t="s">
        <v>452</v>
      </c>
      <c r="E62" s="706">
        <f>+'[20]Core Rates'!AN32</f>
        <v>6.3125</v>
      </c>
      <c r="F62" s="707">
        <v>2</v>
      </c>
      <c r="G62" s="708">
        <f t="shared" si="3"/>
        <v>12.625</v>
      </c>
      <c r="H62" s="254"/>
      <c r="I62" s="286"/>
    </row>
    <row r="63" spans="1:9">
      <c r="A63" s="182"/>
      <c r="B63" s="261"/>
      <c r="C63" s="268"/>
      <c r="D63" s="269"/>
      <c r="E63" s="714"/>
      <c r="F63" s="714"/>
      <c r="G63" s="706"/>
      <c r="H63" s="254"/>
      <c r="I63" s="286"/>
    </row>
    <row r="64" spans="1:9">
      <c r="A64" s="182"/>
      <c r="B64" s="251" t="s">
        <v>43</v>
      </c>
      <c r="C64" s="254"/>
      <c r="D64" s="254"/>
      <c r="E64" s="272"/>
      <c r="F64" s="272"/>
      <c r="G64" s="272"/>
      <c r="H64" s="254"/>
      <c r="I64" s="265"/>
    </row>
    <row r="65" spans="1:9" ht="12.75" customHeight="1">
      <c r="A65" s="182"/>
      <c r="B65" s="2148" t="s">
        <v>457</v>
      </c>
      <c r="C65" s="2149"/>
      <c r="D65" s="2149"/>
      <c r="E65" s="2149"/>
      <c r="F65" s="2149"/>
      <c r="G65" s="2149"/>
      <c r="H65" s="2149"/>
      <c r="I65" s="2150"/>
    </row>
    <row r="66" spans="1:9">
      <c r="A66" s="182"/>
      <c r="B66" s="2148"/>
      <c r="C66" s="2149"/>
      <c r="D66" s="2149"/>
      <c r="E66" s="2149"/>
      <c r="F66" s="2149"/>
      <c r="G66" s="2149"/>
      <c r="H66" s="2149"/>
      <c r="I66" s="2150"/>
    </row>
    <row r="67" spans="1:9">
      <c r="A67" s="182"/>
      <c r="B67" s="715"/>
      <c r="C67" s="716"/>
      <c r="D67" s="716"/>
      <c r="E67" s="716"/>
      <c r="F67" s="716"/>
      <c r="G67" s="716"/>
      <c r="H67" s="716"/>
      <c r="I67" s="717"/>
    </row>
    <row r="68" spans="1:9">
      <c r="A68" s="182"/>
      <c r="B68" s="715"/>
      <c r="C68" s="716"/>
      <c r="D68" s="716"/>
      <c r="E68" s="716"/>
      <c r="F68" s="716"/>
      <c r="G68" s="716"/>
      <c r="H68" s="716"/>
      <c r="I68" s="717"/>
    </row>
    <row r="69" spans="1:9">
      <c r="A69" s="182"/>
      <c r="B69" s="246" t="s">
        <v>3</v>
      </c>
      <c r="C69" s="254"/>
      <c r="D69" s="254"/>
      <c r="E69" s="254"/>
      <c r="F69" s="256"/>
      <c r="G69" s="254"/>
      <c r="H69" s="254"/>
      <c r="I69" s="718">
        <f>E71</f>
        <v>263.98</v>
      </c>
    </row>
    <row r="70" spans="1:9">
      <c r="A70" s="182"/>
      <c r="B70" s="2151" t="s">
        <v>465</v>
      </c>
      <c r="C70" s="2152"/>
      <c r="D70" s="254"/>
      <c r="E70" s="254"/>
      <c r="F70" s="254"/>
      <c r="G70" s="254"/>
      <c r="H70" s="254"/>
      <c r="I70" s="282"/>
    </row>
    <row r="71" spans="1:9">
      <c r="A71" s="182"/>
      <c r="B71" s="251" t="s">
        <v>466</v>
      </c>
      <c r="C71" s="256"/>
      <c r="D71" s="256"/>
      <c r="E71" s="720">
        <f>SUM(G56:G62)*0.15</f>
        <v>263.98</v>
      </c>
      <c r="F71" s="254"/>
      <c r="G71" s="254"/>
      <c r="H71" s="254"/>
      <c r="I71" s="265"/>
    </row>
    <row r="72" spans="1:9">
      <c r="A72" s="182"/>
      <c r="B72" s="251"/>
      <c r="C72" s="256"/>
      <c r="D72" s="721"/>
      <c r="E72" s="720"/>
      <c r="F72" s="254"/>
      <c r="G72" s="254"/>
      <c r="H72" s="254"/>
      <c r="I72" s="265"/>
    </row>
    <row r="73" spans="1:9">
      <c r="A73" s="182"/>
      <c r="B73" s="251"/>
      <c r="C73" s="256"/>
      <c r="D73" s="722"/>
      <c r="E73" s="720"/>
      <c r="F73" s="254"/>
      <c r="G73" s="254"/>
      <c r="H73" s="254"/>
      <c r="I73" s="265"/>
    </row>
    <row r="74" spans="1:9">
      <c r="A74" s="182"/>
      <c r="B74" s="271"/>
      <c r="C74" s="254"/>
      <c r="D74" s="254"/>
      <c r="E74" s="254"/>
      <c r="F74" s="254"/>
      <c r="G74" s="254"/>
      <c r="H74" s="254"/>
      <c r="I74" s="248"/>
    </row>
    <row r="75" spans="1:9">
      <c r="A75" s="182"/>
      <c r="B75" s="246" t="s">
        <v>4</v>
      </c>
      <c r="C75" s="254"/>
      <c r="D75" s="254"/>
      <c r="E75" s="254"/>
      <c r="F75" s="254"/>
      <c r="G75" s="254"/>
      <c r="H75" s="254"/>
      <c r="I75" s="718">
        <f>0.03*(I40+I54+I69)</f>
        <v>58.440224875267283</v>
      </c>
    </row>
    <row r="76" spans="1:9">
      <c r="A76" s="182"/>
      <c r="B76" s="271" t="s">
        <v>467</v>
      </c>
      <c r="C76" s="254"/>
      <c r="D76" s="254"/>
      <c r="E76" s="254"/>
      <c r="F76" s="254"/>
      <c r="G76" s="254"/>
      <c r="H76" s="254"/>
      <c r="I76" s="248"/>
    </row>
    <row r="77" spans="1:9">
      <c r="A77" s="182"/>
      <c r="B77" s="251"/>
      <c r="C77" s="254"/>
      <c r="D77" s="254"/>
      <c r="E77" s="254"/>
      <c r="F77" s="254"/>
      <c r="G77" s="254"/>
      <c r="H77" s="254"/>
      <c r="I77" s="248"/>
    </row>
    <row r="78" spans="1:9">
      <c r="A78" s="182"/>
      <c r="B78" s="246" t="s">
        <v>468</v>
      </c>
      <c r="C78" s="254"/>
      <c r="D78" s="254"/>
      <c r="E78" s="254"/>
      <c r="F78" s="254"/>
      <c r="G78" s="254"/>
      <c r="H78" s="254"/>
      <c r="I78" s="718">
        <f>0.01*(I40+I54+I69)</f>
        <v>19.480074958422428</v>
      </c>
    </row>
    <row r="79" spans="1:9">
      <c r="A79" s="182"/>
      <c r="B79" s="271" t="s">
        <v>749</v>
      </c>
      <c r="C79" s="254"/>
      <c r="D79" s="254"/>
      <c r="E79" s="254"/>
      <c r="F79" s="254"/>
      <c r="G79" s="254"/>
      <c r="H79" s="254"/>
      <c r="I79" s="248"/>
    </row>
    <row r="80" spans="1:9">
      <c r="A80" s="182"/>
      <c r="B80" s="251"/>
      <c r="C80" s="254"/>
      <c r="D80" s="254"/>
      <c r="E80" s="254"/>
      <c r="F80" s="254"/>
      <c r="G80" s="254"/>
      <c r="H80" s="254"/>
      <c r="I80" s="248"/>
    </row>
    <row r="81" spans="1:9">
      <c r="A81" s="182"/>
      <c r="B81" s="246" t="s">
        <v>7</v>
      </c>
      <c r="C81" s="254"/>
      <c r="D81" s="254"/>
      <c r="E81" s="254"/>
      <c r="F81" s="254"/>
      <c r="G81" s="254"/>
      <c r="H81" s="254"/>
      <c r="I81" s="702">
        <v>0</v>
      </c>
    </row>
    <row r="82" spans="1:9">
      <c r="A82" s="182"/>
      <c r="B82" s="271" t="s">
        <v>1349</v>
      </c>
      <c r="C82" s="254"/>
      <c r="D82" s="254"/>
      <c r="E82" s="254"/>
      <c r="F82" s="254"/>
      <c r="G82" s="254"/>
      <c r="H82" s="254"/>
      <c r="I82" s="248"/>
    </row>
    <row r="83" spans="1:9">
      <c r="A83" s="182"/>
      <c r="B83" s="251"/>
      <c r="C83" s="254"/>
      <c r="D83" s="254"/>
      <c r="E83" s="254"/>
      <c r="F83" s="254"/>
      <c r="G83" s="254"/>
      <c r="H83" s="254"/>
      <c r="I83" s="248"/>
    </row>
    <row r="84" spans="1:9">
      <c r="A84" s="182"/>
      <c r="B84" s="246" t="s">
        <v>471</v>
      </c>
      <c r="C84" s="254"/>
      <c r="D84" s="254"/>
      <c r="E84" s="254"/>
      <c r="F84" s="256"/>
      <c r="G84" s="254"/>
      <c r="H84" s="254"/>
      <c r="I84" s="702">
        <v>600</v>
      </c>
    </row>
    <row r="85" spans="1:9">
      <c r="A85" s="182"/>
      <c r="B85" s="726" t="s">
        <v>1350</v>
      </c>
      <c r="C85" s="254"/>
      <c r="D85" s="254"/>
      <c r="E85" s="254"/>
      <c r="F85" s="254"/>
      <c r="G85" s="254"/>
      <c r="H85" s="254"/>
      <c r="I85" s="286"/>
    </row>
    <row r="86" spans="1:9">
      <c r="A86" s="182"/>
      <c r="B86" s="726"/>
      <c r="C86" s="254"/>
      <c r="D86" s="254"/>
      <c r="E86" s="254"/>
      <c r="F86" s="254"/>
      <c r="G86" s="254"/>
      <c r="H86" s="254"/>
      <c r="I86" s="286"/>
    </row>
    <row r="87" spans="1:9">
      <c r="A87" s="182"/>
      <c r="B87" s="251"/>
      <c r="C87" s="254"/>
      <c r="D87" s="254"/>
      <c r="E87" s="254"/>
      <c r="F87" s="254"/>
      <c r="G87" s="254"/>
      <c r="H87" s="254"/>
      <c r="I87" s="248"/>
    </row>
    <row r="88" spans="1:9">
      <c r="A88" s="182"/>
      <c r="B88" s="246" t="s">
        <v>5</v>
      </c>
      <c r="C88" s="254"/>
      <c r="D88" s="254"/>
      <c r="E88" s="254"/>
      <c r="F88" s="254"/>
      <c r="G88" s="254"/>
      <c r="H88" s="254"/>
      <c r="I88" s="702">
        <v>0</v>
      </c>
    </row>
    <row r="89" spans="1:9">
      <c r="A89" s="182"/>
      <c r="B89" s="271" t="s">
        <v>1351</v>
      </c>
      <c r="C89" s="254"/>
      <c r="D89" s="254"/>
      <c r="E89" s="254"/>
      <c r="F89" s="254"/>
      <c r="G89" s="254"/>
      <c r="H89" s="254"/>
      <c r="I89" s="286"/>
    </row>
    <row r="90" spans="1:9">
      <c r="A90" s="182"/>
      <c r="B90" s="251"/>
      <c r="C90" s="254"/>
      <c r="D90" s="254"/>
      <c r="E90" s="254"/>
      <c r="F90" s="254"/>
      <c r="G90" s="254"/>
      <c r="H90" s="254"/>
      <c r="I90" s="248"/>
    </row>
    <row r="91" spans="1:9">
      <c r="A91" s="182"/>
      <c r="B91" s="246" t="s">
        <v>20</v>
      </c>
      <c r="C91" s="254"/>
      <c r="D91" s="254"/>
      <c r="E91" s="254"/>
      <c r="F91" s="254"/>
      <c r="G91" s="254"/>
      <c r="H91" s="254"/>
      <c r="I91" s="702">
        <v>0</v>
      </c>
    </row>
    <row r="92" spans="1:9">
      <c r="A92" s="182"/>
      <c r="B92" s="271" t="s">
        <v>104</v>
      </c>
      <c r="C92" s="254"/>
      <c r="D92" s="254"/>
      <c r="E92" s="254"/>
      <c r="F92" s="254"/>
      <c r="G92" s="254"/>
      <c r="H92" s="254"/>
      <c r="I92" s="248"/>
    </row>
    <row r="93" spans="1:9">
      <c r="A93" s="182"/>
      <c r="B93" s="261"/>
      <c r="C93" s="254"/>
      <c r="D93" s="254"/>
      <c r="E93" s="254"/>
      <c r="F93" s="254"/>
      <c r="G93" s="254"/>
      <c r="H93" s="254"/>
      <c r="I93" s="248"/>
    </row>
    <row r="94" spans="1:9">
      <c r="A94" s="182"/>
      <c r="B94" s="246" t="s">
        <v>473</v>
      </c>
      <c r="C94" s="254"/>
      <c r="D94" s="254"/>
      <c r="E94" s="254"/>
      <c r="F94" s="254"/>
      <c r="G94" s="254"/>
      <c r="H94" s="254"/>
      <c r="I94" s="728">
        <f>+I40+I54+I69+I75+I81+I91</f>
        <v>2006.44772071751</v>
      </c>
    </row>
    <row r="95" spans="1:9" ht="15.75">
      <c r="A95" s="182"/>
      <c r="B95" s="271" t="s">
        <v>474</v>
      </c>
      <c r="C95" s="254"/>
      <c r="D95" s="254"/>
      <c r="E95" s="254"/>
      <c r="F95" s="254"/>
      <c r="G95" s="254"/>
      <c r="H95" s="254"/>
      <c r="I95" s="248"/>
    </row>
    <row r="96" spans="1:9">
      <c r="A96" s="182"/>
      <c r="B96" s="261"/>
      <c r="C96" s="254"/>
      <c r="D96" s="254"/>
      <c r="E96" s="254"/>
      <c r="F96" s="254"/>
      <c r="G96" s="254"/>
      <c r="H96" s="254"/>
      <c r="I96" s="248"/>
    </row>
    <row r="97" spans="1:9">
      <c r="A97" s="182"/>
      <c r="B97" s="287" t="s">
        <v>11</v>
      </c>
      <c r="C97" s="288"/>
      <c r="D97" s="288"/>
      <c r="E97" s="288"/>
      <c r="F97" s="288"/>
      <c r="G97" s="288"/>
      <c r="H97" s="288"/>
      <c r="I97" s="621">
        <f>SUM(I40:I91)</f>
        <v>2625.9277956759324</v>
      </c>
    </row>
  </sheetData>
  <mergeCells count="4">
    <mergeCell ref="B1:D1"/>
    <mergeCell ref="E54:H54"/>
    <mergeCell ref="B65:I66"/>
    <mergeCell ref="B70:C70"/>
  </mergeCells>
  <pageMargins left="0.75" right="0.75" top="1" bottom="1" header="0.5" footer="0.5"/>
  <pageSetup scale="55" orientation="portrait" r:id="rId1"/>
  <headerFooter alignWithMargins="0"/>
</worksheet>
</file>

<file path=xl/worksheets/sheet239.xml><?xml version="1.0" encoding="utf-8"?>
<worksheet xmlns="http://schemas.openxmlformats.org/spreadsheetml/2006/main" xmlns:r="http://schemas.openxmlformats.org/officeDocument/2006/relationships">
  <sheetPr>
    <pageSetUpPr fitToPage="1"/>
  </sheetPr>
  <dimension ref="A1:L97"/>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2421</v>
      </c>
      <c r="F6" s="198" t="str">
        <f>+D36</f>
        <v>Acre</v>
      </c>
      <c r="G6" s="686">
        <f>+I25</f>
        <v>1765.8442280381321</v>
      </c>
    </row>
    <row r="7" spans="1:12" ht="25.5">
      <c r="A7" s="182"/>
      <c r="B7" s="197">
        <f>+B6</f>
        <v>654</v>
      </c>
      <c r="C7" s="198" t="str">
        <f>+C6</f>
        <v>EQIP</v>
      </c>
      <c r="D7" s="199" t="s">
        <v>2416</v>
      </c>
      <c r="E7" s="199" t="str">
        <f>CONCATENATE(E6, "-HU")</f>
        <v>Road/Trail/Landing Closure &amp; Treatment (Ac) - Med. Grading/Shaping (2-6hr/Ac), Introd. Grasses, ECB &amp; Mulch  -HU</v>
      </c>
      <c r="F7" s="198" t="str">
        <f>+F6</f>
        <v>Acre</v>
      </c>
      <c r="G7" s="686">
        <f>+J25</f>
        <v>2119.0130736457586</v>
      </c>
    </row>
    <row r="8" spans="1:12" ht="25.5">
      <c r="A8" s="182"/>
      <c r="B8" s="197">
        <v>654</v>
      </c>
      <c r="C8" s="198" t="str">
        <f>+G12</f>
        <v>WHIP</v>
      </c>
      <c r="D8" s="199" t="s">
        <v>2416</v>
      </c>
      <c r="E8" s="199" t="str">
        <f>+E6</f>
        <v xml:space="preserve">Road/Trail/Landing Closure &amp; Treatment (Ac) - Med. Grading/Shaping (2-6hr/Ac), Introd. Grasses, ECB &amp; Mulch  </v>
      </c>
      <c r="F8" s="198" t="str">
        <f>+D36</f>
        <v>Acre</v>
      </c>
      <c r="G8" s="686">
        <f>+K25</f>
        <v>0</v>
      </c>
    </row>
    <row r="9" spans="1:12" ht="25.5">
      <c r="A9" s="182"/>
      <c r="B9" s="203">
        <f>+B8</f>
        <v>654</v>
      </c>
      <c r="C9" s="204" t="str">
        <f>+C8</f>
        <v>WHIP</v>
      </c>
      <c r="D9" s="199" t="s">
        <v>2416</v>
      </c>
      <c r="E9" s="205" t="str">
        <f>CONCATENATE(E6, "-HU")</f>
        <v>Road/Trail/Landing Closure &amp; Treatment (Ac) - Med. Grading/Shaping (2-6hr/Ac), Introd. Grasses, ECB &amp; Mulch  -HU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188.14082917557616</v>
      </c>
      <c r="E16" s="226">
        <f>+'[10]Payment Factors'!D11</f>
        <v>0.75</v>
      </c>
      <c r="F16" s="226">
        <f>+'[10]Payment Factors'!E11</f>
        <v>0.9</v>
      </c>
      <c r="G16" s="226">
        <f>+'[10]Payment Factors'!F11</f>
        <v>0</v>
      </c>
      <c r="H16" s="226">
        <f>+'[10]Payment Factors'!G11</f>
        <v>0</v>
      </c>
      <c r="I16" s="689">
        <f t="shared" ref="I16:L24" si="0">+$D16*E16</f>
        <v>141.10562188168211</v>
      </c>
      <c r="J16" s="689">
        <f t="shared" si="0"/>
        <v>169.32674625801855</v>
      </c>
      <c r="K16" s="689">
        <f t="shared" si="0"/>
        <v>0</v>
      </c>
      <c r="L16" s="690">
        <f t="shared" si="0"/>
        <v>0</v>
      </c>
    </row>
    <row r="17" spans="1:12">
      <c r="A17" s="182"/>
      <c r="B17" s="215" t="s">
        <v>2</v>
      </c>
      <c r="C17" s="217"/>
      <c r="D17" s="688">
        <f>+I54</f>
        <v>1783.0804166666662</v>
      </c>
      <c r="E17" s="226">
        <f t="shared" ref="E17:H19" si="1">+E16</f>
        <v>0.75</v>
      </c>
      <c r="F17" s="226">
        <f t="shared" si="1"/>
        <v>0.9</v>
      </c>
      <c r="G17" s="226">
        <f t="shared" si="1"/>
        <v>0</v>
      </c>
      <c r="H17" s="226">
        <f t="shared" si="1"/>
        <v>0</v>
      </c>
      <c r="I17" s="689">
        <f t="shared" si="0"/>
        <v>1337.3103124999998</v>
      </c>
      <c r="J17" s="689">
        <f t="shared" si="0"/>
        <v>1604.7723749999996</v>
      </c>
      <c r="K17" s="689">
        <f t="shared" si="0"/>
        <v>0</v>
      </c>
      <c r="L17" s="690">
        <f t="shared" si="0"/>
        <v>0</v>
      </c>
    </row>
    <row r="18" spans="1:12">
      <c r="A18" s="182"/>
      <c r="B18" s="215" t="s">
        <v>3</v>
      </c>
      <c r="C18" s="217"/>
      <c r="D18" s="688">
        <f>+I69</f>
        <v>314.66124999999994</v>
      </c>
      <c r="E18" s="226">
        <f t="shared" si="1"/>
        <v>0.75</v>
      </c>
      <c r="F18" s="226">
        <f t="shared" si="1"/>
        <v>0.9</v>
      </c>
      <c r="G18" s="226">
        <f t="shared" si="1"/>
        <v>0</v>
      </c>
      <c r="H18" s="226">
        <f t="shared" si="1"/>
        <v>0</v>
      </c>
      <c r="I18" s="689">
        <f t="shared" si="0"/>
        <v>235.99593749999997</v>
      </c>
      <c r="J18" s="689">
        <f t="shared" si="0"/>
        <v>283.19512499999996</v>
      </c>
      <c r="K18" s="689">
        <f t="shared" si="0"/>
        <v>0</v>
      </c>
      <c r="L18" s="690">
        <f t="shared" si="0"/>
        <v>0</v>
      </c>
    </row>
    <row r="19" spans="1:12">
      <c r="A19" s="182"/>
      <c r="B19" s="215" t="s">
        <v>4</v>
      </c>
      <c r="C19" s="217"/>
      <c r="D19" s="688">
        <f>+I75</f>
        <v>68.576474875267266</v>
      </c>
      <c r="E19" s="226">
        <f t="shared" si="1"/>
        <v>0.75</v>
      </c>
      <c r="F19" s="226">
        <f t="shared" si="1"/>
        <v>0.9</v>
      </c>
      <c r="G19" s="226">
        <f t="shared" si="1"/>
        <v>0</v>
      </c>
      <c r="H19" s="226">
        <f t="shared" si="1"/>
        <v>0</v>
      </c>
      <c r="I19" s="689">
        <f t="shared" si="0"/>
        <v>51.432356156450453</v>
      </c>
      <c r="J19" s="689">
        <f t="shared" si="0"/>
        <v>61.718827387740539</v>
      </c>
      <c r="K19" s="689">
        <f t="shared" si="0"/>
        <v>0</v>
      </c>
      <c r="L19" s="690">
        <f t="shared" si="0"/>
        <v>0</v>
      </c>
    </row>
    <row r="20" spans="1:12">
      <c r="A20" s="182"/>
      <c r="B20" s="215" t="s">
        <v>26</v>
      </c>
      <c r="C20" s="217"/>
      <c r="D20" s="688">
        <f>+I78</f>
        <v>22.858824958422424</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+I81</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+I84</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+I88</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+I91</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2977.3177956759318</v>
      </c>
      <c r="E25" s="695"/>
      <c r="F25" s="695"/>
      <c r="G25" s="234"/>
      <c r="H25" s="234"/>
      <c r="I25" s="696">
        <f>SUM(I16:I24)</f>
        <v>1765.8442280381321</v>
      </c>
      <c r="J25" s="696">
        <f>SUM(J16:J24)</f>
        <v>2119.0130736457586</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SUM(G42:G49)</f>
        <v>188.14082917557616</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9" si="2">+F42*E42</f>
        <v>0</v>
      </c>
      <c r="H42" s="254"/>
      <c r="I42" s="286"/>
    </row>
    <row r="43" spans="1:9">
      <c r="A43" s="182"/>
      <c r="B43" s="261" t="s">
        <v>451</v>
      </c>
      <c r="C43" s="268"/>
      <c r="D43" s="705" t="s">
        <v>452</v>
      </c>
      <c r="E43" s="706">
        <f>+'[20]Core Rates'!C203</f>
        <v>8.75</v>
      </c>
      <c r="F43" s="707">
        <v>2</v>
      </c>
      <c r="G43" s="708">
        <f t="shared" si="2"/>
        <v>17.5</v>
      </c>
      <c r="H43" s="254"/>
      <c r="I43" s="248"/>
    </row>
    <row r="44" spans="1:9">
      <c r="A44" s="182"/>
      <c r="B44" s="1849" t="s">
        <v>453</v>
      </c>
      <c r="C44" s="268"/>
      <c r="D44" s="711" t="s">
        <v>454</v>
      </c>
      <c r="E44" s="706">
        <f>+'[20]Core Rates'!C228</f>
        <v>0.82427536231884069</v>
      </c>
      <c r="F44" s="707">
        <v>50</v>
      </c>
      <c r="G44" s="708">
        <f t="shared" si="2"/>
        <v>41.213768115942031</v>
      </c>
      <c r="H44" s="254"/>
      <c r="I44" s="248"/>
    </row>
    <row r="45" spans="1:9">
      <c r="A45" s="182"/>
      <c r="B45" s="709" t="s">
        <v>455</v>
      </c>
      <c r="C45" s="710"/>
      <c r="D45" s="711" t="s">
        <v>454</v>
      </c>
      <c r="E45" s="706">
        <f>+'[20]Core Rates'!C235</f>
        <v>1.1702898550724636</v>
      </c>
      <c r="F45" s="707">
        <v>50</v>
      </c>
      <c r="G45" s="708">
        <f t="shared" si="2"/>
        <v>58.51449275362318</v>
      </c>
      <c r="H45" s="254"/>
      <c r="I45" s="248"/>
    </row>
    <row r="46" spans="1:9">
      <c r="A46" s="182"/>
      <c r="B46" s="709" t="s">
        <v>456</v>
      </c>
      <c r="C46" s="710"/>
      <c r="D46" s="705" t="s">
        <v>454</v>
      </c>
      <c r="E46" s="706">
        <f>+'[20]Core Rates'!C246</f>
        <v>0.58825136612021856</v>
      </c>
      <c r="F46" s="707">
        <v>50</v>
      </c>
      <c r="G46" s="708">
        <f t="shared" si="2"/>
        <v>29.412568306010929</v>
      </c>
      <c r="H46" s="254"/>
      <c r="I46" s="248"/>
    </row>
    <row r="47" spans="1:9">
      <c r="A47" s="182"/>
      <c r="B47" s="709" t="s">
        <v>479</v>
      </c>
      <c r="C47" s="710"/>
      <c r="D47" s="711" t="s">
        <v>454</v>
      </c>
      <c r="E47" s="706">
        <f>+'[20]Core Rates 2011'!BE307</f>
        <v>1.68</v>
      </c>
      <c r="F47" s="707">
        <v>15</v>
      </c>
      <c r="G47" s="708">
        <f t="shared" si="2"/>
        <v>25.2</v>
      </c>
      <c r="H47" s="254"/>
      <c r="I47" s="248"/>
    </row>
    <row r="48" spans="1:9">
      <c r="A48" s="182"/>
      <c r="B48" s="709" t="s">
        <v>480</v>
      </c>
      <c r="C48" s="710"/>
      <c r="D48" s="711" t="s">
        <v>454</v>
      </c>
      <c r="E48" s="706">
        <f>+'[20]Core Rates 2011'!BE308</f>
        <v>1.61</v>
      </c>
      <c r="F48" s="707">
        <v>5</v>
      </c>
      <c r="G48" s="708">
        <f t="shared" si="2"/>
        <v>8.0500000000000007</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49"/>
      <c r="C50" s="268"/>
      <c r="D50" s="1851"/>
      <c r="E50" s="1852"/>
      <c r="F50" s="254"/>
      <c r="G50" s="254"/>
      <c r="H50" s="254"/>
      <c r="I50" s="248"/>
    </row>
    <row r="51" spans="1:9">
      <c r="A51" s="182"/>
      <c r="B51" s="251" t="s">
        <v>43</v>
      </c>
      <c r="C51" s="254"/>
      <c r="D51" s="254"/>
      <c r="E51" s="272"/>
      <c r="F51" s="272"/>
      <c r="G51" s="272"/>
      <c r="H51" s="254"/>
      <c r="I51" s="265"/>
    </row>
    <row r="52" spans="1:9">
      <c r="A52" s="182"/>
      <c r="B52" s="261" t="s">
        <v>457</v>
      </c>
      <c r="C52" s="254"/>
      <c r="D52" s="254"/>
      <c r="E52" s="272"/>
      <c r="F52" s="272"/>
      <c r="G52" s="272"/>
      <c r="H52" s="254"/>
      <c r="I52" s="265"/>
    </row>
    <row r="53" spans="1:9">
      <c r="A53" s="182"/>
      <c r="B53" s="1850"/>
      <c r="C53" s="268"/>
      <c r="D53" s="1851"/>
      <c r="E53" s="254"/>
      <c r="F53" s="254"/>
      <c r="G53" s="254"/>
      <c r="H53" s="254"/>
      <c r="I53" s="248"/>
    </row>
    <row r="54" spans="1:9">
      <c r="A54" s="182"/>
      <c r="B54" s="246" t="s">
        <v>2</v>
      </c>
      <c r="C54" s="254"/>
      <c r="D54" s="254"/>
      <c r="E54" s="2147" t="s">
        <v>459</v>
      </c>
      <c r="F54" s="2147"/>
      <c r="G54" s="2147"/>
      <c r="H54" s="2147"/>
      <c r="I54" s="702">
        <f>(SUM(G56:G601)*0.85)</f>
        <v>1783.0804166666662</v>
      </c>
    </row>
    <row r="55" spans="1:9">
      <c r="A55" s="182"/>
      <c r="B55" s="703"/>
      <c r="C55" s="254"/>
      <c r="D55" s="704" t="s">
        <v>447</v>
      </c>
      <c r="E55" s="704" t="s">
        <v>448</v>
      </c>
      <c r="F55" s="704" t="s">
        <v>449</v>
      </c>
      <c r="G55" s="704" t="s">
        <v>450</v>
      </c>
      <c r="H55" s="254"/>
      <c r="I55" s="265"/>
    </row>
    <row r="56" spans="1:9">
      <c r="A56" s="182"/>
      <c r="B56" s="1867" t="str">
        <f>+'[20]Core Rates'!A111</f>
        <v>Earthmoving: Medium grading/shaping (2-6 hrs/ac)</v>
      </c>
      <c r="C56" s="1861"/>
      <c r="D56" s="1862" t="s">
        <v>408</v>
      </c>
      <c r="E56" s="706">
        <f>+'[20]Core Rates'!C111</f>
        <v>503.625</v>
      </c>
      <c r="F56" s="707">
        <v>1</v>
      </c>
      <c r="G56" s="708">
        <f>+F56*E56</f>
        <v>503.625</v>
      </c>
      <c r="H56" s="254"/>
      <c r="I56" s="286"/>
    </row>
    <row r="57" spans="1:9">
      <c r="A57" s="182"/>
      <c r="B57" s="1863" t="str">
        <f>+'[20]Core Rates'!A217</f>
        <v>Mulching (2 tons/ac applied)</v>
      </c>
      <c r="C57" s="720"/>
      <c r="D57" s="708" t="s">
        <v>408</v>
      </c>
      <c r="E57" s="708">
        <f>+'[20]Core Rates'!C217</f>
        <v>472.5</v>
      </c>
      <c r="F57" s="706">
        <v>0.85</v>
      </c>
      <c r="G57" s="708">
        <f>+F57*E57</f>
        <v>401.625</v>
      </c>
      <c r="H57" s="254"/>
      <c r="I57" s="286"/>
    </row>
    <row r="58" spans="1:9">
      <c r="A58" s="182"/>
      <c r="B58" s="1866" t="str">
        <f>+'[20]Core Rates'!A123</f>
        <v>Erosion Control Blanket, Type II (Installed)</v>
      </c>
      <c r="C58" s="720"/>
      <c r="D58" s="708" t="str">
        <f>+'[20]Core Rates'!B123</f>
        <v>Sq Yd</v>
      </c>
      <c r="E58" s="708">
        <f>+'[20]Core Rates'!C123</f>
        <v>1.5750000000000002</v>
      </c>
      <c r="F58" s="706">
        <v>0.15</v>
      </c>
      <c r="G58" s="708">
        <f>+E58/9*43560*F58</f>
        <v>1143.45</v>
      </c>
      <c r="H58" s="254"/>
      <c r="I58" s="286"/>
    </row>
    <row r="59" spans="1:9">
      <c r="A59" s="182"/>
      <c r="B59" s="261" t="s">
        <v>461</v>
      </c>
      <c r="C59" s="268"/>
      <c r="D59" s="705" t="s">
        <v>408</v>
      </c>
      <c r="E59" s="706">
        <f>+'[20]Core Rates'!C104</f>
        <v>20</v>
      </c>
      <c r="F59" s="707">
        <v>1</v>
      </c>
      <c r="G59" s="708">
        <f>+F59*E59</f>
        <v>20</v>
      </c>
      <c r="H59" s="254"/>
      <c r="I59" s="286"/>
    </row>
    <row r="60" spans="1:9">
      <c r="A60" s="182"/>
      <c r="B60" s="261" t="s">
        <v>462</v>
      </c>
      <c r="C60" s="268"/>
      <c r="D60" s="705" t="s">
        <v>408</v>
      </c>
      <c r="E60" s="706">
        <f>+'[20]Core Rates'!AN33</f>
        <v>5.416666666666667</v>
      </c>
      <c r="F60" s="707">
        <v>1</v>
      </c>
      <c r="G60" s="708">
        <f>+F60*E60</f>
        <v>5.416666666666667</v>
      </c>
      <c r="H60" s="254"/>
      <c r="I60" s="286"/>
    </row>
    <row r="61" spans="1:9">
      <c r="A61" s="182"/>
      <c r="B61" s="261" t="s">
        <v>463</v>
      </c>
      <c r="C61" s="268"/>
      <c r="D61" s="705" t="s">
        <v>452</v>
      </c>
      <c r="E61" s="706">
        <f>+'[20]Core Rates'!AN34</f>
        <v>5.5</v>
      </c>
      <c r="F61" s="707">
        <v>2</v>
      </c>
      <c r="G61" s="708">
        <f>+F61*E61</f>
        <v>11</v>
      </c>
      <c r="H61" s="254"/>
      <c r="I61" s="286"/>
    </row>
    <row r="62" spans="1:9">
      <c r="A62" s="182"/>
      <c r="B62" s="261" t="s">
        <v>464</v>
      </c>
      <c r="C62" s="268"/>
      <c r="D62" s="705" t="s">
        <v>452</v>
      </c>
      <c r="E62" s="706">
        <f>+'[20]Core Rates'!AN32</f>
        <v>6.3125</v>
      </c>
      <c r="F62" s="707">
        <v>2</v>
      </c>
      <c r="G62" s="708">
        <f>+F62*E62</f>
        <v>12.625</v>
      </c>
      <c r="H62" s="254"/>
      <c r="I62" s="286"/>
    </row>
    <row r="63" spans="1:9">
      <c r="A63" s="182"/>
      <c r="B63" s="261"/>
      <c r="C63" s="268"/>
      <c r="D63" s="269"/>
      <c r="E63" s="714"/>
      <c r="F63" s="714"/>
      <c r="G63" s="706"/>
      <c r="H63" s="254"/>
      <c r="I63" s="286"/>
    </row>
    <row r="64" spans="1:9">
      <c r="A64" s="182"/>
      <c r="B64" s="251" t="s">
        <v>43</v>
      </c>
      <c r="C64" s="254"/>
      <c r="D64" s="254"/>
      <c r="E64" s="272"/>
      <c r="F64" s="272"/>
      <c r="G64" s="272"/>
      <c r="H64" s="254"/>
      <c r="I64" s="265"/>
    </row>
    <row r="65" spans="1:9" ht="12.75" customHeight="1">
      <c r="A65" s="182"/>
      <c r="B65" s="2148" t="s">
        <v>457</v>
      </c>
      <c r="C65" s="2149"/>
      <c r="D65" s="2149"/>
      <c r="E65" s="2149"/>
      <c r="F65" s="2149"/>
      <c r="G65" s="2149"/>
      <c r="H65" s="2149"/>
      <c r="I65" s="2150"/>
    </row>
    <row r="66" spans="1:9">
      <c r="A66" s="182"/>
      <c r="B66" s="2148"/>
      <c r="C66" s="2149"/>
      <c r="D66" s="2149"/>
      <c r="E66" s="2149"/>
      <c r="F66" s="2149"/>
      <c r="G66" s="2149"/>
      <c r="H66" s="2149"/>
      <c r="I66" s="2150"/>
    </row>
    <row r="67" spans="1:9">
      <c r="A67" s="182"/>
      <c r="B67" s="715"/>
      <c r="C67" s="716"/>
      <c r="D67" s="716"/>
      <c r="E67" s="716"/>
      <c r="F67" s="716"/>
      <c r="G67" s="716"/>
      <c r="H67" s="716"/>
      <c r="I67" s="717"/>
    </row>
    <row r="68" spans="1:9">
      <c r="A68" s="182"/>
      <c r="B68" s="715"/>
      <c r="C68" s="716"/>
      <c r="D68" s="716"/>
      <c r="E68" s="716"/>
      <c r="F68" s="716"/>
      <c r="G68" s="716"/>
      <c r="H68" s="716"/>
      <c r="I68" s="717"/>
    </row>
    <row r="69" spans="1:9">
      <c r="A69" s="182"/>
      <c r="B69" s="246" t="s">
        <v>3</v>
      </c>
      <c r="C69" s="254"/>
      <c r="D69" s="254"/>
      <c r="E69" s="254"/>
      <c r="F69" s="256"/>
      <c r="G69" s="254"/>
      <c r="H69" s="254"/>
      <c r="I69" s="718">
        <f>E71</f>
        <v>314.66124999999994</v>
      </c>
    </row>
    <row r="70" spans="1:9">
      <c r="A70" s="182"/>
      <c r="B70" s="2151" t="s">
        <v>465</v>
      </c>
      <c r="C70" s="2152"/>
      <c r="D70" s="254"/>
      <c r="E70" s="254"/>
      <c r="F70" s="254"/>
      <c r="G70" s="254"/>
      <c r="H70" s="254"/>
      <c r="I70" s="282"/>
    </row>
    <row r="71" spans="1:9">
      <c r="A71" s="182"/>
      <c r="B71" s="251" t="s">
        <v>466</v>
      </c>
      <c r="C71" s="256"/>
      <c r="D71" s="256"/>
      <c r="E71" s="720">
        <f>SUM(G56:G62)*0.15</f>
        <v>314.66124999999994</v>
      </c>
      <c r="F71" s="254"/>
      <c r="G71" s="254"/>
      <c r="H71" s="254"/>
      <c r="I71" s="265"/>
    </row>
    <row r="72" spans="1:9">
      <c r="A72" s="182"/>
      <c r="B72" s="251"/>
      <c r="C72" s="256"/>
      <c r="D72" s="721"/>
      <c r="E72" s="720"/>
      <c r="F72" s="254"/>
      <c r="G72" s="254"/>
      <c r="H72" s="254"/>
      <c r="I72" s="265"/>
    </row>
    <row r="73" spans="1:9">
      <c r="A73" s="182"/>
      <c r="B73" s="251"/>
      <c r="C73" s="256"/>
      <c r="D73" s="722"/>
      <c r="E73" s="720"/>
      <c r="F73" s="254"/>
      <c r="G73" s="254"/>
      <c r="H73" s="254"/>
      <c r="I73" s="265"/>
    </row>
    <row r="74" spans="1:9">
      <c r="A74" s="182"/>
      <c r="B74" s="271"/>
      <c r="C74" s="254"/>
      <c r="D74" s="254"/>
      <c r="E74" s="254"/>
      <c r="F74" s="254"/>
      <c r="G74" s="254"/>
      <c r="H74" s="254"/>
      <c r="I74" s="248"/>
    </row>
    <row r="75" spans="1:9">
      <c r="A75" s="182"/>
      <c r="B75" s="246" t="s">
        <v>4</v>
      </c>
      <c r="C75" s="254"/>
      <c r="D75" s="254"/>
      <c r="E75" s="254"/>
      <c r="F75" s="254"/>
      <c r="G75" s="254"/>
      <c r="H75" s="254"/>
      <c r="I75" s="718">
        <f>0.03*(I40+I54+I69)</f>
        <v>68.576474875267266</v>
      </c>
    </row>
    <row r="76" spans="1:9">
      <c r="A76" s="182"/>
      <c r="B76" s="271" t="s">
        <v>467</v>
      </c>
      <c r="C76" s="254"/>
      <c r="D76" s="254"/>
      <c r="E76" s="254"/>
      <c r="F76" s="254"/>
      <c r="G76" s="254"/>
      <c r="H76" s="254"/>
      <c r="I76" s="248"/>
    </row>
    <row r="77" spans="1:9">
      <c r="A77" s="182"/>
      <c r="B77" s="251"/>
      <c r="C77" s="254"/>
      <c r="D77" s="254"/>
      <c r="E77" s="254"/>
      <c r="F77" s="254"/>
      <c r="G77" s="254"/>
      <c r="H77" s="254"/>
      <c r="I77" s="248"/>
    </row>
    <row r="78" spans="1:9">
      <c r="A78" s="182"/>
      <c r="B78" s="246" t="s">
        <v>468</v>
      </c>
      <c r="C78" s="254"/>
      <c r="D78" s="254"/>
      <c r="E78" s="254"/>
      <c r="F78" s="254"/>
      <c r="G78" s="254"/>
      <c r="H78" s="254"/>
      <c r="I78" s="718">
        <f>0.01*(I40+I54+I69)</f>
        <v>22.858824958422424</v>
      </c>
    </row>
    <row r="79" spans="1:9">
      <c r="A79" s="182"/>
      <c r="B79" s="271" t="s">
        <v>749</v>
      </c>
      <c r="C79" s="254"/>
      <c r="D79" s="254"/>
      <c r="E79" s="254"/>
      <c r="F79" s="254"/>
      <c r="G79" s="254"/>
      <c r="H79" s="254"/>
      <c r="I79" s="248"/>
    </row>
    <row r="80" spans="1:9">
      <c r="A80" s="182"/>
      <c r="B80" s="251"/>
      <c r="C80" s="254"/>
      <c r="D80" s="254"/>
      <c r="E80" s="254"/>
      <c r="F80" s="254"/>
      <c r="G80" s="254"/>
      <c r="H80" s="254"/>
      <c r="I80" s="248"/>
    </row>
    <row r="81" spans="1:9">
      <c r="A81" s="182"/>
      <c r="B81" s="246" t="s">
        <v>7</v>
      </c>
      <c r="C81" s="254"/>
      <c r="D81" s="254"/>
      <c r="E81" s="254"/>
      <c r="F81" s="254"/>
      <c r="G81" s="254"/>
      <c r="H81" s="254"/>
      <c r="I81" s="702">
        <v>0</v>
      </c>
    </row>
    <row r="82" spans="1:9">
      <c r="A82" s="182"/>
      <c r="B82" s="271" t="s">
        <v>1349</v>
      </c>
      <c r="C82" s="254"/>
      <c r="D82" s="254"/>
      <c r="E82" s="254"/>
      <c r="F82" s="254"/>
      <c r="G82" s="254"/>
      <c r="H82" s="254"/>
      <c r="I82" s="248"/>
    </row>
    <row r="83" spans="1:9">
      <c r="A83" s="182"/>
      <c r="B83" s="251"/>
      <c r="C83" s="254"/>
      <c r="D83" s="254"/>
      <c r="E83" s="254"/>
      <c r="F83" s="254"/>
      <c r="G83" s="254"/>
      <c r="H83" s="254"/>
      <c r="I83" s="248"/>
    </row>
    <row r="84" spans="1:9">
      <c r="A84" s="182"/>
      <c r="B84" s="246" t="s">
        <v>471</v>
      </c>
      <c r="C84" s="254"/>
      <c r="D84" s="254"/>
      <c r="E84" s="254"/>
      <c r="F84" s="256"/>
      <c r="G84" s="254"/>
      <c r="H84" s="254"/>
      <c r="I84" s="702">
        <v>600</v>
      </c>
    </row>
    <row r="85" spans="1:9">
      <c r="A85" s="182"/>
      <c r="B85" s="726" t="s">
        <v>1350</v>
      </c>
      <c r="C85" s="254"/>
      <c r="D85" s="254"/>
      <c r="E85" s="254"/>
      <c r="F85" s="254"/>
      <c r="G85" s="254"/>
      <c r="H85" s="254"/>
      <c r="I85" s="286"/>
    </row>
    <row r="86" spans="1:9">
      <c r="A86" s="182"/>
      <c r="B86" s="726"/>
      <c r="C86" s="254"/>
      <c r="D86" s="254"/>
      <c r="E86" s="254"/>
      <c r="F86" s="254"/>
      <c r="G86" s="254"/>
      <c r="H86" s="254"/>
      <c r="I86" s="286"/>
    </row>
    <row r="87" spans="1:9">
      <c r="A87" s="182"/>
      <c r="B87" s="251"/>
      <c r="C87" s="254"/>
      <c r="D87" s="254"/>
      <c r="E87" s="254"/>
      <c r="F87" s="254"/>
      <c r="G87" s="254"/>
      <c r="H87" s="254"/>
      <c r="I87" s="248"/>
    </row>
    <row r="88" spans="1:9">
      <c r="A88" s="182"/>
      <c r="B88" s="246" t="s">
        <v>5</v>
      </c>
      <c r="C88" s="254"/>
      <c r="D88" s="254"/>
      <c r="E88" s="254"/>
      <c r="F88" s="254"/>
      <c r="G88" s="254"/>
      <c r="H88" s="254"/>
      <c r="I88" s="702">
        <v>0</v>
      </c>
    </row>
    <row r="89" spans="1:9">
      <c r="A89" s="182"/>
      <c r="B89" s="271" t="s">
        <v>1351</v>
      </c>
      <c r="C89" s="254"/>
      <c r="D89" s="254"/>
      <c r="E89" s="254"/>
      <c r="F89" s="254"/>
      <c r="G89" s="254"/>
      <c r="H89" s="254"/>
      <c r="I89" s="286"/>
    </row>
    <row r="90" spans="1:9">
      <c r="A90" s="182"/>
      <c r="B90" s="251"/>
      <c r="C90" s="254"/>
      <c r="D90" s="254"/>
      <c r="E90" s="254"/>
      <c r="F90" s="254"/>
      <c r="G90" s="254"/>
      <c r="H90" s="254"/>
      <c r="I90" s="248"/>
    </row>
    <row r="91" spans="1:9">
      <c r="A91" s="182"/>
      <c r="B91" s="246" t="s">
        <v>20</v>
      </c>
      <c r="C91" s="254"/>
      <c r="D91" s="254"/>
      <c r="E91" s="254"/>
      <c r="F91" s="254"/>
      <c r="G91" s="254"/>
      <c r="H91" s="254"/>
      <c r="I91" s="702">
        <v>0</v>
      </c>
    </row>
    <row r="92" spans="1:9">
      <c r="A92" s="182"/>
      <c r="B92" s="271" t="s">
        <v>104</v>
      </c>
      <c r="C92" s="254"/>
      <c r="D92" s="254"/>
      <c r="E92" s="254"/>
      <c r="F92" s="254"/>
      <c r="G92" s="254"/>
      <c r="H92" s="254"/>
      <c r="I92" s="248"/>
    </row>
    <row r="93" spans="1:9">
      <c r="A93" s="182"/>
      <c r="B93" s="261"/>
      <c r="C93" s="254"/>
      <c r="D93" s="254"/>
      <c r="E93" s="254"/>
      <c r="F93" s="254"/>
      <c r="G93" s="254"/>
      <c r="H93" s="254"/>
      <c r="I93" s="248"/>
    </row>
    <row r="94" spans="1:9">
      <c r="A94" s="182"/>
      <c r="B94" s="246" t="s">
        <v>473</v>
      </c>
      <c r="C94" s="254"/>
      <c r="D94" s="254"/>
      <c r="E94" s="254"/>
      <c r="F94" s="254"/>
      <c r="G94" s="254"/>
      <c r="H94" s="254"/>
      <c r="I94" s="728">
        <f>+I40+I54+I69+I75+I81+I91</f>
        <v>2354.4589707175096</v>
      </c>
    </row>
    <row r="95" spans="1:9" ht="15.75">
      <c r="A95" s="182"/>
      <c r="B95" s="271" t="s">
        <v>474</v>
      </c>
      <c r="C95" s="254"/>
      <c r="D95" s="254"/>
      <c r="E95" s="254"/>
      <c r="F95" s="254"/>
      <c r="G95" s="254"/>
      <c r="H95" s="254"/>
      <c r="I95" s="248"/>
    </row>
    <row r="96" spans="1:9">
      <c r="A96" s="182"/>
      <c r="B96" s="261"/>
      <c r="C96" s="254"/>
      <c r="D96" s="254"/>
      <c r="E96" s="254"/>
      <c r="F96" s="254"/>
      <c r="G96" s="254"/>
      <c r="H96" s="254"/>
      <c r="I96" s="248"/>
    </row>
    <row r="97" spans="1:9">
      <c r="A97" s="182"/>
      <c r="B97" s="287" t="s">
        <v>11</v>
      </c>
      <c r="C97" s="288"/>
      <c r="D97" s="288"/>
      <c r="E97" s="288"/>
      <c r="F97" s="288"/>
      <c r="G97" s="288"/>
      <c r="H97" s="288"/>
      <c r="I97" s="621">
        <f>SUM(I40:I91)</f>
        <v>2977.3177956759318</v>
      </c>
    </row>
  </sheetData>
  <mergeCells count="4">
    <mergeCell ref="B1:D1"/>
    <mergeCell ref="E54:H54"/>
    <mergeCell ref="B65:I66"/>
    <mergeCell ref="B70:C70"/>
  </mergeCells>
  <pageMargins left="0.75" right="0.75" top="1" bottom="1" header="0.5" footer="0.5"/>
  <pageSetup scale="55" orientation="portrait" r:id="rId1"/>
  <headerFooter alignWithMargins="0"/>
</worksheet>
</file>

<file path=xl/worksheets/sheet24.xml><?xml version="1.0" encoding="utf-8"?>
<worksheet xmlns="http://schemas.openxmlformats.org/spreadsheetml/2006/main" xmlns:r="http://schemas.openxmlformats.org/officeDocument/2006/relationships">
  <dimension ref="B1:P105"/>
  <sheetViews>
    <sheetView zoomScaleNormal="100" workbookViewId="0">
      <selection activeCell="L9" sqref="L9"/>
    </sheetView>
  </sheetViews>
  <sheetFormatPr defaultRowHeight="12.75"/>
  <cols>
    <col min="1" max="1" width="2.85546875" style="2" customWidth="1"/>
    <col min="2" max="2" width="11.5703125" style="2" customWidth="1"/>
    <col min="3" max="3" width="18.7109375" style="2" customWidth="1"/>
    <col min="4" max="4" width="23.5703125" style="2" customWidth="1"/>
    <col min="5" max="5" width="21.5703125" style="2" customWidth="1"/>
    <col min="6" max="6" width="10.85546875" style="2" customWidth="1"/>
    <col min="7" max="7" width="10.42578125" style="2" customWidth="1"/>
    <col min="8" max="8" width="9.140625" style="2" bestFit="1" customWidth="1"/>
    <col min="9" max="9" width="9.85546875" style="2" customWidth="1"/>
    <col min="10" max="10" width="2.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5.5">
      <c r="B2" s="177" t="s">
        <v>42</v>
      </c>
      <c r="C2" s="79">
        <v>118</v>
      </c>
      <c r="D2" s="107" t="s">
        <v>191</v>
      </c>
      <c r="E2" s="107" t="s">
        <v>192</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25.5">
      <c r="B6" s="54">
        <v>118</v>
      </c>
      <c r="C6" s="7" t="str">
        <f>+E10</f>
        <v>EQIP</v>
      </c>
      <c r="D6" s="110" t="s">
        <v>191</v>
      </c>
      <c r="E6" s="110" t="s">
        <v>192</v>
      </c>
      <c r="F6" s="7" t="s">
        <v>38</v>
      </c>
      <c r="G6" s="85">
        <f>G23</f>
        <v>1942.5</v>
      </c>
      <c r="H6" s="89"/>
      <c r="I6" s="89"/>
      <c r="J6"/>
    </row>
    <row r="7" spans="2:10" ht="25.5" customHeight="1">
      <c r="B7" s="8">
        <v>118</v>
      </c>
      <c r="C7" s="10" t="s">
        <v>15</v>
      </c>
      <c r="D7" s="111" t="s">
        <v>191</v>
      </c>
      <c r="E7" s="111" t="s">
        <v>193</v>
      </c>
      <c r="F7" s="10" t="s">
        <v>38</v>
      </c>
      <c r="G7" s="86">
        <f>$H$23</f>
        <v>2331</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I48</f>
        <v>2590</v>
      </c>
      <c r="E16" s="160">
        <v>0.75</v>
      </c>
      <c r="F16" s="160">
        <v>0.9</v>
      </c>
      <c r="G16" s="73">
        <f t="shared" si="0"/>
        <v>1942.5</v>
      </c>
      <c r="H16" s="74">
        <f t="shared" si="0"/>
        <v>2331</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I58</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2590</v>
      </c>
      <c r="E23" s="28"/>
      <c r="F23" s="28"/>
      <c r="G23" s="51">
        <f>SUM(G14:G22)</f>
        <v>1942.5</v>
      </c>
      <c r="H23" s="77">
        <f>SUM(H14:H22)</f>
        <v>2331</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194</v>
      </c>
      <c r="E28" s="1955"/>
      <c r="F28" s="1955"/>
      <c r="G28" s="1955"/>
      <c r="H28" s="1955"/>
      <c r="I28" s="36"/>
    </row>
    <row r="29" spans="2:16" ht="7.5" customHeight="1">
      <c r="B29" s="42"/>
      <c r="C29" s="34"/>
      <c r="D29" s="115"/>
      <c r="E29" s="97"/>
      <c r="F29" s="97"/>
      <c r="G29" s="97"/>
      <c r="H29" s="97"/>
      <c r="I29" s="36"/>
    </row>
    <row r="30" spans="2:16">
      <c r="B30" s="37" t="s">
        <v>41</v>
      </c>
      <c r="C30" s="34"/>
      <c r="D30" s="1956" t="s">
        <v>195</v>
      </c>
      <c r="E30" s="1957"/>
      <c r="F30" s="1957"/>
      <c r="G30" s="1957"/>
      <c r="H30" s="1957"/>
      <c r="I30" s="36"/>
    </row>
    <row r="31" spans="2:16" ht="13.5" customHeight="1">
      <c r="B31" s="91" t="s">
        <v>40</v>
      </c>
      <c r="C31" s="34"/>
      <c r="D31" s="1956" t="s">
        <v>196</v>
      </c>
      <c r="E31" s="1957"/>
      <c r="F31" s="1957"/>
      <c r="G31" s="1957"/>
      <c r="H31" s="1957"/>
      <c r="I31" s="36"/>
    </row>
    <row r="32" spans="2:16" ht="56.25" customHeight="1">
      <c r="B32" s="91" t="s">
        <v>33</v>
      </c>
      <c r="C32" s="90"/>
      <c r="D32" s="1956" t="s">
        <v>197</v>
      </c>
      <c r="E32" s="1957"/>
      <c r="F32" s="1957"/>
      <c r="G32" s="1957"/>
      <c r="H32" s="1957"/>
      <c r="I32" s="36"/>
    </row>
    <row r="33" spans="2:15" ht="69.75" customHeight="1">
      <c r="B33" s="91" t="s">
        <v>35</v>
      </c>
      <c r="C33" s="90"/>
      <c r="D33" s="1956" t="s">
        <v>198</v>
      </c>
      <c r="E33" s="1957"/>
      <c r="F33" s="1957"/>
      <c r="G33" s="1957"/>
      <c r="H33" s="1957"/>
      <c r="I33" s="36"/>
    </row>
    <row r="34" spans="2:15" ht="70.5" customHeight="1">
      <c r="B34" s="91" t="s">
        <v>34</v>
      </c>
      <c r="C34" s="90"/>
      <c r="D34" s="1956" t="s">
        <v>199</v>
      </c>
      <c r="E34" s="1957"/>
      <c r="F34" s="1957"/>
      <c r="G34" s="1957"/>
      <c r="H34" s="1957"/>
      <c r="I34" s="36"/>
    </row>
    <row r="35" spans="2:15" ht="8.25" customHeight="1">
      <c r="B35" s="37"/>
      <c r="C35" s="34"/>
      <c r="D35" s="34"/>
      <c r="E35" s="35"/>
      <c r="F35" s="35"/>
      <c r="G35" s="35"/>
      <c r="H35" s="35"/>
      <c r="I35" s="36"/>
    </row>
    <row r="36" spans="2:15">
      <c r="B36" s="38" t="s">
        <v>25</v>
      </c>
      <c r="C36" s="34"/>
      <c r="D36" s="1958" t="s">
        <v>42</v>
      </c>
      <c r="E36" s="1952"/>
      <c r="F36" s="1952"/>
      <c r="G36" s="1952"/>
      <c r="H36" s="1952"/>
      <c r="I36" s="36"/>
      <c r="J36" s="49"/>
    </row>
    <row r="37" spans="2:15">
      <c r="B37" s="38" t="s">
        <v>8</v>
      </c>
      <c r="C37" s="34"/>
      <c r="D37" s="39" t="s">
        <v>38</v>
      </c>
      <c r="E37" s="35"/>
      <c r="F37" s="35"/>
      <c r="G37" s="35"/>
      <c r="H37" s="35"/>
      <c r="I37" s="36"/>
    </row>
    <row r="38" spans="2:15">
      <c r="B38" s="38" t="s">
        <v>9</v>
      </c>
      <c r="C38" s="34"/>
      <c r="D38" s="92">
        <v>1</v>
      </c>
      <c r="E38" s="35"/>
      <c r="F38" s="35"/>
      <c r="G38" s="35"/>
      <c r="H38" s="35"/>
      <c r="I38" s="36"/>
    </row>
    <row r="39" spans="2:15">
      <c r="B39" s="38" t="s">
        <v>10</v>
      </c>
      <c r="C39" s="35"/>
      <c r="D39" s="93">
        <v>0</v>
      </c>
      <c r="E39" s="35"/>
      <c r="F39" s="35"/>
      <c r="G39" s="35"/>
      <c r="H39" s="35"/>
      <c r="I39" s="96" t="s">
        <v>6</v>
      </c>
    </row>
    <row r="40" spans="2:15" ht="8.25" customHeight="1">
      <c r="B40" s="40"/>
      <c r="C40" s="35"/>
      <c r="D40" s="35"/>
      <c r="E40" s="41"/>
      <c r="F40" s="35"/>
      <c r="G40" s="35"/>
      <c r="H40" s="35"/>
      <c r="I40" s="149"/>
      <c r="L40" s="64"/>
      <c r="M40" s="64"/>
      <c r="N40" s="61"/>
      <c r="O40" s="61"/>
    </row>
    <row r="41" spans="2:15">
      <c r="B41" s="42" t="s">
        <v>0</v>
      </c>
      <c r="C41" s="35"/>
      <c r="D41" s="35"/>
      <c r="E41" s="35"/>
      <c r="F41" s="35"/>
      <c r="G41" s="35"/>
      <c r="H41" s="35"/>
      <c r="I41" s="46">
        <v>0</v>
      </c>
      <c r="L41" s="64"/>
      <c r="M41" s="64"/>
      <c r="N41" s="61"/>
      <c r="O41" s="61"/>
    </row>
    <row r="42" spans="2:15" ht="14.25" customHeight="1">
      <c r="B42" s="37" t="s">
        <v>39</v>
      </c>
      <c r="C42" s="35"/>
      <c r="D42" s="166"/>
      <c r="E42" s="35"/>
      <c r="F42" s="35"/>
      <c r="G42" s="35"/>
      <c r="H42" s="35"/>
      <c r="I42" s="46"/>
      <c r="L42" s="64"/>
      <c r="M42" s="61"/>
    </row>
    <row r="43" spans="2:15" ht="6" customHeight="1">
      <c r="B43" s="62"/>
      <c r="C43" s="6"/>
      <c r="D43" s="63"/>
      <c r="E43" s="35"/>
      <c r="F43" s="35"/>
      <c r="G43" s="35"/>
      <c r="H43" s="35"/>
      <c r="I43" s="46"/>
      <c r="L43" s="64"/>
      <c r="M43" s="61"/>
    </row>
    <row r="44" spans="2:15">
      <c r="B44" s="42" t="s">
        <v>2</v>
      </c>
      <c r="C44" s="35"/>
      <c r="D44" s="66"/>
      <c r="E44" s="35"/>
      <c r="F44" s="35"/>
      <c r="G44" s="35"/>
      <c r="H44" s="35"/>
      <c r="I44" s="46">
        <v>0</v>
      </c>
      <c r="L44" s="64"/>
      <c r="M44" s="61"/>
    </row>
    <row r="45" spans="2:15" ht="12.75" customHeight="1">
      <c r="B45" s="1959" t="s">
        <v>39</v>
      </c>
      <c r="C45" s="1955"/>
      <c r="D45" s="1955"/>
      <c r="E45" s="1955"/>
      <c r="F45" s="1955"/>
      <c r="G45" s="1955"/>
      <c r="H45" s="1955"/>
      <c r="I45" s="46"/>
      <c r="L45" s="64"/>
      <c r="M45" s="61"/>
    </row>
    <row r="46" spans="2:15" ht="6" customHeight="1">
      <c r="B46" s="33"/>
      <c r="C46" s="35"/>
      <c r="D46" s="35"/>
      <c r="E46" s="60"/>
      <c r="F46" s="60"/>
      <c r="G46" s="60"/>
      <c r="H46" s="35"/>
      <c r="I46" s="46"/>
      <c r="L46" s="64"/>
      <c r="M46" s="61"/>
    </row>
    <row r="47" spans="2:15" ht="4.5" customHeight="1">
      <c r="B47" s="42"/>
      <c r="C47" s="35"/>
      <c r="D47" s="35"/>
      <c r="E47" s="35"/>
      <c r="F47" s="35"/>
      <c r="G47" s="58"/>
      <c r="H47" s="59"/>
      <c r="I47" s="46"/>
      <c r="L47" s="64"/>
      <c r="M47" s="61"/>
    </row>
    <row r="48" spans="2:15">
      <c r="B48" s="42" t="s">
        <v>3</v>
      </c>
      <c r="C48" s="35"/>
      <c r="D48" s="35"/>
      <c r="E48" s="35"/>
      <c r="F48" s="35"/>
      <c r="G48" s="35"/>
      <c r="H48" s="35"/>
      <c r="I48" s="46">
        <v>2590</v>
      </c>
      <c r="L48" s="64"/>
      <c r="M48" s="61"/>
    </row>
    <row r="49" spans="2:15" ht="12.75" customHeight="1">
      <c r="B49" s="1959" t="s">
        <v>200</v>
      </c>
      <c r="C49" s="1955"/>
      <c r="D49" s="1955"/>
      <c r="E49" s="1955"/>
      <c r="F49" s="1955"/>
      <c r="G49" s="1955"/>
      <c r="H49" s="1955"/>
      <c r="I49" s="46"/>
      <c r="L49" s="64"/>
      <c r="M49" s="61"/>
    </row>
    <row r="50" spans="2:15" ht="11.25" customHeight="1">
      <c r="B50" s="33"/>
      <c r="C50" s="35"/>
      <c r="D50" s="35"/>
      <c r="E50" s="35"/>
      <c r="F50" s="35"/>
      <c r="G50" s="35"/>
      <c r="H50" s="35"/>
      <c r="I50" s="48"/>
      <c r="L50" s="64"/>
      <c r="M50" s="61"/>
    </row>
    <row r="51" spans="2:15">
      <c r="B51" s="42" t="s">
        <v>4</v>
      </c>
      <c r="C51" s="35"/>
      <c r="D51" s="35"/>
      <c r="E51" s="35"/>
      <c r="F51" s="35"/>
      <c r="G51" s="35"/>
      <c r="H51" s="35"/>
      <c r="I51" s="48">
        <v>0</v>
      </c>
      <c r="L51" s="64"/>
      <c r="M51" s="61"/>
    </row>
    <row r="52" spans="2:15" ht="12" customHeight="1">
      <c r="B52" s="37" t="s">
        <v>39</v>
      </c>
      <c r="C52" s="35"/>
      <c r="D52" s="35"/>
      <c r="E52" s="35"/>
      <c r="F52" s="35"/>
      <c r="G52" s="35"/>
      <c r="H52" s="35"/>
      <c r="I52" s="36"/>
      <c r="L52" s="64"/>
      <c r="M52" s="61"/>
    </row>
    <row r="53" spans="2:15" ht="5.25" customHeight="1">
      <c r="B53" s="37"/>
      <c r="C53" s="35"/>
      <c r="D53" s="35"/>
      <c r="E53" s="35"/>
      <c r="F53" s="35"/>
      <c r="G53" s="35"/>
      <c r="H53" s="35"/>
      <c r="I53" s="36"/>
      <c r="L53" s="64"/>
      <c r="M53" s="61"/>
    </row>
    <row r="54" spans="2:15">
      <c r="B54" s="42" t="s">
        <v>26</v>
      </c>
      <c r="C54" s="35"/>
      <c r="D54" s="35"/>
      <c r="E54" s="35"/>
      <c r="F54" s="35"/>
      <c r="G54" s="35"/>
      <c r="H54" s="35"/>
      <c r="I54" s="46">
        <v>0</v>
      </c>
      <c r="L54" s="64"/>
      <c r="M54" s="61"/>
    </row>
    <row r="55" spans="2:15" ht="14.25" customHeight="1">
      <c r="B55" s="1959" t="s">
        <v>39</v>
      </c>
      <c r="C55" s="1960"/>
      <c r="D55" s="1960"/>
      <c r="E55" s="1960"/>
      <c r="F55" s="1960"/>
      <c r="G55" s="1960"/>
      <c r="H55" s="1960"/>
      <c r="I55" s="48"/>
      <c r="L55" s="64"/>
      <c r="M55" s="61"/>
    </row>
    <row r="56" spans="2:15" ht="12" customHeight="1">
      <c r="B56" s="1943"/>
      <c r="C56" s="1944"/>
      <c r="D56" s="1944"/>
      <c r="E56" s="1944"/>
      <c r="F56" s="1944"/>
      <c r="G56" s="1944"/>
      <c r="H56" s="35"/>
      <c r="I56" s="48"/>
      <c r="L56" s="64"/>
      <c r="M56" s="61"/>
    </row>
    <row r="57" spans="2:15" ht="9.75" customHeight="1">
      <c r="B57" s="37"/>
      <c r="C57" s="35"/>
      <c r="D57" s="35"/>
      <c r="E57" s="35"/>
      <c r="F57" s="35"/>
      <c r="G57" s="35"/>
      <c r="H57" s="35"/>
      <c r="I57" s="36"/>
      <c r="L57" s="64"/>
      <c r="M57" s="64"/>
    </row>
    <row r="58" spans="2:15">
      <c r="B58" s="42" t="s">
        <v>7</v>
      </c>
      <c r="C58" s="35"/>
      <c r="D58" s="35"/>
      <c r="E58" s="35"/>
      <c r="F58" s="35"/>
      <c r="G58" s="35"/>
      <c r="H58" s="35"/>
      <c r="I58" s="46">
        <v>0</v>
      </c>
      <c r="L58" s="64"/>
      <c r="M58" s="64"/>
      <c r="N58" s="64"/>
      <c r="O58" s="64"/>
    </row>
    <row r="59" spans="2:15" ht="12" customHeight="1">
      <c r="B59" s="33"/>
      <c r="C59" s="35"/>
      <c r="D59" s="35"/>
      <c r="E59" s="35"/>
      <c r="F59" s="35"/>
      <c r="G59" s="35"/>
      <c r="H59" s="35"/>
      <c r="I59" s="36"/>
      <c r="L59" s="64"/>
      <c r="M59" s="64"/>
      <c r="N59" s="61"/>
      <c r="O59" s="61"/>
    </row>
    <row r="60" spans="2:15" ht="6" customHeight="1">
      <c r="B60" s="37"/>
      <c r="C60" s="35"/>
      <c r="D60" s="35"/>
      <c r="E60" s="35"/>
      <c r="F60" s="35"/>
      <c r="G60" s="35"/>
      <c r="H60" s="35"/>
      <c r="I60" s="36"/>
      <c r="L60" s="64"/>
      <c r="M60" s="64"/>
      <c r="N60" s="65"/>
      <c r="O60" s="65"/>
    </row>
    <row r="61" spans="2:15">
      <c r="B61" s="42" t="s">
        <v>27</v>
      </c>
      <c r="C61" s="35"/>
      <c r="D61" s="35"/>
      <c r="E61" s="35"/>
      <c r="F61" s="35"/>
      <c r="G61" s="35"/>
      <c r="H61" s="35"/>
      <c r="I61" s="46">
        <v>0</v>
      </c>
      <c r="L61" s="64"/>
      <c r="M61" s="64"/>
      <c r="N61" s="61"/>
      <c r="O61" s="61"/>
    </row>
    <row r="62" spans="2:15" ht="13.5" customHeight="1">
      <c r="B62" s="37" t="s">
        <v>39</v>
      </c>
      <c r="C62" s="35"/>
      <c r="D62" s="35"/>
      <c r="E62" s="35"/>
      <c r="F62" s="35"/>
      <c r="G62" s="35"/>
      <c r="H62" s="35"/>
      <c r="I62" s="47"/>
      <c r="L62" s="64"/>
      <c r="M62" s="64"/>
      <c r="N62" s="65"/>
      <c r="O62" s="65"/>
    </row>
    <row r="63" spans="2:15" ht="3.75" customHeight="1">
      <c r="B63" s="37"/>
      <c r="C63" s="35"/>
      <c r="D63" s="35"/>
      <c r="E63" s="35"/>
      <c r="F63" s="35"/>
      <c r="G63" s="35"/>
      <c r="H63" s="35"/>
      <c r="I63" s="36"/>
      <c r="L63" s="64"/>
      <c r="M63" s="64"/>
      <c r="N63" s="61"/>
      <c r="O63" s="61"/>
    </row>
    <row r="64" spans="2:15">
      <c r="B64" s="42" t="s">
        <v>5</v>
      </c>
      <c r="C64" s="35"/>
      <c r="D64" s="35"/>
      <c r="E64" s="35"/>
      <c r="F64" s="35"/>
      <c r="G64" s="35"/>
      <c r="H64" s="35"/>
      <c r="I64" s="46">
        <v>0</v>
      </c>
      <c r="L64" s="64"/>
      <c r="M64" s="64"/>
      <c r="N64" s="61"/>
      <c r="O64" s="61"/>
    </row>
    <row r="65" spans="2:15" ht="11.25" customHeight="1">
      <c r="B65" s="37" t="s">
        <v>39</v>
      </c>
      <c r="C65" s="35"/>
      <c r="D65" s="35"/>
      <c r="E65" s="35"/>
      <c r="F65" s="35"/>
      <c r="G65" s="35"/>
      <c r="H65" s="35"/>
      <c r="I65" s="47"/>
      <c r="L65" s="64"/>
      <c r="M65" s="64"/>
      <c r="N65" s="64"/>
      <c r="O65" s="64"/>
    </row>
    <row r="66" spans="2:15" ht="4.5" customHeight="1">
      <c r="B66" s="37"/>
      <c r="C66" s="35"/>
      <c r="D66" s="35"/>
      <c r="E66" s="35"/>
      <c r="F66" s="35"/>
      <c r="G66" s="35"/>
      <c r="H66" s="35"/>
      <c r="I66" s="36"/>
      <c r="L66" s="64"/>
      <c r="M66" s="64"/>
      <c r="N66" s="64"/>
      <c r="O66" s="64"/>
    </row>
    <row r="67" spans="2:15">
      <c r="B67" s="42" t="s">
        <v>20</v>
      </c>
      <c r="C67" s="35"/>
      <c r="D67" s="35"/>
      <c r="E67" s="35"/>
      <c r="F67" s="35"/>
      <c r="G67" s="35"/>
      <c r="H67" s="35"/>
      <c r="I67" s="46">
        <v>0</v>
      </c>
      <c r="L67" s="64"/>
      <c r="M67" s="64"/>
      <c r="N67" s="61"/>
      <c r="O67" s="61"/>
    </row>
    <row r="68" spans="2:15" ht="12" customHeight="1">
      <c r="B68" s="37" t="s">
        <v>39</v>
      </c>
      <c r="C68" s="35"/>
      <c r="D68" s="35"/>
      <c r="E68" s="35"/>
      <c r="F68" s="35"/>
      <c r="G68" s="35"/>
      <c r="H68" s="35"/>
      <c r="I68" s="46"/>
      <c r="L68" s="64"/>
      <c r="M68" s="64"/>
      <c r="N68" s="61"/>
      <c r="O68" s="61"/>
    </row>
    <row r="69" spans="2:15" ht="6.75" customHeight="1">
      <c r="B69" s="42"/>
      <c r="C69" s="35"/>
      <c r="D69" s="35"/>
      <c r="E69" s="35"/>
      <c r="F69" s="35"/>
      <c r="G69" s="35"/>
      <c r="H69" s="35"/>
      <c r="I69" s="46"/>
      <c r="L69" s="64"/>
      <c r="M69" s="64"/>
      <c r="N69" s="61"/>
      <c r="O69" s="61"/>
    </row>
    <row r="70" spans="2:15" ht="5.25" customHeight="1">
      <c r="B70" s="40"/>
      <c r="C70" s="35"/>
      <c r="D70" s="35"/>
      <c r="E70" s="35"/>
      <c r="F70" s="35"/>
      <c r="G70" s="35"/>
      <c r="H70" s="35"/>
      <c r="I70" s="36"/>
      <c r="L70" s="64"/>
      <c r="M70" s="64"/>
      <c r="N70" s="64"/>
      <c r="O70" s="64"/>
    </row>
    <row r="71" spans="2:15">
      <c r="B71" s="43" t="s">
        <v>11</v>
      </c>
      <c r="C71" s="44"/>
      <c r="D71" s="44"/>
      <c r="E71" s="44"/>
      <c r="F71" s="44"/>
      <c r="G71" s="44"/>
      <c r="H71" s="44"/>
      <c r="I71" s="52">
        <f>+I67+I64+I61+I58+I54+I51+I48+I44+I41</f>
        <v>2590</v>
      </c>
      <c r="L71" s="64"/>
      <c r="M71" s="64"/>
      <c r="N71" s="64"/>
      <c r="O71" s="64"/>
    </row>
    <row r="94" spans="5:5">
      <c r="E94" s="57"/>
    </row>
    <row r="95" spans="5:5">
      <c r="E95" s="57"/>
    </row>
    <row r="96" spans="5:5">
      <c r="E96" s="57"/>
    </row>
    <row r="97" spans="5:5">
      <c r="E97" s="57"/>
    </row>
    <row r="98" spans="5:5">
      <c r="E98" s="57"/>
    </row>
    <row r="99" spans="5:5">
      <c r="E99" s="57"/>
    </row>
    <row r="101" spans="5:5">
      <c r="E101" s="57"/>
    </row>
    <row r="103" spans="5:5">
      <c r="E103" s="56"/>
    </row>
    <row r="105" spans="5:5">
      <c r="E105" s="57"/>
    </row>
  </sheetData>
  <mergeCells count="11">
    <mergeCell ref="D36:H36"/>
    <mergeCell ref="B45:H45"/>
    <mergeCell ref="B49:H49"/>
    <mergeCell ref="B55:H55"/>
    <mergeCell ref="B56:G56"/>
    <mergeCell ref="D34:H34"/>
    <mergeCell ref="D28:H28"/>
    <mergeCell ref="D30:H30"/>
    <mergeCell ref="D31:H31"/>
    <mergeCell ref="D32:H32"/>
    <mergeCell ref="D33:H33"/>
  </mergeCells>
  <pageMargins left="0.36" right="0.3" top="0.43" bottom="0.64" header="0.28000000000000003" footer="0.36"/>
  <pageSetup scale="71" orientation="portrait" r:id="rId1"/>
  <headerFooter alignWithMargins="0"/>
</worksheet>
</file>

<file path=xl/worksheets/sheet240.xml><?xml version="1.0" encoding="utf-8"?>
<worksheet xmlns="http://schemas.openxmlformats.org/spreadsheetml/2006/main" xmlns:r="http://schemas.openxmlformats.org/officeDocument/2006/relationships">
  <sheetPr>
    <pageSetUpPr fitToPage="1"/>
  </sheetPr>
  <dimension ref="A1:L97"/>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2422</v>
      </c>
      <c r="F6" s="198" t="str">
        <f>+D36</f>
        <v>Acre</v>
      </c>
      <c r="G6" s="686">
        <f>+I25</f>
        <v>2021.9279780381321</v>
      </c>
    </row>
    <row r="7" spans="1:12" ht="25.5">
      <c r="A7" s="182"/>
      <c r="B7" s="197">
        <f>+B6</f>
        <v>654</v>
      </c>
      <c r="C7" s="198" t="str">
        <f>+C6</f>
        <v>EQIP</v>
      </c>
      <c r="D7" s="199" t="s">
        <v>2416</v>
      </c>
      <c r="E7" s="199" t="str">
        <f>CONCATENATE(E6, "-HU")</f>
        <v>Road/Trail/Landing Closure &amp; Treatment (Ac) - Heavy Grading/Shaping (6-10hr/Ac), Introd. Grasses, ECB &amp; Mulch  -HU</v>
      </c>
      <c r="F7" s="198" t="str">
        <f>+F6</f>
        <v>Acre</v>
      </c>
      <c r="G7" s="686">
        <f>+J25</f>
        <v>2426.3135736457584</v>
      </c>
    </row>
    <row r="8" spans="1:12" ht="25.5">
      <c r="A8" s="182"/>
      <c r="B8" s="197">
        <v>654</v>
      </c>
      <c r="C8" s="198" t="str">
        <f>+G12</f>
        <v>WHIP</v>
      </c>
      <c r="D8" s="199" t="s">
        <v>2416</v>
      </c>
      <c r="E8" s="199" t="str">
        <f>+E6</f>
        <v xml:space="preserve">Road/Trail/Landing Closure &amp; Treatment (Ac) - Heavy Grading/Shaping (6-10hr/Ac), Introd. Grasses, ECB &amp; Mulch  </v>
      </c>
      <c r="F8" s="198" t="str">
        <f>+D36</f>
        <v>Acre</v>
      </c>
      <c r="G8" s="686">
        <f>+K25</f>
        <v>0</v>
      </c>
    </row>
    <row r="9" spans="1:12" ht="25.5">
      <c r="A9" s="182"/>
      <c r="B9" s="203">
        <f>+B8</f>
        <v>654</v>
      </c>
      <c r="C9" s="204" t="str">
        <f>+C8</f>
        <v>WHIP</v>
      </c>
      <c r="D9" s="199" t="s">
        <v>2416</v>
      </c>
      <c r="E9" s="205" t="str">
        <f>CONCATENATE(E6, "-HU")</f>
        <v>Road/Trail/Landing Closure &amp; Treatment (Ac) - Heavy Grading/Shaping (6-10hr/Ac), Introd. Grasses, ECB &amp; Mulch  -HU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188.14082917557616</v>
      </c>
      <c r="E16" s="226">
        <f>+'[10]Payment Factors'!D11</f>
        <v>0.75</v>
      </c>
      <c r="F16" s="226">
        <f>+'[10]Payment Factors'!E11</f>
        <v>0.9</v>
      </c>
      <c r="G16" s="226">
        <f>+'[10]Payment Factors'!F11</f>
        <v>0</v>
      </c>
      <c r="H16" s="226">
        <f>+'[10]Payment Factors'!G11</f>
        <v>0</v>
      </c>
      <c r="I16" s="689">
        <f t="shared" ref="I16:L24" si="0">+$D16*E16</f>
        <v>141.10562188168211</v>
      </c>
      <c r="J16" s="689">
        <f t="shared" si="0"/>
        <v>169.32674625801855</v>
      </c>
      <c r="K16" s="689">
        <f t="shared" si="0"/>
        <v>0</v>
      </c>
      <c r="L16" s="690">
        <f t="shared" si="0"/>
        <v>0</v>
      </c>
    </row>
    <row r="17" spans="1:12">
      <c r="A17" s="182"/>
      <c r="B17" s="215" t="s">
        <v>2</v>
      </c>
      <c r="C17" s="217"/>
      <c r="D17" s="688">
        <f>+I54</f>
        <v>2064.8554166666663</v>
      </c>
      <c r="E17" s="226">
        <f t="shared" ref="E17:H19" si="1">+E16</f>
        <v>0.75</v>
      </c>
      <c r="F17" s="226">
        <f t="shared" si="1"/>
        <v>0.9</v>
      </c>
      <c r="G17" s="226">
        <f t="shared" si="1"/>
        <v>0</v>
      </c>
      <c r="H17" s="226">
        <f t="shared" si="1"/>
        <v>0</v>
      </c>
      <c r="I17" s="689">
        <f t="shared" si="0"/>
        <v>1548.6415624999997</v>
      </c>
      <c r="J17" s="689">
        <f t="shared" si="0"/>
        <v>1858.3698749999996</v>
      </c>
      <c r="K17" s="689">
        <f t="shared" si="0"/>
        <v>0</v>
      </c>
      <c r="L17" s="690">
        <f t="shared" si="0"/>
        <v>0</v>
      </c>
    </row>
    <row r="18" spans="1:12">
      <c r="A18" s="182"/>
      <c r="B18" s="215" t="s">
        <v>3</v>
      </c>
      <c r="C18" s="217"/>
      <c r="D18" s="688">
        <f>+I69</f>
        <v>364.38624999999996</v>
      </c>
      <c r="E18" s="226">
        <f t="shared" si="1"/>
        <v>0.75</v>
      </c>
      <c r="F18" s="226">
        <f t="shared" si="1"/>
        <v>0.9</v>
      </c>
      <c r="G18" s="226">
        <f t="shared" si="1"/>
        <v>0</v>
      </c>
      <c r="H18" s="226">
        <f t="shared" si="1"/>
        <v>0</v>
      </c>
      <c r="I18" s="689">
        <f t="shared" si="0"/>
        <v>273.28968749999996</v>
      </c>
      <c r="J18" s="689">
        <f t="shared" si="0"/>
        <v>327.94762499999996</v>
      </c>
      <c r="K18" s="689">
        <f t="shared" si="0"/>
        <v>0</v>
      </c>
      <c r="L18" s="690">
        <f t="shared" si="0"/>
        <v>0</v>
      </c>
    </row>
    <row r="19" spans="1:12">
      <c r="A19" s="182"/>
      <c r="B19" s="215" t="s">
        <v>4</v>
      </c>
      <c r="C19" s="217"/>
      <c r="D19" s="688">
        <f>+I75</f>
        <v>78.521474875267273</v>
      </c>
      <c r="E19" s="226">
        <f t="shared" si="1"/>
        <v>0.75</v>
      </c>
      <c r="F19" s="226">
        <f t="shared" si="1"/>
        <v>0.9</v>
      </c>
      <c r="G19" s="226">
        <f t="shared" si="1"/>
        <v>0</v>
      </c>
      <c r="H19" s="226">
        <f t="shared" si="1"/>
        <v>0</v>
      </c>
      <c r="I19" s="689">
        <f t="shared" si="0"/>
        <v>58.891106156450455</v>
      </c>
      <c r="J19" s="689">
        <f t="shared" si="0"/>
        <v>70.669327387740552</v>
      </c>
      <c r="K19" s="689">
        <f t="shared" si="0"/>
        <v>0</v>
      </c>
      <c r="L19" s="690">
        <f t="shared" si="0"/>
        <v>0</v>
      </c>
    </row>
    <row r="20" spans="1:12">
      <c r="A20" s="182"/>
      <c r="B20" s="215" t="s">
        <v>26</v>
      </c>
      <c r="C20" s="217"/>
      <c r="D20" s="688">
        <f>+I78</f>
        <v>26.173824958422426</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+I81</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+I84</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+I88</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+I91</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3322.0777956759321</v>
      </c>
      <c r="E25" s="695"/>
      <c r="F25" s="695"/>
      <c r="G25" s="234"/>
      <c r="H25" s="234"/>
      <c r="I25" s="696">
        <f>SUM(I16:I24)</f>
        <v>2021.9279780381321</v>
      </c>
      <c r="J25" s="696">
        <f>SUM(J16:J24)</f>
        <v>2426.3135736457584</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SUM(G42:G49)</f>
        <v>188.14082917557616</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9" si="2">+F42*E42</f>
        <v>0</v>
      </c>
      <c r="H42" s="254"/>
      <c r="I42" s="286"/>
    </row>
    <row r="43" spans="1:9">
      <c r="A43" s="182"/>
      <c r="B43" s="261" t="s">
        <v>451</v>
      </c>
      <c r="C43" s="268"/>
      <c r="D43" s="705" t="s">
        <v>452</v>
      </c>
      <c r="E43" s="706">
        <f>+'[20]Core Rates'!C203</f>
        <v>8.75</v>
      </c>
      <c r="F43" s="707">
        <v>2</v>
      </c>
      <c r="G43" s="708">
        <f t="shared" si="2"/>
        <v>17.5</v>
      </c>
      <c r="H43" s="254"/>
      <c r="I43" s="248"/>
    </row>
    <row r="44" spans="1:9">
      <c r="A44" s="182"/>
      <c r="B44" s="1849" t="s">
        <v>453</v>
      </c>
      <c r="C44" s="268"/>
      <c r="D44" s="711" t="s">
        <v>454</v>
      </c>
      <c r="E44" s="706">
        <f>+'[20]Core Rates'!C228</f>
        <v>0.82427536231884069</v>
      </c>
      <c r="F44" s="707">
        <v>50</v>
      </c>
      <c r="G44" s="708">
        <f t="shared" si="2"/>
        <v>41.213768115942031</v>
      </c>
      <c r="H44" s="254"/>
      <c r="I44" s="248"/>
    </row>
    <row r="45" spans="1:9">
      <c r="A45" s="182"/>
      <c r="B45" s="709" t="s">
        <v>455</v>
      </c>
      <c r="C45" s="710"/>
      <c r="D45" s="711" t="s">
        <v>454</v>
      </c>
      <c r="E45" s="706">
        <f>+'[20]Core Rates'!C235</f>
        <v>1.1702898550724636</v>
      </c>
      <c r="F45" s="707">
        <v>50</v>
      </c>
      <c r="G45" s="708">
        <f t="shared" si="2"/>
        <v>58.51449275362318</v>
      </c>
      <c r="H45" s="254"/>
      <c r="I45" s="248"/>
    </row>
    <row r="46" spans="1:9">
      <c r="A46" s="182"/>
      <c r="B46" s="709" t="s">
        <v>456</v>
      </c>
      <c r="C46" s="710"/>
      <c r="D46" s="705" t="s">
        <v>454</v>
      </c>
      <c r="E46" s="706">
        <f>+'[20]Core Rates'!C246</f>
        <v>0.58825136612021856</v>
      </c>
      <c r="F46" s="707">
        <v>50</v>
      </c>
      <c r="G46" s="708">
        <f t="shared" si="2"/>
        <v>29.412568306010929</v>
      </c>
      <c r="H46" s="254"/>
      <c r="I46" s="248"/>
    </row>
    <row r="47" spans="1:9">
      <c r="A47" s="182"/>
      <c r="B47" s="709" t="s">
        <v>479</v>
      </c>
      <c r="C47" s="710"/>
      <c r="D47" s="711" t="s">
        <v>454</v>
      </c>
      <c r="E47" s="706">
        <f>+'[20]Core Rates 2011'!BE307</f>
        <v>1.68</v>
      </c>
      <c r="F47" s="707">
        <v>15</v>
      </c>
      <c r="G47" s="708">
        <f t="shared" si="2"/>
        <v>25.2</v>
      </c>
      <c r="H47" s="254"/>
      <c r="I47" s="248"/>
    </row>
    <row r="48" spans="1:9">
      <c r="A48" s="182"/>
      <c r="B48" s="709" t="s">
        <v>480</v>
      </c>
      <c r="C48" s="710"/>
      <c r="D48" s="711" t="s">
        <v>454</v>
      </c>
      <c r="E48" s="706">
        <f>+'[20]Core Rates 2011'!BE308</f>
        <v>1.61</v>
      </c>
      <c r="F48" s="707">
        <v>5</v>
      </c>
      <c r="G48" s="708">
        <f t="shared" si="2"/>
        <v>8.0500000000000007</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49"/>
      <c r="C50" s="268"/>
      <c r="D50" s="1851"/>
      <c r="E50" s="1852"/>
      <c r="F50" s="254"/>
      <c r="G50" s="254"/>
      <c r="H50" s="254"/>
      <c r="I50" s="248"/>
    </row>
    <row r="51" spans="1:9">
      <c r="A51" s="182"/>
      <c r="B51" s="251" t="s">
        <v>43</v>
      </c>
      <c r="C51" s="254"/>
      <c r="D51" s="254"/>
      <c r="E51" s="272"/>
      <c r="F51" s="272"/>
      <c r="G51" s="272"/>
      <c r="H51" s="254"/>
      <c r="I51" s="265"/>
    </row>
    <row r="52" spans="1:9">
      <c r="A52" s="182"/>
      <c r="B52" s="261" t="s">
        <v>457</v>
      </c>
      <c r="C52" s="254"/>
      <c r="D52" s="254"/>
      <c r="E52" s="272"/>
      <c r="F52" s="272"/>
      <c r="G52" s="272"/>
      <c r="H52" s="254"/>
      <c r="I52" s="265"/>
    </row>
    <row r="53" spans="1:9">
      <c r="A53" s="182"/>
      <c r="B53" s="1850"/>
      <c r="C53" s="268"/>
      <c r="D53" s="1851"/>
      <c r="E53" s="254"/>
      <c r="F53" s="254"/>
      <c r="G53" s="254"/>
      <c r="H53" s="254"/>
      <c r="I53" s="248"/>
    </row>
    <row r="54" spans="1:9">
      <c r="A54" s="182"/>
      <c r="B54" s="246" t="s">
        <v>2</v>
      </c>
      <c r="C54" s="254"/>
      <c r="D54" s="254"/>
      <c r="E54" s="2147" t="s">
        <v>459</v>
      </c>
      <c r="F54" s="2147"/>
      <c r="G54" s="2147"/>
      <c r="H54" s="2147"/>
      <c r="I54" s="702">
        <f>(SUM(G56:G62)*0.85)</f>
        <v>2064.8554166666663</v>
      </c>
    </row>
    <row r="55" spans="1:9">
      <c r="A55" s="182"/>
      <c r="B55" s="703"/>
      <c r="C55" s="254"/>
      <c r="D55" s="704" t="s">
        <v>447</v>
      </c>
      <c r="E55" s="704" t="s">
        <v>448</v>
      </c>
      <c r="F55" s="704" t="s">
        <v>449</v>
      </c>
      <c r="G55" s="704" t="s">
        <v>450</v>
      </c>
      <c r="H55" s="254"/>
      <c r="I55" s="265"/>
    </row>
    <row r="56" spans="1:9">
      <c r="A56" s="182"/>
      <c r="B56" s="1867" t="str">
        <f>+'[20]Core Rates'!A113</f>
        <v>Earthmoving: Heavy grading/shaping (6-10 hrs/ac)</v>
      </c>
      <c r="C56" s="1861"/>
      <c r="D56" s="1862" t="s">
        <v>408</v>
      </c>
      <c r="E56" s="706">
        <f>+'[20]Core Rates'!C113</f>
        <v>835.125</v>
      </c>
      <c r="F56" s="707">
        <v>1</v>
      </c>
      <c r="G56" s="708">
        <f>+F56*E56</f>
        <v>835.125</v>
      </c>
      <c r="H56" s="254"/>
      <c r="I56" s="286"/>
    </row>
    <row r="57" spans="1:9">
      <c r="A57" s="182"/>
      <c r="B57" s="1863" t="str">
        <f>+'[20]Core Rates'!A217</f>
        <v>Mulching (2 tons/ac applied)</v>
      </c>
      <c r="C57" s="720"/>
      <c r="D57" s="708" t="s">
        <v>408</v>
      </c>
      <c r="E57" s="708">
        <f>+'[20]Core Rates'!C217</f>
        <v>472.5</v>
      </c>
      <c r="F57" s="706">
        <v>0.85</v>
      </c>
      <c r="G57" s="708">
        <f>+F57*E57</f>
        <v>401.625</v>
      </c>
      <c r="H57" s="254"/>
      <c r="I57" s="286"/>
    </row>
    <row r="58" spans="1:9">
      <c r="A58" s="182"/>
      <c r="B58" s="1866" t="str">
        <f>+'[20]Core Rates'!A123</f>
        <v>Erosion Control Blanket, Type II (Installed)</v>
      </c>
      <c r="C58" s="720"/>
      <c r="D58" s="708" t="str">
        <f>+'[20]Core Rates'!B123</f>
        <v>Sq Yd</v>
      </c>
      <c r="E58" s="708">
        <f>+'[20]Core Rates'!C123</f>
        <v>1.5750000000000002</v>
      </c>
      <c r="F58" s="706">
        <v>0.15</v>
      </c>
      <c r="G58" s="708">
        <f>+E58/9*43560*F58</f>
        <v>1143.45</v>
      </c>
      <c r="H58" s="254"/>
      <c r="I58" s="286"/>
    </row>
    <row r="59" spans="1:9">
      <c r="A59" s="182"/>
      <c r="B59" s="261" t="s">
        <v>461</v>
      </c>
      <c r="C59" s="268"/>
      <c r="D59" s="705" t="s">
        <v>408</v>
      </c>
      <c r="E59" s="706">
        <f>+'[20]Core Rates'!C104</f>
        <v>20</v>
      </c>
      <c r="F59" s="707">
        <v>1</v>
      </c>
      <c r="G59" s="708">
        <f>+F59*E59</f>
        <v>20</v>
      </c>
      <c r="H59" s="254"/>
      <c r="I59" s="286"/>
    </row>
    <row r="60" spans="1:9">
      <c r="A60" s="182"/>
      <c r="B60" s="261" t="s">
        <v>462</v>
      </c>
      <c r="C60" s="268"/>
      <c r="D60" s="705" t="s">
        <v>408</v>
      </c>
      <c r="E60" s="706">
        <f>+'[20]Core Rates'!AN33</f>
        <v>5.416666666666667</v>
      </c>
      <c r="F60" s="707">
        <v>1</v>
      </c>
      <c r="G60" s="708">
        <f>+F60*E60</f>
        <v>5.416666666666667</v>
      </c>
      <c r="H60" s="254"/>
      <c r="I60" s="286"/>
    </row>
    <row r="61" spans="1:9">
      <c r="A61" s="182"/>
      <c r="B61" s="261" t="s">
        <v>463</v>
      </c>
      <c r="C61" s="268"/>
      <c r="D61" s="705" t="s">
        <v>452</v>
      </c>
      <c r="E61" s="706">
        <f>+'[20]Core Rates'!AN34</f>
        <v>5.5</v>
      </c>
      <c r="F61" s="707">
        <v>2</v>
      </c>
      <c r="G61" s="708">
        <f>+F61*E61</f>
        <v>11</v>
      </c>
      <c r="H61" s="254"/>
      <c r="I61" s="286"/>
    </row>
    <row r="62" spans="1:9">
      <c r="A62" s="182"/>
      <c r="B62" s="261" t="s">
        <v>464</v>
      </c>
      <c r="C62" s="268"/>
      <c r="D62" s="705" t="s">
        <v>452</v>
      </c>
      <c r="E62" s="706">
        <f>+'[20]Core Rates'!AN32</f>
        <v>6.3125</v>
      </c>
      <c r="F62" s="707">
        <v>2</v>
      </c>
      <c r="G62" s="708">
        <f>+F62*E62</f>
        <v>12.625</v>
      </c>
      <c r="H62" s="254"/>
      <c r="I62" s="286"/>
    </row>
    <row r="63" spans="1:9">
      <c r="A63" s="182"/>
      <c r="B63" s="261"/>
      <c r="C63" s="268"/>
      <c r="D63" s="269"/>
      <c r="E63" s="714"/>
      <c r="F63" s="714"/>
      <c r="G63" s="706"/>
      <c r="H63" s="254"/>
      <c r="I63" s="286"/>
    </row>
    <row r="64" spans="1:9">
      <c r="A64" s="182"/>
      <c r="B64" s="251" t="s">
        <v>43</v>
      </c>
      <c r="C64" s="254"/>
      <c r="D64" s="254"/>
      <c r="E64" s="272"/>
      <c r="F64" s="272"/>
      <c r="G64" s="272"/>
      <c r="H64" s="254"/>
      <c r="I64" s="265"/>
    </row>
    <row r="65" spans="1:9" ht="12.75" customHeight="1">
      <c r="A65" s="182"/>
      <c r="B65" s="2148" t="s">
        <v>457</v>
      </c>
      <c r="C65" s="2149"/>
      <c r="D65" s="2149"/>
      <c r="E65" s="2149"/>
      <c r="F65" s="2149"/>
      <c r="G65" s="2149"/>
      <c r="H65" s="2149"/>
      <c r="I65" s="2150"/>
    </row>
    <row r="66" spans="1:9">
      <c r="A66" s="182"/>
      <c r="B66" s="2148"/>
      <c r="C66" s="2149"/>
      <c r="D66" s="2149"/>
      <c r="E66" s="2149"/>
      <c r="F66" s="2149"/>
      <c r="G66" s="2149"/>
      <c r="H66" s="2149"/>
      <c r="I66" s="2150"/>
    </row>
    <row r="67" spans="1:9">
      <c r="A67" s="182"/>
      <c r="B67" s="715"/>
      <c r="C67" s="716"/>
      <c r="D67" s="716"/>
      <c r="E67" s="716"/>
      <c r="F67" s="716"/>
      <c r="G67" s="716"/>
      <c r="H67" s="716"/>
      <c r="I67" s="717"/>
    </row>
    <row r="68" spans="1:9">
      <c r="A68" s="182"/>
      <c r="B68" s="715"/>
      <c r="C68" s="716"/>
      <c r="D68" s="716"/>
      <c r="E68" s="716"/>
      <c r="F68" s="716"/>
      <c r="G68" s="716"/>
      <c r="H68" s="716"/>
      <c r="I68" s="717"/>
    </row>
    <row r="69" spans="1:9">
      <c r="A69" s="182"/>
      <c r="B69" s="246" t="s">
        <v>3</v>
      </c>
      <c r="C69" s="254"/>
      <c r="D69" s="254"/>
      <c r="E69" s="254"/>
      <c r="F69" s="256"/>
      <c r="G69" s="254"/>
      <c r="H69" s="254"/>
      <c r="I69" s="718">
        <f>E71</f>
        <v>364.38624999999996</v>
      </c>
    </row>
    <row r="70" spans="1:9">
      <c r="A70" s="182"/>
      <c r="B70" s="2151" t="s">
        <v>465</v>
      </c>
      <c r="C70" s="2152"/>
      <c r="D70" s="254"/>
      <c r="E70" s="254"/>
      <c r="F70" s="254"/>
      <c r="G70" s="254"/>
      <c r="H70" s="254"/>
      <c r="I70" s="282"/>
    </row>
    <row r="71" spans="1:9">
      <c r="A71" s="182"/>
      <c r="B71" s="251" t="s">
        <v>466</v>
      </c>
      <c r="C71" s="256"/>
      <c r="D71" s="256"/>
      <c r="E71" s="720">
        <f>SUM(G56:G62)*0.15</f>
        <v>364.38624999999996</v>
      </c>
      <c r="F71" s="254"/>
      <c r="G71" s="254"/>
      <c r="H71" s="254"/>
      <c r="I71" s="265"/>
    </row>
    <row r="72" spans="1:9">
      <c r="A72" s="182"/>
      <c r="B72" s="251"/>
      <c r="C72" s="256"/>
      <c r="D72" s="721"/>
      <c r="E72" s="720"/>
      <c r="F72" s="254"/>
      <c r="G72" s="254"/>
      <c r="H72" s="254"/>
      <c r="I72" s="265"/>
    </row>
    <row r="73" spans="1:9">
      <c r="A73" s="182"/>
      <c r="B73" s="251"/>
      <c r="C73" s="256"/>
      <c r="D73" s="722"/>
      <c r="E73" s="720"/>
      <c r="F73" s="254"/>
      <c r="G73" s="254"/>
      <c r="H73" s="254"/>
      <c r="I73" s="265"/>
    </row>
    <row r="74" spans="1:9">
      <c r="A74" s="182"/>
      <c r="B74" s="271"/>
      <c r="C74" s="254"/>
      <c r="D74" s="254"/>
      <c r="E74" s="254"/>
      <c r="F74" s="254"/>
      <c r="G74" s="254"/>
      <c r="H74" s="254"/>
      <c r="I74" s="248"/>
    </row>
    <row r="75" spans="1:9">
      <c r="A75" s="182"/>
      <c r="B75" s="246" t="s">
        <v>4</v>
      </c>
      <c r="C75" s="254"/>
      <c r="D75" s="254"/>
      <c r="E75" s="254"/>
      <c r="F75" s="254"/>
      <c r="G75" s="254"/>
      <c r="H75" s="254"/>
      <c r="I75" s="718">
        <f>0.03*(I40+I54+I69)</f>
        <v>78.521474875267273</v>
      </c>
    </row>
    <row r="76" spans="1:9">
      <c r="A76" s="182"/>
      <c r="B76" s="271" t="s">
        <v>467</v>
      </c>
      <c r="C76" s="254"/>
      <c r="D76" s="254"/>
      <c r="E76" s="254"/>
      <c r="F76" s="254"/>
      <c r="G76" s="254"/>
      <c r="H76" s="254"/>
      <c r="I76" s="248"/>
    </row>
    <row r="77" spans="1:9">
      <c r="A77" s="182"/>
      <c r="B77" s="251"/>
      <c r="C77" s="254"/>
      <c r="D77" s="254"/>
      <c r="E77" s="254"/>
      <c r="F77" s="254"/>
      <c r="G77" s="254"/>
      <c r="H77" s="254"/>
      <c r="I77" s="248"/>
    </row>
    <row r="78" spans="1:9">
      <c r="A78" s="182"/>
      <c r="B78" s="246" t="s">
        <v>468</v>
      </c>
      <c r="C78" s="254"/>
      <c r="D78" s="254"/>
      <c r="E78" s="254"/>
      <c r="F78" s="254"/>
      <c r="G78" s="254"/>
      <c r="H78" s="254"/>
      <c r="I78" s="718">
        <f>0.01*(I40+I54+I69)</f>
        <v>26.173824958422426</v>
      </c>
    </row>
    <row r="79" spans="1:9">
      <c r="A79" s="182"/>
      <c r="B79" s="271" t="s">
        <v>749</v>
      </c>
      <c r="C79" s="254"/>
      <c r="D79" s="254"/>
      <c r="E79" s="254"/>
      <c r="F79" s="254"/>
      <c r="G79" s="254"/>
      <c r="H79" s="254"/>
      <c r="I79" s="248"/>
    </row>
    <row r="80" spans="1:9">
      <c r="A80" s="182"/>
      <c r="B80" s="251"/>
      <c r="C80" s="254"/>
      <c r="D80" s="254"/>
      <c r="E80" s="254"/>
      <c r="F80" s="254"/>
      <c r="G80" s="254"/>
      <c r="H80" s="254"/>
      <c r="I80" s="248"/>
    </row>
    <row r="81" spans="1:9">
      <c r="A81" s="182"/>
      <c r="B81" s="246" t="s">
        <v>7</v>
      </c>
      <c r="C81" s="254"/>
      <c r="D81" s="254"/>
      <c r="E81" s="254"/>
      <c r="F81" s="254"/>
      <c r="G81" s="254"/>
      <c r="H81" s="254"/>
      <c r="I81" s="702">
        <v>0</v>
      </c>
    </row>
    <row r="82" spans="1:9">
      <c r="A82" s="182"/>
      <c r="B82" s="271" t="s">
        <v>1349</v>
      </c>
      <c r="C82" s="254"/>
      <c r="D82" s="254"/>
      <c r="E82" s="254"/>
      <c r="F82" s="254"/>
      <c r="G82" s="254"/>
      <c r="H82" s="254"/>
      <c r="I82" s="248"/>
    </row>
    <row r="83" spans="1:9">
      <c r="A83" s="182"/>
      <c r="B83" s="251"/>
      <c r="C83" s="254"/>
      <c r="D83" s="254"/>
      <c r="E83" s="254"/>
      <c r="F83" s="254"/>
      <c r="G83" s="254"/>
      <c r="H83" s="254"/>
      <c r="I83" s="248"/>
    </row>
    <row r="84" spans="1:9">
      <c r="A84" s="182"/>
      <c r="B84" s="246" t="s">
        <v>471</v>
      </c>
      <c r="C84" s="254"/>
      <c r="D84" s="254"/>
      <c r="E84" s="254"/>
      <c r="F84" s="256"/>
      <c r="G84" s="254"/>
      <c r="H84" s="254"/>
      <c r="I84" s="702">
        <v>600</v>
      </c>
    </row>
    <row r="85" spans="1:9">
      <c r="A85" s="182"/>
      <c r="B85" s="726" t="s">
        <v>1350</v>
      </c>
      <c r="C85" s="254"/>
      <c r="D85" s="254"/>
      <c r="E85" s="254"/>
      <c r="F85" s="254"/>
      <c r="G85" s="254"/>
      <c r="H85" s="254"/>
      <c r="I85" s="286"/>
    </row>
    <row r="86" spans="1:9">
      <c r="A86" s="182"/>
      <c r="B86" s="726"/>
      <c r="C86" s="254"/>
      <c r="D86" s="254"/>
      <c r="E86" s="254"/>
      <c r="F86" s="254"/>
      <c r="G86" s="254"/>
      <c r="H86" s="254"/>
      <c r="I86" s="286"/>
    </row>
    <row r="87" spans="1:9">
      <c r="A87" s="182"/>
      <c r="B87" s="251"/>
      <c r="C87" s="254"/>
      <c r="D87" s="254"/>
      <c r="E87" s="254"/>
      <c r="F87" s="254"/>
      <c r="G87" s="254"/>
      <c r="H87" s="254"/>
      <c r="I87" s="248"/>
    </row>
    <row r="88" spans="1:9">
      <c r="A88" s="182"/>
      <c r="B88" s="246" t="s">
        <v>5</v>
      </c>
      <c r="C88" s="254"/>
      <c r="D88" s="254"/>
      <c r="E88" s="254"/>
      <c r="F88" s="254"/>
      <c r="G88" s="254"/>
      <c r="H88" s="254"/>
      <c r="I88" s="702">
        <v>0</v>
      </c>
    </row>
    <row r="89" spans="1:9">
      <c r="A89" s="182"/>
      <c r="B89" s="271" t="s">
        <v>1351</v>
      </c>
      <c r="C89" s="254"/>
      <c r="D89" s="254"/>
      <c r="E89" s="254"/>
      <c r="F89" s="254"/>
      <c r="G89" s="254"/>
      <c r="H89" s="254"/>
      <c r="I89" s="286"/>
    </row>
    <row r="90" spans="1:9">
      <c r="A90" s="182"/>
      <c r="B90" s="251"/>
      <c r="C90" s="254"/>
      <c r="D90" s="254"/>
      <c r="E90" s="254"/>
      <c r="F90" s="254"/>
      <c r="G90" s="254"/>
      <c r="H90" s="254"/>
      <c r="I90" s="248"/>
    </row>
    <row r="91" spans="1:9">
      <c r="A91" s="182"/>
      <c r="B91" s="246" t="s">
        <v>20</v>
      </c>
      <c r="C91" s="254"/>
      <c r="D91" s="254"/>
      <c r="E91" s="254"/>
      <c r="F91" s="254"/>
      <c r="G91" s="254"/>
      <c r="H91" s="254"/>
      <c r="I91" s="702">
        <v>0</v>
      </c>
    </row>
    <row r="92" spans="1:9">
      <c r="A92" s="182"/>
      <c r="B92" s="271" t="s">
        <v>104</v>
      </c>
      <c r="C92" s="254"/>
      <c r="D92" s="254"/>
      <c r="E92" s="254"/>
      <c r="F92" s="254"/>
      <c r="G92" s="254"/>
      <c r="H92" s="254"/>
      <c r="I92" s="248"/>
    </row>
    <row r="93" spans="1:9">
      <c r="A93" s="182"/>
      <c r="B93" s="261"/>
      <c r="C93" s="254"/>
      <c r="D93" s="254"/>
      <c r="E93" s="254"/>
      <c r="F93" s="254"/>
      <c r="G93" s="254"/>
      <c r="H93" s="254"/>
      <c r="I93" s="248"/>
    </row>
    <row r="94" spans="1:9">
      <c r="A94" s="182"/>
      <c r="B94" s="246" t="s">
        <v>473</v>
      </c>
      <c r="C94" s="254"/>
      <c r="D94" s="254"/>
      <c r="E94" s="254"/>
      <c r="F94" s="254"/>
      <c r="G94" s="254"/>
      <c r="H94" s="254"/>
      <c r="I94" s="728">
        <f>+I40+I54+I69+I75+I81+I91</f>
        <v>2695.9039707175098</v>
      </c>
    </row>
    <row r="95" spans="1:9" ht="15.75">
      <c r="A95" s="182"/>
      <c r="B95" s="271" t="s">
        <v>474</v>
      </c>
      <c r="C95" s="254"/>
      <c r="D95" s="254"/>
      <c r="E95" s="254"/>
      <c r="F95" s="254"/>
      <c r="G95" s="254"/>
      <c r="H95" s="254"/>
      <c r="I95" s="248"/>
    </row>
    <row r="96" spans="1:9">
      <c r="A96" s="182"/>
      <c r="B96" s="261"/>
      <c r="C96" s="254"/>
      <c r="D96" s="254"/>
      <c r="E96" s="254"/>
      <c r="F96" s="254"/>
      <c r="G96" s="254"/>
      <c r="H96" s="254"/>
      <c r="I96" s="248"/>
    </row>
    <row r="97" spans="1:9">
      <c r="A97" s="182"/>
      <c r="B97" s="287" t="s">
        <v>11</v>
      </c>
      <c r="C97" s="288"/>
      <c r="D97" s="288"/>
      <c r="E97" s="288"/>
      <c r="F97" s="288"/>
      <c r="G97" s="288"/>
      <c r="H97" s="288"/>
      <c r="I97" s="621">
        <f>SUM(I40:I91)</f>
        <v>3322.0777956759321</v>
      </c>
    </row>
  </sheetData>
  <mergeCells count="4">
    <mergeCell ref="B1:D1"/>
    <mergeCell ref="E54:H54"/>
    <mergeCell ref="B65:I66"/>
    <mergeCell ref="B70:C70"/>
  </mergeCells>
  <pageMargins left="0.75" right="0.75" top="1" bottom="1" header="0.5" footer="0.5"/>
  <pageSetup scale="55" orientation="portrait" r:id="rId1"/>
  <headerFooter alignWithMargins="0"/>
</worksheet>
</file>

<file path=xl/worksheets/sheet241.xml><?xml version="1.0" encoding="utf-8"?>
<worksheet xmlns="http://schemas.openxmlformats.org/spreadsheetml/2006/main" xmlns:r="http://schemas.openxmlformats.org/officeDocument/2006/relationships">
  <sheetPr>
    <pageSetUpPr fitToPage="1"/>
  </sheetPr>
  <dimension ref="A1:L99"/>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bestFit="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2423</v>
      </c>
      <c r="F6" s="198" t="str">
        <f>+D36</f>
        <v>Acre</v>
      </c>
      <c r="G6" s="686">
        <f>+I25</f>
        <v>586.42792499999996</v>
      </c>
    </row>
    <row r="7" spans="1:12" ht="25.5">
      <c r="A7" s="182"/>
      <c r="B7" s="197">
        <f>+B6</f>
        <v>654</v>
      </c>
      <c r="C7" s="198" t="str">
        <f>+C6</f>
        <v>EQIP</v>
      </c>
      <c r="D7" s="199" t="s">
        <v>2416</v>
      </c>
      <c r="E7" s="199" t="str">
        <f>CONCATENATE(E6, "-HU")</f>
        <v>Road/Trail/Landing Closure &amp; Treatment (Ac) - Light Grading/Shaping (1-2hr/Ac), Mulch, Native Grass/Legume Mix -HU</v>
      </c>
      <c r="F7" s="198" t="str">
        <f>+F6</f>
        <v>Acre</v>
      </c>
      <c r="G7" s="686">
        <f>+J25</f>
        <v>703.71350999999993</v>
      </c>
    </row>
    <row r="8" spans="1:12" ht="25.5">
      <c r="A8" s="182"/>
      <c r="B8" s="197">
        <v>654</v>
      </c>
      <c r="C8" s="198" t="str">
        <f>+G12</f>
        <v>WHIP</v>
      </c>
      <c r="D8" s="199" t="s">
        <v>2416</v>
      </c>
      <c r="E8" s="199" t="str">
        <f>+E6</f>
        <v xml:space="preserve">Road/Trail/Landing Closure &amp; Treatment (Ac) - Light Grading/Shaping (1-2hr/Ac), Mulch, Native Grass/Legume Mix </v>
      </c>
      <c r="F8" s="198" t="str">
        <f>+D36</f>
        <v>Acre</v>
      </c>
      <c r="G8" s="686">
        <f>+K25</f>
        <v>0</v>
      </c>
    </row>
    <row r="9" spans="1:12" ht="25.5">
      <c r="A9" s="182"/>
      <c r="B9" s="203">
        <f>+B8</f>
        <v>654</v>
      </c>
      <c r="C9" s="204" t="str">
        <f>+C8</f>
        <v>WHIP</v>
      </c>
      <c r="D9" s="199" t="s">
        <v>2416</v>
      </c>
      <c r="E9" s="205" t="str">
        <f>CONCATENATE(E6, "-HU")</f>
        <v>Road/Trail/Landing Closure &amp; Treatment (Ac) - Light Grading/Shaping (1-2hr/Ac), Mulch, Native Grass/Legume Mix -HU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85.38</v>
      </c>
      <c r="E16" s="226">
        <f>+'[10]Payment Factors'!D11</f>
        <v>0.75</v>
      </c>
      <c r="F16" s="226">
        <f>+'[10]Payment Factors'!E11</f>
        <v>0.9</v>
      </c>
      <c r="G16" s="226">
        <f>+'[10]Payment Factors'!F11</f>
        <v>0</v>
      </c>
      <c r="H16" s="226">
        <f>+'[10]Payment Factors'!G11</f>
        <v>0</v>
      </c>
      <c r="I16" s="689">
        <f t="shared" ref="I16:L24" si="0">+$D16*E16</f>
        <v>64.034999999999997</v>
      </c>
      <c r="J16" s="689">
        <f t="shared" si="0"/>
        <v>76.841999999999999</v>
      </c>
      <c r="K16" s="689">
        <f t="shared" si="0"/>
        <v>0</v>
      </c>
      <c r="L16" s="690">
        <f t="shared" si="0"/>
        <v>0</v>
      </c>
    </row>
    <row r="17" spans="1:12">
      <c r="A17" s="182"/>
      <c r="B17" s="215" t="s">
        <v>2</v>
      </c>
      <c r="C17" s="217"/>
      <c r="D17" s="688">
        <f>+I55</f>
        <v>572.6875</v>
      </c>
      <c r="E17" s="226">
        <f t="shared" ref="E17:H19" si="1">+E16</f>
        <v>0.75</v>
      </c>
      <c r="F17" s="226">
        <f t="shared" si="1"/>
        <v>0.9</v>
      </c>
      <c r="G17" s="226">
        <f t="shared" si="1"/>
        <v>0</v>
      </c>
      <c r="H17" s="226">
        <f t="shared" si="1"/>
        <v>0</v>
      </c>
      <c r="I17" s="689">
        <f t="shared" si="0"/>
        <v>429.515625</v>
      </c>
      <c r="J17" s="689">
        <f t="shared" si="0"/>
        <v>515.41875000000005</v>
      </c>
      <c r="K17" s="689">
        <f t="shared" si="0"/>
        <v>0</v>
      </c>
      <c r="L17" s="690">
        <f t="shared" si="0"/>
        <v>0</v>
      </c>
    </row>
    <row r="18" spans="1:12">
      <c r="A18" s="182"/>
      <c r="B18" s="215" t="s">
        <v>3</v>
      </c>
      <c r="C18" s="217"/>
      <c r="D18" s="688">
        <f>+I71</f>
        <v>101.0625</v>
      </c>
      <c r="E18" s="226">
        <f t="shared" si="1"/>
        <v>0.75</v>
      </c>
      <c r="F18" s="226">
        <f t="shared" si="1"/>
        <v>0.9</v>
      </c>
      <c r="G18" s="226">
        <f t="shared" si="1"/>
        <v>0</v>
      </c>
      <c r="H18" s="226">
        <f t="shared" si="1"/>
        <v>0</v>
      </c>
      <c r="I18" s="689">
        <f t="shared" si="0"/>
        <v>75.796875</v>
      </c>
      <c r="J18" s="689">
        <f t="shared" si="0"/>
        <v>90.956249999999997</v>
      </c>
      <c r="K18" s="689">
        <f t="shared" si="0"/>
        <v>0</v>
      </c>
      <c r="L18" s="690">
        <f t="shared" si="0"/>
        <v>0</v>
      </c>
    </row>
    <row r="19" spans="1:12">
      <c r="A19" s="182"/>
      <c r="B19" s="215" t="s">
        <v>4</v>
      </c>
      <c r="C19" s="217"/>
      <c r="D19" s="688">
        <f>+I77</f>
        <v>22.773899999999998</v>
      </c>
      <c r="E19" s="226">
        <f t="shared" si="1"/>
        <v>0.75</v>
      </c>
      <c r="F19" s="226">
        <f t="shared" si="1"/>
        <v>0.9</v>
      </c>
      <c r="G19" s="226">
        <f t="shared" si="1"/>
        <v>0</v>
      </c>
      <c r="H19" s="226">
        <f t="shared" si="1"/>
        <v>0</v>
      </c>
      <c r="I19" s="689">
        <f t="shared" si="0"/>
        <v>17.080424999999998</v>
      </c>
      <c r="J19" s="689">
        <f t="shared" si="0"/>
        <v>20.496509999999997</v>
      </c>
      <c r="K19" s="689">
        <f t="shared" si="0"/>
        <v>0</v>
      </c>
      <c r="L19" s="690">
        <f t="shared" si="0"/>
        <v>0</v>
      </c>
    </row>
    <row r="20" spans="1:12">
      <c r="A20" s="182"/>
      <c r="B20" s="215" t="s">
        <v>26</v>
      </c>
      <c r="C20" s="217"/>
      <c r="D20" s="688">
        <f>+I80</f>
        <v>7.5913000000000004</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+I83</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+I86</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+I90</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+I93</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1389.4952000000001</v>
      </c>
      <c r="E25" s="695"/>
      <c r="F25" s="695"/>
      <c r="G25" s="234"/>
      <c r="H25" s="234"/>
      <c r="I25" s="696">
        <f>SUM(I16:I24)</f>
        <v>586.42792499999996</v>
      </c>
      <c r="J25" s="696">
        <f>SUM(J16:J24)</f>
        <v>703.71350999999993</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SUM(G42:G50)</f>
        <v>85.38</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50" si="2">+F42*E42</f>
        <v>0</v>
      </c>
      <c r="H42" s="254"/>
      <c r="I42" s="286"/>
    </row>
    <row r="43" spans="1:9">
      <c r="A43" s="182"/>
      <c r="B43" s="261" t="s">
        <v>451</v>
      </c>
      <c r="C43" s="268"/>
      <c r="D43" s="705" t="s">
        <v>452</v>
      </c>
      <c r="E43" s="706">
        <f>+'[20]Core Rates'!C203</f>
        <v>8.75</v>
      </c>
      <c r="F43" s="707">
        <v>0</v>
      </c>
      <c r="G43" s="708">
        <f t="shared" si="2"/>
        <v>0</v>
      </c>
      <c r="H43" s="254"/>
      <c r="I43" s="248"/>
    </row>
    <row r="44" spans="1:9">
      <c r="A44" s="182"/>
      <c r="B44" s="1849" t="s">
        <v>453</v>
      </c>
      <c r="C44" s="268"/>
      <c r="D44" s="711" t="s">
        <v>454</v>
      </c>
      <c r="E44" s="706">
        <f>+'[20]Core Rates'!C228</f>
        <v>0.82427536231884069</v>
      </c>
      <c r="F44" s="707">
        <v>0</v>
      </c>
      <c r="G44" s="708">
        <f t="shared" si="2"/>
        <v>0</v>
      </c>
      <c r="H44" s="254"/>
      <c r="I44" s="248"/>
    </row>
    <row r="45" spans="1:9">
      <c r="A45" s="182"/>
      <c r="B45" s="709" t="s">
        <v>455</v>
      </c>
      <c r="C45" s="710"/>
      <c r="D45" s="711" t="s">
        <v>454</v>
      </c>
      <c r="E45" s="706">
        <f>+'[20]Core Rates'!C235</f>
        <v>1.1702898550724636</v>
      </c>
      <c r="F45" s="707">
        <v>0</v>
      </c>
      <c r="G45" s="708">
        <f t="shared" si="2"/>
        <v>0</v>
      </c>
      <c r="H45" s="254"/>
      <c r="I45" s="248"/>
    </row>
    <row r="46" spans="1:9">
      <c r="A46" s="182"/>
      <c r="B46" s="709" t="s">
        <v>456</v>
      </c>
      <c r="C46" s="710"/>
      <c r="D46" s="705" t="s">
        <v>454</v>
      </c>
      <c r="E46" s="706">
        <f>+'[20]Core Rates'!C246</f>
        <v>0.58825136612021856</v>
      </c>
      <c r="F46" s="707">
        <v>0</v>
      </c>
      <c r="G46" s="708">
        <f t="shared" si="2"/>
        <v>0</v>
      </c>
      <c r="H46" s="254"/>
      <c r="I46" s="248"/>
    </row>
    <row r="47" spans="1:9">
      <c r="A47" s="182"/>
      <c r="B47" s="1868" t="str">
        <f>+'[20]Core Rates'!A309</f>
        <v>Seed (Native grass except Prairie Dropseed and Splitbeard Bluestem)</v>
      </c>
      <c r="C47" s="710"/>
      <c r="D47" s="711" t="s">
        <v>454</v>
      </c>
      <c r="E47" s="706">
        <f>+'[20]Core Rates 2011'!BE306</f>
        <v>8.57</v>
      </c>
      <c r="F47" s="707">
        <v>9</v>
      </c>
      <c r="G47" s="708">
        <f t="shared" si="2"/>
        <v>77.13</v>
      </c>
      <c r="H47" s="254"/>
      <c r="I47" s="248"/>
    </row>
    <row r="48" spans="1:9">
      <c r="A48" s="182"/>
      <c r="B48" s="1868" t="str">
        <f>+'[20]Core Rates'!A307</f>
        <v>Seed (Prairie Dropseed)</v>
      </c>
      <c r="C48" s="710"/>
      <c r="D48" s="711" t="s">
        <v>454</v>
      </c>
      <c r="E48" s="706">
        <f>+'[20]Core Rates 2011'!BE304</f>
        <v>165.75</v>
      </c>
      <c r="F48" s="707">
        <v>0</v>
      </c>
      <c r="G48" s="708">
        <f t="shared" si="2"/>
        <v>0</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68" t="str">
        <f>+'[20]Core Rates'!A308</f>
        <v>Seed (Splitbeard Bluestem)</v>
      </c>
      <c r="C50" s="710"/>
      <c r="D50" s="711" t="s">
        <v>454</v>
      </c>
      <c r="E50" s="706">
        <f>+'[20]Core Rates 2011'!BE305</f>
        <v>78.666666666666671</v>
      </c>
      <c r="F50" s="707">
        <v>0</v>
      </c>
      <c r="G50" s="708">
        <f t="shared" si="2"/>
        <v>0</v>
      </c>
      <c r="H50" s="254"/>
      <c r="I50" s="248"/>
    </row>
    <row r="51" spans="1:9">
      <c r="A51" s="182"/>
      <c r="B51" s="1849"/>
      <c r="C51" s="268"/>
      <c r="D51" s="1851"/>
      <c r="E51" s="1852"/>
      <c r="F51" s="254"/>
      <c r="G51" s="254"/>
      <c r="H51" s="254"/>
      <c r="I51" s="248"/>
    </row>
    <row r="52" spans="1:9">
      <c r="A52" s="182"/>
      <c r="B52" s="251" t="s">
        <v>43</v>
      </c>
      <c r="C52" s="254"/>
      <c r="D52" s="254"/>
      <c r="E52" s="272"/>
      <c r="F52" s="272"/>
      <c r="G52" s="272"/>
      <c r="H52" s="254"/>
      <c r="I52" s="265"/>
    </row>
    <row r="53" spans="1:9">
      <c r="A53" s="182"/>
      <c r="B53" s="261" t="s">
        <v>457</v>
      </c>
      <c r="C53" s="254"/>
      <c r="D53" s="254"/>
      <c r="E53" s="272"/>
      <c r="F53" s="272"/>
      <c r="G53" s="272"/>
      <c r="H53" s="254"/>
      <c r="I53" s="265"/>
    </row>
    <row r="54" spans="1:9">
      <c r="A54" s="182"/>
      <c r="B54" s="1850"/>
      <c r="C54" s="268"/>
      <c r="D54" s="1851"/>
      <c r="E54" s="254"/>
      <c r="F54" s="254"/>
      <c r="G54" s="254"/>
      <c r="H54" s="254"/>
      <c r="I54" s="248"/>
    </row>
    <row r="55" spans="1:9">
      <c r="A55" s="182"/>
      <c r="B55" s="246" t="s">
        <v>2</v>
      </c>
      <c r="C55" s="254"/>
      <c r="D55" s="254"/>
      <c r="E55" s="2147" t="s">
        <v>459</v>
      </c>
      <c r="F55" s="2147"/>
      <c r="G55" s="2147"/>
      <c r="H55" s="2147"/>
      <c r="I55" s="702">
        <f>(SUM(G57:G64)*0.85)</f>
        <v>572.6875</v>
      </c>
    </row>
    <row r="56" spans="1:9">
      <c r="A56" s="182"/>
      <c r="B56" s="703"/>
      <c r="C56" s="254"/>
      <c r="D56" s="704" t="s">
        <v>447</v>
      </c>
      <c r="E56" s="704" t="s">
        <v>448</v>
      </c>
      <c r="F56" s="704" t="s">
        <v>449</v>
      </c>
      <c r="G56" s="704" t="s">
        <v>450</v>
      </c>
      <c r="H56" s="254"/>
      <c r="I56" s="265"/>
    </row>
    <row r="57" spans="1:9">
      <c r="A57" s="182"/>
      <c r="B57" s="1867" t="str">
        <f>+'[20]Core Rates'!A109</f>
        <v>Earthmoving: Light grading/shaping (1-2 hrs/ac)</v>
      </c>
      <c r="C57" s="1861"/>
      <c r="D57" s="1862" t="s">
        <v>408</v>
      </c>
      <c r="E57" s="706">
        <f>+'[20]Core Rates'!C109</f>
        <v>165.75</v>
      </c>
      <c r="F57" s="707">
        <v>1</v>
      </c>
      <c r="G57" s="708">
        <f>+F57*E57</f>
        <v>165.75</v>
      </c>
      <c r="H57" s="254"/>
      <c r="I57" s="286"/>
    </row>
    <row r="58" spans="1:9">
      <c r="A58" s="182"/>
      <c r="B58" s="1863" t="str">
        <f>+'[20]Core Rates'!A217</f>
        <v>Mulching (2 tons/ac applied)</v>
      </c>
      <c r="C58" s="720"/>
      <c r="D58" s="708" t="s">
        <v>408</v>
      </c>
      <c r="E58" s="708">
        <f>+'[20]Core Rates'!C217</f>
        <v>472.5</v>
      </c>
      <c r="F58" s="706">
        <v>1</v>
      </c>
      <c r="G58" s="708">
        <f>+F58*E58</f>
        <v>472.5</v>
      </c>
      <c r="H58" s="254"/>
      <c r="I58" s="286"/>
    </row>
    <row r="59" spans="1:9">
      <c r="A59" s="182"/>
      <c r="B59" s="1866" t="str">
        <f>+'[20]Core Rates'!A123</f>
        <v>Erosion Control Blanket, Type II (Installed)</v>
      </c>
      <c r="C59" s="720"/>
      <c r="D59" s="708" t="str">
        <f>+'[20]Core Rates'!B123</f>
        <v>Sq Yd</v>
      </c>
      <c r="E59" s="708">
        <f>+'[20]Core Rates'!C123</f>
        <v>1.5750000000000002</v>
      </c>
      <c r="F59" s="706">
        <v>0</v>
      </c>
      <c r="G59" s="708">
        <f>+E59/9*43560*F59</f>
        <v>0</v>
      </c>
      <c r="H59" s="254"/>
      <c r="I59" s="286"/>
    </row>
    <row r="60" spans="1:9">
      <c r="A60" s="182"/>
      <c r="B60" s="712" t="str">
        <f>+'[20]Core Rates'!A216</f>
        <v>Mowing</v>
      </c>
      <c r="C60" s="268"/>
      <c r="D60" s="1853" t="s">
        <v>408</v>
      </c>
      <c r="E60" s="1853">
        <f>+'[20]Core Rates'!C216</f>
        <v>15.5</v>
      </c>
      <c r="F60" s="707">
        <v>1</v>
      </c>
      <c r="G60" s="708">
        <f>+F60*E60</f>
        <v>15.5</v>
      </c>
      <c r="H60" s="254"/>
      <c r="I60" s="286"/>
    </row>
    <row r="61" spans="1:9">
      <c r="A61" s="182"/>
      <c r="B61" s="261" t="s">
        <v>461</v>
      </c>
      <c r="C61" s="268"/>
      <c r="D61" s="705" t="s">
        <v>408</v>
      </c>
      <c r="E61" s="706">
        <f>+'[20]Core Rates'!C104</f>
        <v>20</v>
      </c>
      <c r="F61" s="707">
        <v>1</v>
      </c>
      <c r="G61" s="708">
        <f>+F61*E61</f>
        <v>20</v>
      </c>
      <c r="H61" s="254"/>
      <c r="I61" s="286"/>
    </row>
    <row r="62" spans="1:9">
      <c r="A62" s="182"/>
      <c r="B62" s="261" t="s">
        <v>462</v>
      </c>
      <c r="C62" s="268"/>
      <c r="D62" s="705" t="s">
        <v>408</v>
      </c>
      <c r="E62" s="706">
        <f>+'[20]Core Rates'!AN33</f>
        <v>5.416666666666667</v>
      </c>
      <c r="F62" s="707">
        <v>0</v>
      </c>
      <c r="G62" s="708">
        <f>+F62*E62</f>
        <v>0</v>
      </c>
      <c r="H62" s="254"/>
      <c r="I62" s="286"/>
    </row>
    <row r="63" spans="1:9">
      <c r="A63" s="182"/>
      <c r="B63" s="261" t="s">
        <v>463</v>
      </c>
      <c r="C63" s="268"/>
      <c r="D63" s="705" t="s">
        <v>452</v>
      </c>
      <c r="E63" s="706">
        <f>+'[20]Core Rates'!AN34</f>
        <v>5.5</v>
      </c>
      <c r="F63" s="707">
        <v>0</v>
      </c>
      <c r="G63" s="708">
        <f>+F63*E63</f>
        <v>0</v>
      </c>
      <c r="H63" s="254"/>
      <c r="I63" s="286"/>
    </row>
    <row r="64" spans="1:9">
      <c r="A64" s="182"/>
      <c r="B64" s="261" t="s">
        <v>464</v>
      </c>
      <c r="C64" s="268"/>
      <c r="D64" s="705" t="s">
        <v>452</v>
      </c>
      <c r="E64" s="706">
        <f>+'[20]Core Rates'!AN32</f>
        <v>6.3125</v>
      </c>
      <c r="F64" s="707">
        <v>0</v>
      </c>
      <c r="G64" s="708">
        <f>+F64*E64</f>
        <v>0</v>
      </c>
      <c r="H64" s="254"/>
      <c r="I64" s="286"/>
    </row>
    <row r="65" spans="1:9">
      <c r="A65" s="182"/>
      <c r="B65" s="261"/>
      <c r="C65" s="268"/>
      <c r="D65" s="269"/>
      <c r="E65" s="714"/>
      <c r="F65" s="714"/>
      <c r="G65" s="706"/>
      <c r="H65" s="254"/>
      <c r="I65" s="286"/>
    </row>
    <row r="66" spans="1:9">
      <c r="A66" s="182"/>
      <c r="B66" s="251" t="s">
        <v>43</v>
      </c>
      <c r="C66" s="254"/>
      <c r="D66" s="254"/>
      <c r="E66" s="272"/>
      <c r="F66" s="272"/>
      <c r="G66" s="272"/>
      <c r="H66" s="254"/>
      <c r="I66" s="265"/>
    </row>
    <row r="67" spans="1:9" ht="12.75" customHeight="1">
      <c r="A67" s="182"/>
      <c r="B67" s="2148" t="s">
        <v>457</v>
      </c>
      <c r="C67" s="2149"/>
      <c r="D67" s="2149"/>
      <c r="E67" s="2149"/>
      <c r="F67" s="2149"/>
      <c r="G67" s="2149"/>
      <c r="H67" s="2149"/>
      <c r="I67" s="2150"/>
    </row>
    <row r="68" spans="1:9">
      <c r="A68" s="182"/>
      <c r="B68" s="2148"/>
      <c r="C68" s="2149"/>
      <c r="D68" s="2149"/>
      <c r="E68" s="2149"/>
      <c r="F68" s="2149"/>
      <c r="G68" s="2149"/>
      <c r="H68" s="2149"/>
      <c r="I68" s="2150"/>
    </row>
    <row r="69" spans="1:9">
      <c r="A69" s="182"/>
      <c r="B69" s="715"/>
      <c r="C69" s="716"/>
      <c r="D69" s="716"/>
      <c r="E69" s="716"/>
      <c r="F69" s="716"/>
      <c r="G69" s="716"/>
      <c r="H69" s="716"/>
      <c r="I69" s="717"/>
    </row>
    <row r="70" spans="1:9">
      <c r="A70" s="182"/>
      <c r="B70" s="715"/>
      <c r="C70" s="716"/>
      <c r="D70" s="716"/>
      <c r="E70" s="716"/>
      <c r="F70" s="716"/>
      <c r="G70" s="716"/>
      <c r="H70" s="716"/>
      <c r="I70" s="717"/>
    </row>
    <row r="71" spans="1:9">
      <c r="A71" s="182"/>
      <c r="B71" s="246" t="s">
        <v>3</v>
      </c>
      <c r="C71" s="254"/>
      <c r="D71" s="254"/>
      <c r="E71" s="254"/>
      <c r="F71" s="256"/>
      <c r="G71" s="254"/>
      <c r="H71" s="254"/>
      <c r="I71" s="718">
        <f>E73</f>
        <v>101.0625</v>
      </c>
    </row>
    <row r="72" spans="1:9">
      <c r="A72" s="182"/>
      <c r="B72" s="2151" t="s">
        <v>465</v>
      </c>
      <c r="C72" s="2152"/>
      <c r="D72" s="254"/>
      <c r="E72" s="254"/>
      <c r="F72" s="254"/>
      <c r="G72" s="254"/>
      <c r="H72" s="254"/>
      <c r="I72" s="282"/>
    </row>
    <row r="73" spans="1:9">
      <c r="A73" s="182"/>
      <c r="B73" s="251" t="s">
        <v>466</v>
      </c>
      <c r="C73" s="256"/>
      <c r="D73" s="256"/>
      <c r="E73" s="720">
        <f>SUM(G57:G64)*0.15</f>
        <v>101.0625</v>
      </c>
      <c r="F73" s="254"/>
      <c r="G73" s="254"/>
      <c r="H73" s="254"/>
      <c r="I73" s="265"/>
    </row>
    <row r="74" spans="1:9">
      <c r="A74" s="182"/>
      <c r="B74" s="251"/>
      <c r="C74" s="256"/>
      <c r="D74" s="721"/>
      <c r="E74" s="720"/>
      <c r="F74" s="254"/>
      <c r="G74" s="254"/>
      <c r="H74" s="254"/>
      <c r="I74" s="265"/>
    </row>
    <row r="75" spans="1:9">
      <c r="A75" s="182"/>
      <c r="B75" s="251"/>
      <c r="C75" s="256"/>
      <c r="D75" s="722"/>
      <c r="E75" s="720"/>
      <c r="F75" s="254"/>
      <c r="G75" s="254"/>
      <c r="H75" s="254"/>
      <c r="I75" s="265"/>
    </row>
    <row r="76" spans="1:9">
      <c r="A76" s="182"/>
      <c r="B76" s="271"/>
      <c r="C76" s="254"/>
      <c r="D76" s="254"/>
      <c r="E76" s="254"/>
      <c r="F76" s="254"/>
      <c r="G76" s="254"/>
      <c r="H76" s="254"/>
      <c r="I76" s="248"/>
    </row>
    <row r="77" spans="1:9">
      <c r="A77" s="182"/>
      <c r="B77" s="246" t="s">
        <v>4</v>
      </c>
      <c r="C77" s="254"/>
      <c r="D77" s="254"/>
      <c r="E77" s="254"/>
      <c r="F77" s="254"/>
      <c r="G77" s="254"/>
      <c r="H77" s="254"/>
      <c r="I77" s="718">
        <f>0.03*(I40+I55+I71)</f>
        <v>22.773899999999998</v>
      </c>
    </row>
    <row r="78" spans="1:9">
      <c r="A78" s="182"/>
      <c r="B78" s="271" t="s">
        <v>467</v>
      </c>
      <c r="C78" s="254"/>
      <c r="D78" s="254"/>
      <c r="E78" s="254"/>
      <c r="F78" s="254"/>
      <c r="G78" s="254"/>
      <c r="H78" s="254"/>
      <c r="I78" s="248"/>
    </row>
    <row r="79" spans="1:9">
      <c r="A79" s="182"/>
      <c r="B79" s="251"/>
      <c r="C79" s="254"/>
      <c r="D79" s="254"/>
      <c r="E79" s="254"/>
      <c r="F79" s="254"/>
      <c r="G79" s="254"/>
      <c r="H79" s="254"/>
      <c r="I79" s="248"/>
    </row>
    <row r="80" spans="1:9">
      <c r="A80" s="182"/>
      <c r="B80" s="246" t="s">
        <v>468</v>
      </c>
      <c r="C80" s="254"/>
      <c r="D80" s="254"/>
      <c r="E80" s="254"/>
      <c r="F80" s="254"/>
      <c r="G80" s="254"/>
      <c r="H80" s="254"/>
      <c r="I80" s="718">
        <f>0.01*(I40+I55+I71)</f>
        <v>7.5913000000000004</v>
      </c>
    </row>
    <row r="81" spans="1:9">
      <c r="A81" s="182"/>
      <c r="B81" s="271" t="s">
        <v>749</v>
      </c>
      <c r="C81" s="254"/>
      <c r="D81" s="254"/>
      <c r="E81" s="254"/>
      <c r="F81" s="254"/>
      <c r="G81" s="254"/>
      <c r="H81" s="254"/>
      <c r="I81" s="248"/>
    </row>
    <row r="82" spans="1:9">
      <c r="A82" s="182"/>
      <c r="B82" s="251"/>
      <c r="C82" s="254"/>
      <c r="D82" s="254"/>
      <c r="E82" s="254"/>
      <c r="F82" s="254"/>
      <c r="G82" s="254"/>
      <c r="H82" s="254"/>
      <c r="I82" s="248"/>
    </row>
    <row r="83" spans="1:9">
      <c r="A83" s="182"/>
      <c r="B83" s="246" t="s">
        <v>7</v>
      </c>
      <c r="C83" s="254"/>
      <c r="D83" s="254"/>
      <c r="E83" s="254"/>
      <c r="F83" s="254"/>
      <c r="G83" s="254"/>
      <c r="H83" s="254"/>
      <c r="I83" s="702">
        <v>0</v>
      </c>
    </row>
    <row r="84" spans="1:9">
      <c r="A84" s="182"/>
      <c r="B84" s="271" t="s">
        <v>1349</v>
      </c>
      <c r="C84" s="254"/>
      <c r="D84" s="254"/>
      <c r="E84" s="254"/>
      <c r="F84" s="254"/>
      <c r="G84" s="254"/>
      <c r="H84" s="254"/>
      <c r="I84" s="248"/>
    </row>
    <row r="85" spans="1:9">
      <c r="A85" s="182"/>
      <c r="B85" s="251"/>
      <c r="C85" s="254"/>
      <c r="D85" s="254"/>
      <c r="E85" s="254"/>
      <c r="F85" s="254"/>
      <c r="G85" s="254"/>
      <c r="H85" s="254"/>
      <c r="I85" s="248"/>
    </row>
    <row r="86" spans="1:9">
      <c r="A86" s="182"/>
      <c r="B86" s="246" t="s">
        <v>471</v>
      </c>
      <c r="C86" s="254"/>
      <c r="D86" s="254"/>
      <c r="E86" s="254"/>
      <c r="F86" s="256"/>
      <c r="G86" s="254"/>
      <c r="H86" s="254"/>
      <c r="I86" s="702">
        <v>600</v>
      </c>
    </row>
    <row r="87" spans="1:9">
      <c r="A87" s="182"/>
      <c r="B87" s="726" t="s">
        <v>1350</v>
      </c>
      <c r="C87" s="254"/>
      <c r="D87" s="254"/>
      <c r="E87" s="254"/>
      <c r="F87" s="254"/>
      <c r="G87" s="254"/>
      <c r="H87" s="254"/>
      <c r="I87" s="286"/>
    </row>
    <row r="88" spans="1:9">
      <c r="A88" s="182"/>
      <c r="B88" s="726"/>
      <c r="C88" s="254"/>
      <c r="D88" s="254"/>
      <c r="E88" s="254"/>
      <c r="F88" s="254"/>
      <c r="G88" s="254"/>
      <c r="H88" s="254"/>
      <c r="I88" s="286"/>
    </row>
    <row r="89" spans="1:9">
      <c r="A89" s="182"/>
      <c r="B89" s="251"/>
      <c r="C89" s="254"/>
      <c r="D89" s="254"/>
      <c r="E89" s="254"/>
      <c r="F89" s="254"/>
      <c r="G89" s="254"/>
      <c r="H89" s="254"/>
      <c r="I89" s="248"/>
    </row>
    <row r="90" spans="1:9">
      <c r="A90" s="182"/>
      <c r="B90" s="246" t="s">
        <v>5</v>
      </c>
      <c r="C90" s="254"/>
      <c r="D90" s="254"/>
      <c r="E90" s="254"/>
      <c r="F90" s="254"/>
      <c r="G90" s="254"/>
      <c r="H90" s="254"/>
      <c r="I90" s="702">
        <v>0</v>
      </c>
    </row>
    <row r="91" spans="1:9">
      <c r="A91" s="182"/>
      <c r="B91" s="271" t="s">
        <v>1351</v>
      </c>
      <c r="C91" s="254"/>
      <c r="D91" s="254"/>
      <c r="E91" s="254"/>
      <c r="F91" s="254"/>
      <c r="G91" s="254"/>
      <c r="H91" s="254"/>
      <c r="I91" s="286"/>
    </row>
    <row r="92" spans="1:9">
      <c r="A92" s="182"/>
      <c r="B92" s="251"/>
      <c r="C92" s="254"/>
      <c r="D92" s="254"/>
      <c r="E92" s="254"/>
      <c r="F92" s="254"/>
      <c r="G92" s="254"/>
      <c r="H92" s="254"/>
      <c r="I92" s="248"/>
    </row>
    <row r="93" spans="1:9">
      <c r="A93" s="182"/>
      <c r="B93" s="246" t="s">
        <v>20</v>
      </c>
      <c r="C93" s="254"/>
      <c r="D93" s="254"/>
      <c r="E93" s="254"/>
      <c r="F93" s="254"/>
      <c r="G93" s="254"/>
      <c r="H93" s="254"/>
      <c r="I93" s="702">
        <v>0</v>
      </c>
    </row>
    <row r="94" spans="1:9">
      <c r="A94" s="182"/>
      <c r="B94" s="271" t="s">
        <v>104</v>
      </c>
      <c r="C94" s="254"/>
      <c r="D94" s="254"/>
      <c r="E94" s="254"/>
      <c r="F94" s="254"/>
      <c r="G94" s="254"/>
      <c r="H94" s="254"/>
      <c r="I94" s="248"/>
    </row>
    <row r="95" spans="1:9">
      <c r="A95" s="182"/>
      <c r="B95" s="261"/>
      <c r="C95" s="254"/>
      <c r="D95" s="254"/>
      <c r="E95" s="254"/>
      <c r="F95" s="254"/>
      <c r="G95" s="254"/>
      <c r="H95" s="254"/>
      <c r="I95" s="248"/>
    </row>
    <row r="96" spans="1:9">
      <c r="A96" s="182"/>
      <c r="B96" s="246" t="s">
        <v>473</v>
      </c>
      <c r="C96" s="254"/>
      <c r="D96" s="254"/>
      <c r="E96" s="254"/>
      <c r="F96" s="254"/>
      <c r="G96" s="254"/>
      <c r="H96" s="254"/>
      <c r="I96" s="728">
        <f>+I40+I55+I71+I77+I83+I93</f>
        <v>781.90390000000002</v>
      </c>
    </row>
    <row r="97" spans="1:9" ht="15.75">
      <c r="A97" s="182"/>
      <c r="B97" s="271" t="s">
        <v>474</v>
      </c>
      <c r="C97" s="254"/>
      <c r="D97" s="254"/>
      <c r="E97" s="254"/>
      <c r="F97" s="254"/>
      <c r="G97" s="254"/>
      <c r="H97" s="254"/>
      <c r="I97" s="248"/>
    </row>
    <row r="98" spans="1:9">
      <c r="A98" s="182"/>
      <c r="B98" s="261"/>
      <c r="C98" s="254"/>
      <c r="D98" s="254"/>
      <c r="E98" s="254"/>
      <c r="F98" s="254"/>
      <c r="G98" s="254"/>
      <c r="H98" s="254"/>
      <c r="I98" s="248"/>
    </row>
    <row r="99" spans="1:9">
      <c r="A99" s="182"/>
      <c r="B99" s="287" t="s">
        <v>11</v>
      </c>
      <c r="C99" s="288"/>
      <c r="D99" s="288"/>
      <c r="E99" s="288"/>
      <c r="F99" s="288"/>
      <c r="G99" s="288"/>
      <c r="H99" s="288"/>
      <c r="I99" s="621">
        <f>SUM(I40:I93)</f>
        <v>1389.4952000000001</v>
      </c>
    </row>
  </sheetData>
  <mergeCells count="4">
    <mergeCell ref="B1:D1"/>
    <mergeCell ref="E55:H55"/>
    <mergeCell ref="B67:I68"/>
    <mergeCell ref="B72:C72"/>
  </mergeCells>
  <pageMargins left="0.75" right="0.75" top="1" bottom="1" header="0.5" footer="0.5"/>
  <pageSetup scale="55" orientation="portrait" r:id="rId1"/>
  <headerFooter alignWithMargins="0"/>
</worksheet>
</file>

<file path=xl/worksheets/sheet242.xml><?xml version="1.0" encoding="utf-8"?>
<worksheet xmlns="http://schemas.openxmlformats.org/spreadsheetml/2006/main" xmlns:r="http://schemas.openxmlformats.org/officeDocument/2006/relationships">
  <sheetPr>
    <pageSetUpPr fitToPage="1"/>
  </sheetPr>
  <dimension ref="A1:L99"/>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bestFit="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2424</v>
      </c>
      <c r="F6" s="198" t="str">
        <f>+D36</f>
        <v>Acre</v>
      </c>
      <c r="G6" s="686">
        <f>+I25</f>
        <v>847.43636250000009</v>
      </c>
    </row>
    <row r="7" spans="1:12" ht="25.5">
      <c r="A7" s="182"/>
      <c r="B7" s="197">
        <f>+B6</f>
        <v>654</v>
      </c>
      <c r="C7" s="198" t="str">
        <f>+C6</f>
        <v>EQIP</v>
      </c>
      <c r="D7" s="199" t="s">
        <v>2416</v>
      </c>
      <c r="E7" s="199" t="str">
        <f>CONCATENATE(E6, "-HU")</f>
        <v>Road/Trail/Landing Closure &amp; Treatment (Ac) - Medium Grading/Shaping (2-6hr/Ac), Mulch, Native Grass/Legume Mix-HU</v>
      </c>
      <c r="F7" s="198" t="str">
        <f>+F6</f>
        <v>Acre</v>
      </c>
      <c r="G7" s="686">
        <f>+J25</f>
        <v>1016.9236350000001</v>
      </c>
    </row>
    <row r="8" spans="1:12" ht="25.5">
      <c r="A8" s="182"/>
      <c r="B8" s="197">
        <v>654</v>
      </c>
      <c r="C8" s="198" t="str">
        <f>+G12</f>
        <v>WHIP</v>
      </c>
      <c r="D8" s="199" t="s">
        <v>2416</v>
      </c>
      <c r="E8" s="199" t="str">
        <f>+E6</f>
        <v>Road/Trail/Landing Closure &amp; Treatment (Ac) - Medium Grading/Shaping (2-6hr/Ac), Mulch, Native Grass/Legume Mix</v>
      </c>
      <c r="F8" s="198" t="str">
        <f>+D36</f>
        <v>Acre</v>
      </c>
      <c r="G8" s="686">
        <f>+K25</f>
        <v>0</v>
      </c>
    </row>
    <row r="9" spans="1:12" ht="25.5">
      <c r="A9" s="182"/>
      <c r="B9" s="203">
        <f>+B8</f>
        <v>654</v>
      </c>
      <c r="C9" s="204" t="str">
        <f>+C8</f>
        <v>WHIP</v>
      </c>
      <c r="D9" s="199" t="s">
        <v>2416</v>
      </c>
      <c r="E9" s="205" t="str">
        <f>CONCATENATE(E6, "-HU")</f>
        <v>Road/Trail/Landing Closure &amp; Treatment (Ac) - Medium Grading/Shaping (2-6hr/Ac), Mulch, Native Grass/Legume Mix-HU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85.38</v>
      </c>
      <c r="E16" s="226">
        <f>+'[10]Payment Factors'!D11</f>
        <v>0.75</v>
      </c>
      <c r="F16" s="226">
        <f>+'[10]Payment Factors'!E11</f>
        <v>0.9</v>
      </c>
      <c r="G16" s="226">
        <f>+'[10]Payment Factors'!F11</f>
        <v>0</v>
      </c>
      <c r="H16" s="226">
        <f>+'[10]Payment Factors'!G11</f>
        <v>0</v>
      </c>
      <c r="I16" s="689">
        <f t="shared" ref="I16:L24" si="0">+$D16*E16</f>
        <v>64.034999999999997</v>
      </c>
      <c r="J16" s="689">
        <f t="shared" si="0"/>
        <v>76.841999999999999</v>
      </c>
      <c r="K16" s="689">
        <f t="shared" si="0"/>
        <v>0</v>
      </c>
      <c r="L16" s="690">
        <f t="shared" si="0"/>
        <v>0</v>
      </c>
    </row>
    <row r="17" spans="1:12">
      <c r="A17" s="182"/>
      <c r="B17" s="215" t="s">
        <v>2</v>
      </c>
      <c r="C17" s="217"/>
      <c r="D17" s="688">
        <f>+I55</f>
        <v>859.88125000000002</v>
      </c>
      <c r="E17" s="226">
        <f t="shared" ref="E17:H19" si="1">+E16</f>
        <v>0.75</v>
      </c>
      <c r="F17" s="226">
        <f t="shared" si="1"/>
        <v>0.9</v>
      </c>
      <c r="G17" s="226">
        <f t="shared" si="1"/>
        <v>0</v>
      </c>
      <c r="H17" s="226">
        <f t="shared" si="1"/>
        <v>0</v>
      </c>
      <c r="I17" s="689">
        <f t="shared" si="0"/>
        <v>644.91093750000005</v>
      </c>
      <c r="J17" s="689">
        <f t="shared" si="0"/>
        <v>773.89312500000005</v>
      </c>
      <c r="K17" s="689">
        <f t="shared" si="0"/>
        <v>0</v>
      </c>
      <c r="L17" s="690">
        <f t="shared" si="0"/>
        <v>0</v>
      </c>
    </row>
    <row r="18" spans="1:12">
      <c r="A18" s="182"/>
      <c r="B18" s="215" t="s">
        <v>3</v>
      </c>
      <c r="C18" s="217"/>
      <c r="D18" s="688">
        <f>+I71</f>
        <v>151.74375000000001</v>
      </c>
      <c r="E18" s="226">
        <f t="shared" si="1"/>
        <v>0.75</v>
      </c>
      <c r="F18" s="226">
        <f t="shared" si="1"/>
        <v>0.9</v>
      </c>
      <c r="G18" s="226">
        <f t="shared" si="1"/>
        <v>0</v>
      </c>
      <c r="H18" s="226">
        <f t="shared" si="1"/>
        <v>0</v>
      </c>
      <c r="I18" s="689">
        <f t="shared" si="0"/>
        <v>113.80781250000001</v>
      </c>
      <c r="J18" s="689">
        <f t="shared" si="0"/>
        <v>136.56937500000001</v>
      </c>
      <c r="K18" s="689">
        <f t="shared" si="0"/>
        <v>0</v>
      </c>
      <c r="L18" s="690">
        <f t="shared" si="0"/>
        <v>0</v>
      </c>
    </row>
    <row r="19" spans="1:12">
      <c r="A19" s="182"/>
      <c r="B19" s="215" t="s">
        <v>4</v>
      </c>
      <c r="C19" s="217"/>
      <c r="D19" s="688">
        <f>+I77</f>
        <v>32.910150000000002</v>
      </c>
      <c r="E19" s="226">
        <f t="shared" si="1"/>
        <v>0.75</v>
      </c>
      <c r="F19" s="226">
        <f t="shared" si="1"/>
        <v>0.9</v>
      </c>
      <c r="G19" s="226">
        <f t="shared" si="1"/>
        <v>0</v>
      </c>
      <c r="H19" s="226">
        <f t="shared" si="1"/>
        <v>0</v>
      </c>
      <c r="I19" s="689">
        <f t="shared" si="0"/>
        <v>24.682612500000001</v>
      </c>
      <c r="J19" s="689">
        <f t="shared" si="0"/>
        <v>29.619135000000004</v>
      </c>
      <c r="K19" s="689">
        <f t="shared" si="0"/>
        <v>0</v>
      </c>
      <c r="L19" s="690">
        <f t="shared" si="0"/>
        <v>0</v>
      </c>
    </row>
    <row r="20" spans="1:12">
      <c r="A20" s="182"/>
      <c r="B20" s="215" t="s">
        <v>26</v>
      </c>
      <c r="C20" s="217"/>
      <c r="D20" s="688">
        <f>+I80</f>
        <v>10.970050000000001</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+I83</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+I86</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+I90</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+I93</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1740.8851999999999</v>
      </c>
      <c r="E25" s="695"/>
      <c r="F25" s="695"/>
      <c r="G25" s="234"/>
      <c r="H25" s="234"/>
      <c r="I25" s="696">
        <f>SUM(I16:I24)</f>
        <v>847.43636250000009</v>
      </c>
      <c r="J25" s="696">
        <f>SUM(J16:J24)</f>
        <v>1016.9236350000001</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SUM(G42:G50)</f>
        <v>85.38</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50" si="2">+F42*E42</f>
        <v>0</v>
      </c>
      <c r="H42" s="254"/>
      <c r="I42" s="286"/>
    </row>
    <row r="43" spans="1:9">
      <c r="A43" s="182"/>
      <c r="B43" s="261" t="s">
        <v>451</v>
      </c>
      <c r="C43" s="268"/>
      <c r="D43" s="705" t="s">
        <v>452</v>
      </c>
      <c r="E43" s="706">
        <f>+'[20]Core Rates'!C203</f>
        <v>8.75</v>
      </c>
      <c r="F43" s="707">
        <v>0</v>
      </c>
      <c r="G43" s="708">
        <f t="shared" si="2"/>
        <v>0</v>
      </c>
      <c r="H43" s="254"/>
      <c r="I43" s="248"/>
    </row>
    <row r="44" spans="1:9">
      <c r="A44" s="182"/>
      <c r="B44" s="1849" t="s">
        <v>453</v>
      </c>
      <c r="C44" s="268"/>
      <c r="D44" s="711" t="s">
        <v>454</v>
      </c>
      <c r="E44" s="706">
        <f>+'[20]Core Rates'!C228</f>
        <v>0.82427536231884069</v>
      </c>
      <c r="F44" s="707">
        <v>0</v>
      </c>
      <c r="G44" s="708">
        <f t="shared" si="2"/>
        <v>0</v>
      </c>
      <c r="H44" s="254"/>
      <c r="I44" s="248"/>
    </row>
    <row r="45" spans="1:9">
      <c r="A45" s="182"/>
      <c r="B45" s="709" t="s">
        <v>455</v>
      </c>
      <c r="C45" s="710"/>
      <c r="D45" s="711" t="s">
        <v>454</v>
      </c>
      <c r="E45" s="706">
        <f>+'[20]Core Rates'!C235</f>
        <v>1.1702898550724636</v>
      </c>
      <c r="F45" s="707">
        <v>0</v>
      </c>
      <c r="G45" s="708">
        <f t="shared" si="2"/>
        <v>0</v>
      </c>
      <c r="H45" s="254"/>
      <c r="I45" s="248"/>
    </row>
    <row r="46" spans="1:9">
      <c r="A46" s="182"/>
      <c r="B46" s="709" t="s">
        <v>456</v>
      </c>
      <c r="C46" s="710"/>
      <c r="D46" s="705" t="s">
        <v>454</v>
      </c>
      <c r="E46" s="706">
        <f>+'[20]Core Rates'!C246</f>
        <v>0.58825136612021856</v>
      </c>
      <c r="F46" s="707">
        <v>0</v>
      </c>
      <c r="G46" s="708">
        <f t="shared" si="2"/>
        <v>0</v>
      </c>
      <c r="H46" s="254"/>
      <c r="I46" s="248"/>
    </row>
    <row r="47" spans="1:9">
      <c r="A47" s="182"/>
      <c r="B47" s="1868" t="str">
        <f>+'[20]Core Rates'!A309</f>
        <v>Seed (Native grass except Prairie Dropseed and Splitbeard Bluestem)</v>
      </c>
      <c r="C47" s="710"/>
      <c r="D47" s="711" t="s">
        <v>454</v>
      </c>
      <c r="E47" s="706">
        <f>+'[20]Core Rates 2011'!BE306</f>
        <v>8.57</v>
      </c>
      <c r="F47" s="707">
        <v>9</v>
      </c>
      <c r="G47" s="708">
        <f t="shared" si="2"/>
        <v>77.13</v>
      </c>
      <c r="H47" s="254"/>
      <c r="I47" s="248"/>
    </row>
    <row r="48" spans="1:9">
      <c r="A48" s="182"/>
      <c r="B48" s="1868" t="str">
        <f>+'[20]Core Rates'!A307</f>
        <v>Seed (Prairie Dropseed)</v>
      </c>
      <c r="C48" s="710"/>
      <c r="D48" s="711" t="s">
        <v>454</v>
      </c>
      <c r="E48" s="706">
        <f>+'[20]Core Rates 2011'!BE304</f>
        <v>165.75</v>
      </c>
      <c r="F48" s="707">
        <v>0</v>
      </c>
      <c r="G48" s="708">
        <f t="shared" si="2"/>
        <v>0</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68" t="str">
        <f>+'[20]Core Rates'!A308</f>
        <v>Seed (Splitbeard Bluestem)</v>
      </c>
      <c r="C50" s="710"/>
      <c r="D50" s="711" t="s">
        <v>454</v>
      </c>
      <c r="E50" s="706">
        <f>+'[20]Core Rates 2011'!BE305</f>
        <v>78.666666666666671</v>
      </c>
      <c r="F50" s="707">
        <v>0</v>
      </c>
      <c r="G50" s="708">
        <f t="shared" si="2"/>
        <v>0</v>
      </c>
      <c r="H50" s="254"/>
      <c r="I50" s="248"/>
    </row>
    <row r="51" spans="1:9">
      <c r="A51" s="182"/>
      <c r="B51" s="1849"/>
      <c r="C51" s="268"/>
      <c r="D51" s="1851"/>
      <c r="E51" s="1852"/>
      <c r="F51" s="254"/>
      <c r="G51" s="254"/>
      <c r="H51" s="254"/>
      <c r="I51" s="248"/>
    </row>
    <row r="52" spans="1:9">
      <c r="A52" s="182"/>
      <c r="B52" s="251" t="s">
        <v>43</v>
      </c>
      <c r="C52" s="254"/>
      <c r="D52" s="254"/>
      <c r="E52" s="272"/>
      <c r="F52" s="272"/>
      <c r="G52" s="272"/>
      <c r="H52" s="254"/>
      <c r="I52" s="265"/>
    </row>
    <row r="53" spans="1:9">
      <c r="A53" s="182"/>
      <c r="B53" s="261" t="s">
        <v>457</v>
      </c>
      <c r="C53" s="254"/>
      <c r="D53" s="254"/>
      <c r="E53" s="272"/>
      <c r="F53" s="272"/>
      <c r="G53" s="272"/>
      <c r="H53" s="254"/>
      <c r="I53" s="265"/>
    </row>
    <row r="54" spans="1:9">
      <c r="A54" s="182"/>
      <c r="B54" s="1850"/>
      <c r="C54" s="268"/>
      <c r="D54" s="1851"/>
      <c r="E54" s="254"/>
      <c r="F54" s="254"/>
      <c r="G54" s="254"/>
      <c r="H54" s="254"/>
      <c r="I54" s="248"/>
    </row>
    <row r="55" spans="1:9">
      <c r="A55" s="182"/>
      <c r="B55" s="246" t="s">
        <v>2</v>
      </c>
      <c r="C55" s="254"/>
      <c r="D55" s="254"/>
      <c r="E55" s="2147" t="s">
        <v>459</v>
      </c>
      <c r="F55" s="2147"/>
      <c r="G55" s="2147"/>
      <c r="H55" s="2147"/>
      <c r="I55" s="702">
        <f>(SUM(G57:G64)*0.85)</f>
        <v>859.88125000000002</v>
      </c>
    </row>
    <row r="56" spans="1:9">
      <c r="A56" s="182"/>
      <c r="B56" s="703"/>
      <c r="C56" s="254"/>
      <c r="D56" s="704" t="s">
        <v>447</v>
      </c>
      <c r="E56" s="704" t="s">
        <v>448</v>
      </c>
      <c r="F56" s="704" t="s">
        <v>449</v>
      </c>
      <c r="G56" s="704" t="s">
        <v>450</v>
      </c>
      <c r="H56" s="254"/>
      <c r="I56" s="265"/>
    </row>
    <row r="57" spans="1:9">
      <c r="A57" s="182"/>
      <c r="B57" s="1867" t="str">
        <f>+'[20]Core Rates'!A111</f>
        <v>Earthmoving: Medium grading/shaping (2-6 hrs/ac)</v>
      </c>
      <c r="C57" s="1861"/>
      <c r="D57" s="1862" t="s">
        <v>408</v>
      </c>
      <c r="E57" s="706">
        <f>+'[20]Core Rates'!C111</f>
        <v>503.625</v>
      </c>
      <c r="F57" s="707">
        <v>1</v>
      </c>
      <c r="G57" s="708">
        <f>+F57*E57</f>
        <v>503.625</v>
      </c>
      <c r="H57" s="254"/>
      <c r="I57" s="286"/>
    </row>
    <row r="58" spans="1:9">
      <c r="A58" s="182"/>
      <c r="B58" s="1863" t="str">
        <f>+'[20]Core Rates'!A217</f>
        <v>Mulching (2 tons/ac applied)</v>
      </c>
      <c r="C58" s="720"/>
      <c r="D58" s="708" t="s">
        <v>408</v>
      </c>
      <c r="E58" s="708">
        <f>+'[20]Core Rates'!C217</f>
        <v>472.5</v>
      </c>
      <c r="F58" s="706">
        <v>1</v>
      </c>
      <c r="G58" s="708">
        <f>+F58*E58</f>
        <v>472.5</v>
      </c>
      <c r="H58" s="254"/>
      <c r="I58" s="286"/>
    </row>
    <row r="59" spans="1:9">
      <c r="A59" s="182"/>
      <c r="B59" s="1866" t="str">
        <f>+'[20]Core Rates'!A123</f>
        <v>Erosion Control Blanket, Type II (Installed)</v>
      </c>
      <c r="C59" s="720"/>
      <c r="D59" s="708" t="str">
        <f>+'[20]Core Rates'!B123</f>
        <v>Sq Yd</v>
      </c>
      <c r="E59" s="708">
        <f>+'[20]Core Rates'!C123</f>
        <v>1.5750000000000002</v>
      </c>
      <c r="F59" s="706">
        <v>0</v>
      </c>
      <c r="G59" s="708">
        <f>+E59/9*43560*F59</f>
        <v>0</v>
      </c>
      <c r="H59" s="254"/>
      <c r="I59" s="286"/>
    </row>
    <row r="60" spans="1:9">
      <c r="A60" s="182"/>
      <c r="B60" s="712" t="str">
        <f>+'[20]Core Rates'!A216</f>
        <v>Mowing</v>
      </c>
      <c r="C60" s="268"/>
      <c r="D60" s="1853" t="s">
        <v>408</v>
      </c>
      <c r="E60" s="1853">
        <f>+'[20]Core Rates'!C216</f>
        <v>15.5</v>
      </c>
      <c r="F60" s="707">
        <v>1</v>
      </c>
      <c r="G60" s="708">
        <f>+F60*E60</f>
        <v>15.5</v>
      </c>
      <c r="H60" s="254"/>
      <c r="I60" s="286"/>
    </row>
    <row r="61" spans="1:9">
      <c r="A61" s="182"/>
      <c r="B61" s="261" t="s">
        <v>461</v>
      </c>
      <c r="C61" s="268"/>
      <c r="D61" s="705" t="s">
        <v>408</v>
      </c>
      <c r="E61" s="706">
        <f>+'[20]Core Rates'!C104</f>
        <v>20</v>
      </c>
      <c r="F61" s="707">
        <v>1</v>
      </c>
      <c r="G61" s="708">
        <f>+F61*E61</f>
        <v>20</v>
      </c>
      <c r="H61" s="254"/>
      <c r="I61" s="286"/>
    </row>
    <row r="62" spans="1:9">
      <c r="A62" s="182"/>
      <c r="B62" s="261" t="s">
        <v>462</v>
      </c>
      <c r="C62" s="268"/>
      <c r="D62" s="705" t="s">
        <v>408</v>
      </c>
      <c r="E62" s="706">
        <f>+'[20]Core Rates'!AN33</f>
        <v>5.416666666666667</v>
      </c>
      <c r="F62" s="707">
        <v>0</v>
      </c>
      <c r="G62" s="708">
        <f>+F62*E62</f>
        <v>0</v>
      </c>
      <c r="H62" s="254"/>
      <c r="I62" s="286"/>
    </row>
    <row r="63" spans="1:9">
      <c r="A63" s="182"/>
      <c r="B63" s="261" t="s">
        <v>463</v>
      </c>
      <c r="C63" s="268"/>
      <c r="D63" s="705" t="s">
        <v>452</v>
      </c>
      <c r="E63" s="706">
        <f>+'[20]Core Rates'!AN34</f>
        <v>5.5</v>
      </c>
      <c r="F63" s="707">
        <v>0</v>
      </c>
      <c r="G63" s="708">
        <f>+F63*E63</f>
        <v>0</v>
      </c>
      <c r="H63" s="254"/>
      <c r="I63" s="286"/>
    </row>
    <row r="64" spans="1:9">
      <c r="A64" s="182"/>
      <c r="B64" s="261" t="s">
        <v>464</v>
      </c>
      <c r="C64" s="268"/>
      <c r="D64" s="705" t="s">
        <v>452</v>
      </c>
      <c r="E64" s="706">
        <f>+'[20]Core Rates'!AN32</f>
        <v>6.3125</v>
      </c>
      <c r="F64" s="707">
        <v>0</v>
      </c>
      <c r="G64" s="708">
        <f>+F64*E64</f>
        <v>0</v>
      </c>
      <c r="H64" s="254"/>
      <c r="I64" s="286"/>
    </row>
    <row r="65" spans="1:9">
      <c r="A65" s="182"/>
      <c r="B65" s="261"/>
      <c r="C65" s="268"/>
      <c r="D65" s="269"/>
      <c r="E65" s="714"/>
      <c r="F65" s="714"/>
      <c r="G65" s="706"/>
      <c r="H65" s="254"/>
      <c r="I65" s="286"/>
    </row>
    <row r="66" spans="1:9">
      <c r="A66" s="182"/>
      <c r="B66" s="251" t="s">
        <v>43</v>
      </c>
      <c r="C66" s="254"/>
      <c r="D66" s="254"/>
      <c r="E66" s="272"/>
      <c r="F66" s="272"/>
      <c r="G66" s="272"/>
      <c r="H66" s="254"/>
      <c r="I66" s="265"/>
    </row>
    <row r="67" spans="1:9" ht="12.75" customHeight="1">
      <c r="A67" s="182"/>
      <c r="B67" s="2148" t="s">
        <v>457</v>
      </c>
      <c r="C67" s="2149"/>
      <c r="D67" s="2149"/>
      <c r="E67" s="2149"/>
      <c r="F67" s="2149"/>
      <c r="G67" s="2149"/>
      <c r="H67" s="2149"/>
      <c r="I67" s="2150"/>
    </row>
    <row r="68" spans="1:9">
      <c r="A68" s="182"/>
      <c r="B68" s="2148"/>
      <c r="C68" s="2149"/>
      <c r="D68" s="2149"/>
      <c r="E68" s="2149"/>
      <c r="F68" s="2149"/>
      <c r="G68" s="2149"/>
      <c r="H68" s="2149"/>
      <c r="I68" s="2150"/>
    </row>
    <row r="69" spans="1:9">
      <c r="A69" s="182"/>
      <c r="B69" s="715"/>
      <c r="C69" s="716"/>
      <c r="D69" s="716"/>
      <c r="E69" s="716"/>
      <c r="F69" s="716"/>
      <c r="G69" s="716"/>
      <c r="H69" s="716"/>
      <c r="I69" s="717"/>
    </row>
    <row r="70" spans="1:9">
      <c r="A70" s="182"/>
      <c r="B70" s="715"/>
      <c r="C70" s="716"/>
      <c r="D70" s="716"/>
      <c r="E70" s="716"/>
      <c r="F70" s="716"/>
      <c r="G70" s="716"/>
      <c r="H70" s="716"/>
      <c r="I70" s="717"/>
    </row>
    <row r="71" spans="1:9">
      <c r="A71" s="182"/>
      <c r="B71" s="246" t="s">
        <v>3</v>
      </c>
      <c r="C71" s="254"/>
      <c r="D71" s="254"/>
      <c r="E71" s="254"/>
      <c r="F71" s="256"/>
      <c r="G71" s="254"/>
      <c r="H71" s="254"/>
      <c r="I71" s="718">
        <f>E73</f>
        <v>151.74375000000001</v>
      </c>
    </row>
    <row r="72" spans="1:9">
      <c r="A72" s="182"/>
      <c r="B72" s="2151" t="s">
        <v>465</v>
      </c>
      <c r="C72" s="2152"/>
      <c r="D72" s="254"/>
      <c r="E72" s="254"/>
      <c r="F72" s="254"/>
      <c r="G72" s="254"/>
      <c r="H72" s="254"/>
      <c r="I72" s="282"/>
    </row>
    <row r="73" spans="1:9">
      <c r="A73" s="182"/>
      <c r="B73" s="251" t="s">
        <v>466</v>
      </c>
      <c r="C73" s="256"/>
      <c r="D73" s="256"/>
      <c r="E73" s="720">
        <f>SUM(G57:G64)*0.15</f>
        <v>151.74375000000001</v>
      </c>
      <c r="F73" s="254"/>
      <c r="G73" s="254"/>
      <c r="H73" s="254"/>
      <c r="I73" s="265"/>
    </row>
    <row r="74" spans="1:9">
      <c r="A74" s="182"/>
      <c r="B74" s="251"/>
      <c r="C74" s="256"/>
      <c r="D74" s="721"/>
      <c r="E74" s="720"/>
      <c r="F74" s="254"/>
      <c r="G74" s="254"/>
      <c r="H74" s="254"/>
      <c r="I74" s="265"/>
    </row>
    <row r="75" spans="1:9">
      <c r="A75" s="182"/>
      <c r="B75" s="251"/>
      <c r="C75" s="256"/>
      <c r="D75" s="722"/>
      <c r="E75" s="720"/>
      <c r="F75" s="254"/>
      <c r="G75" s="254"/>
      <c r="H75" s="254"/>
      <c r="I75" s="265"/>
    </row>
    <row r="76" spans="1:9">
      <c r="A76" s="182"/>
      <c r="B76" s="271"/>
      <c r="C76" s="254"/>
      <c r="D76" s="254"/>
      <c r="E76" s="254"/>
      <c r="F76" s="254"/>
      <c r="G76" s="254"/>
      <c r="H76" s="254"/>
      <c r="I76" s="248"/>
    </row>
    <row r="77" spans="1:9">
      <c r="A77" s="182"/>
      <c r="B77" s="246" t="s">
        <v>4</v>
      </c>
      <c r="C77" s="254"/>
      <c r="D77" s="254"/>
      <c r="E77" s="254"/>
      <c r="F77" s="254"/>
      <c r="G77" s="254"/>
      <c r="H77" s="254"/>
      <c r="I77" s="718">
        <f>0.03*(I40+I55+I71)</f>
        <v>32.910150000000002</v>
      </c>
    </row>
    <row r="78" spans="1:9">
      <c r="A78" s="182"/>
      <c r="B78" s="271" t="s">
        <v>467</v>
      </c>
      <c r="C78" s="254"/>
      <c r="D78" s="254"/>
      <c r="E78" s="254"/>
      <c r="F78" s="254"/>
      <c r="G78" s="254"/>
      <c r="H78" s="254"/>
      <c r="I78" s="248"/>
    </row>
    <row r="79" spans="1:9">
      <c r="A79" s="182"/>
      <c r="B79" s="251"/>
      <c r="C79" s="254"/>
      <c r="D79" s="254"/>
      <c r="E79" s="254"/>
      <c r="F79" s="254"/>
      <c r="G79" s="254"/>
      <c r="H79" s="254"/>
      <c r="I79" s="248"/>
    </row>
    <row r="80" spans="1:9">
      <c r="A80" s="182"/>
      <c r="B80" s="246" t="s">
        <v>468</v>
      </c>
      <c r="C80" s="254"/>
      <c r="D80" s="254"/>
      <c r="E80" s="254"/>
      <c r="F80" s="254"/>
      <c r="G80" s="254"/>
      <c r="H80" s="254"/>
      <c r="I80" s="718">
        <f>0.01*(I40+I55+I71)</f>
        <v>10.970050000000001</v>
      </c>
    </row>
    <row r="81" spans="1:9">
      <c r="A81" s="182"/>
      <c r="B81" s="271" t="s">
        <v>749</v>
      </c>
      <c r="C81" s="254"/>
      <c r="D81" s="254"/>
      <c r="E81" s="254"/>
      <c r="F81" s="254"/>
      <c r="G81" s="254"/>
      <c r="H81" s="254"/>
      <c r="I81" s="248"/>
    </row>
    <row r="82" spans="1:9">
      <c r="A82" s="182"/>
      <c r="B82" s="251"/>
      <c r="C82" s="254"/>
      <c r="D82" s="254"/>
      <c r="E82" s="254"/>
      <c r="F82" s="254"/>
      <c r="G82" s="254"/>
      <c r="H82" s="254"/>
      <c r="I82" s="248"/>
    </row>
    <row r="83" spans="1:9">
      <c r="A83" s="182"/>
      <c r="B83" s="246" t="s">
        <v>7</v>
      </c>
      <c r="C83" s="254"/>
      <c r="D83" s="254"/>
      <c r="E83" s="254"/>
      <c r="F83" s="254"/>
      <c r="G83" s="254"/>
      <c r="H83" s="254"/>
      <c r="I83" s="702">
        <v>0</v>
      </c>
    </row>
    <row r="84" spans="1:9">
      <c r="A84" s="182"/>
      <c r="B84" s="271" t="s">
        <v>1349</v>
      </c>
      <c r="C84" s="254"/>
      <c r="D84" s="254"/>
      <c r="E84" s="254"/>
      <c r="F84" s="254"/>
      <c r="G84" s="254"/>
      <c r="H84" s="254"/>
      <c r="I84" s="248"/>
    </row>
    <row r="85" spans="1:9">
      <c r="A85" s="182"/>
      <c r="B85" s="251"/>
      <c r="C85" s="254"/>
      <c r="D85" s="254"/>
      <c r="E85" s="254"/>
      <c r="F85" s="254"/>
      <c r="G85" s="254"/>
      <c r="H85" s="254"/>
      <c r="I85" s="248"/>
    </row>
    <row r="86" spans="1:9">
      <c r="A86" s="182"/>
      <c r="B86" s="246" t="s">
        <v>471</v>
      </c>
      <c r="C86" s="254"/>
      <c r="D86" s="254"/>
      <c r="E86" s="254"/>
      <c r="F86" s="256"/>
      <c r="G86" s="254"/>
      <c r="H86" s="254"/>
      <c r="I86" s="702">
        <v>600</v>
      </c>
    </row>
    <row r="87" spans="1:9">
      <c r="A87" s="182"/>
      <c r="B87" s="726" t="s">
        <v>1350</v>
      </c>
      <c r="C87" s="254"/>
      <c r="D87" s="254"/>
      <c r="E87" s="254"/>
      <c r="F87" s="254"/>
      <c r="G87" s="254"/>
      <c r="H87" s="254"/>
      <c r="I87" s="286"/>
    </row>
    <row r="88" spans="1:9">
      <c r="A88" s="182"/>
      <c r="B88" s="726"/>
      <c r="C88" s="254"/>
      <c r="D88" s="254"/>
      <c r="E88" s="254"/>
      <c r="F88" s="254"/>
      <c r="G88" s="254"/>
      <c r="H88" s="254"/>
      <c r="I88" s="286"/>
    </row>
    <row r="89" spans="1:9">
      <c r="A89" s="182"/>
      <c r="B89" s="251"/>
      <c r="C89" s="254"/>
      <c r="D89" s="254"/>
      <c r="E89" s="254"/>
      <c r="F89" s="254"/>
      <c r="G89" s="254"/>
      <c r="H89" s="254"/>
      <c r="I89" s="248"/>
    </row>
    <row r="90" spans="1:9">
      <c r="A90" s="182"/>
      <c r="B90" s="246" t="s">
        <v>5</v>
      </c>
      <c r="C90" s="254"/>
      <c r="D90" s="254"/>
      <c r="E90" s="254"/>
      <c r="F90" s="254"/>
      <c r="G90" s="254"/>
      <c r="H90" s="254"/>
      <c r="I90" s="702">
        <v>0</v>
      </c>
    </row>
    <row r="91" spans="1:9">
      <c r="A91" s="182"/>
      <c r="B91" s="271" t="s">
        <v>1351</v>
      </c>
      <c r="C91" s="254"/>
      <c r="D91" s="254"/>
      <c r="E91" s="254"/>
      <c r="F91" s="254"/>
      <c r="G91" s="254"/>
      <c r="H91" s="254"/>
      <c r="I91" s="286"/>
    </row>
    <row r="92" spans="1:9">
      <c r="A92" s="182"/>
      <c r="B92" s="251"/>
      <c r="C92" s="254"/>
      <c r="D92" s="254"/>
      <c r="E92" s="254"/>
      <c r="F92" s="254"/>
      <c r="G92" s="254"/>
      <c r="H92" s="254"/>
      <c r="I92" s="248"/>
    </row>
    <row r="93" spans="1:9">
      <c r="A93" s="182"/>
      <c r="B93" s="246" t="s">
        <v>20</v>
      </c>
      <c r="C93" s="254"/>
      <c r="D93" s="254"/>
      <c r="E93" s="254"/>
      <c r="F93" s="254"/>
      <c r="G93" s="254"/>
      <c r="H93" s="254"/>
      <c r="I93" s="702">
        <v>0</v>
      </c>
    </row>
    <row r="94" spans="1:9">
      <c r="A94" s="182"/>
      <c r="B94" s="271" t="s">
        <v>104</v>
      </c>
      <c r="C94" s="254"/>
      <c r="D94" s="254"/>
      <c r="E94" s="254"/>
      <c r="F94" s="254"/>
      <c r="G94" s="254"/>
      <c r="H94" s="254"/>
      <c r="I94" s="248"/>
    </row>
    <row r="95" spans="1:9">
      <c r="A95" s="182"/>
      <c r="B95" s="261"/>
      <c r="C95" s="254"/>
      <c r="D95" s="254"/>
      <c r="E95" s="254"/>
      <c r="F95" s="254"/>
      <c r="G95" s="254"/>
      <c r="H95" s="254"/>
      <c r="I95" s="248"/>
    </row>
    <row r="96" spans="1:9">
      <c r="A96" s="182"/>
      <c r="B96" s="246" t="s">
        <v>473</v>
      </c>
      <c r="C96" s="254"/>
      <c r="D96" s="254"/>
      <c r="E96" s="254"/>
      <c r="F96" s="254"/>
      <c r="G96" s="254"/>
      <c r="H96" s="254"/>
      <c r="I96" s="728">
        <f>+I40+I55+I71+I77+I83+I93</f>
        <v>1129.91515</v>
      </c>
    </row>
    <row r="97" spans="1:9" ht="15.75">
      <c r="A97" s="182"/>
      <c r="B97" s="271" t="s">
        <v>474</v>
      </c>
      <c r="C97" s="254"/>
      <c r="D97" s="254"/>
      <c r="E97" s="254"/>
      <c r="F97" s="254"/>
      <c r="G97" s="254"/>
      <c r="H97" s="254"/>
      <c r="I97" s="248"/>
    </row>
    <row r="98" spans="1:9">
      <c r="A98" s="182"/>
      <c r="B98" s="261"/>
      <c r="C98" s="254"/>
      <c r="D98" s="254"/>
      <c r="E98" s="254"/>
      <c r="F98" s="254"/>
      <c r="G98" s="254"/>
      <c r="H98" s="254"/>
      <c r="I98" s="248"/>
    </row>
    <row r="99" spans="1:9">
      <c r="A99" s="182"/>
      <c r="B99" s="287" t="s">
        <v>11</v>
      </c>
      <c r="C99" s="288"/>
      <c r="D99" s="288"/>
      <c r="E99" s="288"/>
      <c r="F99" s="288"/>
      <c r="G99" s="288"/>
      <c r="H99" s="288"/>
      <c r="I99" s="621">
        <f>SUM(I40:I93)</f>
        <v>1740.8851999999999</v>
      </c>
    </row>
  </sheetData>
  <mergeCells count="4">
    <mergeCell ref="B1:D1"/>
    <mergeCell ref="E55:H55"/>
    <mergeCell ref="B67:I68"/>
    <mergeCell ref="B72:C72"/>
  </mergeCells>
  <pageMargins left="0.75" right="0.75" top="1" bottom="1" header="0.5" footer="0.5"/>
  <pageSetup scale="55" orientation="portrait" r:id="rId1"/>
  <headerFooter alignWithMargins="0"/>
</worksheet>
</file>

<file path=xl/worksheets/sheet243.xml><?xml version="1.0" encoding="utf-8"?>
<worksheet xmlns="http://schemas.openxmlformats.org/spreadsheetml/2006/main" xmlns:r="http://schemas.openxmlformats.org/officeDocument/2006/relationships">
  <sheetPr>
    <pageSetUpPr fitToPage="1"/>
  </sheetPr>
  <dimension ref="A1:L99"/>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bestFit="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2425</v>
      </c>
      <c r="F6" s="198" t="str">
        <f>+D36</f>
        <v>Acre</v>
      </c>
      <c r="G6" s="686">
        <f>+I25</f>
        <v>1103.5201124999999</v>
      </c>
    </row>
    <row r="7" spans="1:12" ht="25.5">
      <c r="A7" s="182"/>
      <c r="B7" s="197">
        <f>+B6</f>
        <v>654</v>
      </c>
      <c r="C7" s="198" t="str">
        <f>+C6</f>
        <v>EQIP</v>
      </c>
      <c r="D7" s="199" t="s">
        <v>2416</v>
      </c>
      <c r="E7" s="199" t="str">
        <f>CONCATENATE(E6, "-HU")</f>
        <v>Road/Trail/Landing Closure &amp; Treatment (Ac) - Heavy Grading/Shaping (6-10hr/Ac), Mulch, Native Grass/Legume Mix-HU</v>
      </c>
      <c r="F7" s="198" t="str">
        <f>+F6</f>
        <v>Acre</v>
      </c>
      <c r="G7" s="686">
        <f>+J25</f>
        <v>1324.2241350000004</v>
      </c>
    </row>
    <row r="8" spans="1:12" ht="25.5">
      <c r="A8" s="182"/>
      <c r="B8" s="197">
        <v>654</v>
      </c>
      <c r="C8" s="198" t="str">
        <f>+G12</f>
        <v>WHIP</v>
      </c>
      <c r="D8" s="199" t="s">
        <v>2416</v>
      </c>
      <c r="E8" s="199" t="str">
        <f>+E6</f>
        <v>Road/Trail/Landing Closure &amp; Treatment (Ac) - Heavy Grading/Shaping (6-10hr/Ac), Mulch, Native Grass/Legume Mix</v>
      </c>
      <c r="F8" s="198" t="str">
        <f>+D36</f>
        <v>Acre</v>
      </c>
      <c r="G8" s="686">
        <f>+K25</f>
        <v>0</v>
      </c>
    </row>
    <row r="9" spans="1:12" ht="25.5">
      <c r="A9" s="182"/>
      <c r="B9" s="203">
        <f>+B8</f>
        <v>654</v>
      </c>
      <c r="C9" s="204" t="str">
        <f>+C8</f>
        <v>WHIP</v>
      </c>
      <c r="D9" s="199" t="s">
        <v>2416</v>
      </c>
      <c r="E9" s="205" t="str">
        <f>CONCATENATE(E6, "-HU")</f>
        <v>Road/Trail/Landing Closure &amp; Treatment (Ac) - Heavy Grading/Shaping (6-10hr/Ac), Mulch, Native Grass/Legume Mix-HU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85.38</v>
      </c>
      <c r="E16" s="226">
        <f>+'[10]Payment Factors'!D11</f>
        <v>0.75</v>
      </c>
      <c r="F16" s="226">
        <f>+'[10]Payment Factors'!E11</f>
        <v>0.9</v>
      </c>
      <c r="G16" s="226">
        <f>+'[10]Payment Factors'!F11</f>
        <v>0</v>
      </c>
      <c r="H16" s="226">
        <f>+'[10]Payment Factors'!G11</f>
        <v>0</v>
      </c>
      <c r="I16" s="689">
        <f t="shared" ref="I16:L24" si="0">+$D16*E16</f>
        <v>64.034999999999997</v>
      </c>
      <c r="J16" s="689">
        <f t="shared" si="0"/>
        <v>76.841999999999999</v>
      </c>
      <c r="K16" s="689">
        <f t="shared" si="0"/>
        <v>0</v>
      </c>
      <c r="L16" s="690">
        <f t="shared" si="0"/>
        <v>0</v>
      </c>
    </row>
    <row r="17" spans="1:12">
      <c r="A17" s="182"/>
      <c r="B17" s="215" t="s">
        <v>2</v>
      </c>
      <c r="C17" s="217"/>
      <c r="D17" s="688">
        <f>+I55</f>
        <v>1141.65625</v>
      </c>
      <c r="E17" s="226">
        <f t="shared" ref="E17:H19" si="1">+E16</f>
        <v>0.75</v>
      </c>
      <c r="F17" s="226">
        <f t="shared" si="1"/>
        <v>0.9</v>
      </c>
      <c r="G17" s="226">
        <f t="shared" si="1"/>
        <v>0</v>
      </c>
      <c r="H17" s="226">
        <f t="shared" si="1"/>
        <v>0</v>
      </c>
      <c r="I17" s="689">
        <f t="shared" si="0"/>
        <v>856.2421875</v>
      </c>
      <c r="J17" s="689">
        <f t="shared" si="0"/>
        <v>1027.4906250000001</v>
      </c>
      <c r="K17" s="689">
        <f t="shared" si="0"/>
        <v>0</v>
      </c>
      <c r="L17" s="690">
        <f t="shared" si="0"/>
        <v>0</v>
      </c>
    </row>
    <row r="18" spans="1:12">
      <c r="A18" s="182"/>
      <c r="B18" s="215" t="s">
        <v>3</v>
      </c>
      <c r="C18" s="217"/>
      <c r="D18" s="688">
        <f>+I71</f>
        <v>201.46875</v>
      </c>
      <c r="E18" s="226">
        <f t="shared" si="1"/>
        <v>0.75</v>
      </c>
      <c r="F18" s="226">
        <f t="shared" si="1"/>
        <v>0.9</v>
      </c>
      <c r="G18" s="226">
        <f t="shared" si="1"/>
        <v>0</v>
      </c>
      <c r="H18" s="226">
        <f t="shared" si="1"/>
        <v>0</v>
      </c>
      <c r="I18" s="689">
        <f t="shared" si="0"/>
        <v>151.1015625</v>
      </c>
      <c r="J18" s="689">
        <f t="shared" si="0"/>
        <v>181.32187500000001</v>
      </c>
      <c r="K18" s="689">
        <f t="shared" si="0"/>
        <v>0</v>
      </c>
      <c r="L18" s="690">
        <f t="shared" si="0"/>
        <v>0</v>
      </c>
    </row>
    <row r="19" spans="1:12">
      <c r="A19" s="182"/>
      <c r="B19" s="215" t="s">
        <v>4</v>
      </c>
      <c r="C19" s="217"/>
      <c r="D19" s="688">
        <f>+I77</f>
        <v>42.855150000000002</v>
      </c>
      <c r="E19" s="226">
        <f t="shared" si="1"/>
        <v>0.75</v>
      </c>
      <c r="F19" s="226">
        <f t="shared" si="1"/>
        <v>0.9</v>
      </c>
      <c r="G19" s="226">
        <f t="shared" si="1"/>
        <v>0</v>
      </c>
      <c r="H19" s="226">
        <f t="shared" si="1"/>
        <v>0</v>
      </c>
      <c r="I19" s="689">
        <f t="shared" si="0"/>
        <v>32.1413625</v>
      </c>
      <c r="J19" s="689">
        <f t="shared" si="0"/>
        <v>38.569635000000005</v>
      </c>
      <c r="K19" s="689">
        <f t="shared" si="0"/>
        <v>0</v>
      </c>
      <c r="L19" s="690">
        <f t="shared" si="0"/>
        <v>0</v>
      </c>
    </row>
    <row r="20" spans="1:12">
      <c r="A20" s="182"/>
      <c r="B20" s="215" t="s">
        <v>26</v>
      </c>
      <c r="C20" s="217"/>
      <c r="D20" s="688">
        <f>+I80</f>
        <v>14.285050000000002</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+I83</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+I86</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+I90</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+I93</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2085.6451999999999</v>
      </c>
      <c r="E25" s="695"/>
      <c r="F25" s="695"/>
      <c r="G25" s="234"/>
      <c r="H25" s="234"/>
      <c r="I25" s="696">
        <f>SUM(I16:I24)</f>
        <v>1103.5201124999999</v>
      </c>
      <c r="J25" s="696">
        <f>SUM(J16:J24)</f>
        <v>1324.2241350000004</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SUM(G42:G50)</f>
        <v>85.38</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50" si="2">+F42*E42</f>
        <v>0</v>
      </c>
      <c r="H42" s="254"/>
      <c r="I42" s="286"/>
    </row>
    <row r="43" spans="1:9">
      <c r="A43" s="182"/>
      <c r="B43" s="261" t="s">
        <v>451</v>
      </c>
      <c r="C43" s="268"/>
      <c r="D43" s="705" t="s">
        <v>452</v>
      </c>
      <c r="E43" s="706">
        <f>+'[20]Core Rates'!C203</f>
        <v>8.75</v>
      </c>
      <c r="F43" s="707">
        <v>0</v>
      </c>
      <c r="G43" s="708">
        <f t="shared" si="2"/>
        <v>0</v>
      </c>
      <c r="H43" s="254"/>
      <c r="I43" s="248"/>
    </row>
    <row r="44" spans="1:9">
      <c r="A44" s="182"/>
      <c r="B44" s="1849" t="s">
        <v>453</v>
      </c>
      <c r="C44" s="268"/>
      <c r="D44" s="711" t="s">
        <v>454</v>
      </c>
      <c r="E44" s="706">
        <f>+'[20]Core Rates'!C228</f>
        <v>0.82427536231884069</v>
      </c>
      <c r="F44" s="707">
        <v>0</v>
      </c>
      <c r="G44" s="708">
        <f t="shared" si="2"/>
        <v>0</v>
      </c>
      <c r="H44" s="254"/>
      <c r="I44" s="248"/>
    </row>
    <row r="45" spans="1:9">
      <c r="A45" s="182"/>
      <c r="B45" s="709" t="s">
        <v>455</v>
      </c>
      <c r="C45" s="710"/>
      <c r="D45" s="711" t="s">
        <v>454</v>
      </c>
      <c r="E45" s="706">
        <f>+'[20]Core Rates'!C235</f>
        <v>1.1702898550724636</v>
      </c>
      <c r="F45" s="707">
        <v>0</v>
      </c>
      <c r="G45" s="708">
        <f t="shared" si="2"/>
        <v>0</v>
      </c>
      <c r="H45" s="254"/>
      <c r="I45" s="248"/>
    </row>
    <row r="46" spans="1:9">
      <c r="A46" s="182"/>
      <c r="B46" s="709" t="s">
        <v>456</v>
      </c>
      <c r="C46" s="710"/>
      <c r="D46" s="705" t="s">
        <v>454</v>
      </c>
      <c r="E46" s="706">
        <f>+'[20]Core Rates'!C246</f>
        <v>0.58825136612021856</v>
      </c>
      <c r="F46" s="707">
        <v>0</v>
      </c>
      <c r="G46" s="708">
        <f t="shared" si="2"/>
        <v>0</v>
      </c>
      <c r="H46" s="254"/>
      <c r="I46" s="248"/>
    </row>
    <row r="47" spans="1:9">
      <c r="A47" s="182"/>
      <c r="B47" s="1868" t="str">
        <f>+'[20]Core Rates'!A309</f>
        <v>Seed (Native grass except Prairie Dropseed and Splitbeard Bluestem)</v>
      </c>
      <c r="C47" s="710"/>
      <c r="D47" s="711" t="s">
        <v>454</v>
      </c>
      <c r="E47" s="706">
        <f>+'[20]Core Rates 2011'!BE306</f>
        <v>8.57</v>
      </c>
      <c r="F47" s="707">
        <v>9</v>
      </c>
      <c r="G47" s="708">
        <f t="shared" si="2"/>
        <v>77.13</v>
      </c>
      <c r="H47" s="254"/>
      <c r="I47" s="248"/>
    </row>
    <row r="48" spans="1:9">
      <c r="A48" s="182"/>
      <c r="B48" s="1868" t="str">
        <f>+'[20]Core Rates'!A307</f>
        <v>Seed (Prairie Dropseed)</v>
      </c>
      <c r="C48" s="710"/>
      <c r="D48" s="711" t="s">
        <v>454</v>
      </c>
      <c r="E48" s="706">
        <f>+'[20]Core Rates 2011'!BE304</f>
        <v>165.75</v>
      </c>
      <c r="F48" s="707">
        <v>0</v>
      </c>
      <c r="G48" s="708">
        <f t="shared" si="2"/>
        <v>0</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68" t="str">
        <f>+'[20]Core Rates'!A308</f>
        <v>Seed (Splitbeard Bluestem)</v>
      </c>
      <c r="C50" s="710"/>
      <c r="D50" s="711" t="s">
        <v>454</v>
      </c>
      <c r="E50" s="706">
        <f>+'[20]Core Rates 2011'!BE305</f>
        <v>78.666666666666671</v>
      </c>
      <c r="F50" s="707">
        <v>0</v>
      </c>
      <c r="G50" s="708">
        <f t="shared" si="2"/>
        <v>0</v>
      </c>
      <c r="H50" s="254"/>
      <c r="I50" s="248"/>
    </row>
    <row r="51" spans="1:9">
      <c r="A51" s="182"/>
      <c r="B51" s="1849"/>
      <c r="C51" s="268"/>
      <c r="D51" s="1851"/>
      <c r="E51" s="1852"/>
      <c r="F51" s="254"/>
      <c r="G51" s="254"/>
      <c r="H51" s="254"/>
      <c r="I51" s="248"/>
    </row>
    <row r="52" spans="1:9">
      <c r="A52" s="182"/>
      <c r="B52" s="251" t="s">
        <v>43</v>
      </c>
      <c r="C52" s="254"/>
      <c r="D52" s="254"/>
      <c r="E52" s="272"/>
      <c r="F52" s="272"/>
      <c r="G52" s="272"/>
      <c r="H52" s="254"/>
      <c r="I52" s="265"/>
    </row>
    <row r="53" spans="1:9">
      <c r="A53" s="182"/>
      <c r="B53" s="261" t="s">
        <v>457</v>
      </c>
      <c r="C53" s="254"/>
      <c r="D53" s="254"/>
      <c r="E53" s="272"/>
      <c r="F53" s="272"/>
      <c r="G53" s="272"/>
      <c r="H53" s="254"/>
      <c r="I53" s="265"/>
    </row>
    <row r="54" spans="1:9">
      <c r="A54" s="182"/>
      <c r="B54" s="1850"/>
      <c r="C54" s="268"/>
      <c r="D54" s="1851"/>
      <c r="E54" s="254"/>
      <c r="F54" s="254"/>
      <c r="G54" s="254"/>
      <c r="H54" s="254"/>
      <c r="I54" s="248"/>
    </row>
    <row r="55" spans="1:9">
      <c r="A55" s="182"/>
      <c r="B55" s="246" t="s">
        <v>2</v>
      </c>
      <c r="C55" s="254"/>
      <c r="D55" s="254"/>
      <c r="E55" s="2147" t="s">
        <v>459</v>
      </c>
      <c r="F55" s="2147"/>
      <c r="G55" s="2147"/>
      <c r="H55" s="2147"/>
      <c r="I55" s="702">
        <f>(SUM(G57:G64)*0.85)</f>
        <v>1141.65625</v>
      </c>
    </row>
    <row r="56" spans="1:9">
      <c r="A56" s="182"/>
      <c r="B56" s="703"/>
      <c r="C56" s="254"/>
      <c r="D56" s="704" t="s">
        <v>447</v>
      </c>
      <c r="E56" s="704" t="s">
        <v>448</v>
      </c>
      <c r="F56" s="704" t="s">
        <v>449</v>
      </c>
      <c r="G56" s="704" t="s">
        <v>450</v>
      </c>
      <c r="H56" s="254"/>
      <c r="I56" s="265"/>
    </row>
    <row r="57" spans="1:9">
      <c r="A57" s="182"/>
      <c r="B57" s="1867" t="str">
        <f>+'[20]Core Rates'!A113</f>
        <v>Earthmoving: Heavy grading/shaping (6-10 hrs/ac)</v>
      </c>
      <c r="C57" s="1861"/>
      <c r="D57" s="1862" t="s">
        <v>408</v>
      </c>
      <c r="E57" s="706">
        <f>+'[20]Core Rates'!C113</f>
        <v>835.125</v>
      </c>
      <c r="F57" s="707">
        <v>1</v>
      </c>
      <c r="G57" s="708">
        <f>+F57*E57</f>
        <v>835.125</v>
      </c>
      <c r="H57" s="254"/>
      <c r="I57" s="286"/>
    </row>
    <row r="58" spans="1:9">
      <c r="A58" s="182"/>
      <c r="B58" s="1863" t="str">
        <f>+'[20]Core Rates'!A217</f>
        <v>Mulching (2 tons/ac applied)</v>
      </c>
      <c r="C58" s="720"/>
      <c r="D58" s="708" t="s">
        <v>408</v>
      </c>
      <c r="E58" s="708">
        <f>+'[20]Core Rates'!C217</f>
        <v>472.5</v>
      </c>
      <c r="F58" s="706">
        <v>1</v>
      </c>
      <c r="G58" s="708">
        <f>+F58*E58</f>
        <v>472.5</v>
      </c>
      <c r="H58" s="254"/>
      <c r="I58" s="286"/>
    </row>
    <row r="59" spans="1:9">
      <c r="A59" s="182"/>
      <c r="B59" s="1866" t="str">
        <f>+'[20]Core Rates'!A123</f>
        <v>Erosion Control Blanket, Type II (Installed)</v>
      </c>
      <c r="C59" s="720"/>
      <c r="D59" s="708" t="str">
        <f>+'[20]Core Rates'!B123</f>
        <v>Sq Yd</v>
      </c>
      <c r="E59" s="708">
        <f>+'[20]Core Rates'!C123</f>
        <v>1.5750000000000002</v>
      </c>
      <c r="F59" s="706">
        <v>0</v>
      </c>
      <c r="G59" s="708">
        <f>+E59/9*43560*F59</f>
        <v>0</v>
      </c>
      <c r="H59" s="254"/>
      <c r="I59" s="286"/>
    </row>
    <row r="60" spans="1:9">
      <c r="A60" s="182"/>
      <c r="B60" s="712" t="str">
        <f>+'[20]Core Rates'!A216</f>
        <v>Mowing</v>
      </c>
      <c r="C60" s="268"/>
      <c r="D60" s="1853" t="s">
        <v>408</v>
      </c>
      <c r="E60" s="1853">
        <f>+'[20]Core Rates'!C216</f>
        <v>15.5</v>
      </c>
      <c r="F60" s="707">
        <v>1</v>
      </c>
      <c r="G60" s="708">
        <f>+F60*E60</f>
        <v>15.5</v>
      </c>
      <c r="H60" s="254"/>
      <c r="I60" s="286"/>
    </row>
    <row r="61" spans="1:9">
      <c r="A61" s="182"/>
      <c r="B61" s="261" t="s">
        <v>461</v>
      </c>
      <c r="C61" s="268"/>
      <c r="D61" s="705" t="s">
        <v>408</v>
      </c>
      <c r="E61" s="706">
        <f>+'[20]Core Rates'!C104</f>
        <v>20</v>
      </c>
      <c r="F61" s="707">
        <v>1</v>
      </c>
      <c r="G61" s="708">
        <f>+F61*E61</f>
        <v>20</v>
      </c>
      <c r="H61" s="254"/>
      <c r="I61" s="286"/>
    </row>
    <row r="62" spans="1:9">
      <c r="A62" s="182"/>
      <c r="B62" s="261" t="s">
        <v>462</v>
      </c>
      <c r="C62" s="268"/>
      <c r="D62" s="705" t="s">
        <v>408</v>
      </c>
      <c r="E62" s="706">
        <f>+'[20]Core Rates'!AN33</f>
        <v>5.416666666666667</v>
      </c>
      <c r="F62" s="707">
        <v>0</v>
      </c>
      <c r="G62" s="708">
        <f>+F62*E62</f>
        <v>0</v>
      </c>
      <c r="H62" s="254"/>
      <c r="I62" s="286"/>
    </row>
    <row r="63" spans="1:9">
      <c r="A63" s="182"/>
      <c r="B63" s="261" t="s">
        <v>463</v>
      </c>
      <c r="C63" s="268"/>
      <c r="D63" s="705" t="s">
        <v>452</v>
      </c>
      <c r="E63" s="706">
        <f>+'[20]Core Rates'!AN34</f>
        <v>5.5</v>
      </c>
      <c r="F63" s="707">
        <v>0</v>
      </c>
      <c r="G63" s="708">
        <f>+F63*E63</f>
        <v>0</v>
      </c>
      <c r="H63" s="254"/>
      <c r="I63" s="286"/>
    </row>
    <row r="64" spans="1:9">
      <c r="A64" s="182"/>
      <c r="B64" s="261" t="s">
        <v>464</v>
      </c>
      <c r="C64" s="268"/>
      <c r="D64" s="705" t="s">
        <v>452</v>
      </c>
      <c r="E64" s="706">
        <f>+'[20]Core Rates'!AN32</f>
        <v>6.3125</v>
      </c>
      <c r="F64" s="707">
        <v>0</v>
      </c>
      <c r="G64" s="708">
        <f>+F64*E64</f>
        <v>0</v>
      </c>
      <c r="H64" s="254"/>
      <c r="I64" s="286"/>
    </row>
    <row r="65" spans="1:9">
      <c r="A65" s="182"/>
      <c r="B65" s="261"/>
      <c r="C65" s="268"/>
      <c r="D65" s="269"/>
      <c r="E65" s="714"/>
      <c r="F65" s="714"/>
      <c r="G65" s="706"/>
      <c r="H65" s="254"/>
      <c r="I65" s="286"/>
    </row>
    <row r="66" spans="1:9">
      <c r="A66" s="182"/>
      <c r="B66" s="251" t="s">
        <v>43</v>
      </c>
      <c r="C66" s="254"/>
      <c r="D66" s="254"/>
      <c r="E66" s="272"/>
      <c r="F66" s="272"/>
      <c r="G66" s="272"/>
      <c r="H66" s="254"/>
      <c r="I66" s="265"/>
    </row>
    <row r="67" spans="1:9" ht="12.75" customHeight="1">
      <c r="A67" s="182"/>
      <c r="B67" s="2148" t="s">
        <v>457</v>
      </c>
      <c r="C67" s="2149"/>
      <c r="D67" s="2149"/>
      <c r="E67" s="2149"/>
      <c r="F67" s="2149"/>
      <c r="G67" s="2149"/>
      <c r="H67" s="2149"/>
      <c r="I67" s="2150"/>
    </row>
    <row r="68" spans="1:9">
      <c r="A68" s="182"/>
      <c r="B68" s="2148"/>
      <c r="C68" s="2149"/>
      <c r="D68" s="2149"/>
      <c r="E68" s="2149"/>
      <c r="F68" s="2149"/>
      <c r="G68" s="2149"/>
      <c r="H68" s="2149"/>
      <c r="I68" s="2150"/>
    </row>
    <row r="69" spans="1:9">
      <c r="A69" s="182"/>
      <c r="B69" s="715"/>
      <c r="C69" s="716"/>
      <c r="D69" s="716"/>
      <c r="E69" s="716"/>
      <c r="F69" s="716"/>
      <c r="G69" s="716"/>
      <c r="H69" s="716"/>
      <c r="I69" s="717"/>
    </row>
    <row r="70" spans="1:9">
      <c r="A70" s="182"/>
      <c r="B70" s="715"/>
      <c r="C70" s="716"/>
      <c r="D70" s="716"/>
      <c r="E70" s="716"/>
      <c r="F70" s="716"/>
      <c r="G70" s="716"/>
      <c r="H70" s="716"/>
      <c r="I70" s="717"/>
    </row>
    <row r="71" spans="1:9">
      <c r="A71" s="182"/>
      <c r="B71" s="246" t="s">
        <v>3</v>
      </c>
      <c r="C71" s="254"/>
      <c r="D71" s="254"/>
      <c r="E71" s="254"/>
      <c r="F71" s="256"/>
      <c r="G71" s="254"/>
      <c r="H71" s="254"/>
      <c r="I71" s="718">
        <f>E73</f>
        <v>201.46875</v>
      </c>
    </row>
    <row r="72" spans="1:9">
      <c r="A72" s="182"/>
      <c r="B72" s="2151" t="s">
        <v>465</v>
      </c>
      <c r="C72" s="2152"/>
      <c r="D72" s="254"/>
      <c r="E72" s="254"/>
      <c r="F72" s="254"/>
      <c r="G72" s="254"/>
      <c r="H72" s="254"/>
      <c r="I72" s="282"/>
    </row>
    <row r="73" spans="1:9">
      <c r="A73" s="182"/>
      <c r="B73" s="251" t="s">
        <v>466</v>
      </c>
      <c r="C73" s="256"/>
      <c r="D73" s="256"/>
      <c r="E73" s="720">
        <f>SUM(G57:G64)*0.15</f>
        <v>201.46875</v>
      </c>
      <c r="F73" s="254"/>
      <c r="G73" s="254"/>
      <c r="H73" s="254"/>
      <c r="I73" s="265"/>
    </row>
    <row r="74" spans="1:9">
      <c r="A74" s="182"/>
      <c r="B74" s="251"/>
      <c r="C74" s="256"/>
      <c r="D74" s="721"/>
      <c r="E74" s="720"/>
      <c r="F74" s="254"/>
      <c r="G74" s="254"/>
      <c r="H74" s="254"/>
      <c r="I74" s="265"/>
    </row>
    <row r="75" spans="1:9">
      <c r="A75" s="182"/>
      <c r="B75" s="251"/>
      <c r="C75" s="256"/>
      <c r="D75" s="722"/>
      <c r="E75" s="720"/>
      <c r="F75" s="254"/>
      <c r="G75" s="254"/>
      <c r="H75" s="254"/>
      <c r="I75" s="265"/>
    </row>
    <row r="76" spans="1:9">
      <c r="A76" s="182"/>
      <c r="B76" s="271"/>
      <c r="C76" s="254"/>
      <c r="D76" s="254"/>
      <c r="E76" s="254"/>
      <c r="F76" s="254"/>
      <c r="G76" s="254"/>
      <c r="H76" s="254"/>
      <c r="I76" s="248"/>
    </row>
    <row r="77" spans="1:9">
      <c r="A77" s="182"/>
      <c r="B77" s="246" t="s">
        <v>4</v>
      </c>
      <c r="C77" s="254"/>
      <c r="D77" s="254"/>
      <c r="E77" s="254"/>
      <c r="F77" s="254"/>
      <c r="G77" s="254"/>
      <c r="H77" s="254"/>
      <c r="I77" s="718">
        <f>0.03*(I40+I55+I71)</f>
        <v>42.855150000000002</v>
      </c>
    </row>
    <row r="78" spans="1:9">
      <c r="A78" s="182"/>
      <c r="B78" s="271" t="s">
        <v>467</v>
      </c>
      <c r="C78" s="254"/>
      <c r="D78" s="254"/>
      <c r="E78" s="254"/>
      <c r="F78" s="254"/>
      <c r="G78" s="254"/>
      <c r="H78" s="254"/>
      <c r="I78" s="248"/>
    </row>
    <row r="79" spans="1:9">
      <c r="A79" s="182"/>
      <c r="B79" s="251"/>
      <c r="C79" s="254"/>
      <c r="D79" s="254"/>
      <c r="E79" s="254"/>
      <c r="F79" s="254"/>
      <c r="G79" s="254"/>
      <c r="H79" s="254"/>
      <c r="I79" s="248"/>
    </row>
    <row r="80" spans="1:9">
      <c r="A80" s="182"/>
      <c r="B80" s="246" t="s">
        <v>468</v>
      </c>
      <c r="C80" s="254"/>
      <c r="D80" s="254"/>
      <c r="E80" s="254"/>
      <c r="F80" s="254"/>
      <c r="G80" s="254"/>
      <c r="H80" s="254"/>
      <c r="I80" s="718">
        <f>0.01*(I40+I55+I71)</f>
        <v>14.285050000000002</v>
      </c>
    </row>
    <row r="81" spans="1:9">
      <c r="A81" s="182"/>
      <c r="B81" s="271" t="s">
        <v>749</v>
      </c>
      <c r="C81" s="254"/>
      <c r="D81" s="254"/>
      <c r="E81" s="254"/>
      <c r="F81" s="254"/>
      <c r="G81" s="254"/>
      <c r="H81" s="254"/>
      <c r="I81" s="248"/>
    </row>
    <row r="82" spans="1:9">
      <c r="A82" s="182"/>
      <c r="B82" s="251"/>
      <c r="C82" s="254"/>
      <c r="D82" s="254"/>
      <c r="E82" s="254"/>
      <c r="F82" s="254"/>
      <c r="G82" s="254"/>
      <c r="H82" s="254"/>
      <c r="I82" s="248"/>
    </row>
    <row r="83" spans="1:9">
      <c r="A83" s="182"/>
      <c r="B83" s="246" t="s">
        <v>7</v>
      </c>
      <c r="C83" s="254"/>
      <c r="D83" s="254"/>
      <c r="E83" s="254"/>
      <c r="F83" s="254"/>
      <c r="G83" s="254"/>
      <c r="H83" s="254"/>
      <c r="I83" s="702">
        <v>0</v>
      </c>
    </row>
    <row r="84" spans="1:9">
      <c r="A84" s="182"/>
      <c r="B84" s="271" t="s">
        <v>1349</v>
      </c>
      <c r="C84" s="254"/>
      <c r="D84" s="254"/>
      <c r="E84" s="254"/>
      <c r="F84" s="254"/>
      <c r="G84" s="254"/>
      <c r="H84" s="254"/>
      <c r="I84" s="248"/>
    </row>
    <row r="85" spans="1:9">
      <c r="A85" s="182"/>
      <c r="B85" s="251"/>
      <c r="C85" s="254"/>
      <c r="D85" s="254"/>
      <c r="E85" s="254"/>
      <c r="F85" s="254"/>
      <c r="G85" s="254"/>
      <c r="H85" s="254"/>
      <c r="I85" s="248"/>
    </row>
    <row r="86" spans="1:9">
      <c r="A86" s="182"/>
      <c r="B86" s="246" t="s">
        <v>471</v>
      </c>
      <c r="C86" s="254"/>
      <c r="D86" s="254"/>
      <c r="E86" s="254"/>
      <c r="F86" s="256"/>
      <c r="G86" s="254"/>
      <c r="H86" s="254"/>
      <c r="I86" s="702">
        <v>600</v>
      </c>
    </row>
    <row r="87" spans="1:9">
      <c r="A87" s="182"/>
      <c r="B87" s="726" t="s">
        <v>1350</v>
      </c>
      <c r="C87" s="254"/>
      <c r="D87" s="254"/>
      <c r="E87" s="254"/>
      <c r="F87" s="254"/>
      <c r="G87" s="254"/>
      <c r="H87" s="254"/>
      <c r="I87" s="286"/>
    </row>
    <row r="88" spans="1:9">
      <c r="A88" s="182"/>
      <c r="B88" s="726"/>
      <c r="C88" s="254"/>
      <c r="D88" s="254"/>
      <c r="E88" s="254"/>
      <c r="F88" s="254"/>
      <c r="G88" s="254"/>
      <c r="H88" s="254"/>
      <c r="I88" s="286"/>
    </row>
    <row r="89" spans="1:9">
      <c r="A89" s="182"/>
      <c r="B89" s="251"/>
      <c r="C89" s="254"/>
      <c r="D89" s="254"/>
      <c r="E89" s="254"/>
      <c r="F89" s="254"/>
      <c r="G89" s="254"/>
      <c r="H89" s="254"/>
      <c r="I89" s="248"/>
    </row>
    <row r="90" spans="1:9">
      <c r="A90" s="182"/>
      <c r="B90" s="246" t="s">
        <v>5</v>
      </c>
      <c r="C90" s="254"/>
      <c r="D90" s="254"/>
      <c r="E90" s="254"/>
      <c r="F90" s="254"/>
      <c r="G90" s="254"/>
      <c r="H90" s="254"/>
      <c r="I90" s="702">
        <v>0</v>
      </c>
    </row>
    <row r="91" spans="1:9">
      <c r="A91" s="182"/>
      <c r="B91" s="271" t="s">
        <v>1351</v>
      </c>
      <c r="C91" s="254"/>
      <c r="D91" s="254"/>
      <c r="E91" s="254"/>
      <c r="F91" s="254"/>
      <c r="G91" s="254"/>
      <c r="H91" s="254"/>
      <c r="I91" s="286"/>
    </row>
    <row r="92" spans="1:9">
      <c r="A92" s="182"/>
      <c r="B92" s="251"/>
      <c r="C92" s="254"/>
      <c r="D92" s="254"/>
      <c r="E92" s="254"/>
      <c r="F92" s="254"/>
      <c r="G92" s="254"/>
      <c r="H92" s="254"/>
      <c r="I92" s="248"/>
    </row>
    <row r="93" spans="1:9">
      <c r="A93" s="182"/>
      <c r="B93" s="246" t="s">
        <v>20</v>
      </c>
      <c r="C93" s="254"/>
      <c r="D93" s="254"/>
      <c r="E93" s="254"/>
      <c r="F93" s="254"/>
      <c r="G93" s="254"/>
      <c r="H93" s="254"/>
      <c r="I93" s="702">
        <v>0</v>
      </c>
    </row>
    <row r="94" spans="1:9">
      <c r="A94" s="182"/>
      <c r="B94" s="271" t="s">
        <v>104</v>
      </c>
      <c r="C94" s="254"/>
      <c r="D94" s="254"/>
      <c r="E94" s="254"/>
      <c r="F94" s="254"/>
      <c r="G94" s="254"/>
      <c r="H94" s="254"/>
      <c r="I94" s="248"/>
    </row>
    <row r="95" spans="1:9">
      <c r="A95" s="182"/>
      <c r="B95" s="261"/>
      <c r="C95" s="254"/>
      <c r="D95" s="254"/>
      <c r="E95" s="254"/>
      <c r="F95" s="254"/>
      <c r="G95" s="254"/>
      <c r="H95" s="254"/>
      <c r="I95" s="248"/>
    </row>
    <row r="96" spans="1:9">
      <c r="A96" s="182"/>
      <c r="B96" s="246" t="s">
        <v>473</v>
      </c>
      <c r="C96" s="254"/>
      <c r="D96" s="254"/>
      <c r="E96" s="254"/>
      <c r="F96" s="254"/>
      <c r="G96" s="254"/>
      <c r="H96" s="254"/>
      <c r="I96" s="728">
        <f>+I40+I55+I71+I77+I83+I93</f>
        <v>1471.3601500000002</v>
      </c>
    </row>
    <row r="97" spans="1:9" ht="15.75">
      <c r="A97" s="182"/>
      <c r="B97" s="271" t="s">
        <v>474</v>
      </c>
      <c r="C97" s="254"/>
      <c r="D97" s="254"/>
      <c r="E97" s="254"/>
      <c r="F97" s="254"/>
      <c r="G97" s="254"/>
      <c r="H97" s="254"/>
      <c r="I97" s="248"/>
    </row>
    <row r="98" spans="1:9">
      <c r="A98" s="182"/>
      <c r="B98" s="261"/>
      <c r="C98" s="254"/>
      <c r="D98" s="254"/>
      <c r="E98" s="254"/>
      <c r="F98" s="254"/>
      <c r="G98" s="254"/>
      <c r="H98" s="254"/>
      <c r="I98" s="248"/>
    </row>
    <row r="99" spans="1:9">
      <c r="A99" s="182"/>
      <c r="B99" s="287" t="s">
        <v>11</v>
      </c>
      <c r="C99" s="288"/>
      <c r="D99" s="288"/>
      <c r="E99" s="288"/>
      <c r="F99" s="288"/>
      <c r="G99" s="288"/>
      <c r="H99" s="288"/>
      <c r="I99" s="621">
        <f>SUM(I40:I93)</f>
        <v>2085.6451999999999</v>
      </c>
    </row>
  </sheetData>
  <mergeCells count="4">
    <mergeCell ref="B1:D1"/>
    <mergeCell ref="E55:H55"/>
    <mergeCell ref="B67:I68"/>
    <mergeCell ref="B72:C72"/>
  </mergeCells>
  <pageMargins left="0.75" right="0.75" top="1" bottom="1" header="0.5" footer="0.5"/>
  <pageSetup scale="55" orientation="portrait" r:id="rId1"/>
  <headerFooter alignWithMargins="0"/>
</worksheet>
</file>

<file path=xl/worksheets/sheet244.xml><?xml version="1.0" encoding="utf-8"?>
<worksheet xmlns="http://schemas.openxmlformats.org/spreadsheetml/2006/main" xmlns:r="http://schemas.openxmlformats.org/officeDocument/2006/relationships">
  <sheetPr>
    <pageSetUpPr fitToPage="1"/>
  </sheetPr>
  <dimension ref="A1:L97"/>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bestFit="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2426</v>
      </c>
      <c r="F6" s="198" t="str">
        <f>+D36</f>
        <v>Acre</v>
      </c>
      <c r="G6" s="686">
        <f>+I25</f>
        <v>602.25644999999997</v>
      </c>
    </row>
    <row r="7" spans="1:12" ht="25.5">
      <c r="A7" s="182"/>
      <c r="B7" s="197">
        <f>+B6</f>
        <v>654</v>
      </c>
      <c r="C7" s="198" t="str">
        <f>+C6</f>
        <v>EQIP</v>
      </c>
      <c r="D7" s="199" t="s">
        <v>2416</v>
      </c>
      <c r="E7" s="199" t="str">
        <f>CONCATENATE(E6, "-HU")</f>
        <v>Road/Trail/Landing Closure &amp; Treatment (Ac) - Light Grading/Shaping (1-2hr/Ac), Mulch, Native Grass/Forbs Mix-HU</v>
      </c>
      <c r="F7" s="198" t="str">
        <f>+F6</f>
        <v>Acre</v>
      </c>
      <c r="G7" s="686">
        <f>+J25</f>
        <v>722.70774000000006</v>
      </c>
    </row>
    <row r="8" spans="1:12" ht="25.5">
      <c r="A8" s="182"/>
      <c r="B8" s="197">
        <v>654</v>
      </c>
      <c r="C8" s="198" t="str">
        <f>+G12</f>
        <v>WHIP</v>
      </c>
      <c r="D8" s="199" t="s">
        <v>2416</v>
      </c>
      <c r="E8" s="199" t="str">
        <f>+E6</f>
        <v>Road/Trail/Landing Closure &amp; Treatment (Ac) - Light Grading/Shaping (1-2hr/Ac), Mulch, Native Grass/Forbs Mix</v>
      </c>
      <c r="F8" s="198" t="str">
        <f>+D36</f>
        <v>Acre</v>
      </c>
      <c r="G8" s="686">
        <f>+K25</f>
        <v>0</v>
      </c>
    </row>
    <row r="9" spans="1:12" ht="25.5">
      <c r="A9" s="182"/>
      <c r="B9" s="203">
        <f>+B8</f>
        <v>654</v>
      </c>
      <c r="C9" s="204" t="str">
        <f>+C8</f>
        <v>WHIP</v>
      </c>
      <c r="D9" s="199" t="s">
        <v>2416</v>
      </c>
      <c r="E9" s="205" t="str">
        <f>CONCATENATE(E6, "-HU")</f>
        <v>Road/Trail/Landing Closure &amp; Treatment (Ac) - Light Grading/Shaping (1-2hr/Ac), Mulch, Native Grass/Forbs Mix-HU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105.86999999999999</v>
      </c>
      <c r="E16" s="226">
        <f>+'[10]Payment Factors'!D11</f>
        <v>0.75</v>
      </c>
      <c r="F16" s="226">
        <f>+'[10]Payment Factors'!E11</f>
        <v>0.9</v>
      </c>
      <c r="G16" s="226">
        <f>+'[10]Payment Factors'!F11</f>
        <v>0</v>
      </c>
      <c r="H16" s="226">
        <f>+'[10]Payment Factors'!G11</f>
        <v>0</v>
      </c>
      <c r="I16" s="689">
        <f t="shared" ref="I16:L24" si="0">+$D16*E16</f>
        <v>79.402499999999989</v>
      </c>
      <c r="J16" s="689">
        <f t="shared" si="0"/>
        <v>95.282999999999987</v>
      </c>
      <c r="K16" s="689">
        <f t="shared" si="0"/>
        <v>0</v>
      </c>
      <c r="L16" s="690">
        <f t="shared" si="0"/>
        <v>0</v>
      </c>
    </row>
    <row r="17" spans="1:12">
      <c r="A17" s="182"/>
      <c r="B17" s="215" t="s">
        <v>2</v>
      </c>
      <c r="C17" s="217"/>
      <c r="D17" s="688">
        <f>+I53</f>
        <v>572.6875</v>
      </c>
      <c r="E17" s="226">
        <f t="shared" ref="E17:H19" si="1">+E16</f>
        <v>0.75</v>
      </c>
      <c r="F17" s="226">
        <f t="shared" si="1"/>
        <v>0.9</v>
      </c>
      <c r="G17" s="226">
        <f t="shared" si="1"/>
        <v>0</v>
      </c>
      <c r="H17" s="226">
        <f t="shared" si="1"/>
        <v>0</v>
      </c>
      <c r="I17" s="689">
        <f t="shared" si="0"/>
        <v>429.515625</v>
      </c>
      <c r="J17" s="689">
        <f t="shared" si="0"/>
        <v>515.41875000000005</v>
      </c>
      <c r="K17" s="689">
        <f t="shared" si="0"/>
        <v>0</v>
      </c>
      <c r="L17" s="690">
        <f t="shared" si="0"/>
        <v>0</v>
      </c>
    </row>
    <row r="18" spans="1:12">
      <c r="A18" s="182"/>
      <c r="B18" s="215" t="s">
        <v>3</v>
      </c>
      <c r="C18" s="217"/>
      <c r="D18" s="688">
        <f>+I69</f>
        <v>101.0625</v>
      </c>
      <c r="E18" s="226">
        <f t="shared" si="1"/>
        <v>0.75</v>
      </c>
      <c r="F18" s="226">
        <f t="shared" si="1"/>
        <v>0.9</v>
      </c>
      <c r="G18" s="226">
        <f t="shared" si="1"/>
        <v>0</v>
      </c>
      <c r="H18" s="226">
        <f t="shared" si="1"/>
        <v>0</v>
      </c>
      <c r="I18" s="689">
        <f t="shared" si="0"/>
        <v>75.796875</v>
      </c>
      <c r="J18" s="689">
        <f t="shared" si="0"/>
        <v>90.956249999999997</v>
      </c>
      <c r="K18" s="689">
        <f t="shared" si="0"/>
        <v>0</v>
      </c>
      <c r="L18" s="690">
        <f t="shared" si="0"/>
        <v>0</v>
      </c>
    </row>
    <row r="19" spans="1:12">
      <c r="A19" s="182"/>
      <c r="B19" s="215" t="s">
        <v>4</v>
      </c>
      <c r="C19" s="217"/>
      <c r="D19" s="688">
        <f>+I75</f>
        <v>23.3886</v>
      </c>
      <c r="E19" s="226">
        <f t="shared" si="1"/>
        <v>0.75</v>
      </c>
      <c r="F19" s="226">
        <f t="shared" si="1"/>
        <v>0.9</v>
      </c>
      <c r="G19" s="226">
        <f t="shared" si="1"/>
        <v>0</v>
      </c>
      <c r="H19" s="226">
        <f t="shared" si="1"/>
        <v>0</v>
      </c>
      <c r="I19" s="689">
        <f t="shared" si="0"/>
        <v>17.541450000000001</v>
      </c>
      <c r="J19" s="689">
        <f t="shared" si="0"/>
        <v>21.04974</v>
      </c>
      <c r="K19" s="689">
        <f t="shared" si="0"/>
        <v>0</v>
      </c>
      <c r="L19" s="690">
        <f t="shared" si="0"/>
        <v>0</v>
      </c>
    </row>
    <row r="20" spans="1:12">
      <c r="A20" s="182"/>
      <c r="B20" s="215" t="s">
        <v>26</v>
      </c>
      <c r="C20" s="217"/>
      <c r="D20" s="688">
        <f>+I78</f>
        <v>7.7961999999999998</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+I81</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+I84</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+I88</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+I91</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1410.8047999999999</v>
      </c>
      <c r="E25" s="695"/>
      <c r="F25" s="695"/>
      <c r="G25" s="234"/>
      <c r="H25" s="234"/>
      <c r="I25" s="696">
        <f>SUM(I16:I24)</f>
        <v>602.25644999999997</v>
      </c>
      <c r="J25" s="696">
        <f>SUM(J16:J24)</f>
        <v>722.70774000000006</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SUM(G42:G48)</f>
        <v>105.86999999999999</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8" si="2">+F42*E42</f>
        <v>0</v>
      </c>
      <c r="H42" s="254"/>
      <c r="I42" s="286"/>
    </row>
    <row r="43" spans="1:9">
      <c r="A43" s="182"/>
      <c r="B43" s="261" t="s">
        <v>451</v>
      </c>
      <c r="C43" s="268"/>
      <c r="D43" s="705" t="s">
        <v>452</v>
      </c>
      <c r="E43" s="706">
        <f>+'[20]Core Rates'!C203</f>
        <v>8.75</v>
      </c>
      <c r="F43" s="707">
        <v>0</v>
      </c>
      <c r="G43" s="708">
        <f t="shared" si="2"/>
        <v>0</v>
      </c>
      <c r="H43" s="254"/>
      <c r="I43" s="248"/>
    </row>
    <row r="44" spans="1:9">
      <c r="A44" s="182"/>
      <c r="B44" s="1849" t="s">
        <v>453</v>
      </c>
      <c r="C44" s="268"/>
      <c r="D44" s="711" t="s">
        <v>454</v>
      </c>
      <c r="E44" s="706">
        <f>+'[20]Core Rates'!C228</f>
        <v>0.82427536231884069</v>
      </c>
      <c r="F44" s="707">
        <v>0</v>
      </c>
      <c r="G44" s="708">
        <f t="shared" si="2"/>
        <v>0</v>
      </c>
      <c r="H44" s="254"/>
      <c r="I44" s="248"/>
    </row>
    <row r="45" spans="1:9">
      <c r="A45" s="182"/>
      <c r="B45" s="709" t="s">
        <v>455</v>
      </c>
      <c r="C45" s="710"/>
      <c r="D45" s="711" t="s">
        <v>454</v>
      </c>
      <c r="E45" s="706">
        <f>+'[20]Core Rates'!C235</f>
        <v>1.1702898550724636</v>
      </c>
      <c r="F45" s="707">
        <v>0</v>
      </c>
      <c r="G45" s="708">
        <f t="shared" si="2"/>
        <v>0</v>
      </c>
      <c r="H45" s="254"/>
      <c r="I45" s="248"/>
    </row>
    <row r="46" spans="1:9">
      <c r="A46" s="182"/>
      <c r="B46" s="709" t="s">
        <v>456</v>
      </c>
      <c r="C46" s="710"/>
      <c r="D46" s="705" t="s">
        <v>454</v>
      </c>
      <c r="E46" s="706">
        <f>+'[20]Core Rates'!C246</f>
        <v>0.58825136612021856</v>
      </c>
      <c r="F46" s="707">
        <v>0</v>
      </c>
      <c r="G46" s="708">
        <f t="shared" si="2"/>
        <v>0</v>
      </c>
      <c r="H46" s="254"/>
      <c r="I46" s="248"/>
    </row>
    <row r="47" spans="1:9">
      <c r="A47" s="182"/>
      <c r="B47" s="1868" t="str">
        <f>+'[20]Core Rates'!A309</f>
        <v>Seed (Native grass except Prairie Dropseed and Splitbeard Bluestem)</v>
      </c>
      <c r="C47" s="710"/>
      <c r="D47" s="711" t="s">
        <v>454</v>
      </c>
      <c r="E47" s="706">
        <f>+'[20]Core Rates 2011'!BE306</f>
        <v>8.57</v>
      </c>
      <c r="F47" s="707">
        <v>9</v>
      </c>
      <c r="G47" s="708">
        <f t="shared" si="2"/>
        <v>77.13</v>
      </c>
      <c r="H47" s="254"/>
      <c r="I47" s="248"/>
    </row>
    <row r="48" spans="1:9">
      <c r="A48" s="182"/>
      <c r="B48" s="1868" t="str">
        <f>+'[20]Core Rates 2011'!A291</f>
        <v>Seed (4 native forb species mix)</v>
      </c>
      <c r="C48" s="710"/>
      <c r="D48" s="711" t="s">
        <v>454</v>
      </c>
      <c r="E48" s="706">
        <f>+'[20]Core Rates 2011'!BE291</f>
        <v>28.74</v>
      </c>
      <c r="F48" s="707">
        <v>1</v>
      </c>
      <c r="G48" s="708">
        <f t="shared" si="2"/>
        <v>28.74</v>
      </c>
      <c r="H48" s="254"/>
      <c r="I48" s="248"/>
    </row>
    <row r="49" spans="1:9">
      <c r="A49" s="182"/>
      <c r="B49" s="1849"/>
      <c r="C49" s="268"/>
      <c r="D49" s="1851"/>
      <c r="E49" s="1852"/>
      <c r="F49" s="254"/>
      <c r="G49" s="254"/>
      <c r="H49" s="254"/>
      <c r="I49" s="248"/>
    </row>
    <row r="50" spans="1:9">
      <c r="A50" s="182"/>
      <c r="B50" s="251" t="s">
        <v>43</v>
      </c>
      <c r="C50" s="254"/>
      <c r="D50" s="254"/>
      <c r="E50" s="272"/>
      <c r="F50" s="272"/>
      <c r="G50" s="272"/>
      <c r="H50" s="254"/>
      <c r="I50" s="265"/>
    </row>
    <row r="51" spans="1:9">
      <c r="A51" s="182"/>
      <c r="B51" s="261" t="s">
        <v>457</v>
      </c>
      <c r="C51" s="254"/>
      <c r="D51" s="254"/>
      <c r="E51" s="272"/>
      <c r="F51" s="272"/>
      <c r="G51" s="272"/>
      <c r="H51" s="254"/>
      <c r="I51" s="265"/>
    </row>
    <row r="52" spans="1:9">
      <c r="A52" s="182"/>
      <c r="B52" s="1850"/>
      <c r="C52" s="268"/>
      <c r="D52" s="1851"/>
      <c r="E52" s="254"/>
      <c r="F52" s="254"/>
      <c r="G52" s="254"/>
      <c r="H52" s="254"/>
      <c r="I52" s="248"/>
    </row>
    <row r="53" spans="1:9">
      <c r="A53" s="182"/>
      <c r="B53" s="246" t="s">
        <v>2</v>
      </c>
      <c r="C53" s="254"/>
      <c r="D53" s="254"/>
      <c r="E53" s="2147" t="s">
        <v>459</v>
      </c>
      <c r="F53" s="2147"/>
      <c r="G53" s="2147"/>
      <c r="H53" s="2147"/>
      <c r="I53" s="702">
        <f>(SUM(G55:G601)*0.85)</f>
        <v>572.6875</v>
      </c>
    </row>
    <row r="54" spans="1:9">
      <c r="A54" s="182"/>
      <c r="B54" s="703"/>
      <c r="C54" s="254"/>
      <c r="D54" s="704" t="s">
        <v>447</v>
      </c>
      <c r="E54" s="704" t="s">
        <v>448</v>
      </c>
      <c r="F54" s="704" t="s">
        <v>449</v>
      </c>
      <c r="G54" s="704" t="s">
        <v>450</v>
      </c>
      <c r="H54" s="254"/>
      <c r="I54" s="265"/>
    </row>
    <row r="55" spans="1:9">
      <c r="A55" s="182"/>
      <c r="B55" s="1867" t="str">
        <f>+'[20]Core Rates'!A109</f>
        <v>Earthmoving: Light grading/shaping (1-2 hrs/ac)</v>
      </c>
      <c r="C55" s="1861"/>
      <c r="D55" s="1862" t="s">
        <v>408</v>
      </c>
      <c r="E55" s="706">
        <f>+'[20]Core Rates'!C109</f>
        <v>165.75</v>
      </c>
      <c r="F55" s="707">
        <v>1</v>
      </c>
      <c r="G55" s="708">
        <f>+F55*E55</f>
        <v>165.75</v>
      </c>
      <c r="H55" s="254"/>
      <c r="I55" s="286"/>
    </row>
    <row r="56" spans="1:9">
      <c r="A56" s="182"/>
      <c r="B56" s="1863" t="str">
        <f>+'[20]Core Rates'!A217</f>
        <v>Mulching (2 tons/ac applied)</v>
      </c>
      <c r="C56" s="720"/>
      <c r="D56" s="708" t="s">
        <v>408</v>
      </c>
      <c r="E56" s="708">
        <f>+'[20]Core Rates'!C217</f>
        <v>472.5</v>
      </c>
      <c r="F56" s="706">
        <v>1</v>
      </c>
      <c r="G56" s="708">
        <f>+F56*E56</f>
        <v>472.5</v>
      </c>
      <c r="H56" s="254"/>
      <c r="I56" s="286"/>
    </row>
    <row r="57" spans="1:9">
      <c r="A57" s="182"/>
      <c r="B57" s="1866" t="str">
        <f>+'[20]Core Rates'!A123</f>
        <v>Erosion Control Blanket, Type II (Installed)</v>
      </c>
      <c r="C57" s="720"/>
      <c r="D57" s="708" t="str">
        <f>+'[20]Core Rates'!B123</f>
        <v>Sq Yd</v>
      </c>
      <c r="E57" s="708">
        <f>+'[20]Core Rates'!C123</f>
        <v>1.5750000000000002</v>
      </c>
      <c r="F57" s="706">
        <v>0</v>
      </c>
      <c r="G57" s="708">
        <f>+E57/9*43560*F57</f>
        <v>0</v>
      </c>
      <c r="H57" s="254"/>
      <c r="I57" s="286"/>
    </row>
    <row r="58" spans="1:9">
      <c r="A58" s="182"/>
      <c r="B58" s="261" t="s">
        <v>461</v>
      </c>
      <c r="C58" s="268"/>
      <c r="D58" s="705" t="s">
        <v>408</v>
      </c>
      <c r="E58" s="706">
        <f>+'[20]Core Rates'!C104</f>
        <v>20</v>
      </c>
      <c r="F58" s="707">
        <v>1</v>
      </c>
      <c r="G58" s="708">
        <f>+F58*E58</f>
        <v>20</v>
      </c>
      <c r="H58" s="254"/>
      <c r="I58" s="286"/>
    </row>
    <row r="59" spans="1:9">
      <c r="A59" s="182"/>
      <c r="B59" s="712" t="str">
        <f>+'[20]Core Rates'!A216</f>
        <v>Mowing</v>
      </c>
      <c r="C59" s="268"/>
      <c r="D59" s="1853" t="s">
        <v>408</v>
      </c>
      <c r="E59" s="1853">
        <f>+'[20]Core Rates'!C216</f>
        <v>15.5</v>
      </c>
      <c r="F59" s="707">
        <v>1</v>
      </c>
      <c r="G59" s="708">
        <f>+F59*E59</f>
        <v>15.5</v>
      </c>
      <c r="H59" s="254"/>
      <c r="I59" s="286"/>
    </row>
    <row r="60" spans="1:9">
      <c r="A60" s="182"/>
      <c r="B60" s="261" t="s">
        <v>462</v>
      </c>
      <c r="C60" s="268"/>
      <c r="D60" s="705" t="s">
        <v>408</v>
      </c>
      <c r="E60" s="706">
        <f>+'[20]Core Rates'!AN33</f>
        <v>5.416666666666667</v>
      </c>
      <c r="F60" s="707"/>
      <c r="G60" s="708">
        <f>+F60*E60</f>
        <v>0</v>
      </c>
      <c r="H60" s="254"/>
      <c r="I60" s="286"/>
    </row>
    <row r="61" spans="1:9">
      <c r="A61" s="182"/>
      <c r="B61" s="261" t="s">
        <v>463</v>
      </c>
      <c r="C61" s="268"/>
      <c r="D61" s="705" t="s">
        <v>452</v>
      </c>
      <c r="E61" s="706">
        <f>+'[20]Core Rates'!AN34</f>
        <v>5.5</v>
      </c>
      <c r="F61" s="707"/>
      <c r="G61" s="708">
        <f>+F61*E61</f>
        <v>0</v>
      </c>
      <c r="H61" s="254"/>
      <c r="I61" s="286"/>
    </row>
    <row r="62" spans="1:9">
      <c r="A62" s="182"/>
      <c r="B62" s="261" t="s">
        <v>464</v>
      </c>
      <c r="C62" s="268"/>
      <c r="D62" s="705" t="s">
        <v>452</v>
      </c>
      <c r="E62" s="706">
        <f>+'[20]Core Rates'!AN32</f>
        <v>6.3125</v>
      </c>
      <c r="F62" s="707"/>
      <c r="G62" s="708">
        <f>+F62*E62</f>
        <v>0</v>
      </c>
      <c r="H62" s="254"/>
      <c r="I62" s="286"/>
    </row>
    <row r="63" spans="1:9">
      <c r="A63" s="182"/>
      <c r="B63" s="261"/>
      <c r="C63" s="268"/>
      <c r="D63" s="269"/>
      <c r="E63" s="714"/>
      <c r="F63" s="714"/>
      <c r="G63" s="706"/>
      <c r="H63" s="254"/>
      <c r="I63" s="286"/>
    </row>
    <row r="64" spans="1:9">
      <c r="A64" s="182"/>
      <c r="B64" s="251" t="s">
        <v>43</v>
      </c>
      <c r="C64" s="254"/>
      <c r="D64" s="254"/>
      <c r="E64" s="272"/>
      <c r="F64" s="272"/>
      <c r="G64" s="272"/>
      <c r="H64" s="254"/>
      <c r="I64" s="265"/>
    </row>
    <row r="65" spans="1:9" ht="12.75" customHeight="1">
      <c r="A65" s="182"/>
      <c r="B65" s="2148" t="s">
        <v>457</v>
      </c>
      <c r="C65" s="2149"/>
      <c r="D65" s="2149"/>
      <c r="E65" s="2149"/>
      <c r="F65" s="2149"/>
      <c r="G65" s="2149"/>
      <c r="H65" s="2149"/>
      <c r="I65" s="2150"/>
    </row>
    <row r="66" spans="1:9">
      <c r="A66" s="182"/>
      <c r="B66" s="2148"/>
      <c r="C66" s="2149"/>
      <c r="D66" s="2149"/>
      <c r="E66" s="2149"/>
      <c r="F66" s="2149"/>
      <c r="G66" s="2149"/>
      <c r="H66" s="2149"/>
      <c r="I66" s="2150"/>
    </row>
    <row r="67" spans="1:9">
      <c r="A67" s="182"/>
      <c r="B67" s="715"/>
      <c r="C67" s="716"/>
      <c r="D67" s="716"/>
      <c r="E67" s="716"/>
      <c r="F67" s="716"/>
      <c r="G67" s="716"/>
      <c r="H67" s="716"/>
      <c r="I67" s="717"/>
    </row>
    <row r="68" spans="1:9">
      <c r="A68" s="182"/>
      <c r="B68" s="715"/>
      <c r="C68" s="716"/>
      <c r="D68" s="716"/>
      <c r="E68" s="716"/>
      <c r="F68" s="716"/>
      <c r="G68" s="716"/>
      <c r="H68" s="716"/>
      <c r="I68" s="717"/>
    </row>
    <row r="69" spans="1:9">
      <c r="A69" s="182"/>
      <c r="B69" s="246" t="s">
        <v>3</v>
      </c>
      <c r="C69" s="254"/>
      <c r="D69" s="254"/>
      <c r="E69" s="254"/>
      <c r="F69" s="256"/>
      <c r="G69" s="254"/>
      <c r="H69" s="254"/>
      <c r="I69" s="718">
        <f>E71</f>
        <v>101.0625</v>
      </c>
    </row>
    <row r="70" spans="1:9">
      <c r="A70" s="182"/>
      <c r="B70" s="2151" t="s">
        <v>465</v>
      </c>
      <c r="C70" s="2152"/>
      <c r="D70" s="254"/>
      <c r="E70" s="254"/>
      <c r="F70" s="254"/>
      <c r="G70" s="254"/>
      <c r="H70" s="254"/>
      <c r="I70" s="282"/>
    </row>
    <row r="71" spans="1:9">
      <c r="A71" s="182"/>
      <c r="B71" s="251" t="s">
        <v>466</v>
      </c>
      <c r="C71" s="256"/>
      <c r="D71" s="256"/>
      <c r="E71" s="720">
        <f>SUM(G55:G62)*0.15</f>
        <v>101.0625</v>
      </c>
      <c r="F71" s="254"/>
      <c r="G71" s="254"/>
      <c r="H71" s="254"/>
      <c r="I71" s="265"/>
    </row>
    <row r="72" spans="1:9">
      <c r="A72" s="182"/>
      <c r="B72" s="251"/>
      <c r="C72" s="256"/>
      <c r="D72" s="721"/>
      <c r="E72" s="720"/>
      <c r="F72" s="254"/>
      <c r="G72" s="254"/>
      <c r="H72" s="254"/>
      <c r="I72" s="265"/>
    </row>
    <row r="73" spans="1:9">
      <c r="A73" s="182"/>
      <c r="B73" s="251"/>
      <c r="C73" s="256"/>
      <c r="D73" s="722"/>
      <c r="E73" s="720"/>
      <c r="F73" s="254"/>
      <c r="G73" s="254"/>
      <c r="H73" s="254"/>
      <c r="I73" s="265"/>
    </row>
    <row r="74" spans="1:9">
      <c r="A74" s="182"/>
      <c r="B74" s="271"/>
      <c r="C74" s="254"/>
      <c r="D74" s="254"/>
      <c r="E74" s="254"/>
      <c r="F74" s="254"/>
      <c r="G74" s="254"/>
      <c r="H74" s="254"/>
      <c r="I74" s="248"/>
    </row>
    <row r="75" spans="1:9">
      <c r="A75" s="182"/>
      <c r="B75" s="246" t="s">
        <v>4</v>
      </c>
      <c r="C75" s="254"/>
      <c r="D75" s="254"/>
      <c r="E75" s="254"/>
      <c r="F75" s="254"/>
      <c r="G75" s="254"/>
      <c r="H75" s="254"/>
      <c r="I75" s="718">
        <f>0.03*(I40+I53+I69)</f>
        <v>23.3886</v>
      </c>
    </row>
    <row r="76" spans="1:9">
      <c r="A76" s="182"/>
      <c r="B76" s="271" t="s">
        <v>467</v>
      </c>
      <c r="C76" s="254"/>
      <c r="D76" s="254"/>
      <c r="E76" s="254"/>
      <c r="F76" s="254"/>
      <c r="G76" s="254"/>
      <c r="H76" s="254"/>
      <c r="I76" s="248"/>
    </row>
    <row r="77" spans="1:9">
      <c r="A77" s="182"/>
      <c r="B77" s="251"/>
      <c r="C77" s="254"/>
      <c r="D77" s="254"/>
      <c r="E77" s="254"/>
      <c r="F77" s="254"/>
      <c r="G77" s="254"/>
      <c r="H77" s="254"/>
      <c r="I77" s="248"/>
    </row>
    <row r="78" spans="1:9">
      <c r="A78" s="182"/>
      <c r="B78" s="246" t="s">
        <v>468</v>
      </c>
      <c r="C78" s="254"/>
      <c r="D78" s="254"/>
      <c r="E78" s="254"/>
      <c r="F78" s="254"/>
      <c r="G78" s="254"/>
      <c r="H78" s="254"/>
      <c r="I78" s="718">
        <f>0.01*(I40+I53+I69)</f>
        <v>7.7961999999999998</v>
      </c>
    </row>
    <row r="79" spans="1:9">
      <c r="A79" s="182"/>
      <c r="B79" s="271" t="s">
        <v>749</v>
      </c>
      <c r="C79" s="254"/>
      <c r="D79" s="254"/>
      <c r="E79" s="254"/>
      <c r="F79" s="254"/>
      <c r="G79" s="254"/>
      <c r="H79" s="254"/>
      <c r="I79" s="248"/>
    </row>
    <row r="80" spans="1:9">
      <c r="A80" s="182"/>
      <c r="B80" s="251"/>
      <c r="C80" s="254"/>
      <c r="D80" s="254"/>
      <c r="E80" s="254"/>
      <c r="F80" s="254"/>
      <c r="G80" s="254"/>
      <c r="H80" s="254"/>
      <c r="I80" s="248"/>
    </row>
    <row r="81" spans="1:9">
      <c r="A81" s="182"/>
      <c r="B81" s="246" t="s">
        <v>7</v>
      </c>
      <c r="C81" s="254"/>
      <c r="D81" s="254"/>
      <c r="E81" s="254"/>
      <c r="F81" s="254"/>
      <c r="G81" s="254"/>
      <c r="H81" s="254"/>
      <c r="I81" s="702">
        <v>0</v>
      </c>
    </row>
    <row r="82" spans="1:9">
      <c r="A82" s="182"/>
      <c r="B82" s="271" t="s">
        <v>1349</v>
      </c>
      <c r="C82" s="254"/>
      <c r="D82" s="254"/>
      <c r="E82" s="254"/>
      <c r="F82" s="254"/>
      <c r="G82" s="254"/>
      <c r="H82" s="254"/>
      <c r="I82" s="248"/>
    </row>
    <row r="83" spans="1:9">
      <c r="A83" s="182"/>
      <c r="B83" s="251"/>
      <c r="C83" s="254"/>
      <c r="D83" s="254"/>
      <c r="E83" s="254"/>
      <c r="F83" s="254"/>
      <c r="G83" s="254"/>
      <c r="H83" s="254"/>
      <c r="I83" s="248"/>
    </row>
    <row r="84" spans="1:9">
      <c r="A84" s="182"/>
      <c r="B84" s="246" t="s">
        <v>471</v>
      </c>
      <c r="C84" s="254"/>
      <c r="D84" s="254"/>
      <c r="E84" s="254"/>
      <c r="F84" s="256"/>
      <c r="G84" s="254"/>
      <c r="H84" s="254"/>
      <c r="I84" s="702">
        <v>600</v>
      </c>
    </row>
    <row r="85" spans="1:9">
      <c r="A85" s="182"/>
      <c r="B85" s="726" t="s">
        <v>1350</v>
      </c>
      <c r="C85" s="254"/>
      <c r="D85" s="254"/>
      <c r="E85" s="254"/>
      <c r="F85" s="254"/>
      <c r="G85" s="254"/>
      <c r="H85" s="254"/>
      <c r="I85" s="286"/>
    </row>
    <row r="86" spans="1:9">
      <c r="A86" s="182"/>
      <c r="B86" s="726"/>
      <c r="C86" s="254"/>
      <c r="D86" s="254"/>
      <c r="E86" s="254"/>
      <c r="F86" s="254"/>
      <c r="G86" s="254"/>
      <c r="H86" s="254"/>
      <c r="I86" s="286"/>
    </row>
    <row r="87" spans="1:9">
      <c r="A87" s="182"/>
      <c r="B87" s="251"/>
      <c r="C87" s="254"/>
      <c r="D87" s="254"/>
      <c r="E87" s="254"/>
      <c r="F87" s="254"/>
      <c r="G87" s="254"/>
      <c r="H87" s="254"/>
      <c r="I87" s="248"/>
    </row>
    <row r="88" spans="1:9">
      <c r="A88" s="182"/>
      <c r="B88" s="246" t="s">
        <v>5</v>
      </c>
      <c r="C88" s="254"/>
      <c r="D88" s="254"/>
      <c r="E88" s="254"/>
      <c r="F88" s="254"/>
      <c r="G88" s="254"/>
      <c r="H88" s="254"/>
      <c r="I88" s="702">
        <v>0</v>
      </c>
    </row>
    <row r="89" spans="1:9">
      <c r="A89" s="182"/>
      <c r="B89" s="271" t="s">
        <v>1351</v>
      </c>
      <c r="C89" s="254"/>
      <c r="D89" s="254"/>
      <c r="E89" s="254"/>
      <c r="F89" s="254"/>
      <c r="G89" s="254"/>
      <c r="H89" s="254"/>
      <c r="I89" s="286"/>
    </row>
    <row r="90" spans="1:9">
      <c r="A90" s="182"/>
      <c r="B90" s="251"/>
      <c r="C90" s="254"/>
      <c r="D90" s="254"/>
      <c r="E90" s="254"/>
      <c r="F90" s="254"/>
      <c r="G90" s="254"/>
      <c r="H90" s="254"/>
      <c r="I90" s="248"/>
    </row>
    <row r="91" spans="1:9">
      <c r="A91" s="182"/>
      <c r="B91" s="246" t="s">
        <v>20</v>
      </c>
      <c r="C91" s="254"/>
      <c r="D91" s="254"/>
      <c r="E91" s="254"/>
      <c r="F91" s="254"/>
      <c r="G91" s="254"/>
      <c r="H91" s="254"/>
      <c r="I91" s="702">
        <v>0</v>
      </c>
    </row>
    <row r="92" spans="1:9">
      <c r="A92" s="182"/>
      <c r="B92" s="271" t="s">
        <v>104</v>
      </c>
      <c r="C92" s="254"/>
      <c r="D92" s="254"/>
      <c r="E92" s="254"/>
      <c r="F92" s="254"/>
      <c r="G92" s="254"/>
      <c r="H92" s="254"/>
      <c r="I92" s="248"/>
    </row>
    <row r="93" spans="1:9">
      <c r="A93" s="182"/>
      <c r="B93" s="261"/>
      <c r="C93" s="254"/>
      <c r="D93" s="254"/>
      <c r="E93" s="254"/>
      <c r="F93" s="254"/>
      <c r="G93" s="254"/>
      <c r="H93" s="254"/>
      <c r="I93" s="248"/>
    </row>
    <row r="94" spans="1:9">
      <c r="A94" s="182"/>
      <c r="B94" s="246" t="s">
        <v>473</v>
      </c>
      <c r="C94" s="254"/>
      <c r="D94" s="254"/>
      <c r="E94" s="254"/>
      <c r="F94" s="254"/>
      <c r="G94" s="254"/>
      <c r="H94" s="254"/>
      <c r="I94" s="728">
        <f>+I40+I53+I69+I75+I81+I91</f>
        <v>803.0086</v>
      </c>
    </row>
    <row r="95" spans="1:9" ht="15.75">
      <c r="A95" s="182"/>
      <c r="B95" s="271" t="s">
        <v>474</v>
      </c>
      <c r="C95" s="254"/>
      <c r="D95" s="254"/>
      <c r="E95" s="254"/>
      <c r="F95" s="254"/>
      <c r="G95" s="254"/>
      <c r="H95" s="254"/>
      <c r="I95" s="248"/>
    </row>
    <row r="96" spans="1:9">
      <c r="A96" s="182"/>
      <c r="B96" s="261"/>
      <c r="C96" s="254"/>
      <c r="D96" s="254"/>
      <c r="E96" s="254"/>
      <c r="F96" s="254"/>
      <c r="G96" s="254"/>
      <c r="H96" s="254"/>
      <c r="I96" s="248"/>
    </row>
    <row r="97" spans="1:9">
      <c r="A97" s="182"/>
      <c r="B97" s="287" t="s">
        <v>11</v>
      </c>
      <c r="C97" s="288"/>
      <c r="D97" s="288"/>
      <c r="E97" s="288"/>
      <c r="F97" s="288"/>
      <c r="G97" s="288"/>
      <c r="H97" s="288"/>
      <c r="I97" s="621">
        <f>SUM(I40:I91)</f>
        <v>1410.8047999999999</v>
      </c>
    </row>
  </sheetData>
  <mergeCells count="4">
    <mergeCell ref="B1:D1"/>
    <mergeCell ref="E53:H53"/>
    <mergeCell ref="B65:I66"/>
    <mergeCell ref="B70:C70"/>
  </mergeCells>
  <pageMargins left="0.75" right="0.75" top="1" bottom="1" header="0.5" footer="0.5"/>
  <pageSetup scale="55" orientation="portrait" r:id="rId1"/>
  <headerFooter alignWithMargins="0"/>
</worksheet>
</file>

<file path=xl/worksheets/sheet245.xml><?xml version="1.0" encoding="utf-8"?>
<worksheet xmlns="http://schemas.openxmlformats.org/spreadsheetml/2006/main" xmlns:r="http://schemas.openxmlformats.org/officeDocument/2006/relationships">
  <sheetPr>
    <pageSetUpPr fitToPage="1"/>
  </sheetPr>
  <dimension ref="A1:L97"/>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bestFit="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2427</v>
      </c>
      <c r="F6" s="198" t="str">
        <f>+D36</f>
        <v>Acre</v>
      </c>
      <c r="G6" s="686">
        <f>+I25</f>
        <v>863.2648875000001</v>
      </c>
    </row>
    <row r="7" spans="1:12" ht="25.5">
      <c r="A7" s="182"/>
      <c r="B7" s="197">
        <f>+B6</f>
        <v>654</v>
      </c>
      <c r="C7" s="198" t="str">
        <f>+C6</f>
        <v>EQIP</v>
      </c>
      <c r="D7" s="199" t="s">
        <v>2416</v>
      </c>
      <c r="E7" s="199" t="str">
        <f>CONCATENATE(E6, "-HU")</f>
        <v>Road/Trail/Landing Closure &amp; Treatment (Ac) - Medium Grading/Shaping (2-6hr/Ac), Mulch, Native Grass/Forbs Mix-HU</v>
      </c>
      <c r="F7" s="198" t="str">
        <f>+F6</f>
        <v>Acre</v>
      </c>
      <c r="G7" s="686">
        <f>+J25</f>
        <v>1035.9178650000001</v>
      </c>
    </row>
    <row r="8" spans="1:12" ht="25.5">
      <c r="A8" s="182"/>
      <c r="B8" s="197">
        <v>654</v>
      </c>
      <c r="C8" s="198" t="str">
        <f>+G12</f>
        <v>WHIP</v>
      </c>
      <c r="D8" s="199" t="s">
        <v>2416</v>
      </c>
      <c r="E8" s="199" t="str">
        <f>+E6</f>
        <v>Road/Trail/Landing Closure &amp; Treatment (Ac) - Medium Grading/Shaping (2-6hr/Ac), Mulch, Native Grass/Forbs Mix</v>
      </c>
      <c r="F8" s="198" t="str">
        <f>+D36</f>
        <v>Acre</v>
      </c>
      <c r="G8" s="686">
        <f>+K25</f>
        <v>0</v>
      </c>
    </row>
    <row r="9" spans="1:12" ht="25.5">
      <c r="A9" s="182"/>
      <c r="B9" s="203">
        <f>+B8</f>
        <v>654</v>
      </c>
      <c r="C9" s="204" t="str">
        <f>+C8</f>
        <v>WHIP</v>
      </c>
      <c r="D9" s="199" t="s">
        <v>2416</v>
      </c>
      <c r="E9" s="205" t="str">
        <f>CONCATENATE(E6, "-HU")</f>
        <v>Road/Trail/Landing Closure &amp; Treatment (Ac) - Medium Grading/Shaping (2-6hr/Ac), Mulch, Native Grass/Forbs Mix-HU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105.86999999999999</v>
      </c>
      <c r="E16" s="226">
        <f>+'[10]Payment Factors'!D11</f>
        <v>0.75</v>
      </c>
      <c r="F16" s="226">
        <f>+'[10]Payment Factors'!E11</f>
        <v>0.9</v>
      </c>
      <c r="G16" s="226">
        <f>+'[10]Payment Factors'!F11</f>
        <v>0</v>
      </c>
      <c r="H16" s="226">
        <f>+'[10]Payment Factors'!G11</f>
        <v>0</v>
      </c>
      <c r="I16" s="689">
        <f t="shared" ref="I16:L24" si="0">+$D16*E16</f>
        <v>79.402499999999989</v>
      </c>
      <c r="J16" s="689">
        <f t="shared" si="0"/>
        <v>95.282999999999987</v>
      </c>
      <c r="K16" s="689">
        <f t="shared" si="0"/>
        <v>0</v>
      </c>
      <c r="L16" s="690">
        <f t="shared" si="0"/>
        <v>0</v>
      </c>
    </row>
    <row r="17" spans="1:12">
      <c r="A17" s="182"/>
      <c r="B17" s="215" t="s">
        <v>2</v>
      </c>
      <c r="C17" s="217"/>
      <c r="D17" s="688">
        <f>+I53</f>
        <v>859.88125000000002</v>
      </c>
      <c r="E17" s="226">
        <f t="shared" ref="E17:H19" si="1">+E16</f>
        <v>0.75</v>
      </c>
      <c r="F17" s="226">
        <f t="shared" si="1"/>
        <v>0.9</v>
      </c>
      <c r="G17" s="226">
        <f t="shared" si="1"/>
        <v>0</v>
      </c>
      <c r="H17" s="226">
        <f t="shared" si="1"/>
        <v>0</v>
      </c>
      <c r="I17" s="689">
        <f t="shared" si="0"/>
        <v>644.91093750000005</v>
      </c>
      <c r="J17" s="689">
        <f t="shared" si="0"/>
        <v>773.89312500000005</v>
      </c>
      <c r="K17" s="689">
        <f t="shared" si="0"/>
        <v>0</v>
      </c>
      <c r="L17" s="690">
        <f t="shared" si="0"/>
        <v>0</v>
      </c>
    </row>
    <row r="18" spans="1:12">
      <c r="A18" s="182"/>
      <c r="B18" s="215" t="s">
        <v>3</v>
      </c>
      <c r="C18" s="217"/>
      <c r="D18" s="688">
        <f>+I69</f>
        <v>151.74375000000001</v>
      </c>
      <c r="E18" s="226">
        <f t="shared" si="1"/>
        <v>0.75</v>
      </c>
      <c r="F18" s="226">
        <f t="shared" si="1"/>
        <v>0.9</v>
      </c>
      <c r="G18" s="226">
        <f t="shared" si="1"/>
        <v>0</v>
      </c>
      <c r="H18" s="226">
        <f t="shared" si="1"/>
        <v>0</v>
      </c>
      <c r="I18" s="689">
        <f t="shared" si="0"/>
        <v>113.80781250000001</v>
      </c>
      <c r="J18" s="689">
        <f t="shared" si="0"/>
        <v>136.56937500000001</v>
      </c>
      <c r="K18" s="689">
        <f t="shared" si="0"/>
        <v>0</v>
      </c>
      <c r="L18" s="690">
        <f t="shared" si="0"/>
        <v>0</v>
      </c>
    </row>
    <row r="19" spans="1:12">
      <c r="A19" s="182"/>
      <c r="B19" s="215" t="s">
        <v>4</v>
      </c>
      <c r="C19" s="217"/>
      <c r="D19" s="688">
        <f>+I75</f>
        <v>33.524850000000001</v>
      </c>
      <c r="E19" s="226">
        <f t="shared" si="1"/>
        <v>0.75</v>
      </c>
      <c r="F19" s="226">
        <f t="shared" si="1"/>
        <v>0.9</v>
      </c>
      <c r="G19" s="226">
        <f t="shared" si="1"/>
        <v>0</v>
      </c>
      <c r="H19" s="226">
        <f t="shared" si="1"/>
        <v>0</v>
      </c>
      <c r="I19" s="689">
        <f t="shared" si="0"/>
        <v>25.143637500000001</v>
      </c>
      <c r="J19" s="689">
        <f t="shared" si="0"/>
        <v>30.172365000000003</v>
      </c>
      <c r="K19" s="689">
        <f t="shared" si="0"/>
        <v>0</v>
      </c>
      <c r="L19" s="690">
        <f t="shared" si="0"/>
        <v>0</v>
      </c>
    </row>
    <row r="20" spans="1:12">
      <c r="A20" s="182"/>
      <c r="B20" s="215" t="s">
        <v>26</v>
      </c>
      <c r="C20" s="217"/>
      <c r="D20" s="688">
        <f>+I78</f>
        <v>11.174950000000001</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+I81</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+I84</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+I88</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+I91</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1762.1948000000002</v>
      </c>
      <c r="E25" s="695"/>
      <c r="F25" s="695"/>
      <c r="G25" s="234"/>
      <c r="H25" s="234"/>
      <c r="I25" s="696">
        <f>SUM(I16:I24)</f>
        <v>863.2648875000001</v>
      </c>
      <c r="J25" s="696">
        <f>SUM(J16:J24)</f>
        <v>1035.9178650000001</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SUM(G42:G48)</f>
        <v>105.86999999999999</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8" si="2">+F42*E42</f>
        <v>0</v>
      </c>
      <c r="H42" s="254"/>
      <c r="I42" s="286"/>
    </row>
    <row r="43" spans="1:9">
      <c r="A43" s="182"/>
      <c r="B43" s="261" t="s">
        <v>451</v>
      </c>
      <c r="C43" s="268"/>
      <c r="D43" s="705" t="s">
        <v>452</v>
      </c>
      <c r="E43" s="706">
        <f>+'[20]Core Rates'!C203</f>
        <v>8.75</v>
      </c>
      <c r="F43" s="707">
        <v>0</v>
      </c>
      <c r="G43" s="708">
        <f t="shared" si="2"/>
        <v>0</v>
      </c>
      <c r="H43" s="254"/>
      <c r="I43" s="248"/>
    </row>
    <row r="44" spans="1:9">
      <c r="A44" s="182"/>
      <c r="B44" s="1849" t="s">
        <v>453</v>
      </c>
      <c r="C44" s="268"/>
      <c r="D44" s="711" t="s">
        <v>454</v>
      </c>
      <c r="E44" s="706">
        <f>+'[20]Core Rates'!C228</f>
        <v>0.82427536231884069</v>
      </c>
      <c r="F44" s="707">
        <v>0</v>
      </c>
      <c r="G44" s="708">
        <f t="shared" si="2"/>
        <v>0</v>
      </c>
      <c r="H44" s="254"/>
      <c r="I44" s="248"/>
    </row>
    <row r="45" spans="1:9">
      <c r="A45" s="182"/>
      <c r="B45" s="709" t="s">
        <v>455</v>
      </c>
      <c r="C45" s="710"/>
      <c r="D45" s="711" t="s">
        <v>454</v>
      </c>
      <c r="E45" s="706">
        <f>+'[20]Core Rates'!C235</f>
        <v>1.1702898550724636</v>
      </c>
      <c r="F45" s="707">
        <v>0</v>
      </c>
      <c r="G45" s="708">
        <f t="shared" si="2"/>
        <v>0</v>
      </c>
      <c r="H45" s="254"/>
      <c r="I45" s="248"/>
    </row>
    <row r="46" spans="1:9">
      <c r="A46" s="182"/>
      <c r="B46" s="709" t="s">
        <v>456</v>
      </c>
      <c r="C46" s="710"/>
      <c r="D46" s="705" t="s">
        <v>454</v>
      </c>
      <c r="E46" s="706">
        <f>+'[20]Core Rates'!C246</f>
        <v>0.58825136612021856</v>
      </c>
      <c r="F46" s="707">
        <v>0</v>
      </c>
      <c r="G46" s="708">
        <f t="shared" si="2"/>
        <v>0</v>
      </c>
      <c r="H46" s="254"/>
      <c r="I46" s="248"/>
    </row>
    <row r="47" spans="1:9">
      <c r="A47" s="182"/>
      <c r="B47" s="1868" t="str">
        <f>+'[20]Core Rates'!A309</f>
        <v>Seed (Native grass except Prairie Dropseed and Splitbeard Bluestem)</v>
      </c>
      <c r="C47" s="710"/>
      <c r="D47" s="711" t="s">
        <v>454</v>
      </c>
      <c r="E47" s="706">
        <f>+'[20]Core Rates 2011'!BE306</f>
        <v>8.57</v>
      </c>
      <c r="F47" s="707">
        <v>9</v>
      </c>
      <c r="G47" s="708">
        <f t="shared" si="2"/>
        <v>77.13</v>
      </c>
      <c r="H47" s="254"/>
      <c r="I47" s="248"/>
    </row>
    <row r="48" spans="1:9">
      <c r="A48" s="182"/>
      <c r="B48" s="1868" t="str">
        <f>+'[20]Core Rates'!A293</f>
        <v>Seed (4 species Forb Mixes 3, 4, 6, 9)</v>
      </c>
      <c r="C48" s="710"/>
      <c r="D48" s="711" t="s">
        <v>454</v>
      </c>
      <c r="E48" s="706">
        <f>+'[20]Core Rates 2011'!BE291</f>
        <v>28.74</v>
      </c>
      <c r="F48" s="707">
        <v>1</v>
      </c>
      <c r="G48" s="708">
        <f t="shared" si="2"/>
        <v>28.74</v>
      </c>
      <c r="H48" s="254"/>
      <c r="I48" s="248"/>
    </row>
    <row r="49" spans="1:9">
      <c r="A49" s="182"/>
      <c r="B49" s="1849"/>
      <c r="C49" s="268"/>
      <c r="D49" s="1851"/>
      <c r="E49" s="1852"/>
      <c r="F49" s="254"/>
      <c r="G49" s="254"/>
      <c r="H49" s="254"/>
      <c r="I49" s="248"/>
    </row>
    <row r="50" spans="1:9">
      <c r="A50" s="182"/>
      <c r="B50" s="251" t="s">
        <v>43</v>
      </c>
      <c r="C50" s="254"/>
      <c r="D50" s="254"/>
      <c r="E50" s="272"/>
      <c r="F50" s="272"/>
      <c r="G50" s="272"/>
      <c r="H50" s="254"/>
      <c r="I50" s="265"/>
    </row>
    <row r="51" spans="1:9">
      <c r="A51" s="182"/>
      <c r="B51" s="261" t="s">
        <v>457</v>
      </c>
      <c r="C51" s="254"/>
      <c r="D51" s="254"/>
      <c r="E51" s="272"/>
      <c r="F51" s="272"/>
      <c r="G51" s="272"/>
      <c r="H51" s="254"/>
      <c r="I51" s="265"/>
    </row>
    <row r="52" spans="1:9">
      <c r="A52" s="182"/>
      <c r="B52" s="1850"/>
      <c r="C52" s="268"/>
      <c r="D52" s="1851"/>
      <c r="E52" s="254"/>
      <c r="F52" s="254"/>
      <c r="G52" s="254"/>
      <c r="H52" s="254"/>
      <c r="I52" s="248"/>
    </row>
    <row r="53" spans="1:9">
      <c r="A53" s="182"/>
      <c r="B53" s="246" t="s">
        <v>2</v>
      </c>
      <c r="C53" s="254"/>
      <c r="D53" s="254"/>
      <c r="E53" s="2147" t="s">
        <v>459</v>
      </c>
      <c r="F53" s="2147"/>
      <c r="G53" s="2147"/>
      <c r="H53" s="2147"/>
      <c r="I53" s="702">
        <f>(SUM(G55:G62)*0.85)</f>
        <v>859.88125000000002</v>
      </c>
    </row>
    <row r="54" spans="1:9">
      <c r="A54" s="182"/>
      <c r="B54" s="703"/>
      <c r="C54" s="254"/>
      <c r="D54" s="704" t="s">
        <v>447</v>
      </c>
      <c r="E54" s="704" t="s">
        <v>448</v>
      </c>
      <c r="F54" s="704" t="s">
        <v>449</v>
      </c>
      <c r="G54" s="704" t="s">
        <v>450</v>
      </c>
      <c r="H54" s="254"/>
      <c r="I54" s="265"/>
    </row>
    <row r="55" spans="1:9">
      <c r="A55" s="182"/>
      <c r="B55" s="1869" t="str">
        <f>+'[20]Core Rates'!A111</f>
        <v>Earthmoving: Medium grading/shaping (2-6 hrs/ac)</v>
      </c>
      <c r="C55" s="1865"/>
      <c r="D55" s="1862" t="s">
        <v>408</v>
      </c>
      <c r="E55" s="706">
        <f>+'[20]Core Rates'!C111</f>
        <v>503.625</v>
      </c>
      <c r="F55" s="707">
        <v>1</v>
      </c>
      <c r="G55" s="708">
        <f>+F55*E55</f>
        <v>503.625</v>
      </c>
      <c r="H55" s="254"/>
      <c r="I55" s="286"/>
    </row>
    <row r="56" spans="1:9">
      <c r="A56" s="182"/>
      <c r="B56" s="1870" t="str">
        <f>+'[20]Core Rates'!A217</f>
        <v>Mulching (2 tons/ac applied)</v>
      </c>
      <c r="C56" s="720"/>
      <c r="D56" s="708" t="s">
        <v>408</v>
      </c>
      <c r="E56" s="708">
        <f>+'[20]Core Rates'!C217</f>
        <v>472.5</v>
      </c>
      <c r="F56" s="706">
        <v>1</v>
      </c>
      <c r="G56" s="708">
        <f>+F56*E56</f>
        <v>472.5</v>
      </c>
      <c r="H56" s="254"/>
      <c r="I56" s="286"/>
    </row>
    <row r="57" spans="1:9">
      <c r="A57" s="182"/>
      <c r="B57" s="1866" t="str">
        <f>+'[20]Core Rates'!A123</f>
        <v>Erosion Control Blanket, Type II (Installed)</v>
      </c>
      <c r="C57" s="720"/>
      <c r="D57" s="708" t="str">
        <f>+'[20]Core Rates'!B123</f>
        <v>Sq Yd</v>
      </c>
      <c r="E57" s="708">
        <f>+'[20]Core Rates'!C123</f>
        <v>1.5750000000000002</v>
      </c>
      <c r="F57" s="706">
        <v>0</v>
      </c>
      <c r="G57" s="708">
        <f>+E57/9*43560*F57</f>
        <v>0</v>
      </c>
      <c r="H57" s="254"/>
      <c r="I57" s="286"/>
    </row>
    <row r="58" spans="1:9">
      <c r="A58" s="182"/>
      <c r="B58" s="261" t="s">
        <v>461</v>
      </c>
      <c r="C58" s="268"/>
      <c r="D58" s="705" t="s">
        <v>408</v>
      </c>
      <c r="E58" s="706">
        <f>+'[20]Core Rates'!C104</f>
        <v>20</v>
      </c>
      <c r="F58" s="707">
        <v>1</v>
      </c>
      <c r="G58" s="708">
        <f>+F58*E58</f>
        <v>20</v>
      </c>
      <c r="H58" s="254"/>
      <c r="I58" s="286"/>
    </row>
    <row r="59" spans="1:9">
      <c r="A59" s="182"/>
      <c r="B59" s="712" t="str">
        <f>+'[20]Core Rates'!A216</f>
        <v>Mowing</v>
      </c>
      <c r="C59" s="268"/>
      <c r="D59" s="1853" t="s">
        <v>408</v>
      </c>
      <c r="E59" s="1853">
        <f>+'[20]Core Rates'!C216</f>
        <v>15.5</v>
      </c>
      <c r="F59" s="707">
        <v>1</v>
      </c>
      <c r="G59" s="708">
        <f>+F59*E59</f>
        <v>15.5</v>
      </c>
      <c r="H59" s="254"/>
      <c r="I59" s="286"/>
    </row>
    <row r="60" spans="1:9">
      <c r="A60" s="182"/>
      <c r="B60" s="261" t="s">
        <v>462</v>
      </c>
      <c r="C60" s="268"/>
      <c r="D60" s="705" t="s">
        <v>408</v>
      </c>
      <c r="E60" s="706">
        <f>+'[20]Core Rates'!AN33</f>
        <v>5.416666666666667</v>
      </c>
      <c r="F60" s="707">
        <v>0</v>
      </c>
      <c r="G60" s="708">
        <f>+F60*E60</f>
        <v>0</v>
      </c>
      <c r="H60" s="254"/>
      <c r="I60" s="286"/>
    </row>
    <row r="61" spans="1:9">
      <c r="A61" s="182"/>
      <c r="B61" s="261" t="s">
        <v>463</v>
      </c>
      <c r="C61" s="268"/>
      <c r="D61" s="705" t="s">
        <v>452</v>
      </c>
      <c r="E61" s="706">
        <f>+'[20]Core Rates'!AN34</f>
        <v>5.5</v>
      </c>
      <c r="F61" s="707">
        <v>0</v>
      </c>
      <c r="G61" s="708">
        <f>+F61*E61</f>
        <v>0</v>
      </c>
      <c r="H61" s="254"/>
      <c r="I61" s="286"/>
    </row>
    <row r="62" spans="1:9">
      <c r="A62" s="182"/>
      <c r="B62" s="261" t="s">
        <v>464</v>
      </c>
      <c r="C62" s="268"/>
      <c r="D62" s="705" t="s">
        <v>452</v>
      </c>
      <c r="E62" s="706">
        <f>+'[20]Core Rates'!AN32</f>
        <v>6.3125</v>
      </c>
      <c r="F62" s="707">
        <v>0</v>
      </c>
      <c r="G62" s="708">
        <f>+F62*E62</f>
        <v>0</v>
      </c>
      <c r="H62" s="254"/>
      <c r="I62" s="286"/>
    </row>
    <row r="63" spans="1:9">
      <c r="A63" s="182"/>
      <c r="B63" s="261"/>
      <c r="C63" s="268"/>
      <c r="D63" s="269"/>
      <c r="E63" s="714"/>
      <c r="F63" s="714"/>
      <c r="G63" s="706"/>
      <c r="H63" s="254"/>
      <c r="I63" s="286"/>
    </row>
    <row r="64" spans="1:9">
      <c r="A64" s="182"/>
      <c r="B64" s="251" t="s">
        <v>43</v>
      </c>
      <c r="C64" s="254"/>
      <c r="D64" s="254"/>
      <c r="E64" s="272"/>
      <c r="F64" s="272"/>
      <c r="G64" s="272"/>
      <c r="H64" s="254"/>
      <c r="I64" s="265"/>
    </row>
    <row r="65" spans="1:9" ht="12.75" customHeight="1">
      <c r="A65" s="182"/>
      <c r="B65" s="2148" t="s">
        <v>457</v>
      </c>
      <c r="C65" s="2149"/>
      <c r="D65" s="2149"/>
      <c r="E65" s="2149"/>
      <c r="F65" s="2149"/>
      <c r="G65" s="2149"/>
      <c r="H65" s="2149"/>
      <c r="I65" s="2150"/>
    </row>
    <row r="66" spans="1:9">
      <c r="A66" s="182"/>
      <c r="B66" s="2148"/>
      <c r="C66" s="2149"/>
      <c r="D66" s="2149"/>
      <c r="E66" s="2149"/>
      <c r="F66" s="2149"/>
      <c r="G66" s="2149"/>
      <c r="H66" s="2149"/>
      <c r="I66" s="2150"/>
    </row>
    <row r="67" spans="1:9">
      <c r="A67" s="182"/>
      <c r="B67" s="715"/>
      <c r="C67" s="716"/>
      <c r="D67" s="716"/>
      <c r="E67" s="716"/>
      <c r="F67" s="716"/>
      <c r="G67" s="716"/>
      <c r="H67" s="716"/>
      <c r="I67" s="717"/>
    </row>
    <row r="68" spans="1:9">
      <c r="A68" s="182"/>
      <c r="B68" s="715"/>
      <c r="C68" s="716"/>
      <c r="D68" s="716"/>
      <c r="E68" s="716"/>
      <c r="F68" s="716"/>
      <c r="G68" s="716"/>
      <c r="H68" s="716"/>
      <c r="I68" s="717"/>
    </row>
    <row r="69" spans="1:9">
      <c r="A69" s="182"/>
      <c r="B69" s="246" t="s">
        <v>3</v>
      </c>
      <c r="C69" s="254"/>
      <c r="D69" s="254"/>
      <c r="E69" s="254"/>
      <c r="F69" s="256"/>
      <c r="G69" s="254"/>
      <c r="H69" s="254"/>
      <c r="I69" s="718">
        <f>E71</f>
        <v>151.74375000000001</v>
      </c>
    </row>
    <row r="70" spans="1:9">
      <c r="A70" s="182"/>
      <c r="B70" s="2151" t="s">
        <v>465</v>
      </c>
      <c r="C70" s="2152"/>
      <c r="D70" s="254"/>
      <c r="E70" s="254"/>
      <c r="F70" s="254"/>
      <c r="G70" s="254"/>
      <c r="H70" s="254"/>
      <c r="I70" s="282"/>
    </row>
    <row r="71" spans="1:9">
      <c r="A71" s="182"/>
      <c r="B71" s="251" t="s">
        <v>466</v>
      </c>
      <c r="C71" s="256"/>
      <c r="D71" s="256"/>
      <c r="E71" s="720">
        <f>SUM(G55:G62)*0.15</f>
        <v>151.74375000000001</v>
      </c>
      <c r="F71" s="254"/>
      <c r="G71" s="254"/>
      <c r="H71" s="254"/>
      <c r="I71" s="265"/>
    </row>
    <row r="72" spans="1:9">
      <c r="A72" s="182"/>
      <c r="B72" s="251"/>
      <c r="C72" s="256"/>
      <c r="D72" s="721"/>
      <c r="E72" s="720"/>
      <c r="F72" s="254"/>
      <c r="G72" s="254"/>
      <c r="H72" s="254"/>
      <c r="I72" s="265"/>
    </row>
    <row r="73" spans="1:9">
      <c r="A73" s="182"/>
      <c r="B73" s="251"/>
      <c r="C73" s="256"/>
      <c r="D73" s="722"/>
      <c r="E73" s="720"/>
      <c r="F73" s="254"/>
      <c r="G73" s="254"/>
      <c r="H73" s="254"/>
      <c r="I73" s="265"/>
    </row>
    <row r="74" spans="1:9">
      <c r="A74" s="182"/>
      <c r="B74" s="271"/>
      <c r="C74" s="254"/>
      <c r="D74" s="254"/>
      <c r="E74" s="254"/>
      <c r="F74" s="254"/>
      <c r="G74" s="254"/>
      <c r="H74" s="254"/>
      <c r="I74" s="248"/>
    </row>
    <row r="75" spans="1:9">
      <c r="A75" s="182"/>
      <c r="B75" s="246" t="s">
        <v>4</v>
      </c>
      <c r="C75" s="254"/>
      <c r="D75" s="254"/>
      <c r="E75" s="254"/>
      <c r="F75" s="254"/>
      <c r="G75" s="254"/>
      <c r="H75" s="254"/>
      <c r="I75" s="718">
        <f>0.03*(I40+I53+I69)</f>
        <v>33.524850000000001</v>
      </c>
    </row>
    <row r="76" spans="1:9">
      <c r="A76" s="182"/>
      <c r="B76" s="271" t="s">
        <v>467</v>
      </c>
      <c r="C76" s="254"/>
      <c r="D76" s="254"/>
      <c r="E76" s="254"/>
      <c r="F76" s="254"/>
      <c r="G76" s="254"/>
      <c r="H76" s="254"/>
      <c r="I76" s="248"/>
    </row>
    <row r="77" spans="1:9">
      <c r="A77" s="182"/>
      <c r="B77" s="251"/>
      <c r="C77" s="254"/>
      <c r="D77" s="254"/>
      <c r="E77" s="254"/>
      <c r="F77" s="254"/>
      <c r="G77" s="254"/>
      <c r="H77" s="254"/>
      <c r="I77" s="248"/>
    </row>
    <row r="78" spans="1:9">
      <c r="A78" s="182"/>
      <c r="B78" s="246" t="s">
        <v>468</v>
      </c>
      <c r="C78" s="254"/>
      <c r="D78" s="254"/>
      <c r="E78" s="254"/>
      <c r="F78" s="254"/>
      <c r="G78" s="254"/>
      <c r="H78" s="254"/>
      <c r="I78" s="718">
        <f>0.01*(I40+I53+I69)</f>
        <v>11.174950000000001</v>
      </c>
    </row>
    <row r="79" spans="1:9">
      <c r="A79" s="182"/>
      <c r="B79" s="271" t="s">
        <v>749</v>
      </c>
      <c r="C79" s="254"/>
      <c r="D79" s="254"/>
      <c r="E79" s="254"/>
      <c r="F79" s="254"/>
      <c r="G79" s="254"/>
      <c r="H79" s="254"/>
      <c r="I79" s="248"/>
    </row>
    <row r="80" spans="1:9">
      <c r="A80" s="182"/>
      <c r="B80" s="251"/>
      <c r="C80" s="254"/>
      <c r="D80" s="254"/>
      <c r="E80" s="254"/>
      <c r="F80" s="254"/>
      <c r="G80" s="254"/>
      <c r="H80" s="254"/>
      <c r="I80" s="248"/>
    </row>
    <row r="81" spans="1:9">
      <c r="A81" s="182"/>
      <c r="B81" s="246" t="s">
        <v>7</v>
      </c>
      <c r="C81" s="254"/>
      <c r="D81" s="254"/>
      <c r="E81" s="254"/>
      <c r="F81" s="254"/>
      <c r="G81" s="254"/>
      <c r="H81" s="254"/>
      <c r="I81" s="702">
        <v>0</v>
      </c>
    </row>
    <row r="82" spans="1:9">
      <c r="A82" s="182"/>
      <c r="B82" s="271" t="s">
        <v>1349</v>
      </c>
      <c r="C82" s="254"/>
      <c r="D82" s="254"/>
      <c r="E82" s="254"/>
      <c r="F82" s="254"/>
      <c r="G82" s="254"/>
      <c r="H82" s="254"/>
      <c r="I82" s="248"/>
    </row>
    <row r="83" spans="1:9">
      <c r="A83" s="182"/>
      <c r="B83" s="251"/>
      <c r="C83" s="254"/>
      <c r="D83" s="254"/>
      <c r="E83" s="254"/>
      <c r="F83" s="254"/>
      <c r="G83" s="254"/>
      <c r="H83" s="254"/>
      <c r="I83" s="248"/>
    </row>
    <row r="84" spans="1:9">
      <c r="A84" s="182"/>
      <c r="B84" s="246" t="s">
        <v>471</v>
      </c>
      <c r="C84" s="254"/>
      <c r="D84" s="254"/>
      <c r="E84" s="254"/>
      <c r="F84" s="256"/>
      <c r="G84" s="254"/>
      <c r="H84" s="254"/>
      <c r="I84" s="702">
        <v>600</v>
      </c>
    </row>
    <row r="85" spans="1:9">
      <c r="A85" s="182"/>
      <c r="B85" s="726" t="s">
        <v>1350</v>
      </c>
      <c r="C85" s="254"/>
      <c r="D85" s="254"/>
      <c r="E85" s="254"/>
      <c r="F85" s="254"/>
      <c r="G85" s="254"/>
      <c r="H85" s="254"/>
      <c r="I85" s="286"/>
    </row>
    <row r="86" spans="1:9">
      <c r="A86" s="182"/>
      <c r="B86" s="726"/>
      <c r="C86" s="254"/>
      <c r="D86" s="254"/>
      <c r="E86" s="254"/>
      <c r="F86" s="254"/>
      <c r="G86" s="254"/>
      <c r="H86" s="254"/>
      <c r="I86" s="286"/>
    </row>
    <row r="87" spans="1:9">
      <c r="A87" s="182"/>
      <c r="B87" s="251"/>
      <c r="C87" s="254"/>
      <c r="D87" s="254"/>
      <c r="E87" s="254"/>
      <c r="F87" s="254"/>
      <c r="G87" s="254"/>
      <c r="H87" s="254"/>
      <c r="I87" s="248"/>
    </row>
    <row r="88" spans="1:9">
      <c r="A88" s="182"/>
      <c r="B88" s="246" t="s">
        <v>5</v>
      </c>
      <c r="C88" s="254"/>
      <c r="D88" s="254"/>
      <c r="E88" s="254"/>
      <c r="F88" s="254"/>
      <c r="G88" s="254"/>
      <c r="H88" s="254"/>
      <c r="I88" s="702">
        <v>0</v>
      </c>
    </row>
    <row r="89" spans="1:9">
      <c r="A89" s="182"/>
      <c r="B89" s="271" t="s">
        <v>1351</v>
      </c>
      <c r="C89" s="254"/>
      <c r="D89" s="254"/>
      <c r="E89" s="254"/>
      <c r="F89" s="254"/>
      <c r="G89" s="254"/>
      <c r="H89" s="254"/>
      <c r="I89" s="286"/>
    </row>
    <row r="90" spans="1:9">
      <c r="A90" s="182"/>
      <c r="B90" s="251"/>
      <c r="C90" s="254"/>
      <c r="D90" s="254"/>
      <c r="E90" s="254"/>
      <c r="F90" s="254"/>
      <c r="G90" s="254"/>
      <c r="H90" s="254"/>
      <c r="I90" s="248"/>
    </row>
    <row r="91" spans="1:9">
      <c r="A91" s="182"/>
      <c r="B91" s="246" t="s">
        <v>20</v>
      </c>
      <c r="C91" s="254"/>
      <c r="D91" s="254"/>
      <c r="E91" s="254"/>
      <c r="F91" s="254"/>
      <c r="G91" s="254"/>
      <c r="H91" s="254"/>
      <c r="I91" s="702">
        <v>0</v>
      </c>
    </row>
    <row r="92" spans="1:9">
      <c r="A92" s="182"/>
      <c r="B92" s="271" t="s">
        <v>104</v>
      </c>
      <c r="C92" s="254"/>
      <c r="D92" s="254"/>
      <c r="E92" s="254"/>
      <c r="F92" s="254"/>
      <c r="G92" s="254"/>
      <c r="H92" s="254"/>
      <c r="I92" s="248"/>
    </row>
    <row r="93" spans="1:9">
      <c r="A93" s="182"/>
      <c r="B93" s="261"/>
      <c r="C93" s="254"/>
      <c r="D93" s="254"/>
      <c r="E93" s="254"/>
      <c r="F93" s="254"/>
      <c r="G93" s="254"/>
      <c r="H93" s="254"/>
      <c r="I93" s="248"/>
    </row>
    <row r="94" spans="1:9">
      <c r="A94" s="182"/>
      <c r="B94" s="246" t="s">
        <v>473</v>
      </c>
      <c r="C94" s="254"/>
      <c r="D94" s="254"/>
      <c r="E94" s="254"/>
      <c r="F94" s="254"/>
      <c r="G94" s="254"/>
      <c r="H94" s="254"/>
      <c r="I94" s="728">
        <f>+I40+I53+I69+I75+I81+I91</f>
        <v>1151.0198500000001</v>
      </c>
    </row>
    <row r="95" spans="1:9" ht="15.75">
      <c r="A95" s="182"/>
      <c r="B95" s="271" t="s">
        <v>474</v>
      </c>
      <c r="C95" s="254"/>
      <c r="D95" s="254"/>
      <c r="E95" s="254"/>
      <c r="F95" s="254"/>
      <c r="G95" s="254"/>
      <c r="H95" s="254"/>
      <c r="I95" s="248"/>
    </row>
    <row r="96" spans="1:9">
      <c r="A96" s="182"/>
      <c r="B96" s="261"/>
      <c r="C96" s="254"/>
      <c r="D96" s="254"/>
      <c r="E96" s="254"/>
      <c r="F96" s="254"/>
      <c r="G96" s="254"/>
      <c r="H96" s="254"/>
      <c r="I96" s="248"/>
    </row>
    <row r="97" spans="1:9">
      <c r="A97" s="182"/>
      <c r="B97" s="287" t="s">
        <v>11</v>
      </c>
      <c r="C97" s="288"/>
      <c r="D97" s="288"/>
      <c r="E97" s="288"/>
      <c r="F97" s="288"/>
      <c r="G97" s="288"/>
      <c r="H97" s="288"/>
      <c r="I97" s="621">
        <f>SUM(I40:I91)</f>
        <v>1762.1948000000002</v>
      </c>
    </row>
  </sheetData>
  <mergeCells count="4">
    <mergeCell ref="B1:D1"/>
    <mergeCell ref="E53:H53"/>
    <mergeCell ref="B65:I66"/>
    <mergeCell ref="B70:C70"/>
  </mergeCells>
  <pageMargins left="0.75" right="0.75" top="1" bottom="1" header="0.5" footer="0.5"/>
  <pageSetup scale="47" orientation="portrait" r:id="rId1"/>
  <headerFooter alignWithMargins="0"/>
</worksheet>
</file>

<file path=xl/worksheets/sheet246.xml><?xml version="1.0" encoding="utf-8"?>
<worksheet xmlns="http://schemas.openxmlformats.org/spreadsheetml/2006/main" xmlns:r="http://schemas.openxmlformats.org/officeDocument/2006/relationships">
  <sheetPr>
    <pageSetUpPr fitToPage="1"/>
  </sheetPr>
  <dimension ref="A1:L97"/>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bestFit="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2428</v>
      </c>
      <c r="F6" s="198" t="str">
        <f>+D36</f>
        <v>Acre</v>
      </c>
      <c r="G6" s="686">
        <f>+I25</f>
        <v>1119.3486375000002</v>
      </c>
    </row>
    <row r="7" spans="1:12" ht="25.5">
      <c r="A7" s="182"/>
      <c r="B7" s="197">
        <f>+B6</f>
        <v>654</v>
      </c>
      <c r="C7" s="198" t="str">
        <f>+C6</f>
        <v>EQIP</v>
      </c>
      <c r="D7" s="199" t="s">
        <v>2416</v>
      </c>
      <c r="E7" s="199" t="str">
        <f>CONCATENATE(E6, "-HU")</f>
        <v>Road/Trail/Landing Closure &amp; Treatment (Ac) - Heavy Grading/Shaping (6-10hr/Ac), Mulch, Native Grass/Forbs Mix-HU</v>
      </c>
      <c r="F7" s="198" t="str">
        <f>+F6</f>
        <v>Acre</v>
      </c>
      <c r="G7" s="686">
        <f>+J25</f>
        <v>1343.2183650000002</v>
      </c>
    </row>
    <row r="8" spans="1:12" ht="25.5">
      <c r="A8" s="182"/>
      <c r="B8" s="197">
        <v>654</v>
      </c>
      <c r="C8" s="198" t="str">
        <f>+G12</f>
        <v>WHIP</v>
      </c>
      <c r="D8" s="199" t="s">
        <v>2416</v>
      </c>
      <c r="E8" s="199" t="str">
        <f>+E6</f>
        <v>Road/Trail/Landing Closure &amp; Treatment (Ac) - Heavy Grading/Shaping (6-10hr/Ac), Mulch, Native Grass/Forbs Mix</v>
      </c>
      <c r="F8" s="198" t="str">
        <f>+D36</f>
        <v>Acre</v>
      </c>
      <c r="G8" s="686">
        <f>+K25</f>
        <v>0</v>
      </c>
    </row>
    <row r="9" spans="1:12" ht="25.5">
      <c r="A9" s="182"/>
      <c r="B9" s="203">
        <f>+B8</f>
        <v>654</v>
      </c>
      <c r="C9" s="204" t="str">
        <f>+C8</f>
        <v>WHIP</v>
      </c>
      <c r="D9" s="199" t="s">
        <v>2416</v>
      </c>
      <c r="E9" s="205" t="str">
        <f>CONCATENATE(E6, "-HU")</f>
        <v>Road/Trail/Landing Closure &amp; Treatment (Ac) - Heavy Grading/Shaping (6-10hr/Ac), Mulch, Native Grass/Forbs Mix-HU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105.86999999999999</v>
      </c>
      <c r="E16" s="226">
        <f>+'[10]Payment Factors'!D11</f>
        <v>0.75</v>
      </c>
      <c r="F16" s="226">
        <f>+'[10]Payment Factors'!E11</f>
        <v>0.9</v>
      </c>
      <c r="G16" s="226">
        <f>+'[10]Payment Factors'!F11</f>
        <v>0</v>
      </c>
      <c r="H16" s="226">
        <f>+'[10]Payment Factors'!G11</f>
        <v>0</v>
      </c>
      <c r="I16" s="689">
        <f t="shared" ref="I16:L24" si="0">+$D16*E16</f>
        <v>79.402499999999989</v>
      </c>
      <c r="J16" s="689">
        <f t="shared" si="0"/>
        <v>95.282999999999987</v>
      </c>
      <c r="K16" s="689">
        <f t="shared" si="0"/>
        <v>0</v>
      </c>
      <c r="L16" s="690">
        <f t="shared" si="0"/>
        <v>0</v>
      </c>
    </row>
    <row r="17" spans="1:12">
      <c r="A17" s="182"/>
      <c r="B17" s="215" t="s">
        <v>2</v>
      </c>
      <c r="C17" s="217"/>
      <c r="D17" s="688">
        <f>+I53</f>
        <v>1141.65625</v>
      </c>
      <c r="E17" s="226">
        <f t="shared" ref="E17:H19" si="1">+E16</f>
        <v>0.75</v>
      </c>
      <c r="F17" s="226">
        <f t="shared" si="1"/>
        <v>0.9</v>
      </c>
      <c r="G17" s="226">
        <f t="shared" si="1"/>
        <v>0</v>
      </c>
      <c r="H17" s="226">
        <f t="shared" si="1"/>
        <v>0</v>
      </c>
      <c r="I17" s="689">
        <f t="shared" si="0"/>
        <v>856.2421875</v>
      </c>
      <c r="J17" s="689">
        <f t="shared" si="0"/>
        <v>1027.4906250000001</v>
      </c>
      <c r="K17" s="689">
        <f t="shared" si="0"/>
        <v>0</v>
      </c>
      <c r="L17" s="690">
        <f t="shared" si="0"/>
        <v>0</v>
      </c>
    </row>
    <row r="18" spans="1:12">
      <c r="A18" s="182"/>
      <c r="B18" s="215" t="s">
        <v>3</v>
      </c>
      <c r="C18" s="217"/>
      <c r="D18" s="688">
        <f>+I69</f>
        <v>201.46875</v>
      </c>
      <c r="E18" s="226">
        <f t="shared" si="1"/>
        <v>0.75</v>
      </c>
      <c r="F18" s="226">
        <f t="shared" si="1"/>
        <v>0.9</v>
      </c>
      <c r="G18" s="226">
        <f t="shared" si="1"/>
        <v>0</v>
      </c>
      <c r="H18" s="226">
        <f t="shared" si="1"/>
        <v>0</v>
      </c>
      <c r="I18" s="689">
        <f t="shared" si="0"/>
        <v>151.1015625</v>
      </c>
      <c r="J18" s="689">
        <f t="shared" si="0"/>
        <v>181.32187500000001</v>
      </c>
      <c r="K18" s="689">
        <f t="shared" si="0"/>
        <v>0</v>
      </c>
      <c r="L18" s="690">
        <f t="shared" si="0"/>
        <v>0</v>
      </c>
    </row>
    <row r="19" spans="1:12">
      <c r="A19" s="182"/>
      <c r="B19" s="215" t="s">
        <v>4</v>
      </c>
      <c r="C19" s="217"/>
      <c r="D19" s="688">
        <f>+I75</f>
        <v>43.469849999999994</v>
      </c>
      <c r="E19" s="226">
        <f t="shared" si="1"/>
        <v>0.75</v>
      </c>
      <c r="F19" s="226">
        <f t="shared" si="1"/>
        <v>0.9</v>
      </c>
      <c r="G19" s="226">
        <f t="shared" si="1"/>
        <v>0</v>
      </c>
      <c r="H19" s="226">
        <f t="shared" si="1"/>
        <v>0</v>
      </c>
      <c r="I19" s="689">
        <f t="shared" si="0"/>
        <v>32.602387499999992</v>
      </c>
      <c r="J19" s="689">
        <f t="shared" si="0"/>
        <v>39.122864999999997</v>
      </c>
      <c r="K19" s="689">
        <f t="shared" si="0"/>
        <v>0</v>
      </c>
      <c r="L19" s="690">
        <f t="shared" si="0"/>
        <v>0</v>
      </c>
    </row>
    <row r="20" spans="1:12">
      <c r="A20" s="182"/>
      <c r="B20" s="215" t="s">
        <v>26</v>
      </c>
      <c r="C20" s="217"/>
      <c r="D20" s="688">
        <f>+I78</f>
        <v>14.489949999999999</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+I81</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+I84</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+I88</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+I91</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2106.9547999999995</v>
      </c>
      <c r="E25" s="695"/>
      <c r="F25" s="695"/>
      <c r="G25" s="234"/>
      <c r="H25" s="234"/>
      <c r="I25" s="696">
        <f>SUM(I16:I24)</f>
        <v>1119.3486375000002</v>
      </c>
      <c r="J25" s="696">
        <f>SUM(J16:J24)</f>
        <v>1343.2183650000002</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SUM(G42:G48)</f>
        <v>105.86999999999999</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8" si="2">+F42*E42</f>
        <v>0</v>
      </c>
      <c r="H42" s="254"/>
      <c r="I42" s="286"/>
    </row>
    <row r="43" spans="1:9">
      <c r="A43" s="182"/>
      <c r="B43" s="261" t="s">
        <v>451</v>
      </c>
      <c r="C43" s="268"/>
      <c r="D43" s="705" t="s">
        <v>452</v>
      </c>
      <c r="E43" s="706">
        <f>+'[20]Core Rates'!C203</f>
        <v>8.75</v>
      </c>
      <c r="F43" s="707">
        <v>0</v>
      </c>
      <c r="G43" s="708">
        <f t="shared" si="2"/>
        <v>0</v>
      </c>
      <c r="H43" s="254"/>
      <c r="I43" s="248"/>
    </row>
    <row r="44" spans="1:9">
      <c r="A44" s="182"/>
      <c r="B44" s="1849" t="s">
        <v>453</v>
      </c>
      <c r="C44" s="268"/>
      <c r="D44" s="711" t="s">
        <v>454</v>
      </c>
      <c r="E44" s="706">
        <f>+'[20]Core Rates'!C228</f>
        <v>0.82427536231884069</v>
      </c>
      <c r="F44" s="707">
        <v>0</v>
      </c>
      <c r="G44" s="708">
        <f t="shared" si="2"/>
        <v>0</v>
      </c>
      <c r="H44" s="254"/>
      <c r="I44" s="248"/>
    </row>
    <row r="45" spans="1:9">
      <c r="A45" s="182"/>
      <c r="B45" s="709" t="s">
        <v>455</v>
      </c>
      <c r="C45" s="710"/>
      <c r="D45" s="711" t="s">
        <v>454</v>
      </c>
      <c r="E45" s="706">
        <f>+'[20]Core Rates'!C235</f>
        <v>1.1702898550724636</v>
      </c>
      <c r="F45" s="707">
        <v>0</v>
      </c>
      <c r="G45" s="708">
        <f t="shared" si="2"/>
        <v>0</v>
      </c>
      <c r="H45" s="254"/>
      <c r="I45" s="248"/>
    </row>
    <row r="46" spans="1:9">
      <c r="A46" s="182"/>
      <c r="B46" s="709" t="s">
        <v>456</v>
      </c>
      <c r="C46" s="710"/>
      <c r="D46" s="705" t="s">
        <v>454</v>
      </c>
      <c r="E46" s="706">
        <f>+'[20]Core Rates'!C246</f>
        <v>0.58825136612021856</v>
      </c>
      <c r="F46" s="707">
        <v>0</v>
      </c>
      <c r="G46" s="708">
        <f t="shared" si="2"/>
        <v>0</v>
      </c>
      <c r="H46" s="254"/>
      <c r="I46" s="248"/>
    </row>
    <row r="47" spans="1:9">
      <c r="A47" s="182"/>
      <c r="B47" s="1868" t="str">
        <f>+'[20]Core Rates'!A309</f>
        <v>Seed (Native grass except Prairie Dropseed and Splitbeard Bluestem)</v>
      </c>
      <c r="C47" s="710"/>
      <c r="D47" s="711" t="s">
        <v>454</v>
      </c>
      <c r="E47" s="706">
        <f>+'[20]Core Rates 2011'!BE306</f>
        <v>8.57</v>
      </c>
      <c r="F47" s="707">
        <v>9</v>
      </c>
      <c r="G47" s="708">
        <f t="shared" si="2"/>
        <v>77.13</v>
      </c>
      <c r="H47" s="254"/>
      <c r="I47" s="248"/>
    </row>
    <row r="48" spans="1:9">
      <c r="A48" s="182"/>
      <c r="B48" s="1868" t="str">
        <f>+'[20]Core Rates 2011'!A291</f>
        <v>Seed (4 native forb species mix)</v>
      </c>
      <c r="C48" s="710"/>
      <c r="D48" s="711" t="s">
        <v>454</v>
      </c>
      <c r="E48" s="706">
        <f>+'[20]Core Rates 2011'!BE291</f>
        <v>28.74</v>
      </c>
      <c r="F48" s="707">
        <v>1</v>
      </c>
      <c r="G48" s="708">
        <f t="shared" si="2"/>
        <v>28.74</v>
      </c>
      <c r="H48" s="254"/>
      <c r="I48" s="248"/>
    </row>
    <row r="49" spans="1:9">
      <c r="A49" s="182"/>
      <c r="B49" s="1849"/>
      <c r="C49" s="268"/>
      <c r="D49" s="1851"/>
      <c r="E49" s="1852"/>
      <c r="F49" s="254"/>
      <c r="G49" s="254"/>
      <c r="H49" s="254"/>
      <c r="I49" s="248"/>
    </row>
    <row r="50" spans="1:9">
      <c r="A50" s="182"/>
      <c r="B50" s="251" t="s">
        <v>43</v>
      </c>
      <c r="C50" s="254"/>
      <c r="D50" s="254"/>
      <c r="E50" s="272"/>
      <c r="F50" s="272"/>
      <c r="G50" s="272"/>
      <c r="H50" s="254"/>
      <c r="I50" s="265"/>
    </row>
    <row r="51" spans="1:9">
      <c r="A51" s="182"/>
      <c r="B51" s="261" t="s">
        <v>457</v>
      </c>
      <c r="C51" s="254"/>
      <c r="D51" s="254"/>
      <c r="E51" s="272"/>
      <c r="F51" s="272"/>
      <c r="G51" s="272"/>
      <c r="H51" s="254"/>
      <c r="I51" s="265"/>
    </row>
    <row r="52" spans="1:9">
      <c r="A52" s="182"/>
      <c r="B52" s="1850"/>
      <c r="C52" s="268"/>
      <c r="D52" s="1851"/>
      <c r="E52" s="254"/>
      <c r="F52" s="254"/>
      <c r="G52" s="254"/>
      <c r="H52" s="254"/>
      <c r="I52" s="248"/>
    </row>
    <row r="53" spans="1:9">
      <c r="A53" s="182"/>
      <c r="B53" s="246" t="s">
        <v>2</v>
      </c>
      <c r="C53" s="254"/>
      <c r="D53" s="254"/>
      <c r="E53" s="2147" t="s">
        <v>459</v>
      </c>
      <c r="F53" s="2147"/>
      <c r="G53" s="2147"/>
      <c r="H53" s="2147"/>
      <c r="I53" s="702">
        <f>(SUM(G55:G62)*0.85)</f>
        <v>1141.65625</v>
      </c>
    </row>
    <row r="54" spans="1:9">
      <c r="A54" s="182"/>
      <c r="B54" s="703"/>
      <c r="C54" s="254"/>
      <c r="D54" s="704" t="s">
        <v>447</v>
      </c>
      <c r="E54" s="704" t="s">
        <v>448</v>
      </c>
      <c r="F54" s="704" t="s">
        <v>449</v>
      </c>
      <c r="G54" s="704" t="s">
        <v>450</v>
      </c>
      <c r="H54" s="254"/>
      <c r="I54" s="265"/>
    </row>
    <row r="55" spans="1:9">
      <c r="A55" s="182"/>
      <c r="B55" s="1869" t="str">
        <f>+'[20]Core Rates'!A113</f>
        <v>Earthmoving: Heavy grading/shaping (6-10 hrs/ac)</v>
      </c>
      <c r="C55" s="1865"/>
      <c r="D55" s="1862" t="s">
        <v>408</v>
      </c>
      <c r="E55" s="706">
        <f>+'[20]Core Rates'!C113</f>
        <v>835.125</v>
      </c>
      <c r="F55" s="707">
        <v>1</v>
      </c>
      <c r="G55" s="708">
        <f>+F55*E55</f>
        <v>835.125</v>
      </c>
      <c r="H55" s="254"/>
      <c r="I55" s="286"/>
    </row>
    <row r="56" spans="1:9">
      <c r="A56" s="182"/>
      <c r="B56" s="1870" t="str">
        <f>+'[20]Core Rates'!A217</f>
        <v>Mulching (2 tons/ac applied)</v>
      </c>
      <c r="C56" s="720"/>
      <c r="D56" s="708" t="s">
        <v>408</v>
      </c>
      <c r="E56" s="708">
        <f>+'[20]Core Rates'!C217</f>
        <v>472.5</v>
      </c>
      <c r="F56" s="706">
        <v>1</v>
      </c>
      <c r="G56" s="708">
        <f>+F56*E56</f>
        <v>472.5</v>
      </c>
      <c r="H56" s="254"/>
      <c r="I56" s="286"/>
    </row>
    <row r="57" spans="1:9">
      <c r="A57" s="182"/>
      <c r="B57" s="1866" t="str">
        <f>+'[20]Core Rates'!A123</f>
        <v>Erosion Control Blanket, Type II (Installed)</v>
      </c>
      <c r="C57" s="720"/>
      <c r="D57" s="708" t="str">
        <f>+'[20]Core Rates'!B123</f>
        <v>Sq Yd</v>
      </c>
      <c r="E57" s="708">
        <f>+'[20]Core Rates'!C123</f>
        <v>1.5750000000000002</v>
      </c>
      <c r="F57" s="706">
        <v>0</v>
      </c>
      <c r="G57" s="708">
        <f>+E57/9*43560*F57</f>
        <v>0</v>
      </c>
      <c r="H57" s="254"/>
      <c r="I57" s="286"/>
    </row>
    <row r="58" spans="1:9">
      <c r="A58" s="182"/>
      <c r="B58" s="261" t="s">
        <v>461</v>
      </c>
      <c r="C58" s="268"/>
      <c r="D58" s="705" t="s">
        <v>408</v>
      </c>
      <c r="E58" s="706">
        <f>+'[20]Core Rates'!C104</f>
        <v>20</v>
      </c>
      <c r="F58" s="707">
        <v>1</v>
      </c>
      <c r="G58" s="708">
        <f>+F58*E58</f>
        <v>20</v>
      </c>
      <c r="H58" s="254"/>
      <c r="I58" s="286"/>
    </row>
    <row r="59" spans="1:9">
      <c r="A59" s="182"/>
      <c r="B59" s="712" t="str">
        <f>+'[20]Core Rates'!A216</f>
        <v>Mowing</v>
      </c>
      <c r="C59" s="268"/>
      <c r="D59" s="1853" t="s">
        <v>408</v>
      </c>
      <c r="E59" s="1853">
        <f>+'[20]Core Rates'!C216</f>
        <v>15.5</v>
      </c>
      <c r="F59" s="707">
        <v>1</v>
      </c>
      <c r="G59" s="708">
        <f>+F59*E59</f>
        <v>15.5</v>
      </c>
      <c r="H59" s="254"/>
      <c r="I59" s="286"/>
    </row>
    <row r="60" spans="1:9">
      <c r="A60" s="182"/>
      <c r="B60" s="261" t="s">
        <v>462</v>
      </c>
      <c r="C60" s="268"/>
      <c r="D60" s="705" t="s">
        <v>408</v>
      </c>
      <c r="E60" s="706">
        <f>+'[20]Core Rates'!AN33</f>
        <v>5.416666666666667</v>
      </c>
      <c r="F60" s="707">
        <v>0</v>
      </c>
      <c r="G60" s="708">
        <f>+F60*E60</f>
        <v>0</v>
      </c>
      <c r="H60" s="254"/>
      <c r="I60" s="286"/>
    </row>
    <row r="61" spans="1:9">
      <c r="A61" s="182"/>
      <c r="B61" s="261" t="s">
        <v>463</v>
      </c>
      <c r="C61" s="268"/>
      <c r="D61" s="705" t="s">
        <v>452</v>
      </c>
      <c r="E61" s="706">
        <f>+'[20]Core Rates'!AN34</f>
        <v>5.5</v>
      </c>
      <c r="F61" s="707">
        <v>0</v>
      </c>
      <c r="G61" s="708">
        <f>+F61*E61</f>
        <v>0</v>
      </c>
      <c r="H61" s="254"/>
      <c r="I61" s="286"/>
    </row>
    <row r="62" spans="1:9">
      <c r="A62" s="182"/>
      <c r="B62" s="261" t="s">
        <v>464</v>
      </c>
      <c r="C62" s="268"/>
      <c r="D62" s="705" t="s">
        <v>452</v>
      </c>
      <c r="E62" s="706">
        <f>+'[20]Core Rates'!AN32</f>
        <v>6.3125</v>
      </c>
      <c r="F62" s="707">
        <v>0</v>
      </c>
      <c r="G62" s="708">
        <f>+F62*E62</f>
        <v>0</v>
      </c>
      <c r="H62" s="254"/>
      <c r="I62" s="286"/>
    </row>
    <row r="63" spans="1:9">
      <c r="A63" s="182"/>
      <c r="B63" s="261"/>
      <c r="C63" s="268"/>
      <c r="D63" s="269"/>
      <c r="E63" s="714"/>
      <c r="F63" s="714"/>
      <c r="G63" s="706"/>
      <c r="H63" s="254"/>
      <c r="I63" s="286"/>
    </row>
    <row r="64" spans="1:9">
      <c r="A64" s="182"/>
      <c r="B64" s="251" t="s">
        <v>43</v>
      </c>
      <c r="C64" s="254"/>
      <c r="D64" s="254"/>
      <c r="E64" s="272"/>
      <c r="F64" s="272"/>
      <c r="G64" s="272"/>
      <c r="H64" s="254"/>
      <c r="I64" s="265"/>
    </row>
    <row r="65" spans="1:9" ht="12.75" customHeight="1">
      <c r="A65" s="182"/>
      <c r="B65" s="2148" t="s">
        <v>457</v>
      </c>
      <c r="C65" s="2149"/>
      <c r="D65" s="2149"/>
      <c r="E65" s="2149"/>
      <c r="F65" s="2149"/>
      <c r="G65" s="2149"/>
      <c r="H65" s="2149"/>
      <c r="I65" s="2150"/>
    </row>
    <row r="66" spans="1:9">
      <c r="A66" s="182"/>
      <c r="B66" s="2148"/>
      <c r="C66" s="2149"/>
      <c r="D66" s="2149"/>
      <c r="E66" s="2149"/>
      <c r="F66" s="2149"/>
      <c r="G66" s="2149"/>
      <c r="H66" s="2149"/>
      <c r="I66" s="2150"/>
    </row>
    <row r="67" spans="1:9">
      <c r="A67" s="182"/>
      <c r="B67" s="715"/>
      <c r="C67" s="716"/>
      <c r="D67" s="716"/>
      <c r="E67" s="716"/>
      <c r="F67" s="716"/>
      <c r="G67" s="716"/>
      <c r="H67" s="716"/>
      <c r="I67" s="717"/>
    </row>
    <row r="68" spans="1:9">
      <c r="A68" s="182"/>
      <c r="B68" s="715"/>
      <c r="C68" s="716"/>
      <c r="D68" s="716"/>
      <c r="E68" s="716"/>
      <c r="F68" s="716"/>
      <c r="G68" s="716"/>
      <c r="H68" s="716"/>
      <c r="I68" s="717"/>
    </row>
    <row r="69" spans="1:9">
      <c r="A69" s="182"/>
      <c r="B69" s="246" t="s">
        <v>3</v>
      </c>
      <c r="C69" s="254"/>
      <c r="D69" s="254"/>
      <c r="E69" s="254"/>
      <c r="F69" s="256"/>
      <c r="G69" s="254"/>
      <c r="H69" s="254"/>
      <c r="I69" s="718">
        <f>E71</f>
        <v>201.46875</v>
      </c>
    </row>
    <row r="70" spans="1:9">
      <c r="A70" s="182"/>
      <c r="B70" s="2151" t="s">
        <v>465</v>
      </c>
      <c r="C70" s="2152"/>
      <c r="D70" s="254"/>
      <c r="E70" s="254"/>
      <c r="F70" s="254"/>
      <c r="G70" s="254"/>
      <c r="H70" s="254"/>
      <c r="I70" s="282"/>
    </row>
    <row r="71" spans="1:9">
      <c r="A71" s="182"/>
      <c r="B71" s="251" t="s">
        <v>466</v>
      </c>
      <c r="C71" s="256"/>
      <c r="D71" s="256"/>
      <c r="E71" s="720">
        <f>SUM(G55:G62)*0.15</f>
        <v>201.46875</v>
      </c>
      <c r="F71" s="254"/>
      <c r="G71" s="254"/>
      <c r="H71" s="254"/>
      <c r="I71" s="265"/>
    </row>
    <row r="72" spans="1:9">
      <c r="A72" s="182"/>
      <c r="B72" s="251"/>
      <c r="C72" s="256"/>
      <c r="D72" s="721"/>
      <c r="E72" s="720"/>
      <c r="F72" s="254"/>
      <c r="G72" s="254"/>
      <c r="H72" s="254"/>
      <c r="I72" s="265"/>
    </row>
    <row r="73" spans="1:9">
      <c r="A73" s="182"/>
      <c r="B73" s="251"/>
      <c r="C73" s="256"/>
      <c r="D73" s="722"/>
      <c r="E73" s="720"/>
      <c r="F73" s="254"/>
      <c r="G73" s="254"/>
      <c r="H73" s="254"/>
      <c r="I73" s="265"/>
    </row>
    <row r="74" spans="1:9">
      <c r="A74" s="182"/>
      <c r="B74" s="271"/>
      <c r="C74" s="254"/>
      <c r="D74" s="254"/>
      <c r="E74" s="254"/>
      <c r="F74" s="254"/>
      <c r="G74" s="254"/>
      <c r="H74" s="254"/>
      <c r="I74" s="248"/>
    </row>
    <row r="75" spans="1:9">
      <c r="A75" s="182"/>
      <c r="B75" s="246" t="s">
        <v>4</v>
      </c>
      <c r="C75" s="254"/>
      <c r="D75" s="254"/>
      <c r="E75" s="254"/>
      <c r="F75" s="254"/>
      <c r="G75" s="254"/>
      <c r="H75" s="254"/>
      <c r="I75" s="718">
        <f>0.03*(I40+I53+I69)</f>
        <v>43.469849999999994</v>
      </c>
    </row>
    <row r="76" spans="1:9">
      <c r="A76" s="182"/>
      <c r="B76" s="271" t="s">
        <v>467</v>
      </c>
      <c r="C76" s="254"/>
      <c r="D76" s="254"/>
      <c r="E76" s="254"/>
      <c r="F76" s="254"/>
      <c r="G76" s="254"/>
      <c r="H76" s="254"/>
      <c r="I76" s="248"/>
    </row>
    <row r="77" spans="1:9">
      <c r="A77" s="182"/>
      <c r="B77" s="251"/>
      <c r="C77" s="254"/>
      <c r="D77" s="254"/>
      <c r="E77" s="254"/>
      <c r="F77" s="254"/>
      <c r="G77" s="254"/>
      <c r="H77" s="254"/>
      <c r="I77" s="248"/>
    </row>
    <row r="78" spans="1:9">
      <c r="A78" s="182"/>
      <c r="B78" s="246" t="s">
        <v>468</v>
      </c>
      <c r="C78" s="254"/>
      <c r="D78" s="254"/>
      <c r="E78" s="254"/>
      <c r="F78" s="254"/>
      <c r="G78" s="254"/>
      <c r="H78" s="254"/>
      <c r="I78" s="718">
        <f>0.01*(I40+I53+I69)</f>
        <v>14.489949999999999</v>
      </c>
    </row>
    <row r="79" spans="1:9">
      <c r="A79" s="182"/>
      <c r="B79" s="271" t="s">
        <v>749</v>
      </c>
      <c r="C79" s="254"/>
      <c r="D79" s="254"/>
      <c r="E79" s="254"/>
      <c r="F79" s="254"/>
      <c r="G79" s="254"/>
      <c r="H79" s="254"/>
      <c r="I79" s="248"/>
    </row>
    <row r="80" spans="1:9">
      <c r="A80" s="182"/>
      <c r="B80" s="251"/>
      <c r="C80" s="254"/>
      <c r="D80" s="254"/>
      <c r="E80" s="254"/>
      <c r="F80" s="254"/>
      <c r="G80" s="254"/>
      <c r="H80" s="254"/>
      <c r="I80" s="248"/>
    </row>
    <row r="81" spans="1:9">
      <c r="A81" s="182"/>
      <c r="B81" s="246" t="s">
        <v>7</v>
      </c>
      <c r="C81" s="254"/>
      <c r="D81" s="254"/>
      <c r="E81" s="254"/>
      <c r="F81" s="254"/>
      <c r="G81" s="254"/>
      <c r="H81" s="254"/>
      <c r="I81" s="702">
        <v>0</v>
      </c>
    </row>
    <row r="82" spans="1:9">
      <c r="A82" s="182"/>
      <c r="B82" s="271" t="s">
        <v>1349</v>
      </c>
      <c r="C82" s="254"/>
      <c r="D82" s="254"/>
      <c r="E82" s="254"/>
      <c r="F82" s="254"/>
      <c r="G82" s="254"/>
      <c r="H82" s="254"/>
      <c r="I82" s="248"/>
    </row>
    <row r="83" spans="1:9">
      <c r="A83" s="182"/>
      <c r="B83" s="251"/>
      <c r="C83" s="254"/>
      <c r="D83" s="254"/>
      <c r="E83" s="254"/>
      <c r="F83" s="254"/>
      <c r="G83" s="254"/>
      <c r="H83" s="254"/>
      <c r="I83" s="248"/>
    </row>
    <row r="84" spans="1:9">
      <c r="A84" s="182"/>
      <c r="B84" s="246" t="s">
        <v>471</v>
      </c>
      <c r="C84" s="254"/>
      <c r="D84" s="254"/>
      <c r="E84" s="254"/>
      <c r="F84" s="256"/>
      <c r="G84" s="254"/>
      <c r="H84" s="254"/>
      <c r="I84" s="702">
        <v>600</v>
      </c>
    </row>
    <row r="85" spans="1:9">
      <c r="A85" s="182"/>
      <c r="B85" s="726" t="s">
        <v>1350</v>
      </c>
      <c r="C85" s="254"/>
      <c r="D85" s="254"/>
      <c r="E85" s="254"/>
      <c r="F85" s="254"/>
      <c r="G85" s="254"/>
      <c r="H85" s="254"/>
      <c r="I85" s="286"/>
    </row>
    <row r="86" spans="1:9">
      <c r="A86" s="182"/>
      <c r="B86" s="726"/>
      <c r="C86" s="254"/>
      <c r="D86" s="254"/>
      <c r="E86" s="254"/>
      <c r="F86" s="254"/>
      <c r="G86" s="254"/>
      <c r="H86" s="254"/>
      <c r="I86" s="286"/>
    </row>
    <row r="87" spans="1:9">
      <c r="A87" s="182"/>
      <c r="B87" s="251"/>
      <c r="C87" s="254"/>
      <c r="D87" s="254"/>
      <c r="E87" s="254"/>
      <c r="F87" s="254"/>
      <c r="G87" s="254"/>
      <c r="H87" s="254"/>
      <c r="I87" s="248"/>
    </row>
    <row r="88" spans="1:9">
      <c r="A88" s="182"/>
      <c r="B88" s="246" t="s">
        <v>5</v>
      </c>
      <c r="C88" s="254"/>
      <c r="D88" s="254"/>
      <c r="E88" s="254"/>
      <c r="F88" s="254"/>
      <c r="G88" s="254"/>
      <c r="H88" s="254"/>
      <c r="I88" s="702">
        <v>0</v>
      </c>
    </row>
    <row r="89" spans="1:9">
      <c r="A89" s="182"/>
      <c r="B89" s="271" t="s">
        <v>1351</v>
      </c>
      <c r="C89" s="254"/>
      <c r="D89" s="254"/>
      <c r="E89" s="254"/>
      <c r="F89" s="254"/>
      <c r="G89" s="254"/>
      <c r="H89" s="254"/>
      <c r="I89" s="286"/>
    </row>
    <row r="90" spans="1:9">
      <c r="A90" s="182"/>
      <c r="B90" s="251"/>
      <c r="C90" s="254"/>
      <c r="D90" s="254"/>
      <c r="E90" s="254"/>
      <c r="F90" s="254"/>
      <c r="G90" s="254"/>
      <c r="H90" s="254"/>
      <c r="I90" s="248"/>
    </row>
    <row r="91" spans="1:9">
      <c r="A91" s="182"/>
      <c r="B91" s="246" t="s">
        <v>20</v>
      </c>
      <c r="C91" s="254"/>
      <c r="D91" s="254"/>
      <c r="E91" s="254"/>
      <c r="F91" s="254"/>
      <c r="G91" s="254"/>
      <c r="H91" s="254"/>
      <c r="I91" s="702">
        <v>0</v>
      </c>
    </row>
    <row r="92" spans="1:9">
      <c r="A92" s="182"/>
      <c r="B92" s="271" t="s">
        <v>104</v>
      </c>
      <c r="C92" s="254"/>
      <c r="D92" s="254"/>
      <c r="E92" s="254"/>
      <c r="F92" s="254"/>
      <c r="G92" s="254"/>
      <c r="H92" s="254"/>
      <c r="I92" s="248"/>
    </row>
    <row r="93" spans="1:9">
      <c r="A93" s="182"/>
      <c r="B93" s="261"/>
      <c r="C93" s="254"/>
      <c r="D93" s="254"/>
      <c r="E93" s="254"/>
      <c r="F93" s="254"/>
      <c r="G93" s="254"/>
      <c r="H93" s="254"/>
      <c r="I93" s="248"/>
    </row>
    <row r="94" spans="1:9">
      <c r="A94" s="182"/>
      <c r="B94" s="246" t="s">
        <v>473</v>
      </c>
      <c r="C94" s="254"/>
      <c r="D94" s="254"/>
      <c r="E94" s="254"/>
      <c r="F94" s="254"/>
      <c r="G94" s="254"/>
      <c r="H94" s="254"/>
      <c r="I94" s="728">
        <f>+I40+I53+I69+I75+I81+I91</f>
        <v>1492.4648499999998</v>
      </c>
    </row>
    <row r="95" spans="1:9" ht="15.75">
      <c r="A95" s="182"/>
      <c r="B95" s="271" t="s">
        <v>474</v>
      </c>
      <c r="C95" s="254"/>
      <c r="D95" s="254"/>
      <c r="E95" s="254"/>
      <c r="F95" s="254"/>
      <c r="G95" s="254"/>
      <c r="H95" s="254"/>
      <c r="I95" s="248"/>
    </row>
    <row r="96" spans="1:9">
      <c r="A96" s="182"/>
      <c r="B96" s="261"/>
      <c r="C96" s="254"/>
      <c r="D96" s="254"/>
      <c r="E96" s="254"/>
      <c r="F96" s="254"/>
      <c r="G96" s="254"/>
      <c r="H96" s="254"/>
      <c r="I96" s="248"/>
    </row>
    <row r="97" spans="1:9">
      <c r="A97" s="182"/>
      <c r="B97" s="287" t="s">
        <v>11</v>
      </c>
      <c r="C97" s="288"/>
      <c r="D97" s="288"/>
      <c r="E97" s="288"/>
      <c r="F97" s="288"/>
      <c r="G97" s="288"/>
      <c r="H97" s="288"/>
      <c r="I97" s="621">
        <f>SUM(I40:I91)</f>
        <v>2106.9547999999995</v>
      </c>
    </row>
  </sheetData>
  <mergeCells count="4">
    <mergeCell ref="B1:D1"/>
    <mergeCell ref="E53:H53"/>
    <mergeCell ref="B65:I66"/>
    <mergeCell ref="B70:C70"/>
  </mergeCells>
  <pageMargins left="0.75" right="0.75" top="1" bottom="1" header="0.5" footer="0.5"/>
  <pageSetup scale="55" orientation="portrait" r:id="rId1"/>
  <headerFooter alignWithMargins="0"/>
</worksheet>
</file>

<file path=xl/worksheets/sheet247.xml><?xml version="1.0" encoding="utf-8"?>
<worksheet xmlns="http://schemas.openxmlformats.org/spreadsheetml/2006/main" xmlns:r="http://schemas.openxmlformats.org/officeDocument/2006/relationships">
  <sheetPr>
    <pageSetUpPr fitToPage="1"/>
  </sheetPr>
  <dimension ref="A1:L99"/>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bestFit="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2429</v>
      </c>
      <c r="F6" s="198" t="str">
        <f>+D36</f>
        <v>Acre</v>
      </c>
      <c r="G6" s="686">
        <f>+I25</f>
        <v>1676.00055</v>
      </c>
    </row>
    <row r="7" spans="1:12" ht="25.5">
      <c r="A7" s="182"/>
      <c r="B7" s="197">
        <f>+B6</f>
        <v>654</v>
      </c>
      <c r="C7" s="198" t="str">
        <f>+C6</f>
        <v>EQIP</v>
      </c>
      <c r="D7" s="199" t="s">
        <v>2416</v>
      </c>
      <c r="E7" s="199" t="str">
        <f>CONCATENATE(E6, "-HU")</f>
        <v>Road/Trail/Landing Closure &amp; Treatment (Ac) - Medium Grading/Shaping (2-6hr/Ac), ECB &amp; Mulch, Native Grass/Legume Mix-HU</v>
      </c>
      <c r="F7" s="198" t="str">
        <f>+F6</f>
        <v>Acre</v>
      </c>
      <c r="G7" s="686">
        <f>+J25</f>
        <v>2011.2006599999997</v>
      </c>
    </row>
    <row r="8" spans="1:12" ht="25.5">
      <c r="A8" s="182"/>
      <c r="B8" s="197">
        <v>654</v>
      </c>
      <c r="C8" s="198" t="str">
        <f>+G12</f>
        <v>WHIP</v>
      </c>
      <c r="D8" s="199" t="s">
        <v>2416</v>
      </c>
      <c r="E8" s="199" t="str">
        <f>+E6</f>
        <v>Road/Trail/Landing Closure &amp; Treatment (Ac) - Medium Grading/Shaping (2-6hr/Ac), ECB &amp; Mulch, Native Grass/Legume Mix</v>
      </c>
      <c r="F8" s="198" t="str">
        <f>+D36</f>
        <v>Acre</v>
      </c>
      <c r="G8" s="686">
        <f>+K25</f>
        <v>0</v>
      </c>
    </row>
    <row r="9" spans="1:12" ht="25.5">
      <c r="A9" s="182"/>
      <c r="B9" s="203">
        <f>+B8</f>
        <v>654</v>
      </c>
      <c r="C9" s="204" t="str">
        <f>+C8</f>
        <v>WHIP</v>
      </c>
      <c r="D9" s="199" t="s">
        <v>2416</v>
      </c>
      <c r="E9" s="205" t="str">
        <f>CONCATENATE(E6, "-HU")</f>
        <v>Road/Trail/Landing Closure &amp; Treatment (Ac) - Medium Grading/Shaping (2-6hr/Ac), ECB &amp; Mulch, Native Grass/Legume Mix-HU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85.38</v>
      </c>
      <c r="E16" s="226">
        <f>+'[10]Payment Factors'!D11</f>
        <v>0.75</v>
      </c>
      <c r="F16" s="226">
        <f>+'[10]Payment Factors'!E11</f>
        <v>0.9</v>
      </c>
      <c r="G16" s="226">
        <f>+'[10]Payment Factors'!F11</f>
        <v>0</v>
      </c>
      <c r="H16" s="226">
        <f>+'[10]Payment Factors'!G11</f>
        <v>0</v>
      </c>
      <c r="I16" s="689">
        <f t="shared" ref="I16:L24" si="0">+$D16*E16</f>
        <v>64.034999999999997</v>
      </c>
      <c r="J16" s="689">
        <f t="shared" si="0"/>
        <v>76.841999999999999</v>
      </c>
      <c r="K16" s="689">
        <f t="shared" si="0"/>
        <v>0</v>
      </c>
      <c r="L16" s="690">
        <f t="shared" si="0"/>
        <v>0</v>
      </c>
    </row>
    <row r="17" spans="1:12">
      <c r="A17" s="182"/>
      <c r="B17" s="215" t="s">
        <v>2</v>
      </c>
      <c r="C17" s="217"/>
      <c r="D17" s="688">
        <f>+I55</f>
        <v>1771.5699999999997</v>
      </c>
      <c r="E17" s="226">
        <f t="shared" ref="E17:H19" si="1">+E16</f>
        <v>0.75</v>
      </c>
      <c r="F17" s="226">
        <f t="shared" si="1"/>
        <v>0.9</v>
      </c>
      <c r="G17" s="226">
        <f t="shared" si="1"/>
        <v>0</v>
      </c>
      <c r="H17" s="226">
        <f t="shared" si="1"/>
        <v>0</v>
      </c>
      <c r="I17" s="689">
        <f t="shared" si="0"/>
        <v>1328.6774999999998</v>
      </c>
      <c r="J17" s="689">
        <f t="shared" si="0"/>
        <v>1594.4129999999998</v>
      </c>
      <c r="K17" s="689">
        <f t="shared" si="0"/>
        <v>0</v>
      </c>
      <c r="L17" s="690">
        <f t="shared" si="0"/>
        <v>0</v>
      </c>
    </row>
    <row r="18" spans="1:12">
      <c r="A18" s="182"/>
      <c r="B18" s="215" t="s">
        <v>3</v>
      </c>
      <c r="C18" s="217"/>
      <c r="D18" s="688">
        <f>+I71</f>
        <v>312.62999999999994</v>
      </c>
      <c r="E18" s="226">
        <f t="shared" si="1"/>
        <v>0.75</v>
      </c>
      <c r="F18" s="226">
        <f t="shared" si="1"/>
        <v>0.9</v>
      </c>
      <c r="G18" s="226">
        <f t="shared" si="1"/>
        <v>0</v>
      </c>
      <c r="H18" s="226">
        <f t="shared" si="1"/>
        <v>0</v>
      </c>
      <c r="I18" s="689">
        <f t="shared" si="0"/>
        <v>234.47249999999997</v>
      </c>
      <c r="J18" s="689">
        <f t="shared" si="0"/>
        <v>281.36699999999996</v>
      </c>
      <c r="K18" s="689">
        <f t="shared" si="0"/>
        <v>0</v>
      </c>
      <c r="L18" s="690">
        <f t="shared" si="0"/>
        <v>0</v>
      </c>
    </row>
    <row r="19" spans="1:12">
      <c r="A19" s="182"/>
      <c r="B19" s="215" t="s">
        <v>4</v>
      </c>
      <c r="C19" s="217"/>
      <c r="D19" s="688">
        <f>+I77</f>
        <v>65.087400000000002</v>
      </c>
      <c r="E19" s="226">
        <f t="shared" si="1"/>
        <v>0.75</v>
      </c>
      <c r="F19" s="226">
        <f t="shared" si="1"/>
        <v>0.9</v>
      </c>
      <c r="G19" s="226">
        <f t="shared" si="1"/>
        <v>0</v>
      </c>
      <c r="H19" s="226">
        <f t="shared" si="1"/>
        <v>0</v>
      </c>
      <c r="I19" s="689">
        <f t="shared" si="0"/>
        <v>48.815550000000002</v>
      </c>
      <c r="J19" s="689">
        <f t="shared" si="0"/>
        <v>58.578660000000006</v>
      </c>
      <c r="K19" s="689">
        <f t="shared" si="0"/>
        <v>0</v>
      </c>
      <c r="L19" s="690">
        <f t="shared" si="0"/>
        <v>0</v>
      </c>
    </row>
    <row r="20" spans="1:12">
      <c r="A20" s="182"/>
      <c r="B20" s="215" t="s">
        <v>26</v>
      </c>
      <c r="C20" s="217"/>
      <c r="D20" s="688">
        <f>+I80</f>
        <v>21.695799999999998</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+I83</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+I86</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+I90</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+I93</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2856.3631999999998</v>
      </c>
      <c r="E25" s="695"/>
      <c r="F25" s="695"/>
      <c r="G25" s="234"/>
      <c r="H25" s="234"/>
      <c r="I25" s="696">
        <f>SUM(I16:I24)</f>
        <v>1676.00055</v>
      </c>
      <c r="J25" s="696">
        <f>SUM(J16:J24)</f>
        <v>2011.2006599999997</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SUM(G42:G50)</f>
        <v>85.38</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50" si="2">+F42*E42</f>
        <v>0</v>
      </c>
      <c r="H42" s="254"/>
      <c r="I42" s="286"/>
    </row>
    <row r="43" spans="1:9">
      <c r="A43" s="182"/>
      <c r="B43" s="261" t="s">
        <v>451</v>
      </c>
      <c r="C43" s="268"/>
      <c r="D43" s="705" t="s">
        <v>452</v>
      </c>
      <c r="E43" s="706">
        <f>+'[20]Core Rates'!C203</f>
        <v>8.75</v>
      </c>
      <c r="F43" s="707">
        <v>0</v>
      </c>
      <c r="G43" s="708">
        <f t="shared" si="2"/>
        <v>0</v>
      </c>
      <c r="H43" s="254"/>
      <c r="I43" s="248"/>
    </row>
    <row r="44" spans="1:9">
      <c r="A44" s="182"/>
      <c r="B44" s="1849" t="s">
        <v>453</v>
      </c>
      <c r="C44" s="268"/>
      <c r="D44" s="711" t="s">
        <v>454</v>
      </c>
      <c r="E44" s="706">
        <f>+'[20]Core Rates'!C228</f>
        <v>0.82427536231884069</v>
      </c>
      <c r="F44" s="707">
        <v>0</v>
      </c>
      <c r="G44" s="708">
        <f t="shared" si="2"/>
        <v>0</v>
      </c>
      <c r="H44" s="254"/>
      <c r="I44" s="248"/>
    </row>
    <row r="45" spans="1:9">
      <c r="A45" s="182"/>
      <c r="B45" s="709" t="s">
        <v>455</v>
      </c>
      <c r="C45" s="710"/>
      <c r="D45" s="711" t="s">
        <v>454</v>
      </c>
      <c r="E45" s="706">
        <f>+'[20]Core Rates'!C235</f>
        <v>1.1702898550724636</v>
      </c>
      <c r="F45" s="707">
        <v>0</v>
      </c>
      <c r="G45" s="708">
        <f t="shared" si="2"/>
        <v>0</v>
      </c>
      <c r="H45" s="254"/>
      <c r="I45" s="248"/>
    </row>
    <row r="46" spans="1:9">
      <c r="A46" s="182"/>
      <c r="B46" s="709" t="s">
        <v>456</v>
      </c>
      <c r="C46" s="710"/>
      <c r="D46" s="705" t="s">
        <v>454</v>
      </c>
      <c r="E46" s="706">
        <f>+'[20]Core Rates'!C246</f>
        <v>0.58825136612021856</v>
      </c>
      <c r="F46" s="707">
        <v>0</v>
      </c>
      <c r="G46" s="708">
        <f t="shared" si="2"/>
        <v>0</v>
      </c>
      <c r="H46" s="254"/>
      <c r="I46" s="248"/>
    </row>
    <row r="47" spans="1:9">
      <c r="A47" s="182"/>
      <c r="B47" s="1868" t="str">
        <f>+'[20]Core Rates'!A309</f>
        <v>Seed (Native grass except Prairie Dropseed and Splitbeard Bluestem)</v>
      </c>
      <c r="C47" s="710"/>
      <c r="D47" s="711" t="s">
        <v>454</v>
      </c>
      <c r="E47" s="706">
        <f>+'[20]Core Rates 2011'!BE306</f>
        <v>8.57</v>
      </c>
      <c r="F47" s="707">
        <v>9</v>
      </c>
      <c r="G47" s="708">
        <f t="shared" si="2"/>
        <v>77.13</v>
      </c>
      <c r="H47" s="254"/>
      <c r="I47" s="248"/>
    </row>
    <row r="48" spans="1:9">
      <c r="A48" s="182"/>
      <c r="B48" s="1868" t="str">
        <f>+'[20]Core Rates'!A307</f>
        <v>Seed (Prairie Dropseed)</v>
      </c>
      <c r="C48" s="710"/>
      <c r="D48" s="711" t="s">
        <v>454</v>
      </c>
      <c r="E48" s="706">
        <f>+'[20]Core Rates 2011'!BE304</f>
        <v>165.75</v>
      </c>
      <c r="F48" s="707">
        <v>0</v>
      </c>
      <c r="G48" s="708">
        <f t="shared" si="2"/>
        <v>0</v>
      </c>
      <c r="H48" s="254"/>
      <c r="I48" s="248"/>
    </row>
    <row r="49" spans="1:9">
      <c r="A49" s="182"/>
      <c r="B49" s="709" t="s">
        <v>481</v>
      </c>
      <c r="C49" s="710"/>
      <c r="D49" s="711" t="s">
        <v>454</v>
      </c>
      <c r="E49" s="706">
        <f>+'[20]Core Rates 2011'!BE309</f>
        <v>2.75</v>
      </c>
      <c r="F49" s="707">
        <v>3</v>
      </c>
      <c r="G49" s="708">
        <f t="shared" si="2"/>
        <v>8.25</v>
      </c>
      <c r="H49" s="254"/>
      <c r="I49" s="248"/>
    </row>
    <row r="50" spans="1:9">
      <c r="A50" s="182"/>
      <c r="B50" s="1868" t="str">
        <f>+'[20]Core Rates'!A308</f>
        <v>Seed (Splitbeard Bluestem)</v>
      </c>
      <c r="C50" s="710"/>
      <c r="D50" s="711" t="s">
        <v>454</v>
      </c>
      <c r="E50" s="706">
        <f>+'[20]Core Rates 2011'!BE305</f>
        <v>78.666666666666671</v>
      </c>
      <c r="F50" s="707">
        <v>0</v>
      </c>
      <c r="G50" s="708">
        <f t="shared" si="2"/>
        <v>0</v>
      </c>
      <c r="H50" s="254"/>
      <c r="I50" s="248"/>
    </row>
    <row r="51" spans="1:9">
      <c r="A51" s="182"/>
      <c r="B51" s="1849"/>
      <c r="C51" s="268"/>
      <c r="D51" s="1851"/>
      <c r="E51" s="1852"/>
      <c r="F51" s="254"/>
      <c r="G51" s="254"/>
      <c r="H51" s="254"/>
      <c r="I51" s="248"/>
    </row>
    <row r="52" spans="1:9">
      <c r="A52" s="182"/>
      <c r="B52" s="251" t="s">
        <v>43</v>
      </c>
      <c r="C52" s="254"/>
      <c r="D52" s="254"/>
      <c r="E52" s="272"/>
      <c r="F52" s="272"/>
      <c r="G52" s="272"/>
      <c r="H52" s="254"/>
      <c r="I52" s="265"/>
    </row>
    <row r="53" spans="1:9">
      <c r="A53" s="182"/>
      <c r="B53" s="261" t="s">
        <v>457</v>
      </c>
      <c r="C53" s="254"/>
      <c r="D53" s="254"/>
      <c r="E53" s="272"/>
      <c r="F53" s="272"/>
      <c r="G53" s="272"/>
      <c r="H53" s="254"/>
      <c r="I53" s="265"/>
    </row>
    <row r="54" spans="1:9">
      <c r="A54" s="182"/>
      <c r="B54" s="1850"/>
      <c r="C54" s="268"/>
      <c r="D54" s="1851"/>
      <c r="E54" s="254"/>
      <c r="F54" s="254"/>
      <c r="G54" s="254"/>
      <c r="H54" s="254"/>
      <c r="I54" s="248"/>
    </row>
    <row r="55" spans="1:9">
      <c r="A55" s="182"/>
      <c r="B55" s="246" t="s">
        <v>2</v>
      </c>
      <c r="C55" s="254"/>
      <c r="D55" s="254"/>
      <c r="E55" s="2147" t="s">
        <v>459</v>
      </c>
      <c r="F55" s="2147"/>
      <c r="G55" s="2147"/>
      <c r="H55" s="2147"/>
      <c r="I55" s="702">
        <f>(SUM(G57:G64)*0.85)</f>
        <v>1771.5699999999997</v>
      </c>
    </row>
    <row r="56" spans="1:9">
      <c r="A56" s="182"/>
      <c r="B56" s="703"/>
      <c r="C56" s="254"/>
      <c r="D56" s="704" t="s">
        <v>447</v>
      </c>
      <c r="E56" s="704" t="s">
        <v>448</v>
      </c>
      <c r="F56" s="704" t="s">
        <v>449</v>
      </c>
      <c r="G56" s="704" t="s">
        <v>450</v>
      </c>
      <c r="H56" s="254"/>
      <c r="I56" s="265"/>
    </row>
    <row r="57" spans="1:9">
      <c r="A57" s="182"/>
      <c r="B57" s="1867" t="str">
        <f>+'[20]Core Rates'!A111</f>
        <v>Earthmoving: Medium grading/shaping (2-6 hrs/ac)</v>
      </c>
      <c r="C57" s="1861"/>
      <c r="D57" s="1862" t="s">
        <v>408</v>
      </c>
      <c r="E57" s="706">
        <f>+'[20]Core Rates'!C111</f>
        <v>503.625</v>
      </c>
      <c r="F57" s="707">
        <v>1</v>
      </c>
      <c r="G57" s="708">
        <f>+F57*E57</f>
        <v>503.625</v>
      </c>
      <c r="H57" s="254"/>
      <c r="I57" s="286"/>
    </row>
    <row r="58" spans="1:9">
      <c r="A58" s="182"/>
      <c r="B58" s="1863" t="str">
        <f>+'[20]Core Rates'!A217</f>
        <v>Mulching (2 tons/ac applied)</v>
      </c>
      <c r="C58" s="720"/>
      <c r="D58" s="708" t="s">
        <v>408</v>
      </c>
      <c r="E58" s="708">
        <f>+'[20]Core Rates'!C217</f>
        <v>472.5</v>
      </c>
      <c r="F58" s="706">
        <v>0.85</v>
      </c>
      <c r="G58" s="708">
        <f>+F58*E58</f>
        <v>401.625</v>
      </c>
      <c r="H58" s="254"/>
      <c r="I58" s="286"/>
    </row>
    <row r="59" spans="1:9">
      <c r="A59" s="182"/>
      <c r="B59" s="1866" t="str">
        <f>+'[20]Core Rates'!A123</f>
        <v>Erosion Control Blanket, Type II (Installed)</v>
      </c>
      <c r="C59" s="720"/>
      <c r="D59" s="708" t="str">
        <f>+'[20]Core Rates'!B123</f>
        <v>Sq Yd</v>
      </c>
      <c r="E59" s="708">
        <f>+'[20]Core Rates'!C123</f>
        <v>1.5750000000000002</v>
      </c>
      <c r="F59" s="706">
        <v>0.15</v>
      </c>
      <c r="G59" s="708">
        <f>+E59/9*43560*F59</f>
        <v>1143.45</v>
      </c>
      <c r="H59" s="254"/>
      <c r="I59" s="286"/>
    </row>
    <row r="60" spans="1:9">
      <c r="A60" s="182"/>
      <c r="B60" s="712" t="str">
        <f>+'[20]Core Rates'!A216</f>
        <v>Mowing</v>
      </c>
      <c r="C60" s="268"/>
      <c r="D60" s="1853" t="s">
        <v>408</v>
      </c>
      <c r="E60" s="1853">
        <f>+'[20]Core Rates'!C216</f>
        <v>15.5</v>
      </c>
      <c r="F60" s="707">
        <v>1</v>
      </c>
      <c r="G60" s="708">
        <f>+F60*E60</f>
        <v>15.5</v>
      </c>
      <c r="H60" s="254"/>
      <c r="I60" s="286"/>
    </row>
    <row r="61" spans="1:9">
      <c r="A61" s="182"/>
      <c r="B61" s="261" t="s">
        <v>461</v>
      </c>
      <c r="C61" s="268"/>
      <c r="D61" s="705" t="s">
        <v>408</v>
      </c>
      <c r="E61" s="706">
        <f>+'[20]Core Rates'!C104</f>
        <v>20</v>
      </c>
      <c r="F61" s="707">
        <v>1</v>
      </c>
      <c r="G61" s="708">
        <f>+F61*E61</f>
        <v>20</v>
      </c>
      <c r="H61" s="254"/>
      <c r="I61" s="286"/>
    </row>
    <row r="62" spans="1:9">
      <c r="A62" s="182"/>
      <c r="B62" s="261" t="s">
        <v>462</v>
      </c>
      <c r="C62" s="268"/>
      <c r="D62" s="705" t="s">
        <v>408</v>
      </c>
      <c r="E62" s="706">
        <f>+'[20]Core Rates'!AN33</f>
        <v>5.416666666666667</v>
      </c>
      <c r="F62" s="707">
        <v>0</v>
      </c>
      <c r="G62" s="708">
        <f>+F62*E62</f>
        <v>0</v>
      </c>
      <c r="H62" s="254"/>
      <c r="I62" s="286"/>
    </row>
    <row r="63" spans="1:9">
      <c r="A63" s="182"/>
      <c r="B63" s="261" t="s">
        <v>463</v>
      </c>
      <c r="C63" s="268"/>
      <c r="D63" s="705" t="s">
        <v>452</v>
      </c>
      <c r="E63" s="706">
        <f>+'[20]Core Rates'!AN34</f>
        <v>5.5</v>
      </c>
      <c r="F63" s="707">
        <v>0</v>
      </c>
      <c r="G63" s="708">
        <f>+F63*E63</f>
        <v>0</v>
      </c>
      <c r="H63" s="254"/>
      <c r="I63" s="286"/>
    </row>
    <row r="64" spans="1:9">
      <c r="A64" s="182"/>
      <c r="B64" s="261" t="s">
        <v>464</v>
      </c>
      <c r="C64" s="268"/>
      <c r="D64" s="705" t="s">
        <v>452</v>
      </c>
      <c r="E64" s="706">
        <f>+'[20]Core Rates'!AN32</f>
        <v>6.3125</v>
      </c>
      <c r="F64" s="707">
        <v>0</v>
      </c>
      <c r="G64" s="708">
        <f>+F64*E64</f>
        <v>0</v>
      </c>
      <c r="H64" s="254"/>
      <c r="I64" s="286"/>
    </row>
    <row r="65" spans="1:9">
      <c r="A65" s="182"/>
      <c r="B65" s="261"/>
      <c r="C65" s="268"/>
      <c r="D65" s="269"/>
      <c r="E65" s="714"/>
      <c r="F65" s="714"/>
      <c r="G65" s="706"/>
      <c r="H65" s="254"/>
      <c r="I65" s="286"/>
    </row>
    <row r="66" spans="1:9">
      <c r="A66" s="182"/>
      <c r="B66" s="251" t="s">
        <v>43</v>
      </c>
      <c r="C66" s="254"/>
      <c r="D66" s="254"/>
      <c r="E66" s="272"/>
      <c r="F66" s="272"/>
      <c r="G66" s="272"/>
      <c r="H66" s="254"/>
      <c r="I66" s="265"/>
    </row>
    <row r="67" spans="1:9" ht="12.75" customHeight="1">
      <c r="A67" s="182"/>
      <c r="B67" s="2148" t="s">
        <v>457</v>
      </c>
      <c r="C67" s="2149"/>
      <c r="D67" s="2149"/>
      <c r="E67" s="2149"/>
      <c r="F67" s="2149"/>
      <c r="G67" s="2149"/>
      <c r="H67" s="2149"/>
      <c r="I67" s="2150"/>
    </row>
    <row r="68" spans="1:9">
      <c r="A68" s="182"/>
      <c r="B68" s="2148"/>
      <c r="C68" s="2149"/>
      <c r="D68" s="2149"/>
      <c r="E68" s="2149"/>
      <c r="F68" s="2149"/>
      <c r="G68" s="2149"/>
      <c r="H68" s="2149"/>
      <c r="I68" s="2150"/>
    </row>
    <row r="69" spans="1:9">
      <c r="A69" s="182"/>
      <c r="B69" s="715"/>
      <c r="C69" s="716"/>
      <c r="D69" s="716"/>
      <c r="E69" s="716"/>
      <c r="F69" s="716"/>
      <c r="G69" s="716"/>
      <c r="H69" s="716"/>
      <c r="I69" s="717"/>
    </row>
    <row r="70" spans="1:9">
      <c r="A70" s="182"/>
      <c r="B70" s="715"/>
      <c r="C70" s="716"/>
      <c r="D70" s="716"/>
      <c r="E70" s="716"/>
      <c r="F70" s="716"/>
      <c r="G70" s="716"/>
      <c r="H70" s="716"/>
      <c r="I70" s="717"/>
    </row>
    <row r="71" spans="1:9">
      <c r="A71" s="182"/>
      <c r="B71" s="246" t="s">
        <v>3</v>
      </c>
      <c r="C71" s="254"/>
      <c r="D71" s="254"/>
      <c r="E71" s="254"/>
      <c r="F71" s="256"/>
      <c r="G71" s="254"/>
      <c r="H71" s="254"/>
      <c r="I71" s="718">
        <f>E73</f>
        <v>312.62999999999994</v>
      </c>
    </row>
    <row r="72" spans="1:9">
      <c r="A72" s="182"/>
      <c r="B72" s="2151" t="s">
        <v>465</v>
      </c>
      <c r="C72" s="2152"/>
      <c r="D72" s="254"/>
      <c r="E72" s="254"/>
      <c r="F72" s="254"/>
      <c r="G72" s="254"/>
      <c r="H72" s="254"/>
      <c r="I72" s="282"/>
    </row>
    <row r="73" spans="1:9">
      <c r="A73" s="182"/>
      <c r="B73" s="251" t="s">
        <v>466</v>
      </c>
      <c r="C73" s="256"/>
      <c r="D73" s="256"/>
      <c r="E73" s="720">
        <f>SUM(G57:G64)*0.15</f>
        <v>312.62999999999994</v>
      </c>
      <c r="F73" s="254"/>
      <c r="G73" s="254"/>
      <c r="H73" s="254"/>
      <c r="I73" s="265"/>
    </row>
    <row r="74" spans="1:9">
      <c r="A74" s="182"/>
      <c r="B74" s="251"/>
      <c r="C74" s="256"/>
      <c r="D74" s="721"/>
      <c r="E74" s="720"/>
      <c r="F74" s="254"/>
      <c r="G74" s="254"/>
      <c r="H74" s="254"/>
      <c r="I74" s="265"/>
    </row>
    <row r="75" spans="1:9">
      <c r="A75" s="182"/>
      <c r="B75" s="251"/>
      <c r="C75" s="256"/>
      <c r="D75" s="722"/>
      <c r="E75" s="720"/>
      <c r="F75" s="254"/>
      <c r="G75" s="254"/>
      <c r="H75" s="254"/>
      <c r="I75" s="265"/>
    </row>
    <row r="76" spans="1:9">
      <c r="A76" s="182"/>
      <c r="B76" s="271"/>
      <c r="C76" s="254"/>
      <c r="D76" s="254"/>
      <c r="E76" s="254"/>
      <c r="F76" s="254"/>
      <c r="G76" s="254"/>
      <c r="H76" s="254"/>
      <c r="I76" s="248"/>
    </row>
    <row r="77" spans="1:9">
      <c r="A77" s="182"/>
      <c r="B77" s="246" t="s">
        <v>4</v>
      </c>
      <c r="C77" s="254"/>
      <c r="D77" s="254"/>
      <c r="E77" s="254"/>
      <c r="F77" s="254"/>
      <c r="G77" s="254"/>
      <c r="H77" s="254"/>
      <c r="I77" s="718">
        <f>0.03*(I40+I55+I71)</f>
        <v>65.087400000000002</v>
      </c>
    </row>
    <row r="78" spans="1:9">
      <c r="A78" s="182"/>
      <c r="B78" s="271" t="s">
        <v>467</v>
      </c>
      <c r="C78" s="254"/>
      <c r="D78" s="254"/>
      <c r="E78" s="254"/>
      <c r="F78" s="254"/>
      <c r="G78" s="254"/>
      <c r="H78" s="254"/>
      <c r="I78" s="248"/>
    </row>
    <row r="79" spans="1:9">
      <c r="A79" s="182"/>
      <c r="B79" s="251"/>
      <c r="C79" s="254"/>
      <c r="D79" s="254"/>
      <c r="E79" s="254"/>
      <c r="F79" s="254"/>
      <c r="G79" s="254"/>
      <c r="H79" s="254"/>
      <c r="I79" s="248"/>
    </row>
    <row r="80" spans="1:9">
      <c r="A80" s="182"/>
      <c r="B80" s="246" t="s">
        <v>468</v>
      </c>
      <c r="C80" s="254"/>
      <c r="D80" s="254"/>
      <c r="E80" s="254"/>
      <c r="F80" s="254"/>
      <c r="G80" s="254"/>
      <c r="H80" s="254"/>
      <c r="I80" s="718">
        <f>0.01*(I40+I55+I71)</f>
        <v>21.695799999999998</v>
      </c>
    </row>
    <row r="81" spans="1:9">
      <c r="A81" s="182"/>
      <c r="B81" s="271" t="s">
        <v>749</v>
      </c>
      <c r="C81" s="254"/>
      <c r="D81" s="254"/>
      <c r="E81" s="254"/>
      <c r="F81" s="254"/>
      <c r="G81" s="254"/>
      <c r="H81" s="254"/>
      <c r="I81" s="248"/>
    </row>
    <row r="82" spans="1:9">
      <c r="A82" s="182"/>
      <c r="B82" s="251"/>
      <c r="C82" s="254"/>
      <c r="D82" s="254"/>
      <c r="E82" s="254"/>
      <c r="F82" s="254"/>
      <c r="G82" s="254"/>
      <c r="H82" s="254"/>
      <c r="I82" s="248"/>
    </row>
    <row r="83" spans="1:9">
      <c r="A83" s="182"/>
      <c r="B83" s="246" t="s">
        <v>7</v>
      </c>
      <c r="C83" s="254"/>
      <c r="D83" s="254"/>
      <c r="E83" s="254"/>
      <c r="F83" s="254"/>
      <c r="G83" s="254"/>
      <c r="H83" s="254"/>
      <c r="I83" s="702">
        <v>0</v>
      </c>
    </row>
    <row r="84" spans="1:9">
      <c r="A84" s="182"/>
      <c r="B84" s="271" t="s">
        <v>1349</v>
      </c>
      <c r="C84" s="254"/>
      <c r="D84" s="254"/>
      <c r="E84" s="254"/>
      <c r="F84" s="254"/>
      <c r="G84" s="254"/>
      <c r="H84" s="254"/>
      <c r="I84" s="248"/>
    </row>
    <row r="85" spans="1:9">
      <c r="A85" s="182"/>
      <c r="B85" s="251"/>
      <c r="C85" s="254"/>
      <c r="D85" s="254"/>
      <c r="E85" s="254"/>
      <c r="F85" s="254"/>
      <c r="G85" s="254"/>
      <c r="H85" s="254"/>
      <c r="I85" s="248"/>
    </row>
    <row r="86" spans="1:9">
      <c r="A86" s="182"/>
      <c r="B86" s="246" t="s">
        <v>471</v>
      </c>
      <c r="C86" s="254"/>
      <c r="D86" s="254"/>
      <c r="E86" s="254"/>
      <c r="F86" s="256"/>
      <c r="G86" s="254"/>
      <c r="H86" s="254"/>
      <c r="I86" s="702">
        <v>600</v>
      </c>
    </row>
    <row r="87" spans="1:9">
      <c r="A87" s="182"/>
      <c r="B87" s="726" t="s">
        <v>1350</v>
      </c>
      <c r="C87" s="254"/>
      <c r="D87" s="254"/>
      <c r="E87" s="254"/>
      <c r="F87" s="254"/>
      <c r="G87" s="254"/>
      <c r="H87" s="254"/>
      <c r="I87" s="286"/>
    </row>
    <row r="88" spans="1:9">
      <c r="A88" s="182"/>
      <c r="B88" s="726"/>
      <c r="C88" s="254"/>
      <c r="D88" s="254"/>
      <c r="E88" s="254"/>
      <c r="F88" s="254"/>
      <c r="G88" s="254"/>
      <c r="H88" s="254"/>
      <c r="I88" s="286"/>
    </row>
    <row r="89" spans="1:9">
      <c r="A89" s="182"/>
      <c r="B89" s="251"/>
      <c r="C89" s="254"/>
      <c r="D89" s="254"/>
      <c r="E89" s="254"/>
      <c r="F89" s="254"/>
      <c r="G89" s="254"/>
      <c r="H89" s="254"/>
      <c r="I89" s="248"/>
    </row>
    <row r="90" spans="1:9">
      <c r="A90" s="182"/>
      <c r="B90" s="246" t="s">
        <v>5</v>
      </c>
      <c r="C90" s="254"/>
      <c r="D90" s="254"/>
      <c r="E90" s="254"/>
      <c r="F90" s="254"/>
      <c r="G90" s="254"/>
      <c r="H90" s="254"/>
      <c r="I90" s="702">
        <v>0</v>
      </c>
    </row>
    <row r="91" spans="1:9">
      <c r="A91" s="182"/>
      <c r="B91" s="271" t="s">
        <v>1351</v>
      </c>
      <c r="C91" s="254"/>
      <c r="D91" s="254"/>
      <c r="E91" s="254"/>
      <c r="F91" s="254"/>
      <c r="G91" s="254"/>
      <c r="H91" s="254"/>
      <c r="I91" s="286"/>
    </row>
    <row r="92" spans="1:9">
      <c r="A92" s="182"/>
      <c r="B92" s="251"/>
      <c r="C92" s="254"/>
      <c r="D92" s="254"/>
      <c r="E92" s="254"/>
      <c r="F92" s="254"/>
      <c r="G92" s="254"/>
      <c r="H92" s="254"/>
      <c r="I92" s="248"/>
    </row>
    <row r="93" spans="1:9">
      <c r="A93" s="182"/>
      <c r="B93" s="246" t="s">
        <v>20</v>
      </c>
      <c r="C93" s="254"/>
      <c r="D93" s="254"/>
      <c r="E93" s="254"/>
      <c r="F93" s="254"/>
      <c r="G93" s="254"/>
      <c r="H93" s="254"/>
      <c r="I93" s="702">
        <v>0</v>
      </c>
    </row>
    <row r="94" spans="1:9">
      <c r="A94" s="182"/>
      <c r="B94" s="271" t="s">
        <v>104</v>
      </c>
      <c r="C94" s="254"/>
      <c r="D94" s="254"/>
      <c r="E94" s="254"/>
      <c r="F94" s="254"/>
      <c r="G94" s="254"/>
      <c r="H94" s="254"/>
      <c r="I94" s="248"/>
    </row>
    <row r="95" spans="1:9">
      <c r="A95" s="182"/>
      <c r="B95" s="261"/>
      <c r="C95" s="254"/>
      <c r="D95" s="254"/>
      <c r="E95" s="254"/>
      <c r="F95" s="254"/>
      <c r="G95" s="254"/>
      <c r="H95" s="254"/>
      <c r="I95" s="248"/>
    </row>
    <row r="96" spans="1:9">
      <c r="A96" s="182"/>
      <c r="B96" s="246" t="s">
        <v>473</v>
      </c>
      <c r="C96" s="254"/>
      <c r="D96" s="254"/>
      <c r="E96" s="254"/>
      <c r="F96" s="254"/>
      <c r="G96" s="254"/>
      <c r="H96" s="254"/>
      <c r="I96" s="728">
        <f>+I40+I55+I71+I77+I83+I93</f>
        <v>2234.6673999999998</v>
      </c>
    </row>
    <row r="97" spans="1:9" ht="15.75">
      <c r="A97" s="182"/>
      <c r="B97" s="271" t="s">
        <v>474</v>
      </c>
      <c r="C97" s="254"/>
      <c r="D97" s="254"/>
      <c r="E97" s="254"/>
      <c r="F97" s="254"/>
      <c r="G97" s="254"/>
      <c r="H97" s="254"/>
      <c r="I97" s="248"/>
    </row>
    <row r="98" spans="1:9">
      <c r="A98" s="182"/>
      <c r="B98" s="261"/>
      <c r="C98" s="254"/>
      <c r="D98" s="254"/>
      <c r="E98" s="254"/>
      <c r="F98" s="254"/>
      <c r="G98" s="254"/>
      <c r="H98" s="254"/>
      <c r="I98" s="248"/>
    </row>
    <row r="99" spans="1:9">
      <c r="A99" s="182"/>
      <c r="B99" s="287" t="s">
        <v>11</v>
      </c>
      <c r="C99" s="288"/>
      <c r="D99" s="288"/>
      <c r="E99" s="288"/>
      <c r="F99" s="288"/>
      <c r="G99" s="288"/>
      <c r="H99" s="288"/>
      <c r="I99" s="621">
        <f>SUM(I40:I93)</f>
        <v>2856.3631999999998</v>
      </c>
    </row>
  </sheetData>
  <mergeCells count="4">
    <mergeCell ref="B1:D1"/>
    <mergeCell ref="E55:H55"/>
    <mergeCell ref="B67:I68"/>
    <mergeCell ref="B72:C72"/>
  </mergeCells>
  <pageMargins left="0.75" right="0.75" top="1" bottom="1" header="0.5" footer="0.5"/>
  <pageSetup scale="55" orientation="portrait" r:id="rId1"/>
  <headerFooter alignWithMargins="0"/>
</worksheet>
</file>

<file path=xl/worksheets/sheet248.xml><?xml version="1.0" encoding="utf-8"?>
<worksheet xmlns="http://schemas.openxmlformats.org/spreadsheetml/2006/main" xmlns:r="http://schemas.openxmlformats.org/officeDocument/2006/relationships">
  <sheetPr>
    <pageSetUpPr fitToPage="1"/>
  </sheetPr>
  <dimension ref="A1:L97"/>
  <sheetViews>
    <sheetView workbookViewId="0">
      <selection activeCell="B6" sqref="B6:D9"/>
    </sheetView>
  </sheetViews>
  <sheetFormatPr defaultRowHeight="12.75"/>
  <cols>
    <col min="1" max="1" width="1.85546875" style="191" customWidth="1"/>
    <col min="2" max="2" width="9.140625" style="191"/>
    <col min="3" max="3" width="24.140625" style="191" customWidth="1"/>
    <col min="4" max="4" width="23.140625" style="191" customWidth="1"/>
    <col min="5" max="5" width="67.85546875" style="191" bestFit="1" customWidth="1"/>
    <col min="6" max="6" width="10.42578125" style="191" customWidth="1"/>
    <col min="7" max="8" width="9.140625" style="191"/>
    <col min="9" max="9" width="10.140625" style="191" bestFit="1" customWidth="1"/>
    <col min="10" max="16384" width="9.140625" style="191"/>
  </cols>
  <sheetData>
    <row r="1" spans="1:12">
      <c r="A1" s="182"/>
      <c r="B1" s="2142" t="s">
        <v>438</v>
      </c>
      <c r="C1" s="2143"/>
      <c r="D1" s="2143"/>
      <c r="E1" s="182"/>
      <c r="F1" s="685"/>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25.5">
      <c r="A6" s="182"/>
      <c r="B6" s="197">
        <v>654</v>
      </c>
      <c r="C6" s="198" t="str">
        <f>+E12</f>
        <v>EQIP</v>
      </c>
      <c r="D6" s="199" t="s">
        <v>2416</v>
      </c>
      <c r="E6" s="199" t="s">
        <v>2430</v>
      </c>
      <c r="F6" s="198" t="str">
        <f>+D36</f>
        <v>Acre</v>
      </c>
      <c r="G6" s="686">
        <f>+I25</f>
        <v>1691.8290749999999</v>
      </c>
    </row>
    <row r="7" spans="1:12" ht="25.5">
      <c r="A7" s="182"/>
      <c r="B7" s="197">
        <f>+B6</f>
        <v>654</v>
      </c>
      <c r="C7" s="198" t="str">
        <f>+C6</f>
        <v>EQIP</v>
      </c>
      <c r="D7" s="199" t="s">
        <v>2416</v>
      </c>
      <c r="E7" s="199" t="str">
        <f>CONCATENATE(E6, "-HU")</f>
        <v>Road/Trail/Landing Closure &amp; Treatment (Ac) - Medium Grading/Shaping (2-6hr/Ac), ECB &amp; Mulch, Native Grass/Forbs Mix-HU</v>
      </c>
      <c r="F7" s="198" t="str">
        <f>+F6</f>
        <v>Acre</v>
      </c>
      <c r="G7" s="686">
        <f>+J25</f>
        <v>2030.1948899999995</v>
      </c>
    </row>
    <row r="8" spans="1:12" ht="25.5">
      <c r="A8" s="182"/>
      <c r="B8" s="197">
        <v>654</v>
      </c>
      <c r="C8" s="198" t="str">
        <f>+G12</f>
        <v>WHIP</v>
      </c>
      <c r="D8" s="199" t="s">
        <v>2416</v>
      </c>
      <c r="E8" s="199" t="str">
        <f>+E6</f>
        <v>Road/Trail/Landing Closure &amp; Treatment (Ac) - Medium Grading/Shaping (2-6hr/Ac), ECB &amp; Mulch, Native Grass/Forbs Mix</v>
      </c>
      <c r="F8" s="198" t="str">
        <f>+D36</f>
        <v>Acre</v>
      </c>
      <c r="G8" s="686">
        <f>+K25</f>
        <v>0</v>
      </c>
    </row>
    <row r="9" spans="1:12" ht="25.5">
      <c r="A9" s="182"/>
      <c r="B9" s="203">
        <f>+B8</f>
        <v>654</v>
      </c>
      <c r="C9" s="204" t="str">
        <f>+C8</f>
        <v>WHIP</v>
      </c>
      <c r="D9" s="199" t="s">
        <v>2416</v>
      </c>
      <c r="E9" s="205" t="str">
        <f>CONCATENATE(E6, "-HU")</f>
        <v>Road/Trail/Landing Closure &amp; Treatment (Ac) - Medium Grading/Shaping (2-6hr/Ac), ECB &amp; Mulch, Native Grass/Forbs Mix-HU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t="s">
        <v>86</v>
      </c>
      <c r="H12" s="213" t="s">
        <v>441</v>
      </c>
      <c r="I12" s="213"/>
      <c r="J12" s="213"/>
      <c r="K12" s="213"/>
      <c r="L12" s="214"/>
    </row>
    <row r="13" spans="1:12">
      <c r="A13" s="182"/>
      <c r="B13" s="215"/>
      <c r="C13" s="216"/>
      <c r="D13" s="217"/>
      <c r="E13" s="218" t="s">
        <v>22</v>
      </c>
      <c r="F13" s="218" t="s">
        <v>22</v>
      </c>
      <c r="G13" s="218" t="s">
        <v>22</v>
      </c>
      <c r="H13" s="218" t="s">
        <v>22</v>
      </c>
      <c r="I13" s="218" t="s">
        <v>15</v>
      </c>
      <c r="J13" s="218" t="s">
        <v>31</v>
      </c>
      <c r="K13" s="218" t="s">
        <v>86</v>
      </c>
      <c r="L13" s="219" t="s">
        <v>441</v>
      </c>
    </row>
    <row r="14" spans="1:12">
      <c r="A14" s="182"/>
      <c r="B14" s="220"/>
      <c r="C14" s="217"/>
      <c r="D14" s="217"/>
      <c r="E14" s="218" t="s">
        <v>12</v>
      </c>
      <c r="F14" s="218" t="s">
        <v>12</v>
      </c>
      <c r="G14" s="218" t="s">
        <v>12</v>
      </c>
      <c r="H14" s="218" t="s">
        <v>12</v>
      </c>
      <c r="I14" s="218" t="s">
        <v>12</v>
      </c>
      <c r="J14" s="218" t="s">
        <v>12</v>
      </c>
      <c r="K14" s="218" t="s">
        <v>12</v>
      </c>
      <c r="L14" s="219" t="s">
        <v>12</v>
      </c>
    </row>
    <row r="15" spans="1:12">
      <c r="A15" s="182"/>
      <c r="B15" s="221" t="s">
        <v>16</v>
      </c>
      <c r="C15" s="217"/>
      <c r="D15" s="222" t="s">
        <v>6</v>
      </c>
      <c r="E15" s="223" t="s">
        <v>24</v>
      </c>
      <c r="F15" s="223" t="s">
        <v>24</v>
      </c>
      <c r="G15" s="223" t="s">
        <v>24</v>
      </c>
      <c r="H15" s="223" t="s">
        <v>24</v>
      </c>
      <c r="I15" s="223" t="s">
        <v>14</v>
      </c>
      <c r="J15" s="223" t="s">
        <v>14</v>
      </c>
      <c r="K15" s="223" t="s">
        <v>14</v>
      </c>
      <c r="L15" s="224" t="s">
        <v>14</v>
      </c>
    </row>
    <row r="16" spans="1:12">
      <c r="A16" s="182"/>
      <c r="B16" s="215" t="s">
        <v>0</v>
      </c>
      <c r="C16" s="217"/>
      <c r="D16" s="688">
        <f>+I40</f>
        <v>105.86999999999999</v>
      </c>
      <c r="E16" s="226">
        <f>+'[10]Payment Factors'!D11</f>
        <v>0.75</v>
      </c>
      <c r="F16" s="226">
        <f>+'[10]Payment Factors'!E11</f>
        <v>0.9</v>
      </c>
      <c r="G16" s="226">
        <f>+'[10]Payment Factors'!F11</f>
        <v>0</v>
      </c>
      <c r="H16" s="226">
        <f>+'[10]Payment Factors'!G11</f>
        <v>0</v>
      </c>
      <c r="I16" s="689">
        <f t="shared" ref="I16:L24" si="0">+$D16*E16</f>
        <v>79.402499999999989</v>
      </c>
      <c r="J16" s="689">
        <f t="shared" si="0"/>
        <v>95.282999999999987</v>
      </c>
      <c r="K16" s="689">
        <f t="shared" si="0"/>
        <v>0</v>
      </c>
      <c r="L16" s="690">
        <f t="shared" si="0"/>
        <v>0</v>
      </c>
    </row>
    <row r="17" spans="1:12">
      <c r="A17" s="182"/>
      <c r="B17" s="215" t="s">
        <v>2</v>
      </c>
      <c r="C17" s="217"/>
      <c r="D17" s="688">
        <f>+I53</f>
        <v>1771.5699999999997</v>
      </c>
      <c r="E17" s="226">
        <f t="shared" ref="E17:H19" si="1">+E16</f>
        <v>0.75</v>
      </c>
      <c r="F17" s="226">
        <f t="shared" si="1"/>
        <v>0.9</v>
      </c>
      <c r="G17" s="226">
        <f t="shared" si="1"/>
        <v>0</v>
      </c>
      <c r="H17" s="226">
        <f t="shared" si="1"/>
        <v>0</v>
      </c>
      <c r="I17" s="689">
        <f t="shared" si="0"/>
        <v>1328.6774999999998</v>
      </c>
      <c r="J17" s="689">
        <f t="shared" si="0"/>
        <v>1594.4129999999998</v>
      </c>
      <c r="K17" s="689">
        <f t="shared" si="0"/>
        <v>0</v>
      </c>
      <c r="L17" s="690">
        <f t="shared" si="0"/>
        <v>0</v>
      </c>
    </row>
    <row r="18" spans="1:12">
      <c r="A18" s="182"/>
      <c r="B18" s="215" t="s">
        <v>3</v>
      </c>
      <c r="C18" s="217"/>
      <c r="D18" s="688">
        <f>+I69</f>
        <v>312.62999999999994</v>
      </c>
      <c r="E18" s="226">
        <f t="shared" si="1"/>
        <v>0.75</v>
      </c>
      <c r="F18" s="226">
        <f t="shared" si="1"/>
        <v>0.9</v>
      </c>
      <c r="G18" s="226">
        <f t="shared" si="1"/>
        <v>0</v>
      </c>
      <c r="H18" s="226">
        <f t="shared" si="1"/>
        <v>0</v>
      </c>
      <c r="I18" s="689">
        <f t="shared" si="0"/>
        <v>234.47249999999997</v>
      </c>
      <c r="J18" s="689">
        <f t="shared" si="0"/>
        <v>281.36699999999996</v>
      </c>
      <c r="K18" s="689">
        <f t="shared" si="0"/>
        <v>0</v>
      </c>
      <c r="L18" s="690">
        <f t="shared" si="0"/>
        <v>0</v>
      </c>
    </row>
    <row r="19" spans="1:12">
      <c r="A19" s="182"/>
      <c r="B19" s="215" t="s">
        <v>4</v>
      </c>
      <c r="C19" s="217"/>
      <c r="D19" s="688">
        <f>+I75</f>
        <v>65.702099999999987</v>
      </c>
      <c r="E19" s="226">
        <f t="shared" si="1"/>
        <v>0.75</v>
      </c>
      <c r="F19" s="226">
        <f t="shared" si="1"/>
        <v>0.9</v>
      </c>
      <c r="G19" s="226">
        <f t="shared" si="1"/>
        <v>0</v>
      </c>
      <c r="H19" s="226">
        <f t="shared" si="1"/>
        <v>0</v>
      </c>
      <c r="I19" s="689">
        <f t="shared" si="0"/>
        <v>49.276574999999994</v>
      </c>
      <c r="J19" s="689">
        <f t="shared" si="0"/>
        <v>59.131889999999991</v>
      </c>
      <c r="K19" s="689">
        <f t="shared" si="0"/>
        <v>0</v>
      </c>
      <c r="L19" s="690">
        <f t="shared" si="0"/>
        <v>0</v>
      </c>
    </row>
    <row r="20" spans="1:12">
      <c r="A20" s="182"/>
      <c r="B20" s="215" t="s">
        <v>26</v>
      </c>
      <c r="C20" s="217"/>
      <c r="D20" s="688">
        <f>+I78</f>
        <v>21.900699999999997</v>
      </c>
      <c r="E20" s="226">
        <v>0</v>
      </c>
      <c r="F20" s="226">
        <v>0</v>
      </c>
      <c r="G20" s="226">
        <v>0</v>
      </c>
      <c r="H20" s="226">
        <v>0</v>
      </c>
      <c r="I20" s="689">
        <f t="shared" si="0"/>
        <v>0</v>
      </c>
      <c r="J20" s="689">
        <f t="shared" si="0"/>
        <v>0</v>
      </c>
      <c r="K20" s="689">
        <f t="shared" si="0"/>
        <v>0</v>
      </c>
      <c r="L20" s="690">
        <f t="shared" si="0"/>
        <v>0</v>
      </c>
    </row>
    <row r="21" spans="1:12">
      <c r="A21" s="182"/>
      <c r="B21" s="215" t="s">
        <v>7</v>
      </c>
      <c r="C21" s="217"/>
      <c r="D21" s="688">
        <f>+I81</f>
        <v>0</v>
      </c>
      <c r="E21" s="226">
        <v>0</v>
      </c>
      <c r="F21" s="226">
        <v>0</v>
      </c>
      <c r="G21" s="226">
        <v>0</v>
      </c>
      <c r="H21" s="226">
        <v>0</v>
      </c>
      <c r="I21" s="689">
        <f t="shared" si="0"/>
        <v>0</v>
      </c>
      <c r="J21" s="689">
        <f t="shared" si="0"/>
        <v>0</v>
      </c>
      <c r="K21" s="689">
        <f t="shared" si="0"/>
        <v>0</v>
      </c>
      <c r="L21" s="690">
        <f t="shared" si="0"/>
        <v>0</v>
      </c>
    </row>
    <row r="22" spans="1:12">
      <c r="A22" s="182"/>
      <c r="B22" s="215" t="s">
        <v>27</v>
      </c>
      <c r="C22" s="217"/>
      <c r="D22" s="688">
        <f>+I84</f>
        <v>600</v>
      </c>
      <c r="E22" s="226">
        <v>0</v>
      </c>
      <c r="F22" s="226">
        <v>0</v>
      </c>
      <c r="G22" s="226">
        <v>0</v>
      </c>
      <c r="H22" s="226">
        <v>0</v>
      </c>
      <c r="I22" s="689">
        <f t="shared" si="0"/>
        <v>0</v>
      </c>
      <c r="J22" s="689">
        <f t="shared" si="0"/>
        <v>0</v>
      </c>
      <c r="K22" s="689">
        <f t="shared" si="0"/>
        <v>0</v>
      </c>
      <c r="L22" s="690">
        <f t="shared" si="0"/>
        <v>0</v>
      </c>
    </row>
    <row r="23" spans="1:12">
      <c r="A23" s="182"/>
      <c r="B23" s="215" t="s">
        <v>5</v>
      </c>
      <c r="C23" s="217"/>
      <c r="D23" s="688">
        <f>+I88</f>
        <v>0</v>
      </c>
      <c r="E23" s="226">
        <v>0</v>
      </c>
      <c r="F23" s="226">
        <v>0</v>
      </c>
      <c r="G23" s="226">
        <v>0</v>
      </c>
      <c r="H23" s="226">
        <v>0</v>
      </c>
      <c r="I23" s="689">
        <f t="shared" si="0"/>
        <v>0</v>
      </c>
      <c r="J23" s="689">
        <f t="shared" si="0"/>
        <v>0</v>
      </c>
      <c r="K23" s="689">
        <f t="shared" si="0"/>
        <v>0</v>
      </c>
      <c r="L23" s="690">
        <f t="shared" si="0"/>
        <v>0</v>
      </c>
    </row>
    <row r="24" spans="1:12">
      <c r="A24" s="182"/>
      <c r="B24" s="215" t="s">
        <v>20</v>
      </c>
      <c r="C24" s="217"/>
      <c r="D24" s="691">
        <f>+I91</f>
        <v>0</v>
      </c>
      <c r="E24" s="226">
        <v>0</v>
      </c>
      <c r="F24" s="226">
        <v>0</v>
      </c>
      <c r="G24" s="226">
        <v>0</v>
      </c>
      <c r="H24" s="226">
        <v>0</v>
      </c>
      <c r="I24" s="692">
        <f t="shared" si="0"/>
        <v>0</v>
      </c>
      <c r="J24" s="692">
        <f t="shared" si="0"/>
        <v>0</v>
      </c>
      <c r="K24" s="692">
        <f t="shared" si="0"/>
        <v>0</v>
      </c>
      <c r="L24" s="693">
        <f t="shared" si="0"/>
        <v>0</v>
      </c>
    </row>
    <row r="25" spans="1:12">
      <c r="A25" s="182"/>
      <c r="B25" s="231" t="s">
        <v>19</v>
      </c>
      <c r="C25" s="232"/>
      <c r="D25" s="694">
        <f>SUM(D16:D24)</f>
        <v>2877.6727999999998</v>
      </c>
      <c r="E25" s="695"/>
      <c r="F25" s="695"/>
      <c r="G25" s="234"/>
      <c r="H25" s="234"/>
      <c r="I25" s="696">
        <f>SUM(I16:I24)</f>
        <v>1691.8290749999999</v>
      </c>
      <c r="J25" s="696">
        <f>SUM(J16:J24)</f>
        <v>2030.1948899999995</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c r="A29" s="182"/>
      <c r="B29" s="1847" t="s">
        <v>1346</v>
      </c>
      <c r="C29" s="247"/>
      <c r="D29" s="247"/>
      <c r="E29" s="254"/>
      <c r="F29" s="254"/>
      <c r="G29" s="254"/>
      <c r="H29" s="254"/>
      <c r="I29" s="248"/>
    </row>
    <row r="30" spans="1:12">
      <c r="A30" s="182"/>
      <c r="B30" s="251" t="s">
        <v>1347</v>
      </c>
      <c r="C30" s="1859"/>
      <c r="D30" s="247"/>
      <c r="E30" s="254"/>
      <c r="F30" s="1848"/>
      <c r="G30" s="254"/>
      <c r="H30" s="254"/>
      <c r="I30" s="248"/>
    </row>
    <row r="31" spans="1:12">
      <c r="A31" s="182"/>
      <c r="B31" s="251"/>
      <c r="C31" s="247"/>
      <c r="D31" s="247"/>
      <c r="E31" s="254"/>
      <c r="F31" s="254"/>
      <c r="G31" s="254"/>
      <c r="H31" s="254"/>
      <c r="I31" s="248"/>
    </row>
    <row r="32" spans="1:12">
      <c r="A32" s="182"/>
      <c r="B32" s="251"/>
      <c r="C32" s="247"/>
      <c r="D32" s="247"/>
      <c r="E32" s="254"/>
      <c r="F32" s="254"/>
      <c r="G32" s="254"/>
      <c r="H32" s="254"/>
      <c r="I32" s="248"/>
    </row>
    <row r="33" spans="1:9">
      <c r="A33" s="182"/>
      <c r="B33" s="271"/>
      <c r="C33" s="247"/>
      <c r="D33" s="247"/>
      <c r="E33" s="254"/>
      <c r="F33" s="254"/>
      <c r="G33" s="254"/>
      <c r="H33" s="254"/>
      <c r="I33" s="248"/>
    </row>
    <row r="34" spans="1:9">
      <c r="A34" s="182"/>
      <c r="B34" s="255" t="s">
        <v>25</v>
      </c>
      <c r="C34" s="247"/>
      <c r="D34" s="256" t="s">
        <v>91</v>
      </c>
      <c r="E34" s="268"/>
      <c r="F34" s="254"/>
      <c r="G34" s="254"/>
      <c r="H34" s="254"/>
      <c r="I34" s="248"/>
    </row>
    <row r="35" spans="1:9">
      <c r="A35" s="182"/>
      <c r="B35" s="251"/>
      <c r="C35" s="247"/>
      <c r="D35" s="254"/>
      <c r="E35" s="268"/>
      <c r="F35" s="254"/>
      <c r="G35" s="254"/>
      <c r="H35" s="254"/>
      <c r="I35" s="248"/>
    </row>
    <row r="36" spans="1:9">
      <c r="A36" s="182"/>
      <c r="B36" s="255" t="s">
        <v>8</v>
      </c>
      <c r="C36" s="247"/>
      <c r="D36" s="256" t="s">
        <v>394</v>
      </c>
      <c r="E36" s="268"/>
      <c r="F36" s="254"/>
      <c r="G36" s="254"/>
      <c r="H36" s="254"/>
      <c r="I36" s="248"/>
    </row>
    <row r="37" spans="1:9">
      <c r="A37" s="182"/>
      <c r="B37" s="255" t="s">
        <v>9</v>
      </c>
      <c r="C37" s="247"/>
      <c r="D37" s="1860">
        <f>+'[10]Payment Factors'!C11</f>
        <v>10</v>
      </c>
      <c r="E37" s="268"/>
      <c r="F37" s="254"/>
      <c r="G37" s="254"/>
      <c r="H37" s="254"/>
      <c r="I37" s="248"/>
    </row>
    <row r="38" spans="1:9">
      <c r="A38" s="182"/>
      <c r="B38" s="255" t="s">
        <v>10</v>
      </c>
      <c r="C38" s="254"/>
      <c r="D38" s="258"/>
      <c r="E38" s="700"/>
      <c r="F38" s="254"/>
      <c r="G38" s="254"/>
      <c r="H38" s="254"/>
      <c r="I38" s="701" t="s">
        <v>6</v>
      </c>
    </row>
    <row r="39" spans="1:9">
      <c r="A39" s="182"/>
      <c r="B39" s="261"/>
      <c r="C39" s="254"/>
      <c r="D39" s="254"/>
      <c r="E39" s="259"/>
      <c r="F39" s="254"/>
      <c r="G39" s="254"/>
      <c r="H39" s="254"/>
      <c r="I39" s="262"/>
    </row>
    <row r="40" spans="1:9">
      <c r="A40" s="182"/>
      <c r="B40" s="246" t="s">
        <v>0</v>
      </c>
      <c r="C40" s="254"/>
      <c r="D40" s="254"/>
      <c r="E40" s="254"/>
      <c r="F40" s="256"/>
      <c r="G40" s="254"/>
      <c r="H40" s="254"/>
      <c r="I40" s="702">
        <f>SUM(G42:G48)</f>
        <v>105.86999999999999</v>
      </c>
    </row>
    <row r="41" spans="1:9">
      <c r="A41" s="182"/>
      <c r="B41" s="703"/>
      <c r="C41" s="254"/>
      <c r="D41" s="704" t="s">
        <v>447</v>
      </c>
      <c r="E41" s="704" t="s">
        <v>448</v>
      </c>
      <c r="F41" s="704" t="s">
        <v>449</v>
      </c>
      <c r="G41" s="704" t="s">
        <v>450</v>
      </c>
      <c r="H41" s="254"/>
      <c r="I41" s="265"/>
    </row>
    <row r="42" spans="1:9">
      <c r="A42" s="182"/>
      <c r="B42" s="261"/>
      <c r="C42" s="268"/>
      <c r="D42" s="705"/>
      <c r="E42" s="706"/>
      <c r="F42" s="707"/>
      <c r="G42" s="708">
        <f t="shared" ref="G42:G48" si="2">+F42*E42</f>
        <v>0</v>
      </c>
      <c r="H42" s="254"/>
      <c r="I42" s="286"/>
    </row>
    <row r="43" spans="1:9">
      <c r="A43" s="182"/>
      <c r="B43" s="261" t="s">
        <v>451</v>
      </c>
      <c r="C43" s="268"/>
      <c r="D43" s="705" t="s">
        <v>452</v>
      </c>
      <c r="E43" s="706">
        <f>+'[20]Core Rates'!C203</f>
        <v>8.75</v>
      </c>
      <c r="F43" s="707">
        <v>0</v>
      </c>
      <c r="G43" s="708">
        <f t="shared" si="2"/>
        <v>0</v>
      </c>
      <c r="H43" s="254"/>
      <c r="I43" s="248"/>
    </row>
    <row r="44" spans="1:9">
      <c r="A44" s="182"/>
      <c r="B44" s="1849" t="s">
        <v>453</v>
      </c>
      <c r="C44" s="268"/>
      <c r="D44" s="711" t="s">
        <v>454</v>
      </c>
      <c r="E44" s="706">
        <f>+'[20]Core Rates'!C228</f>
        <v>0.82427536231884069</v>
      </c>
      <c r="F44" s="707">
        <v>0</v>
      </c>
      <c r="G44" s="708">
        <f t="shared" si="2"/>
        <v>0</v>
      </c>
      <c r="H44" s="254"/>
      <c r="I44" s="248"/>
    </row>
    <row r="45" spans="1:9">
      <c r="A45" s="182"/>
      <c r="B45" s="709" t="s">
        <v>455</v>
      </c>
      <c r="C45" s="710"/>
      <c r="D45" s="711" t="s">
        <v>454</v>
      </c>
      <c r="E45" s="706">
        <f>+'[20]Core Rates'!C235</f>
        <v>1.1702898550724636</v>
      </c>
      <c r="F45" s="707">
        <v>0</v>
      </c>
      <c r="G45" s="708">
        <f t="shared" si="2"/>
        <v>0</v>
      </c>
      <c r="H45" s="254"/>
      <c r="I45" s="248"/>
    </row>
    <row r="46" spans="1:9">
      <c r="A46" s="182"/>
      <c r="B46" s="709" t="s">
        <v>456</v>
      </c>
      <c r="C46" s="710"/>
      <c r="D46" s="705" t="s">
        <v>454</v>
      </c>
      <c r="E46" s="706">
        <f>+'[20]Core Rates'!C246</f>
        <v>0.58825136612021856</v>
      </c>
      <c r="F46" s="707">
        <v>0</v>
      </c>
      <c r="G46" s="708">
        <f t="shared" si="2"/>
        <v>0</v>
      </c>
      <c r="H46" s="254"/>
      <c r="I46" s="248"/>
    </row>
    <row r="47" spans="1:9">
      <c r="A47" s="182"/>
      <c r="B47" s="1868" t="str">
        <f>+'[20]Core Rates'!A309</f>
        <v>Seed (Native grass except Prairie Dropseed and Splitbeard Bluestem)</v>
      </c>
      <c r="C47" s="710"/>
      <c r="D47" s="711" t="s">
        <v>454</v>
      </c>
      <c r="E47" s="706">
        <f>+'[20]Core Rates 2011'!BE306</f>
        <v>8.57</v>
      </c>
      <c r="F47" s="707">
        <v>9</v>
      </c>
      <c r="G47" s="708">
        <f t="shared" si="2"/>
        <v>77.13</v>
      </c>
      <c r="H47" s="254"/>
      <c r="I47" s="248"/>
    </row>
    <row r="48" spans="1:9">
      <c r="A48" s="182"/>
      <c r="B48" s="1868" t="str">
        <f>+'[20]Core Rates 2011'!A291</f>
        <v>Seed (4 native forb species mix)</v>
      </c>
      <c r="C48" s="710"/>
      <c r="D48" s="711" t="s">
        <v>454</v>
      </c>
      <c r="E48" s="706">
        <f>+'[20]Core Rates 2011'!BE291</f>
        <v>28.74</v>
      </c>
      <c r="F48" s="707">
        <v>1</v>
      </c>
      <c r="G48" s="708">
        <f t="shared" si="2"/>
        <v>28.74</v>
      </c>
      <c r="H48" s="254"/>
      <c r="I48" s="248"/>
    </row>
    <row r="49" spans="1:9">
      <c r="A49" s="182"/>
      <c r="B49" s="1849"/>
      <c r="C49" s="268"/>
      <c r="D49" s="1851"/>
      <c r="E49" s="1852"/>
      <c r="F49" s="254"/>
      <c r="G49" s="254"/>
      <c r="H49" s="254"/>
      <c r="I49" s="248"/>
    </row>
    <row r="50" spans="1:9">
      <c r="A50" s="182"/>
      <c r="B50" s="251" t="s">
        <v>43</v>
      </c>
      <c r="C50" s="254"/>
      <c r="D50" s="254"/>
      <c r="E50" s="272"/>
      <c r="F50" s="272"/>
      <c r="G50" s="272"/>
      <c r="H50" s="254"/>
      <c r="I50" s="265"/>
    </row>
    <row r="51" spans="1:9">
      <c r="A51" s="182"/>
      <c r="B51" s="261" t="s">
        <v>457</v>
      </c>
      <c r="C51" s="254"/>
      <c r="D51" s="254"/>
      <c r="E51" s="272"/>
      <c r="F51" s="272"/>
      <c r="G51" s="272"/>
      <c r="H51" s="254"/>
      <c r="I51" s="265"/>
    </row>
    <row r="52" spans="1:9">
      <c r="A52" s="182"/>
      <c r="B52" s="1850"/>
      <c r="C52" s="268"/>
      <c r="D52" s="1851"/>
      <c r="E52" s="254"/>
      <c r="F52" s="254"/>
      <c r="G52" s="254"/>
      <c r="H52" s="254"/>
      <c r="I52" s="248"/>
    </row>
    <row r="53" spans="1:9">
      <c r="A53" s="182"/>
      <c r="B53" s="246" t="s">
        <v>2</v>
      </c>
      <c r="C53" s="254"/>
      <c r="D53" s="254"/>
      <c r="E53" s="2147" t="s">
        <v>459</v>
      </c>
      <c r="F53" s="2147"/>
      <c r="G53" s="2147"/>
      <c r="H53" s="2147"/>
      <c r="I53" s="702">
        <f>(SUM(G55:G62)*0.85)</f>
        <v>1771.5699999999997</v>
      </c>
    </row>
    <row r="54" spans="1:9">
      <c r="A54" s="182"/>
      <c r="B54" s="703"/>
      <c r="C54" s="254"/>
      <c r="D54" s="704" t="s">
        <v>447</v>
      </c>
      <c r="E54" s="704" t="s">
        <v>448</v>
      </c>
      <c r="F54" s="704" t="s">
        <v>449</v>
      </c>
      <c r="G54" s="704" t="s">
        <v>450</v>
      </c>
      <c r="H54" s="254"/>
      <c r="I54" s="265"/>
    </row>
    <row r="55" spans="1:9">
      <c r="A55" s="182"/>
      <c r="B55" s="1867" t="str">
        <f>+'[20]Core Rates'!A111</f>
        <v>Earthmoving: Medium grading/shaping (2-6 hrs/ac)</v>
      </c>
      <c r="C55" s="1861"/>
      <c r="D55" s="1862" t="s">
        <v>408</v>
      </c>
      <c r="E55" s="706">
        <f>+'[20]Core Rates'!C111</f>
        <v>503.625</v>
      </c>
      <c r="F55" s="707">
        <v>1</v>
      </c>
      <c r="G55" s="708">
        <f>+F55*E55</f>
        <v>503.625</v>
      </c>
      <c r="H55" s="254"/>
      <c r="I55" s="286"/>
    </row>
    <row r="56" spans="1:9">
      <c r="A56" s="182"/>
      <c r="B56" s="1863" t="str">
        <f>+'[20]Core Rates'!A217</f>
        <v>Mulching (2 tons/ac applied)</v>
      </c>
      <c r="C56" s="720"/>
      <c r="D56" s="708" t="s">
        <v>408</v>
      </c>
      <c r="E56" s="708">
        <f>+'[20]Core Rates'!C217</f>
        <v>472.5</v>
      </c>
      <c r="F56" s="706">
        <v>0.85</v>
      </c>
      <c r="G56" s="708">
        <f>+F56*E56</f>
        <v>401.625</v>
      </c>
      <c r="H56" s="254"/>
      <c r="I56" s="286"/>
    </row>
    <row r="57" spans="1:9">
      <c r="A57" s="182"/>
      <c r="B57" s="1866" t="str">
        <f>+'[20]Core Rates'!A123</f>
        <v>Erosion Control Blanket, Type II (Installed)</v>
      </c>
      <c r="C57" s="720"/>
      <c r="D57" s="708" t="str">
        <f>+'[20]Core Rates'!B123</f>
        <v>Sq Yd</v>
      </c>
      <c r="E57" s="708">
        <f>+'[20]Core Rates'!C123</f>
        <v>1.5750000000000002</v>
      </c>
      <c r="F57" s="706">
        <v>0.15</v>
      </c>
      <c r="G57" s="708">
        <f>+E57/9*43560*F57</f>
        <v>1143.45</v>
      </c>
      <c r="H57" s="254"/>
      <c r="I57" s="286"/>
    </row>
    <row r="58" spans="1:9">
      <c r="A58" s="182"/>
      <c r="B58" s="261" t="s">
        <v>461</v>
      </c>
      <c r="C58" s="268"/>
      <c r="D58" s="705" t="s">
        <v>408</v>
      </c>
      <c r="E58" s="706">
        <f>+'[20]Core Rates'!C104</f>
        <v>20</v>
      </c>
      <c r="F58" s="707">
        <v>1</v>
      </c>
      <c r="G58" s="708">
        <f>+F58*E58</f>
        <v>20</v>
      </c>
      <c r="H58" s="254"/>
      <c r="I58" s="286"/>
    </row>
    <row r="59" spans="1:9">
      <c r="A59" s="182"/>
      <c r="B59" s="712" t="str">
        <f>+'[20]Core Rates'!A216</f>
        <v>Mowing</v>
      </c>
      <c r="C59" s="268"/>
      <c r="D59" s="1853" t="s">
        <v>408</v>
      </c>
      <c r="E59" s="1853">
        <f>+'[20]Core Rates'!C216</f>
        <v>15.5</v>
      </c>
      <c r="F59" s="707">
        <v>1</v>
      </c>
      <c r="G59" s="708">
        <f>+F59*E59</f>
        <v>15.5</v>
      </c>
      <c r="H59" s="254"/>
      <c r="I59" s="286"/>
    </row>
    <row r="60" spans="1:9">
      <c r="A60" s="182"/>
      <c r="B60" s="261" t="s">
        <v>462</v>
      </c>
      <c r="C60" s="268"/>
      <c r="D60" s="705" t="s">
        <v>408</v>
      </c>
      <c r="E60" s="706">
        <f>+'[20]Core Rates'!AN33</f>
        <v>5.416666666666667</v>
      </c>
      <c r="F60" s="707">
        <v>0</v>
      </c>
      <c r="G60" s="708">
        <f>+F60*E60</f>
        <v>0</v>
      </c>
      <c r="H60" s="254"/>
      <c r="I60" s="286"/>
    </row>
    <row r="61" spans="1:9">
      <c r="A61" s="182"/>
      <c r="B61" s="261" t="s">
        <v>463</v>
      </c>
      <c r="C61" s="268"/>
      <c r="D61" s="705" t="s">
        <v>452</v>
      </c>
      <c r="E61" s="706">
        <f>+'[20]Core Rates'!AN34</f>
        <v>5.5</v>
      </c>
      <c r="F61" s="707">
        <v>0</v>
      </c>
      <c r="G61" s="708">
        <f>+F61*E61</f>
        <v>0</v>
      </c>
      <c r="H61" s="254"/>
      <c r="I61" s="286"/>
    </row>
    <row r="62" spans="1:9">
      <c r="A62" s="182"/>
      <c r="B62" s="261" t="s">
        <v>464</v>
      </c>
      <c r="C62" s="268"/>
      <c r="D62" s="705" t="s">
        <v>452</v>
      </c>
      <c r="E62" s="706">
        <f>+'[20]Core Rates'!AN32</f>
        <v>6.3125</v>
      </c>
      <c r="F62" s="707">
        <v>0</v>
      </c>
      <c r="G62" s="708">
        <f>+F62*E62</f>
        <v>0</v>
      </c>
      <c r="H62" s="254"/>
      <c r="I62" s="286"/>
    </row>
    <row r="63" spans="1:9">
      <c r="A63" s="182"/>
      <c r="B63" s="261"/>
      <c r="C63" s="268"/>
      <c r="D63" s="269"/>
      <c r="E63" s="714"/>
      <c r="F63" s="714"/>
      <c r="G63" s="706"/>
      <c r="H63" s="254"/>
      <c r="I63" s="286"/>
    </row>
    <row r="64" spans="1:9">
      <c r="A64" s="182"/>
      <c r="B64" s="251" t="s">
        <v>43</v>
      </c>
      <c r="C64" s="254"/>
      <c r="D64" s="254"/>
      <c r="E64" s="272"/>
      <c r="F64" s="272"/>
      <c r="G64" s="272"/>
      <c r="H64" s="254"/>
      <c r="I64" s="265"/>
    </row>
    <row r="65" spans="1:9" ht="12.75" customHeight="1">
      <c r="A65" s="182"/>
      <c r="B65" s="2148" t="s">
        <v>457</v>
      </c>
      <c r="C65" s="2149"/>
      <c r="D65" s="2149"/>
      <c r="E65" s="2149"/>
      <c r="F65" s="2149"/>
      <c r="G65" s="2149"/>
      <c r="H65" s="2149"/>
      <c r="I65" s="2150"/>
    </row>
    <row r="66" spans="1:9">
      <c r="A66" s="182"/>
      <c r="B66" s="2148"/>
      <c r="C66" s="2149"/>
      <c r="D66" s="2149"/>
      <c r="E66" s="2149"/>
      <c r="F66" s="2149"/>
      <c r="G66" s="2149"/>
      <c r="H66" s="2149"/>
      <c r="I66" s="2150"/>
    </row>
    <row r="67" spans="1:9">
      <c r="A67" s="182"/>
      <c r="B67" s="715"/>
      <c r="C67" s="716"/>
      <c r="D67" s="716"/>
      <c r="E67" s="716"/>
      <c r="F67" s="716"/>
      <c r="G67" s="716"/>
      <c r="H67" s="716"/>
      <c r="I67" s="717"/>
    </row>
    <row r="68" spans="1:9">
      <c r="A68" s="182"/>
      <c r="B68" s="715"/>
      <c r="C68" s="716"/>
      <c r="D68" s="716"/>
      <c r="E68" s="716"/>
      <c r="F68" s="716"/>
      <c r="G68" s="716"/>
      <c r="H68" s="716"/>
      <c r="I68" s="717"/>
    </row>
    <row r="69" spans="1:9">
      <c r="A69" s="182"/>
      <c r="B69" s="246" t="s">
        <v>3</v>
      </c>
      <c r="C69" s="254"/>
      <c r="D69" s="254"/>
      <c r="E69" s="254"/>
      <c r="F69" s="256"/>
      <c r="G69" s="254"/>
      <c r="H69" s="254"/>
      <c r="I69" s="718">
        <f>E71</f>
        <v>312.62999999999994</v>
      </c>
    </row>
    <row r="70" spans="1:9">
      <c r="A70" s="182"/>
      <c r="B70" s="2151" t="s">
        <v>465</v>
      </c>
      <c r="C70" s="2152"/>
      <c r="D70" s="254"/>
      <c r="E70" s="254"/>
      <c r="F70" s="254"/>
      <c r="G70" s="254"/>
      <c r="H70" s="254"/>
      <c r="I70" s="282"/>
    </row>
    <row r="71" spans="1:9">
      <c r="A71" s="182"/>
      <c r="B71" s="251" t="s">
        <v>466</v>
      </c>
      <c r="C71" s="256"/>
      <c r="D71" s="256"/>
      <c r="E71" s="720">
        <f>SUM(G55:G62)*0.15</f>
        <v>312.62999999999994</v>
      </c>
      <c r="F71" s="254"/>
      <c r="G71" s="254"/>
      <c r="H71" s="254"/>
      <c r="I71" s="265"/>
    </row>
    <row r="72" spans="1:9">
      <c r="A72" s="182"/>
      <c r="B72" s="251"/>
      <c r="C72" s="256"/>
      <c r="D72" s="721"/>
      <c r="E72" s="720"/>
      <c r="F72" s="254"/>
      <c r="G72" s="254"/>
      <c r="H72" s="254"/>
      <c r="I72" s="265"/>
    </row>
    <row r="73" spans="1:9">
      <c r="A73" s="182"/>
      <c r="B73" s="251"/>
      <c r="C73" s="256"/>
      <c r="D73" s="722"/>
      <c r="E73" s="720"/>
      <c r="F73" s="254"/>
      <c r="G73" s="254"/>
      <c r="H73" s="254"/>
      <c r="I73" s="265"/>
    </row>
    <row r="74" spans="1:9">
      <c r="A74" s="182"/>
      <c r="B74" s="271"/>
      <c r="C74" s="254"/>
      <c r="D74" s="254"/>
      <c r="E74" s="254"/>
      <c r="F74" s="254"/>
      <c r="G74" s="254"/>
      <c r="H74" s="254"/>
      <c r="I74" s="248"/>
    </row>
    <row r="75" spans="1:9">
      <c r="A75" s="182"/>
      <c r="B75" s="246" t="s">
        <v>4</v>
      </c>
      <c r="C75" s="254"/>
      <c r="D75" s="254"/>
      <c r="E75" s="254"/>
      <c r="F75" s="254"/>
      <c r="G75" s="254"/>
      <c r="H75" s="254"/>
      <c r="I75" s="718">
        <f>0.03*(I40+I53+I69)</f>
        <v>65.702099999999987</v>
      </c>
    </row>
    <row r="76" spans="1:9">
      <c r="A76" s="182"/>
      <c r="B76" s="271" t="s">
        <v>467</v>
      </c>
      <c r="C76" s="254"/>
      <c r="D76" s="254"/>
      <c r="E76" s="254"/>
      <c r="F76" s="254"/>
      <c r="G76" s="254"/>
      <c r="H76" s="254"/>
      <c r="I76" s="248"/>
    </row>
    <row r="77" spans="1:9">
      <c r="A77" s="182"/>
      <c r="B77" s="251"/>
      <c r="C77" s="254"/>
      <c r="D77" s="254"/>
      <c r="E77" s="254"/>
      <c r="F77" s="254"/>
      <c r="G77" s="254"/>
      <c r="H77" s="254"/>
      <c r="I77" s="248"/>
    </row>
    <row r="78" spans="1:9">
      <c r="A78" s="182"/>
      <c r="B78" s="246" t="s">
        <v>468</v>
      </c>
      <c r="C78" s="254"/>
      <c r="D78" s="254"/>
      <c r="E78" s="254"/>
      <c r="F78" s="254"/>
      <c r="G78" s="254"/>
      <c r="H78" s="254"/>
      <c r="I78" s="718">
        <f>0.01*(I40+I53+I69)</f>
        <v>21.900699999999997</v>
      </c>
    </row>
    <row r="79" spans="1:9">
      <c r="A79" s="182"/>
      <c r="B79" s="271" t="s">
        <v>749</v>
      </c>
      <c r="C79" s="254"/>
      <c r="D79" s="254"/>
      <c r="E79" s="254"/>
      <c r="F79" s="254"/>
      <c r="G79" s="254"/>
      <c r="H79" s="254"/>
      <c r="I79" s="248"/>
    </row>
    <row r="80" spans="1:9">
      <c r="A80" s="182"/>
      <c r="B80" s="251"/>
      <c r="C80" s="254"/>
      <c r="D80" s="254"/>
      <c r="E80" s="254"/>
      <c r="F80" s="254"/>
      <c r="G80" s="254"/>
      <c r="H80" s="254"/>
      <c r="I80" s="248"/>
    </row>
    <row r="81" spans="1:9">
      <c r="A81" s="182"/>
      <c r="B81" s="246" t="s">
        <v>7</v>
      </c>
      <c r="C81" s="254"/>
      <c r="D81" s="254"/>
      <c r="E81" s="254"/>
      <c r="F81" s="254"/>
      <c r="G81" s="254"/>
      <c r="H81" s="254"/>
      <c r="I81" s="702">
        <v>0</v>
      </c>
    </row>
    <row r="82" spans="1:9">
      <c r="A82" s="182"/>
      <c r="B82" s="271" t="s">
        <v>1349</v>
      </c>
      <c r="C82" s="254"/>
      <c r="D82" s="254"/>
      <c r="E82" s="254"/>
      <c r="F82" s="254"/>
      <c r="G82" s="254"/>
      <c r="H82" s="254"/>
      <c r="I82" s="248"/>
    </row>
    <row r="83" spans="1:9">
      <c r="A83" s="182"/>
      <c r="B83" s="251"/>
      <c r="C83" s="254"/>
      <c r="D83" s="254"/>
      <c r="E83" s="254"/>
      <c r="F83" s="254"/>
      <c r="G83" s="254"/>
      <c r="H83" s="254"/>
      <c r="I83" s="248"/>
    </row>
    <row r="84" spans="1:9">
      <c r="A84" s="182"/>
      <c r="B84" s="246" t="s">
        <v>471</v>
      </c>
      <c r="C84" s="254"/>
      <c r="D84" s="254"/>
      <c r="E84" s="254"/>
      <c r="F84" s="256"/>
      <c r="G84" s="254"/>
      <c r="H84" s="254"/>
      <c r="I84" s="702">
        <v>600</v>
      </c>
    </row>
    <row r="85" spans="1:9">
      <c r="A85" s="182"/>
      <c r="B85" s="726" t="s">
        <v>1350</v>
      </c>
      <c r="C85" s="254"/>
      <c r="D85" s="254"/>
      <c r="E85" s="254"/>
      <c r="F85" s="254"/>
      <c r="G85" s="254"/>
      <c r="H85" s="254"/>
      <c r="I85" s="286"/>
    </row>
    <row r="86" spans="1:9">
      <c r="A86" s="182"/>
      <c r="B86" s="726"/>
      <c r="C86" s="254"/>
      <c r="D86" s="254"/>
      <c r="E86" s="254"/>
      <c r="F86" s="254"/>
      <c r="G86" s="254"/>
      <c r="H86" s="254"/>
      <c r="I86" s="286"/>
    </row>
    <row r="87" spans="1:9">
      <c r="A87" s="182"/>
      <c r="B87" s="251"/>
      <c r="C87" s="254"/>
      <c r="D87" s="254"/>
      <c r="E87" s="254"/>
      <c r="F87" s="254"/>
      <c r="G87" s="254"/>
      <c r="H87" s="254"/>
      <c r="I87" s="248"/>
    </row>
    <row r="88" spans="1:9">
      <c r="A88" s="182"/>
      <c r="B88" s="246" t="s">
        <v>5</v>
      </c>
      <c r="C88" s="254"/>
      <c r="D88" s="254"/>
      <c r="E88" s="254"/>
      <c r="F88" s="254"/>
      <c r="G88" s="254"/>
      <c r="H88" s="254"/>
      <c r="I88" s="702">
        <v>0</v>
      </c>
    </row>
    <row r="89" spans="1:9">
      <c r="A89" s="182"/>
      <c r="B89" s="271" t="s">
        <v>1351</v>
      </c>
      <c r="C89" s="254"/>
      <c r="D89" s="254"/>
      <c r="E89" s="254"/>
      <c r="F89" s="254"/>
      <c r="G89" s="254"/>
      <c r="H89" s="254"/>
      <c r="I89" s="286"/>
    </row>
    <row r="90" spans="1:9">
      <c r="A90" s="182"/>
      <c r="B90" s="251"/>
      <c r="C90" s="254"/>
      <c r="D90" s="254"/>
      <c r="E90" s="254"/>
      <c r="F90" s="254"/>
      <c r="G90" s="254"/>
      <c r="H90" s="254"/>
      <c r="I90" s="248"/>
    </row>
    <row r="91" spans="1:9">
      <c r="A91" s="182"/>
      <c r="B91" s="246" t="s">
        <v>20</v>
      </c>
      <c r="C91" s="254"/>
      <c r="D91" s="254"/>
      <c r="E91" s="254"/>
      <c r="F91" s="254"/>
      <c r="G91" s="254"/>
      <c r="H91" s="254"/>
      <c r="I91" s="702">
        <v>0</v>
      </c>
    </row>
    <row r="92" spans="1:9">
      <c r="A92" s="182"/>
      <c r="B92" s="271" t="s">
        <v>104</v>
      </c>
      <c r="C92" s="254"/>
      <c r="D92" s="254"/>
      <c r="E92" s="254"/>
      <c r="F92" s="254"/>
      <c r="G92" s="254"/>
      <c r="H92" s="254"/>
      <c r="I92" s="248"/>
    </row>
    <row r="93" spans="1:9">
      <c r="A93" s="182"/>
      <c r="B93" s="261"/>
      <c r="C93" s="254"/>
      <c r="D93" s="254"/>
      <c r="E93" s="254"/>
      <c r="F93" s="254"/>
      <c r="G93" s="254"/>
      <c r="H93" s="254"/>
      <c r="I93" s="248"/>
    </row>
    <row r="94" spans="1:9">
      <c r="A94" s="182"/>
      <c r="B94" s="246" t="s">
        <v>473</v>
      </c>
      <c r="C94" s="254"/>
      <c r="D94" s="254"/>
      <c r="E94" s="254"/>
      <c r="F94" s="254"/>
      <c r="G94" s="254"/>
      <c r="H94" s="254"/>
      <c r="I94" s="728">
        <f>+I40+I53+I69+I75+I81+I91</f>
        <v>2255.7720999999997</v>
      </c>
    </row>
    <row r="95" spans="1:9" ht="15.75">
      <c r="A95" s="182"/>
      <c r="B95" s="271" t="s">
        <v>474</v>
      </c>
      <c r="C95" s="254"/>
      <c r="D95" s="254"/>
      <c r="E95" s="254"/>
      <c r="F95" s="254"/>
      <c r="G95" s="254"/>
      <c r="H95" s="254"/>
      <c r="I95" s="248"/>
    </row>
    <row r="96" spans="1:9">
      <c r="A96" s="182"/>
      <c r="B96" s="261"/>
      <c r="C96" s="254"/>
      <c r="D96" s="254"/>
      <c r="E96" s="254"/>
      <c r="F96" s="254"/>
      <c r="G96" s="254"/>
      <c r="H96" s="254"/>
      <c r="I96" s="248"/>
    </row>
    <row r="97" spans="1:9">
      <c r="A97" s="182"/>
      <c r="B97" s="287" t="s">
        <v>11</v>
      </c>
      <c r="C97" s="288"/>
      <c r="D97" s="288"/>
      <c r="E97" s="288"/>
      <c r="F97" s="288"/>
      <c r="G97" s="288"/>
      <c r="H97" s="288"/>
      <c r="I97" s="621">
        <f>SUM(I40:I91)</f>
        <v>2877.6727999999998</v>
      </c>
    </row>
  </sheetData>
  <mergeCells count="4">
    <mergeCell ref="B1:D1"/>
    <mergeCell ref="E53:H53"/>
    <mergeCell ref="B65:I66"/>
    <mergeCell ref="B70:C70"/>
  </mergeCells>
  <pageMargins left="0.75" right="0.75" top="1" bottom="1" header="0.5" footer="0.5"/>
  <pageSetup scale="55" orientation="portrait" r:id="rId1"/>
  <headerFooter alignWithMargins="0"/>
</worksheet>
</file>

<file path=xl/worksheets/sheet249.xml><?xml version="1.0" encoding="utf-8"?>
<worksheet xmlns="http://schemas.openxmlformats.org/spreadsheetml/2006/main" xmlns:r="http://schemas.openxmlformats.org/officeDocument/2006/relationships">
  <sheetPr>
    <pageSetUpPr fitToPage="1"/>
  </sheetPr>
  <dimension ref="A1:H106"/>
  <sheetViews>
    <sheetView topLeftCell="A25" zoomScale="75" zoomScaleNormal="75" workbookViewId="0">
      <selection activeCell="G39" sqref="G39"/>
    </sheetView>
  </sheetViews>
  <sheetFormatPr defaultColWidth="9.140625" defaultRowHeight="12.75"/>
  <cols>
    <col min="1" max="1" width="34.5703125" style="182" customWidth="1"/>
    <col min="2" max="2" width="25.42578125" style="182" customWidth="1"/>
    <col min="3" max="3" width="29.42578125" style="182" customWidth="1"/>
    <col min="4" max="4" width="22.85546875" style="182" customWidth="1"/>
    <col min="5" max="5" width="15.140625" style="182" customWidth="1"/>
    <col min="6" max="6" width="11" style="182" customWidth="1"/>
    <col min="7" max="7" width="10.7109375" style="182" bestFit="1" customWidth="1"/>
    <col min="8" max="8" width="11.7109375" style="182" customWidth="1"/>
    <col min="9" max="16384" width="9.140625" style="182"/>
  </cols>
  <sheetData>
    <row r="1" spans="1:7" ht="18.75">
      <c r="A1" s="449" t="s">
        <v>373</v>
      </c>
    </row>
    <row r="3" spans="1:7" ht="15.75">
      <c r="A3" s="450" t="s">
        <v>374</v>
      </c>
      <c r="B3" s="451"/>
      <c r="C3" s="451"/>
    </row>
    <row r="4" spans="1:7" ht="21" customHeight="1">
      <c r="A4" s="452" t="s">
        <v>375</v>
      </c>
      <c r="B4" s="452" t="s">
        <v>376</v>
      </c>
      <c r="C4" s="453" t="s">
        <v>377</v>
      </c>
      <c r="D4" s="239"/>
      <c r="E4" s="239"/>
      <c r="F4" s="239"/>
      <c r="G4" s="239"/>
    </row>
    <row r="5" spans="1:7" ht="21" customHeight="1">
      <c r="A5" s="454" t="s">
        <v>1</v>
      </c>
      <c r="B5" s="454" t="s">
        <v>77</v>
      </c>
      <c r="C5" s="1871" t="s">
        <v>378</v>
      </c>
      <c r="D5" s="1872"/>
      <c r="E5" s="1873"/>
      <c r="F5" s="1874"/>
      <c r="G5" s="1874"/>
    </row>
    <row r="6" spans="1:7" ht="21" customHeight="1">
      <c r="A6" s="454" t="s">
        <v>1</v>
      </c>
      <c r="B6" s="454" t="s">
        <v>379</v>
      </c>
      <c r="C6" s="1875" t="s">
        <v>2431</v>
      </c>
      <c r="D6" s="1872"/>
      <c r="E6" s="1873"/>
      <c r="F6" s="1874"/>
      <c r="G6" s="1874"/>
    </row>
    <row r="7" spans="1:7" ht="21" customHeight="1">
      <c r="A7" s="454" t="s">
        <v>1</v>
      </c>
      <c r="B7" s="454" t="s">
        <v>381</v>
      </c>
      <c r="C7" s="1875">
        <v>10</v>
      </c>
      <c r="D7" s="1872"/>
      <c r="E7" s="1873"/>
      <c r="F7" s="1874"/>
      <c r="G7" s="1874"/>
    </row>
    <row r="8" spans="1:7" ht="21" customHeight="1">
      <c r="A8" s="454" t="s">
        <v>382</v>
      </c>
      <c r="B8" s="454" t="s">
        <v>383</v>
      </c>
      <c r="C8" s="1876" t="s">
        <v>2432</v>
      </c>
      <c r="D8" s="1877"/>
      <c r="E8" s="1873"/>
      <c r="F8" s="1873"/>
      <c r="G8" s="1877"/>
    </row>
    <row r="9" spans="1:7" ht="54" customHeight="1">
      <c r="A9" s="454" t="s">
        <v>382</v>
      </c>
      <c r="B9" s="454" t="s">
        <v>385</v>
      </c>
      <c r="C9" s="2223" t="s">
        <v>2433</v>
      </c>
      <c r="D9" s="2224"/>
      <c r="E9" s="2224"/>
      <c r="F9" s="2224"/>
      <c r="G9" s="2225"/>
    </row>
    <row r="10" spans="1:7" ht="51.75" customHeight="1">
      <c r="A10" s="454" t="s">
        <v>382</v>
      </c>
      <c r="B10" s="454" t="s">
        <v>387</v>
      </c>
      <c r="C10" s="2223" t="s">
        <v>2434</v>
      </c>
      <c r="D10" s="2224"/>
      <c r="E10" s="2224"/>
      <c r="F10" s="2224"/>
      <c r="G10" s="2225"/>
    </row>
    <row r="11" spans="1:7" ht="51.75" customHeight="1">
      <c r="A11" s="454" t="s">
        <v>382</v>
      </c>
      <c r="B11" s="454" t="s">
        <v>389</v>
      </c>
      <c r="C11" s="2223" t="s">
        <v>2435</v>
      </c>
      <c r="D11" s="2224"/>
      <c r="E11" s="2224"/>
      <c r="F11" s="2224"/>
      <c r="G11" s="2225"/>
    </row>
    <row r="12" spans="1:7" ht="51.75" customHeight="1">
      <c r="A12" s="454" t="s">
        <v>382</v>
      </c>
      <c r="B12" s="454" t="s">
        <v>391</v>
      </c>
      <c r="C12" s="2223" t="s">
        <v>2436</v>
      </c>
      <c r="D12" s="2224"/>
      <c r="E12" s="2224"/>
      <c r="F12" s="2224"/>
      <c r="G12" s="2225"/>
    </row>
    <row r="13" spans="1:7" ht="21" customHeight="1">
      <c r="A13" s="454" t="s">
        <v>382</v>
      </c>
      <c r="B13" s="454" t="s">
        <v>393</v>
      </c>
      <c r="C13" s="1871" t="s">
        <v>394</v>
      </c>
      <c r="D13" s="1872"/>
      <c r="E13" s="1873"/>
      <c r="F13" s="1873"/>
      <c r="G13" s="1872"/>
    </row>
    <row r="14" spans="1:7" ht="21" customHeight="1">
      <c r="A14" s="454" t="s">
        <v>382</v>
      </c>
      <c r="B14" s="454" t="s">
        <v>395</v>
      </c>
      <c r="C14" s="1875">
        <v>10</v>
      </c>
      <c r="D14" s="1872"/>
      <c r="E14" s="1873"/>
      <c r="F14" s="1873"/>
      <c r="G14" s="1872"/>
    </row>
    <row r="15" spans="1:7">
      <c r="A15" s="239"/>
      <c r="B15" s="239"/>
      <c r="C15" s="239"/>
      <c r="D15" s="239"/>
      <c r="E15" s="239"/>
      <c r="F15" s="239"/>
      <c r="G15" s="239"/>
    </row>
    <row r="16" spans="1:7" ht="15.75">
      <c r="A16" s="462" t="s">
        <v>396</v>
      </c>
      <c r="B16" s="463"/>
      <c r="C16" s="464"/>
      <c r="D16" s="236"/>
      <c r="E16" s="202"/>
      <c r="F16" s="202"/>
      <c r="G16" s="236"/>
    </row>
    <row r="17" spans="1:8" ht="15">
      <c r="A17" s="452" t="s">
        <v>16</v>
      </c>
      <c r="B17" s="453" t="s">
        <v>397</v>
      </c>
      <c r="C17" s="453" t="s">
        <v>398</v>
      </c>
      <c r="D17" s="236"/>
      <c r="E17" s="202"/>
      <c r="F17" s="202"/>
      <c r="G17" s="236"/>
    </row>
    <row r="18" spans="1:8" ht="15">
      <c r="A18" s="454" t="s">
        <v>0</v>
      </c>
      <c r="B18" s="465">
        <f>SUM(H31:H33)</f>
        <v>123.94999999999999</v>
      </c>
      <c r="C18" s="466">
        <f>B18/C$14</f>
        <v>12.395</v>
      </c>
      <c r="D18" s="236"/>
      <c r="E18" s="202"/>
      <c r="F18" s="202"/>
      <c r="G18" s="236"/>
    </row>
    <row r="19" spans="1:8" ht="15">
      <c r="A19" s="454" t="s">
        <v>2</v>
      </c>
      <c r="B19" s="465">
        <f>SUM(H34:H36)</f>
        <v>458.46000000000004</v>
      </c>
      <c r="C19" s="466">
        <f t="shared" ref="C19:C27" si="0">B19/C$14</f>
        <v>45.846000000000004</v>
      </c>
      <c r="D19" s="236"/>
      <c r="E19" s="202"/>
      <c r="F19" s="202"/>
      <c r="G19" s="236"/>
    </row>
    <row r="20" spans="1:8" ht="15">
      <c r="A20" s="454" t="s">
        <v>3</v>
      </c>
      <c r="B20" s="465">
        <f>SUM(H37:H39)</f>
        <v>1712.3999999999999</v>
      </c>
      <c r="C20" s="466">
        <f t="shared" si="0"/>
        <v>171.23999999999998</v>
      </c>
      <c r="D20" s="236"/>
      <c r="E20" s="202"/>
      <c r="F20" s="202"/>
      <c r="G20" s="236"/>
    </row>
    <row r="21" spans="1:8" ht="15">
      <c r="A21" s="454" t="s">
        <v>4</v>
      </c>
      <c r="B21" s="465">
        <f>H40</f>
        <v>0</v>
      </c>
      <c r="C21" s="466">
        <f t="shared" si="0"/>
        <v>0</v>
      </c>
      <c r="D21" s="236"/>
      <c r="E21" s="202"/>
      <c r="F21" s="202"/>
      <c r="G21" s="236"/>
    </row>
    <row r="22" spans="1:8" ht="15">
      <c r="A22" s="454" t="s">
        <v>26</v>
      </c>
      <c r="B22" s="465">
        <f>H41</f>
        <v>0</v>
      </c>
      <c r="C22" s="466">
        <f t="shared" si="0"/>
        <v>0</v>
      </c>
      <c r="D22" s="236"/>
      <c r="E22" s="202"/>
      <c r="F22" s="202"/>
      <c r="G22" s="236"/>
    </row>
    <row r="23" spans="1:8" ht="15">
      <c r="A23" s="454" t="s">
        <v>7</v>
      </c>
      <c r="B23" s="465">
        <f>SUM(H42:H44)</f>
        <v>0</v>
      </c>
      <c r="C23" s="466">
        <f t="shared" si="0"/>
        <v>0</v>
      </c>
      <c r="D23" s="236"/>
      <c r="E23" s="202"/>
      <c r="F23" s="202"/>
      <c r="G23" s="236"/>
    </row>
    <row r="24" spans="1:8" ht="15">
      <c r="A24" s="454" t="s">
        <v>27</v>
      </c>
      <c r="B24" s="465">
        <f>SUM(H45:H47)</f>
        <v>0</v>
      </c>
      <c r="C24" s="466">
        <f t="shared" si="0"/>
        <v>0</v>
      </c>
      <c r="D24" s="236"/>
      <c r="E24" s="202"/>
      <c r="F24" s="202"/>
      <c r="G24" s="236"/>
    </row>
    <row r="25" spans="1:8" ht="15">
      <c r="A25" s="454" t="s">
        <v>5</v>
      </c>
      <c r="B25" s="465">
        <f>G48</f>
        <v>0</v>
      </c>
      <c r="C25" s="466">
        <f t="shared" si="0"/>
        <v>0</v>
      </c>
      <c r="D25" s="236"/>
      <c r="E25" s="202"/>
      <c r="F25" s="202"/>
      <c r="G25" s="236"/>
    </row>
    <row r="26" spans="1:8" ht="15">
      <c r="A26" s="454" t="s">
        <v>20</v>
      </c>
      <c r="B26" s="465">
        <f>H48</f>
        <v>0</v>
      </c>
      <c r="C26" s="466">
        <f t="shared" si="0"/>
        <v>0</v>
      </c>
      <c r="D26" s="236"/>
      <c r="E26" s="202"/>
      <c r="F26" s="202"/>
      <c r="G26" s="236"/>
    </row>
    <row r="27" spans="1:8" ht="15">
      <c r="A27" s="454" t="s">
        <v>399</v>
      </c>
      <c r="B27" s="465">
        <f>SUM(B18:B26)</f>
        <v>2294.81</v>
      </c>
      <c r="C27" s="466">
        <f t="shared" si="0"/>
        <v>229.48099999999999</v>
      </c>
      <c r="D27" s="236"/>
      <c r="E27" s="202"/>
      <c r="F27" s="202"/>
      <c r="G27" s="236"/>
    </row>
    <row r="28" spans="1:8">
      <c r="A28" s="1878"/>
      <c r="B28" s="891"/>
      <c r="C28" s="891"/>
      <c r="D28" s="236"/>
      <c r="E28" s="236"/>
      <c r="F28" s="236"/>
      <c r="G28" s="236"/>
    </row>
    <row r="29" spans="1:8" ht="15.75">
      <c r="A29" s="468" t="s">
        <v>400</v>
      </c>
      <c r="B29" s="236"/>
      <c r="C29" s="236"/>
      <c r="D29" s="891"/>
      <c r="E29" s="236"/>
      <c r="F29" s="236"/>
      <c r="G29" s="236"/>
    </row>
    <row r="30" spans="1:8" ht="27.75" customHeight="1">
      <c r="A30" s="452" t="s">
        <v>16</v>
      </c>
      <c r="B30" s="469" t="s">
        <v>401</v>
      </c>
      <c r="C30" s="469" t="s">
        <v>402</v>
      </c>
      <c r="D30" s="469" t="s">
        <v>403</v>
      </c>
      <c r="E30" s="469" t="s">
        <v>46</v>
      </c>
      <c r="F30" s="469" t="s">
        <v>404</v>
      </c>
      <c r="G30" s="469" t="s">
        <v>405</v>
      </c>
      <c r="H30" s="469" t="s">
        <v>397</v>
      </c>
    </row>
    <row r="31" spans="1:8" ht="15">
      <c r="A31" s="454" t="s">
        <v>0</v>
      </c>
      <c r="B31" s="1879">
        <v>334</v>
      </c>
      <c r="C31" s="1880" t="s">
        <v>427</v>
      </c>
      <c r="D31" s="1880" t="s">
        <v>428</v>
      </c>
      <c r="E31" s="1880" t="s">
        <v>408</v>
      </c>
      <c r="F31" s="1881">
        <v>12.395</v>
      </c>
      <c r="G31" s="473">
        <v>10</v>
      </c>
      <c r="H31" s="474">
        <f>IF(G31&lt;=0, 0, F31*G31)</f>
        <v>123.94999999999999</v>
      </c>
    </row>
    <row r="32" spans="1:8" ht="15">
      <c r="A32" s="454" t="s">
        <v>0</v>
      </c>
      <c r="B32" s="1882"/>
      <c r="C32" s="1882"/>
      <c r="D32" s="1883"/>
      <c r="E32" s="1883"/>
      <c r="F32" s="1884"/>
      <c r="G32" s="473"/>
      <c r="H32" s="474">
        <f t="shared" ref="H32:H49" si="1">IF(G32&lt;=0, 0, F32*G32)</f>
        <v>0</v>
      </c>
    </row>
    <row r="33" spans="1:8" ht="15">
      <c r="A33" s="454" t="s">
        <v>0</v>
      </c>
      <c r="B33" s="1882"/>
      <c r="C33" s="1882"/>
      <c r="D33" s="1883"/>
      <c r="E33" s="1883"/>
      <c r="F33" s="1884"/>
      <c r="G33" s="473"/>
      <c r="H33" s="474">
        <f t="shared" si="1"/>
        <v>0</v>
      </c>
    </row>
    <row r="34" spans="1:8" ht="15">
      <c r="A34" s="454" t="s">
        <v>2</v>
      </c>
      <c r="B34" s="1882">
        <v>937</v>
      </c>
      <c r="C34" s="1882" t="s">
        <v>429</v>
      </c>
      <c r="D34" s="1883" t="s">
        <v>430</v>
      </c>
      <c r="E34" s="1885" t="s">
        <v>411</v>
      </c>
      <c r="F34" s="1884">
        <v>5.96</v>
      </c>
      <c r="G34" s="486">
        <v>60</v>
      </c>
      <c r="H34" s="474">
        <f t="shared" si="1"/>
        <v>357.6</v>
      </c>
    </row>
    <row r="35" spans="1:8" ht="15">
      <c r="A35" s="454" t="s">
        <v>2</v>
      </c>
      <c r="B35" s="1886">
        <v>964</v>
      </c>
      <c r="C35" s="1887" t="s">
        <v>431</v>
      </c>
      <c r="D35" s="1887" t="s">
        <v>432</v>
      </c>
      <c r="E35" s="1887" t="s">
        <v>411</v>
      </c>
      <c r="F35" s="1888">
        <v>50.43</v>
      </c>
      <c r="G35" s="1889">
        <v>2</v>
      </c>
      <c r="H35" s="474">
        <f t="shared" si="1"/>
        <v>100.86</v>
      </c>
    </row>
    <row r="36" spans="1:8" ht="15">
      <c r="A36" s="454" t="s">
        <v>2</v>
      </c>
      <c r="B36" s="1890"/>
      <c r="C36" s="1891"/>
      <c r="D36" s="1891"/>
      <c r="E36" s="1891"/>
      <c r="F36" s="1892"/>
      <c r="G36" s="1889"/>
      <c r="H36" s="474">
        <f t="shared" si="1"/>
        <v>0</v>
      </c>
    </row>
    <row r="37" spans="1:8" ht="15">
      <c r="A37" s="454" t="s">
        <v>3</v>
      </c>
      <c r="B37" s="1882">
        <v>230</v>
      </c>
      <c r="C37" s="1882" t="s">
        <v>414</v>
      </c>
      <c r="D37" s="1883" t="s">
        <v>415</v>
      </c>
      <c r="E37" s="1883" t="s">
        <v>411</v>
      </c>
      <c r="F37" s="1884">
        <v>28.54</v>
      </c>
      <c r="G37" s="486">
        <v>60</v>
      </c>
      <c r="H37" s="474">
        <f t="shared" si="1"/>
        <v>1712.3999999999999</v>
      </c>
    </row>
    <row r="38" spans="1:8" ht="15">
      <c r="A38" s="454" t="s">
        <v>3</v>
      </c>
      <c r="B38" s="1890"/>
      <c r="C38" s="1891"/>
      <c r="D38" s="1891"/>
      <c r="E38" s="1891"/>
      <c r="F38" s="1892"/>
      <c r="G38" s="1889"/>
      <c r="H38" s="474">
        <f t="shared" si="1"/>
        <v>0</v>
      </c>
    </row>
    <row r="39" spans="1:8" ht="15">
      <c r="A39" s="454" t="s">
        <v>3</v>
      </c>
      <c r="B39" s="1893"/>
      <c r="C39" s="1893"/>
      <c r="D39" s="1894"/>
      <c r="E39" s="1894"/>
      <c r="F39" s="1895"/>
      <c r="G39" s="1896"/>
      <c r="H39" s="474">
        <f t="shared" si="1"/>
        <v>0</v>
      </c>
    </row>
    <row r="40" spans="1:8" ht="15">
      <c r="A40" s="454" t="s">
        <v>4</v>
      </c>
      <c r="B40" s="1882"/>
      <c r="C40" s="1882"/>
      <c r="D40" s="1883"/>
      <c r="E40" s="1883"/>
      <c r="F40" s="1897"/>
      <c r="G40" s="486"/>
      <c r="H40" s="474">
        <f t="shared" si="1"/>
        <v>0</v>
      </c>
    </row>
    <row r="41" spans="1:8" ht="16.5" customHeight="1">
      <c r="A41" s="454" t="s">
        <v>2437</v>
      </c>
      <c r="B41" s="1882"/>
      <c r="C41" s="1882"/>
      <c r="D41" s="1883" t="s">
        <v>2438</v>
      </c>
      <c r="E41" s="1883"/>
      <c r="F41" s="1897"/>
      <c r="G41" s="486"/>
      <c r="H41" s="474">
        <f t="shared" si="1"/>
        <v>0</v>
      </c>
    </row>
    <row r="42" spans="1:8" ht="15">
      <c r="A42" s="454" t="s">
        <v>7</v>
      </c>
      <c r="B42" s="1882"/>
      <c r="C42" s="1882"/>
      <c r="D42" s="1883"/>
      <c r="E42" s="1883"/>
      <c r="F42" s="1884"/>
      <c r="G42" s="473"/>
      <c r="H42" s="474">
        <f t="shared" si="1"/>
        <v>0</v>
      </c>
    </row>
    <row r="43" spans="1:8" ht="15">
      <c r="A43" s="454" t="s">
        <v>7</v>
      </c>
      <c r="B43" s="1882"/>
      <c r="C43" s="1882"/>
      <c r="D43" s="1883"/>
      <c r="E43" s="1883"/>
      <c r="F43" s="1884"/>
      <c r="G43" s="473"/>
      <c r="H43" s="474">
        <f t="shared" si="1"/>
        <v>0</v>
      </c>
    </row>
    <row r="44" spans="1:8" ht="15">
      <c r="A44" s="454" t="s">
        <v>7</v>
      </c>
      <c r="B44" s="1882"/>
      <c r="C44" s="1882"/>
      <c r="D44" s="1883"/>
      <c r="E44" s="1883"/>
      <c r="F44" s="1884"/>
      <c r="G44" s="473"/>
      <c r="H44" s="474">
        <f t="shared" si="1"/>
        <v>0</v>
      </c>
    </row>
    <row r="45" spans="1:8" ht="15">
      <c r="A45" s="454" t="s">
        <v>421</v>
      </c>
      <c r="B45" s="1882"/>
      <c r="C45" s="1882"/>
      <c r="D45" s="1883"/>
      <c r="E45" s="1883"/>
      <c r="F45" s="1884"/>
      <c r="G45" s="473"/>
      <c r="H45" s="474">
        <f t="shared" si="1"/>
        <v>0</v>
      </c>
    </row>
    <row r="46" spans="1:8" ht="15">
      <c r="A46" s="454" t="s">
        <v>421</v>
      </c>
      <c r="B46" s="1882"/>
      <c r="C46" s="1882"/>
      <c r="D46" s="1883"/>
      <c r="E46" s="1883"/>
      <c r="F46" s="1884"/>
      <c r="G46" s="473"/>
      <c r="H46" s="474">
        <f t="shared" si="1"/>
        <v>0</v>
      </c>
    </row>
    <row r="47" spans="1:8" ht="15">
      <c r="A47" s="454" t="s">
        <v>421</v>
      </c>
      <c r="B47" s="1882"/>
      <c r="C47" s="1882"/>
      <c r="D47" s="1883"/>
      <c r="E47" s="1883"/>
      <c r="F47" s="1884"/>
      <c r="G47" s="473"/>
      <c r="H47" s="474">
        <f t="shared" si="1"/>
        <v>0</v>
      </c>
    </row>
    <row r="48" spans="1:8" ht="15">
      <c r="A48" s="454" t="s">
        <v>5</v>
      </c>
      <c r="B48" s="1882"/>
      <c r="C48" s="1882"/>
      <c r="D48" s="1883"/>
      <c r="E48" s="1883"/>
      <c r="F48" s="1884"/>
      <c r="G48" s="473"/>
      <c r="H48" s="474">
        <f t="shared" si="1"/>
        <v>0</v>
      </c>
    </row>
    <row r="49" spans="1:8" ht="15">
      <c r="A49" s="454" t="s">
        <v>20</v>
      </c>
      <c r="B49" s="1882"/>
      <c r="C49" s="1882"/>
      <c r="D49" s="1883"/>
      <c r="E49" s="1883"/>
      <c r="F49" s="1884"/>
      <c r="G49" s="473"/>
      <c r="H49" s="474">
        <f t="shared" si="1"/>
        <v>0</v>
      </c>
    </row>
    <row r="50" spans="1:8">
      <c r="A50" s="239"/>
      <c r="B50" s="239"/>
      <c r="C50" s="239"/>
      <c r="D50" s="239"/>
      <c r="E50" s="239"/>
      <c r="F50" s="239"/>
      <c r="G50" s="239"/>
    </row>
    <row r="51" spans="1:8">
      <c r="A51" s="239"/>
      <c r="B51" s="239"/>
      <c r="C51" s="239"/>
      <c r="D51" s="239"/>
      <c r="E51" s="239"/>
      <c r="F51" s="239"/>
      <c r="G51" s="239"/>
    </row>
    <row r="52" spans="1:8">
      <c r="A52" s="239"/>
      <c r="B52" s="239"/>
      <c r="C52" s="239"/>
      <c r="D52" s="239"/>
      <c r="E52" s="239"/>
      <c r="F52" s="239"/>
      <c r="G52" s="239"/>
    </row>
    <row r="53" spans="1:8">
      <c r="A53" s="239"/>
      <c r="B53" s="239"/>
      <c r="C53" s="239"/>
      <c r="D53" s="239"/>
      <c r="E53" s="239"/>
      <c r="F53" s="239"/>
      <c r="G53" s="239"/>
    </row>
    <row r="54" spans="1:8">
      <c r="A54" s="239"/>
      <c r="B54" s="239"/>
      <c r="C54" s="239"/>
      <c r="D54" s="239"/>
      <c r="E54" s="239"/>
      <c r="F54" s="239"/>
      <c r="G54" s="239"/>
    </row>
    <row r="55" spans="1:8">
      <c r="A55" s="239"/>
      <c r="B55" s="239"/>
      <c r="C55" s="239"/>
      <c r="D55" s="239"/>
      <c r="E55" s="239"/>
      <c r="F55" s="239"/>
      <c r="G55" s="239"/>
    </row>
    <row r="56" spans="1:8">
      <c r="A56" s="239"/>
      <c r="B56" s="239"/>
      <c r="C56" s="239"/>
      <c r="D56" s="239"/>
      <c r="E56" s="239"/>
      <c r="F56" s="239"/>
      <c r="G56" s="239"/>
    </row>
    <row r="57" spans="1:8">
      <c r="A57" s="239"/>
      <c r="B57" s="239"/>
      <c r="C57" s="239"/>
      <c r="D57" s="239"/>
      <c r="E57" s="239"/>
      <c r="F57" s="239"/>
      <c r="G57" s="239"/>
    </row>
    <row r="58" spans="1:8">
      <c r="A58" s="239"/>
      <c r="B58" s="239"/>
      <c r="C58" s="239"/>
      <c r="D58" s="239"/>
      <c r="E58" s="239"/>
      <c r="F58" s="239"/>
      <c r="G58" s="239"/>
    </row>
    <row r="59" spans="1:8">
      <c r="A59" s="239"/>
      <c r="B59" s="239"/>
      <c r="C59" s="239"/>
      <c r="D59" s="239"/>
      <c r="E59" s="239"/>
      <c r="F59" s="239"/>
      <c r="G59" s="239"/>
    </row>
    <row r="60" spans="1:8">
      <c r="A60" s="239"/>
      <c r="B60" s="239"/>
      <c r="C60" s="239"/>
      <c r="D60" s="239"/>
      <c r="E60" s="239"/>
      <c r="F60" s="239"/>
      <c r="G60" s="239"/>
    </row>
    <row r="61" spans="1:8">
      <c r="A61" s="239"/>
      <c r="B61" s="239"/>
      <c r="C61" s="239"/>
      <c r="D61" s="239"/>
      <c r="E61" s="239"/>
      <c r="F61" s="239"/>
      <c r="G61" s="239"/>
    </row>
    <row r="62" spans="1:8">
      <c r="A62" s="239"/>
      <c r="B62" s="239"/>
      <c r="C62" s="239"/>
      <c r="D62" s="239"/>
      <c r="E62" s="239"/>
      <c r="F62" s="239"/>
      <c r="G62" s="239"/>
    </row>
    <row r="63" spans="1:8">
      <c r="A63" s="239"/>
      <c r="B63" s="239"/>
      <c r="C63" s="239"/>
      <c r="D63" s="239"/>
      <c r="E63" s="239"/>
      <c r="F63" s="239"/>
      <c r="G63" s="239"/>
    </row>
    <row r="64" spans="1:8">
      <c r="A64" s="239"/>
      <c r="B64" s="239"/>
      <c r="C64" s="239"/>
      <c r="D64" s="239"/>
      <c r="E64" s="239"/>
      <c r="F64" s="239"/>
      <c r="G64" s="239"/>
    </row>
    <row r="65" spans="1:7">
      <c r="A65" s="239"/>
      <c r="B65" s="239"/>
      <c r="C65" s="239"/>
      <c r="D65" s="239"/>
      <c r="E65" s="239"/>
      <c r="F65" s="239"/>
      <c r="G65" s="239"/>
    </row>
    <row r="66" spans="1:7">
      <c r="A66" s="239"/>
      <c r="B66" s="239"/>
      <c r="C66" s="239"/>
      <c r="D66" s="239"/>
      <c r="E66" s="239"/>
      <c r="F66" s="239"/>
      <c r="G66" s="239"/>
    </row>
    <row r="67" spans="1:7">
      <c r="A67" s="239"/>
      <c r="B67" s="239"/>
      <c r="C67" s="239"/>
      <c r="D67" s="239"/>
      <c r="E67" s="239"/>
      <c r="F67" s="239"/>
      <c r="G67" s="239"/>
    </row>
    <row r="68" spans="1:7">
      <c r="A68" s="239"/>
      <c r="B68" s="239"/>
      <c r="C68" s="239"/>
      <c r="D68" s="239"/>
      <c r="E68" s="239"/>
      <c r="F68" s="239"/>
      <c r="G68" s="239"/>
    </row>
    <row r="69" spans="1:7">
      <c r="A69" s="239"/>
      <c r="B69" s="239"/>
      <c r="C69" s="239"/>
      <c r="D69" s="239"/>
      <c r="E69" s="239"/>
      <c r="F69" s="239"/>
      <c r="G69" s="239"/>
    </row>
    <row r="70" spans="1:7">
      <c r="A70" s="239"/>
      <c r="B70" s="239"/>
      <c r="C70" s="239"/>
      <c r="D70" s="239"/>
      <c r="E70" s="239"/>
      <c r="F70" s="239"/>
      <c r="G70" s="239"/>
    </row>
    <row r="71" spans="1:7">
      <c r="A71" s="239"/>
      <c r="B71" s="239"/>
      <c r="C71" s="239"/>
      <c r="D71" s="239"/>
      <c r="E71" s="239"/>
      <c r="F71" s="239"/>
      <c r="G71" s="239"/>
    </row>
    <row r="72" spans="1:7">
      <c r="A72" s="239"/>
      <c r="B72" s="239"/>
      <c r="C72" s="239"/>
      <c r="D72" s="239"/>
      <c r="E72" s="239"/>
      <c r="F72" s="239"/>
      <c r="G72" s="239"/>
    </row>
    <row r="73" spans="1:7">
      <c r="A73" s="239"/>
      <c r="B73" s="239"/>
      <c r="C73" s="239"/>
      <c r="D73" s="239"/>
      <c r="E73" s="239"/>
      <c r="F73" s="239"/>
      <c r="G73" s="239"/>
    </row>
    <row r="74" spans="1:7">
      <c r="A74" s="239"/>
      <c r="B74" s="239"/>
      <c r="C74" s="239"/>
      <c r="D74" s="239"/>
      <c r="E74" s="239"/>
      <c r="F74" s="239"/>
      <c r="G74" s="239"/>
    </row>
    <row r="75" spans="1:7">
      <c r="A75" s="239"/>
      <c r="B75" s="239"/>
      <c r="C75" s="239"/>
      <c r="D75" s="239"/>
      <c r="E75" s="239"/>
      <c r="F75" s="239"/>
      <c r="G75" s="239"/>
    </row>
    <row r="76" spans="1:7">
      <c r="A76" s="239"/>
      <c r="B76" s="239"/>
      <c r="C76" s="239"/>
      <c r="D76" s="239"/>
      <c r="E76" s="239"/>
      <c r="F76" s="239"/>
      <c r="G76" s="239"/>
    </row>
    <row r="77" spans="1:7">
      <c r="A77" s="239"/>
      <c r="B77" s="239"/>
      <c r="C77" s="239"/>
      <c r="D77" s="239"/>
      <c r="E77" s="239"/>
      <c r="F77" s="239"/>
      <c r="G77" s="239"/>
    </row>
    <row r="78" spans="1:7">
      <c r="A78" s="239"/>
      <c r="B78" s="239"/>
      <c r="C78" s="239"/>
      <c r="D78" s="239"/>
      <c r="E78" s="239"/>
      <c r="F78" s="239"/>
      <c r="G78" s="239"/>
    </row>
    <row r="79" spans="1:7">
      <c r="A79" s="239"/>
      <c r="B79" s="239"/>
      <c r="C79" s="239"/>
      <c r="D79" s="239"/>
      <c r="E79" s="239"/>
      <c r="F79" s="239"/>
      <c r="G79" s="239"/>
    </row>
    <row r="80" spans="1:7">
      <c r="A80" s="239"/>
      <c r="B80" s="239"/>
      <c r="C80" s="239"/>
      <c r="D80" s="239"/>
      <c r="E80" s="239"/>
      <c r="F80" s="239"/>
      <c r="G80" s="239"/>
    </row>
    <row r="81" spans="1:7">
      <c r="A81" s="239"/>
      <c r="B81" s="239"/>
      <c r="C81" s="239"/>
      <c r="D81" s="239"/>
      <c r="E81" s="239"/>
      <c r="F81" s="239"/>
      <c r="G81" s="239"/>
    </row>
    <row r="82" spans="1:7">
      <c r="A82" s="239"/>
      <c r="B82" s="239"/>
      <c r="C82" s="239"/>
      <c r="D82" s="239"/>
      <c r="E82" s="239"/>
      <c r="F82" s="239"/>
      <c r="G82" s="239"/>
    </row>
    <row r="83" spans="1:7">
      <c r="A83" s="239"/>
      <c r="B83" s="239"/>
      <c r="C83" s="239"/>
      <c r="D83" s="239"/>
      <c r="E83" s="239"/>
      <c r="F83" s="239"/>
      <c r="G83" s="239"/>
    </row>
    <row r="94" spans="1:7">
      <c r="D94" s="290"/>
    </row>
    <row r="95" spans="1:7">
      <c r="D95" s="290"/>
    </row>
    <row r="96" spans="1:7">
      <c r="D96" s="290"/>
    </row>
    <row r="97" spans="4:4">
      <c r="D97" s="290"/>
    </row>
    <row r="98" spans="4:4">
      <c r="D98" s="290"/>
    </row>
    <row r="99" spans="4:4">
      <c r="D99" s="290"/>
    </row>
    <row r="100" spans="4:4">
      <c r="D100" s="290"/>
    </row>
    <row r="102" spans="4:4">
      <c r="D102" s="290"/>
    </row>
    <row r="104" spans="4:4">
      <c r="D104" s="291"/>
    </row>
    <row r="106" spans="4:4">
      <c r="D106" s="290"/>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9" orientation="portrait" r:id="rId1"/>
  <headerFooter alignWithMargins="0"/>
</worksheet>
</file>

<file path=xl/worksheets/sheet25.xml><?xml version="1.0" encoding="utf-8"?>
<worksheet xmlns="http://schemas.openxmlformats.org/spreadsheetml/2006/main" xmlns:r="http://schemas.openxmlformats.org/officeDocument/2006/relationships">
  <dimension ref="B1:P110"/>
  <sheetViews>
    <sheetView zoomScaleNormal="100" workbookViewId="0"/>
  </sheetViews>
  <sheetFormatPr defaultRowHeight="12.75"/>
  <cols>
    <col min="1" max="1" width="2.85546875" style="182" customWidth="1"/>
    <col min="2" max="2" width="11.5703125" style="182" customWidth="1"/>
    <col min="3" max="3" width="18.7109375" style="182" customWidth="1"/>
    <col min="4" max="4" width="23.5703125" style="182" customWidth="1"/>
    <col min="5" max="5" width="20.5703125" style="182" customWidth="1"/>
    <col min="6" max="6" width="10.85546875" style="182" customWidth="1"/>
    <col min="7" max="7" width="10.42578125" style="182" customWidth="1"/>
    <col min="8" max="8" width="9.140625" style="182" bestFit="1" customWidth="1"/>
    <col min="9" max="9" width="9.85546875" style="182" customWidth="1"/>
    <col min="10" max="10" width="2.85546875" style="182" customWidth="1"/>
    <col min="11" max="11" width="8.140625" style="182" customWidth="1"/>
    <col min="12" max="12" width="8.42578125" style="182" customWidth="1"/>
    <col min="13" max="14" width="9.140625" style="182"/>
    <col min="15" max="16" width="9" style="182" bestFit="1" customWidth="1"/>
    <col min="17" max="16384" width="9.140625" style="182"/>
  </cols>
  <sheetData>
    <row r="1" spans="2:10" s="179" customFormat="1">
      <c r="B1" s="178" t="s">
        <v>36</v>
      </c>
      <c r="C1" s="178" t="s">
        <v>37</v>
      </c>
      <c r="D1" s="178" t="s">
        <v>29</v>
      </c>
      <c r="E1" s="178" t="s">
        <v>30</v>
      </c>
    </row>
    <row r="2" spans="2:10" ht="38.25">
      <c r="B2" s="180" t="s">
        <v>42</v>
      </c>
      <c r="C2" s="179">
        <v>122</v>
      </c>
      <c r="D2" s="181" t="s">
        <v>201</v>
      </c>
      <c r="E2" s="181" t="s">
        <v>202</v>
      </c>
    </row>
    <row r="3" spans="2:10" ht="15.75">
      <c r="B3" s="183" t="s">
        <v>17</v>
      </c>
      <c r="E3" s="184"/>
    </row>
    <row r="4" spans="2:10">
      <c r="B4" s="185" t="s">
        <v>1</v>
      </c>
      <c r="C4" s="186" t="s">
        <v>21</v>
      </c>
      <c r="D4" s="187"/>
      <c r="E4" s="188"/>
      <c r="F4" s="187"/>
      <c r="G4" s="189" t="s">
        <v>12</v>
      </c>
      <c r="H4" s="190"/>
      <c r="I4" s="190"/>
      <c r="J4" s="191"/>
    </row>
    <row r="5" spans="2:10" ht="25.5">
      <c r="B5" s="192" t="s">
        <v>13</v>
      </c>
      <c r="C5" s="193" t="s">
        <v>22</v>
      </c>
      <c r="D5" s="193" t="s">
        <v>29</v>
      </c>
      <c r="E5" s="194" t="s">
        <v>30</v>
      </c>
      <c r="F5" s="193" t="s">
        <v>23</v>
      </c>
      <c r="G5" s="195" t="s">
        <v>14</v>
      </c>
      <c r="H5" s="196"/>
      <c r="I5" s="196"/>
      <c r="J5" s="191"/>
    </row>
    <row r="6" spans="2:10" ht="38.25">
      <c r="B6" s="197">
        <v>122</v>
      </c>
      <c r="C6" s="198" t="str">
        <f>+E10</f>
        <v>EQIP</v>
      </c>
      <c r="D6" s="199" t="s">
        <v>201</v>
      </c>
      <c r="E6" s="200" t="s">
        <v>202</v>
      </c>
      <c r="F6" s="198" t="s">
        <v>38</v>
      </c>
      <c r="G6" s="201">
        <f>G23</f>
        <v>1144.5</v>
      </c>
      <c r="H6" s="202"/>
      <c r="I6" s="202"/>
      <c r="J6" s="191"/>
    </row>
    <row r="7" spans="2:10" ht="38.25">
      <c r="B7" s="203">
        <v>122</v>
      </c>
      <c r="C7" s="204" t="s">
        <v>15</v>
      </c>
      <c r="D7" s="205" t="s">
        <v>203</v>
      </c>
      <c r="E7" s="206" t="s">
        <v>204</v>
      </c>
      <c r="F7" s="204" t="s">
        <v>38</v>
      </c>
      <c r="G7" s="207">
        <f>$H$23</f>
        <v>1373.4</v>
      </c>
      <c r="H7" s="202"/>
      <c r="I7" s="191"/>
      <c r="J7" s="191"/>
    </row>
    <row r="8" spans="2:10" ht="14.25" customHeight="1">
      <c r="B8" s="208"/>
      <c r="C8" s="209"/>
      <c r="D8" s="209"/>
      <c r="G8" s="191"/>
      <c r="H8" s="191"/>
      <c r="I8" s="191"/>
      <c r="J8" s="191"/>
    </row>
    <row r="9" spans="2:10" ht="15.75">
      <c r="B9" s="183" t="s">
        <v>18</v>
      </c>
      <c r="C9" s="209"/>
      <c r="D9" s="209"/>
      <c r="G9" s="191"/>
      <c r="H9" s="191"/>
      <c r="I9" s="191"/>
      <c r="J9" s="191"/>
    </row>
    <row r="10" spans="2:10">
      <c r="B10" s="210"/>
      <c r="C10" s="211"/>
      <c r="D10" s="212"/>
      <c r="E10" s="213" t="s">
        <v>15</v>
      </c>
      <c r="F10" s="213" t="s">
        <v>31</v>
      </c>
      <c r="G10" s="213"/>
      <c r="H10" s="214"/>
    </row>
    <row r="11" spans="2:10">
      <c r="B11" s="215"/>
      <c r="C11" s="216"/>
      <c r="D11" s="217"/>
      <c r="E11" s="218" t="s">
        <v>22</v>
      </c>
      <c r="F11" s="218" t="s">
        <v>22</v>
      </c>
      <c r="G11" s="218" t="str">
        <f>+E10</f>
        <v>EQIP</v>
      </c>
      <c r="H11" s="219" t="str">
        <f>+F10</f>
        <v>EQIP-HU</v>
      </c>
    </row>
    <row r="12" spans="2:10">
      <c r="B12" s="220"/>
      <c r="C12" s="217"/>
      <c r="D12" s="217"/>
      <c r="E12" s="218" t="s">
        <v>12</v>
      </c>
      <c r="F12" s="218" t="s">
        <v>12</v>
      </c>
      <c r="G12" s="218" t="s">
        <v>12</v>
      </c>
      <c r="H12" s="219" t="s">
        <v>12</v>
      </c>
    </row>
    <row r="13" spans="2:10">
      <c r="B13" s="221" t="s">
        <v>16</v>
      </c>
      <c r="C13" s="217"/>
      <c r="D13" s="222" t="s">
        <v>6</v>
      </c>
      <c r="E13" s="223" t="s">
        <v>24</v>
      </c>
      <c r="F13" s="223" t="s">
        <v>24</v>
      </c>
      <c r="G13" s="223" t="s">
        <v>14</v>
      </c>
      <c r="H13" s="224" t="s">
        <v>14</v>
      </c>
    </row>
    <row r="14" spans="2:10">
      <c r="B14" s="215" t="s">
        <v>0</v>
      </c>
      <c r="C14" s="217"/>
      <c r="D14" s="225">
        <v>0</v>
      </c>
      <c r="E14" s="226">
        <v>0</v>
      </c>
      <c r="F14" s="226">
        <v>0</v>
      </c>
      <c r="G14" s="227">
        <f>+$D14*E14</f>
        <v>0</v>
      </c>
      <c r="H14" s="228">
        <f>+$D14*F14</f>
        <v>0</v>
      </c>
    </row>
    <row r="15" spans="2:10">
      <c r="B15" s="215" t="s">
        <v>2</v>
      </c>
      <c r="C15" s="217"/>
      <c r="D15" s="225">
        <v>0</v>
      </c>
      <c r="E15" s="226">
        <v>0</v>
      </c>
      <c r="F15" s="226">
        <v>0</v>
      </c>
      <c r="G15" s="227">
        <f t="shared" ref="G15:H22" si="0">+$D15*E15</f>
        <v>0</v>
      </c>
      <c r="H15" s="228">
        <f t="shared" si="0"/>
        <v>0</v>
      </c>
    </row>
    <row r="16" spans="2:10">
      <c r="B16" s="215" t="s">
        <v>3</v>
      </c>
      <c r="C16" s="217"/>
      <c r="D16" s="225">
        <f>I49</f>
        <v>1526</v>
      </c>
      <c r="E16" s="226">
        <v>0.75</v>
      </c>
      <c r="F16" s="226">
        <v>0.9</v>
      </c>
      <c r="G16" s="227">
        <f t="shared" si="0"/>
        <v>1144.5</v>
      </c>
      <c r="H16" s="228">
        <f t="shared" si="0"/>
        <v>1373.4</v>
      </c>
    </row>
    <row r="17" spans="2:16">
      <c r="B17" s="215" t="s">
        <v>4</v>
      </c>
      <c r="C17" s="217"/>
      <c r="D17" s="225">
        <v>0</v>
      </c>
      <c r="E17" s="226">
        <v>0</v>
      </c>
      <c r="F17" s="226">
        <v>0</v>
      </c>
      <c r="G17" s="227">
        <f t="shared" si="0"/>
        <v>0</v>
      </c>
      <c r="H17" s="228">
        <f t="shared" si="0"/>
        <v>0</v>
      </c>
    </row>
    <row r="18" spans="2:16">
      <c r="B18" s="215" t="s">
        <v>26</v>
      </c>
      <c r="C18" s="217"/>
      <c r="D18" s="225">
        <v>0</v>
      </c>
      <c r="E18" s="226">
        <v>0</v>
      </c>
      <c r="F18" s="226">
        <v>0</v>
      </c>
      <c r="G18" s="227">
        <f t="shared" si="0"/>
        <v>0</v>
      </c>
      <c r="H18" s="228">
        <f t="shared" si="0"/>
        <v>0</v>
      </c>
    </row>
    <row r="19" spans="2:16">
      <c r="B19" s="215" t="s">
        <v>7</v>
      </c>
      <c r="C19" s="217"/>
      <c r="D19" s="225">
        <f>I63</f>
        <v>0</v>
      </c>
      <c r="E19" s="226">
        <v>0.75</v>
      </c>
      <c r="F19" s="226">
        <v>0.9</v>
      </c>
      <c r="G19" s="227">
        <f t="shared" si="0"/>
        <v>0</v>
      </c>
      <c r="H19" s="228">
        <f t="shared" si="0"/>
        <v>0</v>
      </c>
    </row>
    <row r="20" spans="2:16">
      <c r="B20" s="215" t="s">
        <v>27</v>
      </c>
      <c r="C20" s="217"/>
      <c r="D20" s="225">
        <v>0</v>
      </c>
      <c r="E20" s="226">
        <v>0</v>
      </c>
      <c r="F20" s="226">
        <v>0</v>
      </c>
      <c r="G20" s="227">
        <f t="shared" si="0"/>
        <v>0</v>
      </c>
      <c r="H20" s="228">
        <f t="shared" si="0"/>
        <v>0</v>
      </c>
    </row>
    <row r="21" spans="2:16">
      <c r="B21" s="215" t="s">
        <v>5</v>
      </c>
      <c r="C21" s="217"/>
      <c r="D21" s="225">
        <v>0</v>
      </c>
      <c r="E21" s="226">
        <v>0</v>
      </c>
      <c r="F21" s="226">
        <v>0</v>
      </c>
      <c r="G21" s="227">
        <f t="shared" si="0"/>
        <v>0</v>
      </c>
      <c r="H21" s="228">
        <f t="shared" si="0"/>
        <v>0</v>
      </c>
    </row>
    <row r="22" spans="2:16">
      <c r="B22" s="215" t="s">
        <v>20</v>
      </c>
      <c r="C22" s="217"/>
      <c r="D22" s="225">
        <v>0</v>
      </c>
      <c r="E22" s="226">
        <v>0</v>
      </c>
      <c r="F22" s="226">
        <v>0</v>
      </c>
      <c r="G22" s="229">
        <f t="shared" si="0"/>
        <v>0</v>
      </c>
      <c r="H22" s="230">
        <f t="shared" si="0"/>
        <v>0</v>
      </c>
    </row>
    <row r="23" spans="2:16">
      <c r="B23" s="231" t="s">
        <v>19</v>
      </c>
      <c r="C23" s="232"/>
      <c r="D23" s="233">
        <f>SUM(D14:D22)</f>
        <v>1526</v>
      </c>
      <c r="E23" s="234"/>
      <c r="F23" s="234"/>
      <c r="G23" s="233">
        <f t="shared" ref="G23:H23" si="1">SUM(G14:G22)</f>
        <v>1144.5</v>
      </c>
      <c r="H23" s="235">
        <f t="shared" si="1"/>
        <v>1373.4</v>
      </c>
    </row>
    <row r="24" spans="2:16" s="239" customFormat="1" ht="5.25" customHeight="1">
      <c r="B24" s="236"/>
      <c r="C24" s="236"/>
      <c r="D24" s="237"/>
      <c r="E24" s="238"/>
      <c r="F24" s="238"/>
      <c r="G24" s="238"/>
      <c r="H24" s="238"/>
      <c r="I24" s="238"/>
      <c r="J24" s="238"/>
      <c r="K24" s="237"/>
      <c r="L24" s="237"/>
      <c r="M24" s="237"/>
      <c r="N24" s="237"/>
      <c r="O24" s="237"/>
      <c r="P24" s="237"/>
    </row>
    <row r="25" spans="2:16" ht="5.25" customHeight="1"/>
    <row r="26" spans="2:16" ht="15.75">
      <c r="B26" s="240" t="s">
        <v>28</v>
      </c>
      <c r="I26" s="241"/>
    </row>
    <row r="27" spans="2:16">
      <c r="B27" s="242" t="s">
        <v>32</v>
      </c>
      <c r="C27" s="243"/>
      <c r="D27" s="243"/>
      <c r="E27" s="244"/>
      <c r="F27" s="244"/>
      <c r="G27" s="244"/>
      <c r="H27" s="244"/>
      <c r="I27" s="245"/>
    </row>
    <row r="28" spans="2:16" ht="26.25" customHeight="1">
      <c r="B28" s="246"/>
      <c r="C28" s="247"/>
      <c r="D28" s="1966" t="s">
        <v>205</v>
      </c>
      <c r="E28" s="1967"/>
      <c r="F28" s="1967"/>
      <c r="G28" s="1967"/>
      <c r="H28" s="1967"/>
      <c r="I28" s="248"/>
    </row>
    <row r="29" spans="2:16">
      <c r="B29" s="246"/>
      <c r="C29" s="247"/>
      <c r="D29" s="249"/>
      <c r="E29" s="250"/>
      <c r="F29" s="250"/>
      <c r="G29" s="250"/>
      <c r="H29" s="250"/>
      <c r="I29" s="248"/>
    </row>
    <row r="30" spans="2:16">
      <c r="B30" s="251" t="s">
        <v>41</v>
      </c>
      <c r="C30" s="247"/>
      <c r="D30" s="1964" t="s">
        <v>206</v>
      </c>
      <c r="E30" s="1965"/>
      <c r="F30" s="1965"/>
      <c r="G30" s="1965"/>
      <c r="H30" s="1965"/>
      <c r="I30" s="248"/>
    </row>
    <row r="31" spans="2:16">
      <c r="B31" s="252" t="s">
        <v>40</v>
      </c>
      <c r="C31" s="247"/>
      <c r="D31" s="1964" t="s">
        <v>207</v>
      </c>
      <c r="E31" s="1965"/>
      <c r="F31" s="1965"/>
      <c r="G31" s="1965"/>
      <c r="H31" s="1965"/>
      <c r="I31" s="248"/>
    </row>
    <row r="32" spans="2:16" ht="80.25" customHeight="1">
      <c r="B32" s="252" t="s">
        <v>33</v>
      </c>
      <c r="C32" s="253"/>
      <c r="D32" s="1964" t="s">
        <v>208</v>
      </c>
      <c r="E32" s="1965"/>
      <c r="F32" s="1965"/>
      <c r="G32" s="1965"/>
      <c r="H32" s="1965"/>
      <c r="I32" s="248"/>
    </row>
    <row r="33" spans="2:15" ht="66.75" customHeight="1">
      <c r="B33" s="252" t="s">
        <v>35</v>
      </c>
      <c r="C33" s="253"/>
      <c r="D33" s="1964" t="s">
        <v>209</v>
      </c>
      <c r="E33" s="1965"/>
      <c r="F33" s="1965"/>
      <c r="G33" s="1965"/>
      <c r="H33" s="1965"/>
      <c r="I33" s="248"/>
    </row>
    <row r="34" spans="2:15" ht="36" customHeight="1">
      <c r="B34" s="252" t="s">
        <v>34</v>
      </c>
      <c r="C34" s="253"/>
      <c r="D34" s="1964" t="s">
        <v>210</v>
      </c>
      <c r="E34" s="1965"/>
      <c r="F34" s="1965"/>
      <c r="G34" s="1965"/>
      <c r="H34" s="1965"/>
      <c r="I34" s="248"/>
    </row>
    <row r="35" spans="2:15">
      <c r="B35" s="251"/>
      <c r="C35" s="247"/>
      <c r="D35" s="247"/>
      <c r="E35" s="254"/>
      <c r="F35" s="254"/>
      <c r="G35" s="254"/>
      <c r="H35" s="254"/>
      <c r="I35" s="248"/>
    </row>
    <row r="36" spans="2:15">
      <c r="B36" s="255" t="s">
        <v>25</v>
      </c>
      <c r="C36" s="247"/>
      <c r="D36" s="1968" t="s">
        <v>42</v>
      </c>
      <c r="E36" s="1969"/>
      <c r="F36" s="1969"/>
      <c r="G36" s="1969"/>
      <c r="H36" s="1969"/>
      <c r="I36" s="248"/>
      <c r="J36" s="236"/>
    </row>
    <row r="37" spans="2:15">
      <c r="B37" s="251"/>
      <c r="C37" s="247"/>
      <c r="D37" s="254"/>
      <c r="E37" s="254"/>
      <c r="F37" s="254"/>
      <c r="G37" s="254"/>
      <c r="H37" s="254"/>
      <c r="I37" s="248"/>
    </row>
    <row r="38" spans="2:15">
      <c r="B38" s="255" t="s">
        <v>8</v>
      </c>
      <c r="C38" s="247"/>
      <c r="D38" s="256" t="s">
        <v>38</v>
      </c>
      <c r="E38" s="254"/>
      <c r="F38" s="254"/>
      <c r="G38" s="254"/>
      <c r="H38" s="254"/>
      <c r="I38" s="248"/>
    </row>
    <row r="39" spans="2:15">
      <c r="B39" s="255" t="s">
        <v>9</v>
      </c>
      <c r="C39" s="247"/>
      <c r="D39" s="257">
        <v>1</v>
      </c>
      <c r="E39" s="254"/>
      <c r="F39" s="254"/>
      <c r="G39" s="254"/>
      <c r="H39" s="254"/>
      <c r="I39" s="248"/>
    </row>
    <row r="40" spans="2:15">
      <c r="B40" s="255" t="s">
        <v>10</v>
      </c>
      <c r="C40" s="254"/>
      <c r="D40" s="258">
        <v>0.05</v>
      </c>
      <c r="E40" s="259"/>
      <c r="F40" s="254"/>
      <c r="G40" s="254"/>
      <c r="H40" s="254"/>
      <c r="I40" s="260" t="s">
        <v>6</v>
      </c>
    </row>
    <row r="41" spans="2:15">
      <c r="B41" s="261"/>
      <c r="C41" s="254"/>
      <c r="D41" s="254"/>
      <c r="E41" s="254"/>
      <c r="F41" s="254"/>
      <c r="G41" s="254"/>
      <c r="H41" s="254"/>
      <c r="I41" s="262"/>
      <c r="L41" s="263"/>
      <c r="M41" s="263"/>
      <c r="N41" s="264"/>
      <c r="O41" s="264"/>
    </row>
    <row r="42" spans="2:15">
      <c r="B42" s="246" t="s">
        <v>0</v>
      </c>
      <c r="C42" s="254"/>
      <c r="D42" s="254"/>
      <c r="E42" s="254"/>
      <c r="F42" s="254"/>
      <c r="G42" s="254"/>
      <c r="H42" s="254"/>
      <c r="I42" s="265">
        <v>0</v>
      </c>
      <c r="L42" s="263"/>
      <c r="M42" s="263"/>
      <c r="N42" s="264"/>
      <c r="O42" s="264"/>
    </row>
    <row r="43" spans="2:15" ht="14.25" customHeight="1">
      <c r="B43" s="251" t="s">
        <v>39</v>
      </c>
      <c r="C43" s="254"/>
      <c r="D43" s="266"/>
      <c r="E43" s="254"/>
      <c r="F43" s="254"/>
      <c r="G43" s="254"/>
      <c r="H43" s="254"/>
      <c r="I43" s="265"/>
      <c r="L43" s="263"/>
      <c r="M43" s="264"/>
    </row>
    <row r="44" spans="2:15" ht="6" customHeight="1">
      <c r="B44" s="267"/>
      <c r="C44" s="268"/>
      <c r="D44" s="269"/>
      <c r="E44" s="254"/>
      <c r="F44" s="254"/>
      <c r="G44" s="254"/>
      <c r="H44" s="254"/>
      <c r="I44" s="265"/>
      <c r="L44" s="263"/>
      <c r="M44" s="264"/>
    </row>
    <row r="45" spans="2:15">
      <c r="B45" s="246" t="s">
        <v>2</v>
      </c>
      <c r="C45" s="254"/>
      <c r="D45" s="270"/>
      <c r="E45" s="254"/>
      <c r="F45" s="254"/>
      <c r="G45" s="254"/>
      <c r="H45" s="254"/>
      <c r="I45" s="265">
        <v>0</v>
      </c>
      <c r="L45" s="263"/>
      <c r="M45" s="264"/>
    </row>
    <row r="46" spans="2:15" ht="12.75" customHeight="1">
      <c r="B46" s="1970" t="s">
        <v>39</v>
      </c>
      <c r="C46" s="1967"/>
      <c r="D46" s="1967"/>
      <c r="E46" s="1967"/>
      <c r="F46" s="1967"/>
      <c r="G46" s="1967"/>
      <c r="H46" s="1967"/>
      <c r="I46" s="265"/>
      <c r="L46" s="263"/>
      <c r="M46" s="264"/>
    </row>
    <row r="47" spans="2:15" ht="6" customHeight="1">
      <c r="B47" s="271"/>
      <c r="C47" s="254"/>
      <c r="D47" s="254"/>
      <c r="E47" s="272"/>
      <c r="F47" s="272"/>
      <c r="G47" s="272"/>
      <c r="H47" s="254"/>
      <c r="I47" s="265"/>
      <c r="L47" s="263"/>
      <c r="M47" s="264"/>
    </row>
    <row r="48" spans="2:15" ht="4.5" customHeight="1">
      <c r="B48" s="246"/>
      <c r="C48" s="254"/>
      <c r="D48" s="254"/>
      <c r="E48" s="254"/>
      <c r="F48" s="254"/>
      <c r="G48" s="273"/>
      <c r="H48" s="274"/>
      <c r="I48" s="265"/>
      <c r="L48" s="263"/>
      <c r="M48" s="264"/>
    </row>
    <row r="49" spans="2:15">
      <c r="B49" s="246" t="s">
        <v>3</v>
      </c>
      <c r="C49" s="254"/>
      <c r="D49" s="254"/>
      <c r="E49" s="254"/>
      <c r="F49" s="254"/>
      <c r="G49" s="254"/>
      <c r="H49" s="254"/>
      <c r="I49" s="265">
        <f>$H$56</f>
        <v>1526</v>
      </c>
      <c r="L49" s="263"/>
      <c r="M49" s="264"/>
    </row>
    <row r="50" spans="2:15" ht="24.75" customHeight="1">
      <c r="B50" s="1970" t="s">
        <v>211</v>
      </c>
      <c r="C50" s="1967"/>
      <c r="D50" s="1967"/>
      <c r="E50" s="1967"/>
      <c r="F50" s="1967"/>
      <c r="G50" s="1967"/>
      <c r="H50" s="1967"/>
      <c r="I50" s="265"/>
      <c r="L50" s="263"/>
      <c r="M50" s="264"/>
    </row>
    <row r="51" spans="2:15" ht="12.75" customHeight="1">
      <c r="B51" s="275"/>
      <c r="C51" s="276"/>
      <c r="D51" s="277" t="s">
        <v>212</v>
      </c>
      <c r="E51" s="278" t="s">
        <v>46</v>
      </c>
      <c r="F51" s="278" t="s">
        <v>6</v>
      </c>
      <c r="G51" s="278" t="s">
        <v>47</v>
      </c>
      <c r="H51" s="278" t="s">
        <v>48</v>
      </c>
      <c r="I51" s="265"/>
      <c r="L51" s="263"/>
      <c r="M51" s="264"/>
    </row>
    <row r="52" spans="2:15" ht="12.75" customHeight="1">
      <c r="B52" s="275"/>
      <c r="C52" s="250"/>
      <c r="D52" s="250" t="s">
        <v>213</v>
      </c>
      <c r="E52" s="279" t="s">
        <v>49</v>
      </c>
      <c r="F52" s="280">
        <v>71</v>
      </c>
      <c r="G52" s="250">
        <v>0.5</v>
      </c>
      <c r="H52" s="280">
        <f>F52*G52</f>
        <v>35.5</v>
      </c>
      <c r="I52" s="265"/>
      <c r="L52" s="263"/>
      <c r="M52" s="264"/>
    </row>
    <row r="53" spans="2:15" ht="12.75" customHeight="1">
      <c r="B53" s="275"/>
      <c r="C53" s="250"/>
      <c r="D53" s="250" t="s">
        <v>214</v>
      </c>
      <c r="E53" s="279" t="s">
        <v>49</v>
      </c>
      <c r="F53" s="280">
        <v>87</v>
      </c>
      <c r="G53" s="250">
        <v>4</v>
      </c>
      <c r="H53" s="280">
        <f>F53*G53</f>
        <v>348</v>
      </c>
      <c r="I53" s="265"/>
      <c r="L53" s="263"/>
      <c r="M53" s="264"/>
    </row>
    <row r="54" spans="2:15" ht="12.75" customHeight="1">
      <c r="B54" s="275"/>
      <c r="C54" s="250"/>
      <c r="D54" s="250" t="s">
        <v>215</v>
      </c>
      <c r="E54" s="279" t="s">
        <v>49</v>
      </c>
      <c r="F54" s="280">
        <v>149</v>
      </c>
      <c r="G54" s="250">
        <v>5</v>
      </c>
      <c r="H54" s="280">
        <f>F54*G54</f>
        <v>745</v>
      </c>
      <c r="I54" s="265"/>
      <c r="L54" s="263"/>
      <c r="M54" s="264"/>
    </row>
    <row r="55" spans="2:15" ht="12.75" customHeight="1">
      <c r="B55" s="275"/>
      <c r="C55" s="250"/>
      <c r="D55" s="250" t="s">
        <v>216</v>
      </c>
      <c r="E55" s="279" t="s">
        <v>49</v>
      </c>
      <c r="F55" s="280">
        <v>159</v>
      </c>
      <c r="G55" s="250">
        <v>2.5</v>
      </c>
      <c r="H55" s="280">
        <f>F55*G55</f>
        <v>397.5</v>
      </c>
      <c r="I55" s="265"/>
      <c r="L55" s="263"/>
      <c r="M55" s="264"/>
    </row>
    <row r="56" spans="2:15">
      <c r="B56" s="246" t="s">
        <v>4</v>
      </c>
      <c r="C56" s="254"/>
      <c r="D56" s="254"/>
      <c r="E56" s="254"/>
      <c r="F56" s="254"/>
      <c r="G56" s="254">
        <f>SUM(G52:G55)</f>
        <v>12</v>
      </c>
      <c r="H56" s="281">
        <f>SUM(H52:H55)</f>
        <v>1526</v>
      </c>
      <c r="I56" s="282">
        <v>0</v>
      </c>
      <c r="L56" s="263"/>
      <c r="M56" s="264"/>
    </row>
    <row r="57" spans="2:15" ht="12" customHeight="1">
      <c r="B57" s="251" t="s">
        <v>39</v>
      </c>
      <c r="C57" s="254"/>
      <c r="D57" s="254"/>
      <c r="E57" s="254"/>
      <c r="F57" s="254"/>
      <c r="G57" s="254"/>
      <c r="H57" s="254"/>
      <c r="I57" s="248"/>
      <c r="L57" s="263"/>
      <c r="M57" s="264"/>
    </row>
    <row r="58" spans="2:15" ht="5.25" customHeight="1">
      <c r="B58" s="251"/>
      <c r="C58" s="254"/>
      <c r="D58" s="254"/>
      <c r="E58" s="254"/>
      <c r="F58" s="254"/>
      <c r="G58" s="254"/>
      <c r="H58" s="254"/>
      <c r="I58" s="248"/>
      <c r="L58" s="263"/>
      <c r="M58" s="264"/>
    </row>
    <row r="59" spans="2:15">
      <c r="B59" s="246" t="s">
        <v>26</v>
      </c>
      <c r="C59" s="254"/>
      <c r="D59" s="254"/>
      <c r="E59" s="254"/>
      <c r="F59" s="254"/>
      <c r="G59" s="254"/>
      <c r="H59" s="254"/>
      <c r="I59" s="265">
        <v>0</v>
      </c>
      <c r="L59" s="263"/>
      <c r="M59" s="264"/>
    </row>
    <row r="60" spans="2:15" ht="14.25" customHeight="1">
      <c r="B60" s="1970" t="s">
        <v>39</v>
      </c>
      <c r="C60" s="1971"/>
      <c r="D60" s="1971"/>
      <c r="E60" s="1971"/>
      <c r="F60" s="1971"/>
      <c r="G60" s="1971"/>
      <c r="H60" s="1971"/>
      <c r="I60" s="282"/>
      <c r="L60" s="263"/>
      <c r="M60" s="264"/>
    </row>
    <row r="61" spans="2:15" ht="12" customHeight="1">
      <c r="B61" s="1972"/>
      <c r="C61" s="1934"/>
      <c r="D61" s="1934"/>
      <c r="E61" s="1934"/>
      <c r="F61" s="1934"/>
      <c r="G61" s="1934"/>
      <c r="H61" s="254"/>
      <c r="I61" s="282"/>
      <c r="L61" s="263"/>
      <c r="M61" s="264"/>
    </row>
    <row r="62" spans="2:15" ht="9.75" customHeight="1">
      <c r="B62" s="251"/>
      <c r="C62" s="254"/>
      <c r="D62" s="254"/>
      <c r="E62" s="254"/>
      <c r="F62" s="254"/>
      <c r="G62" s="254"/>
      <c r="H62" s="254"/>
      <c r="I62" s="248"/>
      <c r="L62" s="263"/>
      <c r="M62" s="263"/>
    </row>
    <row r="63" spans="2:15">
      <c r="B63" s="246" t="s">
        <v>7</v>
      </c>
      <c r="C63" s="254"/>
      <c r="D63" s="254"/>
      <c r="E63" s="254"/>
      <c r="F63" s="254"/>
      <c r="G63" s="254"/>
      <c r="H63" s="254"/>
      <c r="I63" s="265">
        <v>0</v>
      </c>
      <c r="L63" s="263"/>
      <c r="M63" s="263"/>
      <c r="N63" s="263"/>
      <c r="O63" s="263"/>
    </row>
    <row r="64" spans="2:15" ht="12" customHeight="1">
      <c r="B64" s="251" t="s">
        <v>39</v>
      </c>
      <c r="C64" s="254"/>
      <c r="D64" s="283"/>
      <c r="E64" s="284"/>
      <c r="F64" s="284"/>
      <c r="G64" s="284"/>
      <c r="H64" s="284"/>
      <c r="I64" s="265"/>
      <c r="L64" s="263"/>
      <c r="M64" s="263"/>
      <c r="N64" s="264"/>
      <c r="O64" s="264"/>
    </row>
    <row r="65" spans="2:15" ht="6" customHeight="1">
      <c r="B65" s="251"/>
      <c r="C65" s="254"/>
      <c r="D65" s="254"/>
      <c r="E65" s="254"/>
      <c r="F65" s="254"/>
      <c r="G65" s="254"/>
      <c r="H65" s="254"/>
      <c r="I65" s="248"/>
      <c r="L65" s="263"/>
      <c r="M65" s="263"/>
      <c r="N65" s="285"/>
      <c r="O65" s="285"/>
    </row>
    <row r="66" spans="2:15">
      <c r="B66" s="246" t="s">
        <v>27</v>
      </c>
      <c r="C66" s="254"/>
      <c r="D66" s="254"/>
      <c r="E66" s="254"/>
      <c r="F66" s="254"/>
      <c r="G66" s="254"/>
      <c r="H66" s="254"/>
      <c r="I66" s="265">
        <v>0</v>
      </c>
      <c r="L66" s="263"/>
      <c r="M66" s="263"/>
      <c r="N66" s="264"/>
      <c r="O66" s="264"/>
    </row>
    <row r="67" spans="2:15" ht="13.5" customHeight="1">
      <c r="B67" s="251" t="s">
        <v>39</v>
      </c>
      <c r="C67" s="254"/>
      <c r="D67" s="254"/>
      <c r="E67" s="254"/>
      <c r="F67" s="254"/>
      <c r="G67" s="254"/>
      <c r="H67" s="254"/>
      <c r="I67" s="286"/>
      <c r="L67" s="263"/>
      <c r="M67" s="263"/>
      <c r="N67" s="285"/>
      <c r="O67" s="285"/>
    </row>
    <row r="68" spans="2:15" ht="3.75" customHeight="1">
      <c r="B68" s="251"/>
      <c r="C68" s="254"/>
      <c r="D68" s="254"/>
      <c r="E68" s="254"/>
      <c r="F68" s="254"/>
      <c r="G68" s="254"/>
      <c r="H68" s="254"/>
      <c r="I68" s="248"/>
      <c r="L68" s="263"/>
      <c r="M68" s="263"/>
      <c r="N68" s="264"/>
      <c r="O68" s="264"/>
    </row>
    <row r="69" spans="2:15">
      <c r="B69" s="246" t="s">
        <v>5</v>
      </c>
      <c r="C69" s="254"/>
      <c r="D69" s="254"/>
      <c r="E69" s="254"/>
      <c r="F69" s="254"/>
      <c r="G69" s="254"/>
      <c r="H69" s="254"/>
      <c r="I69" s="265">
        <v>0</v>
      </c>
      <c r="L69" s="263"/>
      <c r="M69" s="263"/>
      <c r="N69" s="264"/>
      <c r="O69" s="264"/>
    </row>
    <row r="70" spans="2:15" ht="11.25" customHeight="1">
      <c r="B70" s="251" t="s">
        <v>39</v>
      </c>
      <c r="C70" s="254"/>
      <c r="D70" s="254"/>
      <c r="E70" s="254"/>
      <c r="F70" s="254"/>
      <c r="G70" s="254"/>
      <c r="H70" s="254"/>
      <c r="I70" s="286"/>
      <c r="L70" s="263"/>
      <c r="M70" s="263"/>
      <c r="N70" s="263"/>
      <c r="O70" s="263"/>
    </row>
    <row r="71" spans="2:15" ht="4.5" customHeight="1">
      <c r="B71" s="251"/>
      <c r="C71" s="254"/>
      <c r="D71" s="254"/>
      <c r="E71" s="254"/>
      <c r="F71" s="254"/>
      <c r="G71" s="254"/>
      <c r="H71" s="254"/>
      <c r="I71" s="248"/>
      <c r="L71" s="263"/>
      <c r="M71" s="263"/>
      <c r="N71" s="263"/>
      <c r="O71" s="263"/>
    </row>
    <row r="72" spans="2:15">
      <c r="B72" s="246" t="s">
        <v>20</v>
      </c>
      <c r="C72" s="254"/>
      <c r="D72" s="254"/>
      <c r="E72" s="254"/>
      <c r="F72" s="254"/>
      <c r="G72" s="254"/>
      <c r="H72" s="254"/>
      <c r="I72" s="265">
        <v>0</v>
      </c>
      <c r="L72" s="263"/>
      <c r="M72" s="263"/>
      <c r="N72" s="264"/>
      <c r="O72" s="264"/>
    </row>
    <row r="73" spans="2:15" ht="12" customHeight="1">
      <c r="B73" s="251" t="s">
        <v>39</v>
      </c>
      <c r="C73" s="254"/>
      <c r="D73" s="254"/>
      <c r="E73" s="254"/>
      <c r="F73" s="254"/>
      <c r="G73" s="254"/>
      <c r="H73" s="254"/>
      <c r="I73" s="265"/>
      <c r="L73" s="263"/>
      <c r="M73" s="263"/>
      <c r="N73" s="264"/>
      <c r="O73" s="264"/>
    </row>
    <row r="74" spans="2:15" ht="6.75" customHeight="1">
      <c r="B74" s="246"/>
      <c r="C74" s="254"/>
      <c r="D74" s="254"/>
      <c r="E74" s="254"/>
      <c r="F74" s="254"/>
      <c r="G74" s="254"/>
      <c r="H74" s="254"/>
      <c r="I74" s="265"/>
      <c r="L74" s="263"/>
      <c r="M74" s="263"/>
      <c r="N74" s="264"/>
      <c r="O74" s="264"/>
    </row>
    <row r="75" spans="2:15" ht="5.25" customHeight="1">
      <c r="B75" s="261"/>
      <c r="C75" s="254"/>
      <c r="D75" s="254"/>
      <c r="E75" s="254"/>
      <c r="F75" s="254"/>
      <c r="G75" s="254"/>
      <c r="H75" s="254"/>
      <c r="I75" s="248"/>
      <c r="L75" s="263"/>
      <c r="M75" s="263"/>
      <c r="N75" s="263"/>
      <c r="O75" s="263"/>
    </row>
    <row r="76" spans="2:15">
      <c r="B76" s="287" t="s">
        <v>11</v>
      </c>
      <c r="C76" s="288"/>
      <c r="D76" s="288"/>
      <c r="E76" s="288"/>
      <c r="F76" s="288"/>
      <c r="G76" s="288"/>
      <c r="H76" s="288"/>
      <c r="I76" s="289">
        <f>+I72+I69+I66+I63+I59+I56+I49+I45+I42</f>
        <v>1526</v>
      </c>
      <c r="L76" s="263"/>
      <c r="M76" s="263"/>
      <c r="N76" s="263"/>
      <c r="O76" s="263"/>
    </row>
    <row r="99" spans="5:5">
      <c r="E99" s="290"/>
    </row>
    <row r="100" spans="5:5">
      <c r="E100" s="290"/>
    </row>
    <row r="101" spans="5:5">
      <c r="E101" s="290"/>
    </row>
    <row r="102" spans="5:5">
      <c r="E102" s="290"/>
    </row>
    <row r="103" spans="5:5">
      <c r="E103" s="290"/>
    </row>
    <row r="104" spans="5:5">
      <c r="E104" s="290"/>
    </row>
    <row r="106" spans="5:5">
      <c r="E106" s="290"/>
    </row>
    <row r="108" spans="5:5">
      <c r="E108" s="291"/>
    </row>
    <row r="110" spans="5:5">
      <c r="E110" s="290"/>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250.xml><?xml version="1.0" encoding="utf-8"?>
<worksheet xmlns="http://schemas.openxmlformats.org/spreadsheetml/2006/main" xmlns:r="http://schemas.openxmlformats.org/officeDocument/2006/relationships">
  <sheetPr>
    <pageSetUpPr fitToPage="1"/>
  </sheetPr>
  <dimension ref="A1:H106"/>
  <sheetViews>
    <sheetView topLeftCell="A22" zoomScale="75" zoomScaleNormal="75" workbookViewId="0">
      <selection activeCell="G39" sqref="G39"/>
    </sheetView>
  </sheetViews>
  <sheetFormatPr defaultColWidth="9.140625" defaultRowHeight="12.75"/>
  <cols>
    <col min="1" max="1" width="34.5703125" style="182" customWidth="1"/>
    <col min="2" max="2" width="25.42578125" style="182" customWidth="1"/>
    <col min="3" max="3" width="29.42578125" style="182" customWidth="1"/>
    <col min="4" max="4" width="22.85546875" style="182" customWidth="1"/>
    <col min="5" max="5" width="15.140625" style="182" customWidth="1"/>
    <col min="6" max="6" width="11" style="182" customWidth="1"/>
    <col min="7" max="7" width="10.7109375" style="182" bestFit="1" customWidth="1"/>
    <col min="8" max="8" width="11.7109375" style="182" customWidth="1"/>
    <col min="9" max="16384" width="9.140625" style="182"/>
  </cols>
  <sheetData>
    <row r="1" spans="1:7" ht="18.75">
      <c r="A1" s="449" t="s">
        <v>373</v>
      </c>
    </row>
    <row r="3" spans="1:7" ht="15.75">
      <c r="A3" s="450" t="s">
        <v>374</v>
      </c>
      <c r="B3" s="451"/>
      <c r="C3" s="451"/>
    </row>
    <row r="4" spans="1:7" ht="21" customHeight="1">
      <c r="A4" s="452" t="s">
        <v>375</v>
      </c>
      <c r="B4" s="452" t="s">
        <v>376</v>
      </c>
      <c r="C4" s="453" t="s">
        <v>377</v>
      </c>
      <c r="D4" s="239"/>
      <c r="E4" s="239"/>
      <c r="F4" s="239"/>
      <c r="G4" s="239"/>
    </row>
    <row r="5" spans="1:7" ht="21" customHeight="1">
      <c r="A5" s="454" t="s">
        <v>1</v>
      </c>
      <c r="B5" s="454" t="s">
        <v>77</v>
      </c>
      <c r="C5" s="1871" t="s">
        <v>378</v>
      </c>
      <c r="D5" s="1872"/>
      <c r="E5" s="1873"/>
      <c r="F5" s="1874"/>
      <c r="G5" s="1874"/>
    </row>
    <row r="6" spans="1:7" ht="21" customHeight="1">
      <c r="A6" s="454" t="s">
        <v>1</v>
      </c>
      <c r="B6" s="454" t="s">
        <v>379</v>
      </c>
      <c r="C6" s="1875" t="s">
        <v>2431</v>
      </c>
      <c r="D6" s="1872"/>
      <c r="E6" s="1873"/>
      <c r="F6" s="1874"/>
      <c r="G6" s="1874"/>
    </row>
    <row r="7" spans="1:7" ht="21" customHeight="1">
      <c r="A7" s="454" t="s">
        <v>1</v>
      </c>
      <c r="B7" s="454" t="s">
        <v>381</v>
      </c>
      <c r="C7" s="1875">
        <v>10</v>
      </c>
      <c r="D7" s="1872"/>
      <c r="E7" s="1873"/>
      <c r="F7" s="1874"/>
      <c r="G7" s="1874"/>
    </row>
    <row r="8" spans="1:7" ht="21" customHeight="1">
      <c r="A8" s="454" t="s">
        <v>382</v>
      </c>
      <c r="B8" s="454" t="s">
        <v>383</v>
      </c>
      <c r="C8" s="1876" t="s">
        <v>2439</v>
      </c>
      <c r="D8" s="1877"/>
      <c r="E8" s="1873"/>
      <c r="F8" s="1873"/>
      <c r="G8" s="1877"/>
    </row>
    <row r="9" spans="1:7" ht="54" customHeight="1">
      <c r="A9" s="454" t="s">
        <v>382</v>
      </c>
      <c r="B9" s="454" t="s">
        <v>385</v>
      </c>
      <c r="C9" s="2223" t="s">
        <v>2440</v>
      </c>
      <c r="D9" s="2224"/>
      <c r="E9" s="2224"/>
      <c r="F9" s="2224"/>
      <c r="G9" s="2225"/>
    </row>
    <row r="10" spans="1:7" ht="51.75" customHeight="1">
      <c r="A10" s="454" t="s">
        <v>382</v>
      </c>
      <c r="B10" s="454" t="s">
        <v>387</v>
      </c>
      <c r="C10" s="2223" t="s">
        <v>2434</v>
      </c>
      <c r="D10" s="2224"/>
      <c r="E10" s="2224"/>
      <c r="F10" s="2224"/>
      <c r="G10" s="2225"/>
    </row>
    <row r="11" spans="1:7" ht="51.75" customHeight="1">
      <c r="A11" s="454" t="s">
        <v>382</v>
      </c>
      <c r="B11" s="454" t="s">
        <v>389</v>
      </c>
      <c r="C11" s="2223" t="s">
        <v>2435</v>
      </c>
      <c r="D11" s="2224"/>
      <c r="E11" s="2224"/>
      <c r="F11" s="2224"/>
      <c r="G11" s="2225"/>
    </row>
    <row r="12" spans="1:7" ht="51.75" customHeight="1">
      <c r="A12" s="454" t="s">
        <v>382</v>
      </c>
      <c r="B12" s="454" t="s">
        <v>391</v>
      </c>
      <c r="C12" s="2223" t="s">
        <v>2436</v>
      </c>
      <c r="D12" s="2224"/>
      <c r="E12" s="2224"/>
      <c r="F12" s="2224"/>
      <c r="G12" s="2225"/>
    </row>
    <row r="13" spans="1:7" ht="21" customHeight="1">
      <c r="A13" s="454" t="s">
        <v>382</v>
      </c>
      <c r="B13" s="454" t="s">
        <v>393</v>
      </c>
      <c r="C13" s="1871" t="s">
        <v>394</v>
      </c>
      <c r="D13" s="1872"/>
      <c r="E13" s="1873"/>
      <c r="F13" s="1873"/>
      <c r="G13" s="1872"/>
    </row>
    <row r="14" spans="1:7" ht="21" customHeight="1">
      <c r="A14" s="454" t="s">
        <v>382</v>
      </c>
      <c r="B14" s="454" t="s">
        <v>395</v>
      </c>
      <c r="C14" s="1875">
        <v>10</v>
      </c>
      <c r="D14" s="1872"/>
      <c r="E14" s="1873"/>
      <c r="F14" s="1873"/>
      <c r="G14" s="1872"/>
    </row>
    <row r="15" spans="1:7">
      <c r="A15" s="239"/>
      <c r="B15" s="239"/>
      <c r="C15" s="239"/>
      <c r="D15" s="239"/>
      <c r="E15" s="239"/>
      <c r="F15" s="239"/>
      <c r="G15" s="239"/>
    </row>
    <row r="16" spans="1:7" ht="15.75">
      <c r="A16" s="462" t="s">
        <v>396</v>
      </c>
      <c r="B16" s="463"/>
      <c r="C16" s="464"/>
      <c r="D16" s="236"/>
      <c r="E16" s="202"/>
      <c r="F16" s="202"/>
      <c r="G16" s="236"/>
    </row>
    <row r="17" spans="1:8" ht="15">
      <c r="A17" s="452" t="s">
        <v>16</v>
      </c>
      <c r="B17" s="453" t="s">
        <v>397</v>
      </c>
      <c r="C17" s="453" t="s">
        <v>398</v>
      </c>
      <c r="D17" s="236"/>
      <c r="E17" s="202"/>
      <c r="F17" s="202"/>
      <c r="G17" s="236"/>
    </row>
    <row r="18" spans="1:8" ht="15">
      <c r="A18" s="454" t="s">
        <v>0</v>
      </c>
      <c r="B18" s="465">
        <f>SUM(H31:H33)</f>
        <v>123.94999999999999</v>
      </c>
      <c r="C18" s="466">
        <f>B18/C$14</f>
        <v>12.395</v>
      </c>
      <c r="D18" s="236"/>
      <c r="E18" s="202"/>
      <c r="F18" s="202"/>
      <c r="G18" s="236"/>
    </row>
    <row r="19" spans="1:8" ht="15">
      <c r="A19" s="454" t="s">
        <v>2</v>
      </c>
      <c r="B19" s="465">
        <f>SUM(H34:H36)</f>
        <v>458.46000000000004</v>
      </c>
      <c r="C19" s="466">
        <f t="shared" ref="C19:C27" si="0">B19/C$14</f>
        <v>45.846000000000004</v>
      </c>
      <c r="D19" s="236"/>
      <c r="E19" s="202"/>
      <c r="F19" s="202"/>
      <c r="G19" s="236"/>
    </row>
    <row r="20" spans="1:8" ht="15">
      <c r="A20" s="454" t="s">
        <v>3</v>
      </c>
      <c r="B20" s="465">
        <f>SUM(H37:H39)</f>
        <v>2140.8580645161287</v>
      </c>
      <c r="C20" s="466">
        <f t="shared" si="0"/>
        <v>214.08580645161288</v>
      </c>
      <c r="D20" s="236"/>
      <c r="E20" s="202"/>
      <c r="F20" s="202"/>
      <c r="G20" s="236"/>
    </row>
    <row r="21" spans="1:8" ht="15">
      <c r="A21" s="454" t="s">
        <v>4</v>
      </c>
      <c r="B21" s="465">
        <f>H40</f>
        <v>0</v>
      </c>
      <c r="C21" s="466">
        <f t="shared" si="0"/>
        <v>0</v>
      </c>
      <c r="D21" s="236"/>
      <c r="E21" s="202"/>
      <c r="F21" s="202"/>
      <c r="G21" s="236"/>
    </row>
    <row r="22" spans="1:8" ht="15">
      <c r="A22" s="454" t="s">
        <v>26</v>
      </c>
      <c r="B22" s="465">
        <f>H41</f>
        <v>0</v>
      </c>
      <c r="C22" s="466">
        <f t="shared" si="0"/>
        <v>0</v>
      </c>
      <c r="D22" s="236"/>
      <c r="E22" s="202"/>
      <c r="F22" s="202"/>
      <c r="G22" s="236"/>
    </row>
    <row r="23" spans="1:8" ht="15">
      <c r="A23" s="454" t="s">
        <v>7</v>
      </c>
      <c r="B23" s="465">
        <f>SUM(H42:H44)</f>
        <v>0</v>
      </c>
      <c r="C23" s="466">
        <f t="shared" si="0"/>
        <v>0</v>
      </c>
      <c r="D23" s="236"/>
      <c r="E23" s="202"/>
      <c r="F23" s="202"/>
      <c r="G23" s="236"/>
    </row>
    <row r="24" spans="1:8" ht="15">
      <c r="A24" s="454" t="s">
        <v>27</v>
      </c>
      <c r="B24" s="465">
        <f>SUM(H45:H47)</f>
        <v>0</v>
      </c>
      <c r="C24" s="466">
        <f t="shared" si="0"/>
        <v>0</v>
      </c>
      <c r="D24" s="236"/>
      <c r="E24" s="202"/>
      <c r="F24" s="202"/>
      <c r="G24" s="236"/>
    </row>
    <row r="25" spans="1:8" ht="15">
      <c r="A25" s="454" t="s">
        <v>5</v>
      </c>
      <c r="B25" s="465">
        <f>G48</f>
        <v>0</v>
      </c>
      <c r="C25" s="466">
        <f t="shared" si="0"/>
        <v>0</v>
      </c>
      <c r="D25" s="236"/>
      <c r="E25" s="202"/>
      <c r="F25" s="202"/>
      <c r="G25" s="236"/>
    </row>
    <row r="26" spans="1:8" ht="15">
      <c r="A26" s="454" t="s">
        <v>20</v>
      </c>
      <c r="B26" s="465">
        <f>H48</f>
        <v>0</v>
      </c>
      <c r="C26" s="466">
        <f t="shared" si="0"/>
        <v>0</v>
      </c>
      <c r="D26" s="236"/>
      <c r="E26" s="202"/>
      <c r="F26" s="202"/>
      <c r="G26" s="236"/>
    </row>
    <row r="27" spans="1:8" ht="15">
      <c r="A27" s="454" t="s">
        <v>399</v>
      </c>
      <c r="B27" s="465">
        <f>SUM(B18:B26)</f>
        <v>2723.268064516129</v>
      </c>
      <c r="C27" s="466">
        <f t="shared" si="0"/>
        <v>272.32680645161292</v>
      </c>
      <c r="D27" s="236"/>
      <c r="E27" s="202"/>
      <c r="F27" s="202"/>
      <c r="G27" s="236"/>
    </row>
    <row r="28" spans="1:8">
      <c r="A28" s="1878"/>
      <c r="B28" s="891"/>
      <c r="C28" s="891"/>
      <c r="D28" s="236"/>
      <c r="E28" s="236"/>
      <c r="F28" s="236"/>
      <c r="G28" s="236"/>
    </row>
    <row r="29" spans="1:8" ht="15.75">
      <c r="A29" s="468" t="s">
        <v>400</v>
      </c>
      <c r="B29" s="236"/>
      <c r="C29" s="236"/>
      <c r="D29" s="891"/>
      <c r="E29" s="236"/>
      <c r="F29" s="236"/>
      <c r="G29" s="236"/>
    </row>
    <row r="30" spans="1:8" ht="27.75" customHeight="1">
      <c r="A30" s="452" t="s">
        <v>16</v>
      </c>
      <c r="B30" s="469" t="s">
        <v>401</v>
      </c>
      <c r="C30" s="469" t="s">
        <v>402</v>
      </c>
      <c r="D30" s="469" t="s">
        <v>403</v>
      </c>
      <c r="E30" s="469" t="s">
        <v>46</v>
      </c>
      <c r="F30" s="469" t="s">
        <v>404</v>
      </c>
      <c r="G30" s="469" t="s">
        <v>405</v>
      </c>
      <c r="H30" s="469" t="s">
        <v>397</v>
      </c>
    </row>
    <row r="31" spans="1:8" ht="15">
      <c r="A31" s="454" t="s">
        <v>0</v>
      </c>
      <c r="B31" s="1879">
        <v>334</v>
      </c>
      <c r="C31" s="1880" t="s">
        <v>427</v>
      </c>
      <c r="D31" s="1880" t="s">
        <v>428</v>
      </c>
      <c r="E31" s="1880" t="s">
        <v>408</v>
      </c>
      <c r="F31" s="1881">
        <v>12.395</v>
      </c>
      <c r="G31" s="473">
        <v>10</v>
      </c>
      <c r="H31" s="474">
        <f>IF(G31&lt;=0, 0, F31*G31)</f>
        <v>123.94999999999999</v>
      </c>
    </row>
    <row r="32" spans="1:8" ht="15">
      <c r="A32" s="454" t="s">
        <v>0</v>
      </c>
      <c r="B32" s="1882"/>
      <c r="C32" s="1882"/>
      <c r="D32" s="1883"/>
      <c r="E32" s="1883"/>
      <c r="F32" s="1884"/>
      <c r="G32" s="473"/>
      <c r="H32" s="474">
        <f t="shared" ref="H32:H49" si="1">IF(G32&lt;=0, 0, F32*G32)</f>
        <v>0</v>
      </c>
    </row>
    <row r="33" spans="1:8" ht="15">
      <c r="A33" s="454" t="s">
        <v>0</v>
      </c>
      <c r="B33" s="1882"/>
      <c r="C33" s="1882"/>
      <c r="D33" s="1883"/>
      <c r="E33" s="1883"/>
      <c r="F33" s="1884"/>
      <c r="G33" s="473"/>
      <c r="H33" s="474">
        <f t="shared" si="1"/>
        <v>0</v>
      </c>
    </row>
    <row r="34" spans="1:8" ht="15">
      <c r="A34" s="454" t="s">
        <v>2</v>
      </c>
      <c r="B34" s="1882">
        <v>937</v>
      </c>
      <c r="C34" s="1882" t="s">
        <v>429</v>
      </c>
      <c r="D34" s="1883" t="s">
        <v>430</v>
      </c>
      <c r="E34" s="1885" t="s">
        <v>411</v>
      </c>
      <c r="F34" s="1884">
        <v>5.96</v>
      </c>
      <c r="G34" s="486">
        <v>60</v>
      </c>
      <c r="H34" s="474">
        <f t="shared" si="1"/>
        <v>357.6</v>
      </c>
    </row>
    <row r="35" spans="1:8" ht="15">
      <c r="A35" s="454" t="s">
        <v>2</v>
      </c>
      <c r="B35" s="1886">
        <v>964</v>
      </c>
      <c r="C35" s="1887" t="s">
        <v>431</v>
      </c>
      <c r="D35" s="1887" t="s">
        <v>432</v>
      </c>
      <c r="E35" s="1887" t="s">
        <v>411</v>
      </c>
      <c r="F35" s="1888">
        <v>50.43</v>
      </c>
      <c r="G35" s="1889">
        <v>2</v>
      </c>
      <c r="H35" s="474">
        <f t="shared" si="1"/>
        <v>100.86</v>
      </c>
    </row>
    <row r="36" spans="1:8" ht="15">
      <c r="A36" s="454" t="s">
        <v>2</v>
      </c>
      <c r="B36" s="1882"/>
      <c r="C36" s="1882"/>
      <c r="D36" s="1883"/>
      <c r="E36" s="1883"/>
      <c r="F36" s="1884"/>
      <c r="G36" s="486"/>
      <c r="H36" s="474">
        <f t="shared" si="1"/>
        <v>0</v>
      </c>
    </row>
    <row r="37" spans="1:8" ht="15">
      <c r="A37" s="454" t="s">
        <v>3</v>
      </c>
      <c r="B37" s="1882">
        <v>230</v>
      </c>
      <c r="C37" s="1882" t="s">
        <v>414</v>
      </c>
      <c r="D37" s="1883" t="s">
        <v>415</v>
      </c>
      <c r="E37" s="1883" t="s">
        <v>411</v>
      </c>
      <c r="F37" s="1884">
        <v>28.54</v>
      </c>
      <c r="G37" s="486">
        <v>60</v>
      </c>
      <c r="H37" s="474">
        <f t="shared" si="1"/>
        <v>1712.3999999999999</v>
      </c>
    </row>
    <row r="38" spans="1:8" ht="15">
      <c r="A38" s="454" t="s">
        <v>3</v>
      </c>
      <c r="B38" s="1879">
        <v>235</v>
      </c>
      <c r="C38" s="1880" t="s">
        <v>2441</v>
      </c>
      <c r="D38" s="1880" t="s">
        <v>2442</v>
      </c>
      <c r="E38" s="1880" t="s">
        <v>411</v>
      </c>
      <c r="F38" s="1881">
        <v>71.409677419354793</v>
      </c>
      <c r="G38" s="486">
        <v>6</v>
      </c>
      <c r="H38" s="474">
        <f t="shared" si="1"/>
        <v>428.45806451612873</v>
      </c>
    </row>
    <row r="39" spans="1:8" ht="15">
      <c r="A39" s="454" t="s">
        <v>3</v>
      </c>
      <c r="B39" s="1890"/>
      <c r="C39" s="1891"/>
      <c r="D39" s="1891"/>
      <c r="E39" s="1891"/>
      <c r="F39" s="1892"/>
      <c r="G39" s="1889"/>
      <c r="H39" s="474">
        <f t="shared" si="1"/>
        <v>0</v>
      </c>
    </row>
    <row r="40" spans="1:8" ht="15">
      <c r="A40" s="454" t="s">
        <v>4</v>
      </c>
      <c r="B40" s="1882"/>
      <c r="C40" s="1882"/>
      <c r="D40" s="1883"/>
      <c r="E40" s="1883"/>
      <c r="F40" s="1897"/>
      <c r="G40" s="486"/>
      <c r="H40" s="474">
        <f t="shared" si="1"/>
        <v>0</v>
      </c>
    </row>
    <row r="41" spans="1:8" ht="16.5" customHeight="1">
      <c r="A41" s="454" t="s">
        <v>2437</v>
      </c>
      <c r="B41" s="1882"/>
      <c r="C41" s="1882"/>
      <c r="D41" s="1883" t="s">
        <v>2438</v>
      </c>
      <c r="E41" s="1883"/>
      <c r="F41" s="1897"/>
      <c r="G41" s="486"/>
      <c r="H41" s="474">
        <f t="shared" si="1"/>
        <v>0</v>
      </c>
    </row>
    <row r="42" spans="1:8" ht="15">
      <c r="A42" s="454" t="s">
        <v>7</v>
      </c>
      <c r="B42" s="1882"/>
      <c r="C42" s="1882"/>
      <c r="D42" s="1883"/>
      <c r="E42" s="1883"/>
      <c r="F42" s="1884"/>
      <c r="G42" s="473"/>
      <c r="H42" s="474">
        <f t="shared" si="1"/>
        <v>0</v>
      </c>
    </row>
    <row r="43" spans="1:8" ht="15">
      <c r="A43" s="454" t="s">
        <v>7</v>
      </c>
      <c r="B43" s="1882"/>
      <c r="C43" s="1882"/>
      <c r="D43" s="1883"/>
      <c r="E43" s="1883"/>
      <c r="F43" s="1884"/>
      <c r="G43" s="473"/>
      <c r="H43" s="474">
        <f t="shared" si="1"/>
        <v>0</v>
      </c>
    </row>
    <row r="44" spans="1:8" ht="15">
      <c r="A44" s="454" t="s">
        <v>7</v>
      </c>
      <c r="B44" s="1882"/>
      <c r="C44" s="1882"/>
      <c r="D44" s="1883"/>
      <c r="E44" s="1883"/>
      <c r="F44" s="1884"/>
      <c r="G44" s="473"/>
      <c r="H44" s="474">
        <f t="shared" si="1"/>
        <v>0</v>
      </c>
    </row>
    <row r="45" spans="1:8" ht="15">
      <c r="A45" s="454" t="s">
        <v>421</v>
      </c>
      <c r="B45" s="1882"/>
      <c r="C45" s="1882"/>
      <c r="D45" s="1883"/>
      <c r="E45" s="1883"/>
      <c r="F45" s="1884"/>
      <c r="G45" s="473"/>
      <c r="H45" s="474">
        <f t="shared" si="1"/>
        <v>0</v>
      </c>
    </row>
    <row r="46" spans="1:8" ht="15">
      <c r="A46" s="454" t="s">
        <v>421</v>
      </c>
      <c r="B46" s="1882"/>
      <c r="C46" s="1882"/>
      <c r="D46" s="1883"/>
      <c r="E46" s="1883"/>
      <c r="F46" s="1884"/>
      <c r="G46" s="473"/>
      <c r="H46" s="474">
        <f t="shared" si="1"/>
        <v>0</v>
      </c>
    </row>
    <row r="47" spans="1:8" ht="15">
      <c r="A47" s="454" t="s">
        <v>421</v>
      </c>
      <c r="B47" s="1882"/>
      <c r="C47" s="1882"/>
      <c r="D47" s="1883"/>
      <c r="E47" s="1883"/>
      <c r="F47" s="1884"/>
      <c r="G47" s="473"/>
      <c r="H47" s="474">
        <f t="shared" si="1"/>
        <v>0</v>
      </c>
    </row>
    <row r="48" spans="1:8" ht="15">
      <c r="A48" s="454" t="s">
        <v>5</v>
      </c>
      <c r="B48" s="1882"/>
      <c r="C48" s="1882"/>
      <c r="D48" s="1883"/>
      <c r="E48" s="1883"/>
      <c r="F48" s="1884"/>
      <c r="G48" s="473"/>
      <c r="H48" s="474">
        <f t="shared" si="1"/>
        <v>0</v>
      </c>
    </row>
    <row r="49" spans="1:8" ht="15">
      <c r="A49" s="454" t="s">
        <v>20</v>
      </c>
      <c r="B49" s="1882"/>
      <c r="C49" s="1882"/>
      <c r="D49" s="1883"/>
      <c r="E49" s="1883"/>
      <c r="F49" s="1884"/>
      <c r="G49" s="473"/>
      <c r="H49" s="474">
        <f t="shared" si="1"/>
        <v>0</v>
      </c>
    </row>
    <row r="50" spans="1:8">
      <c r="A50" s="239"/>
      <c r="B50" s="239"/>
      <c r="C50" s="239"/>
      <c r="D50" s="239"/>
      <c r="E50" s="239"/>
      <c r="F50" s="239"/>
      <c r="G50" s="239"/>
    </row>
    <row r="51" spans="1:8">
      <c r="A51" s="239"/>
      <c r="B51" s="239"/>
      <c r="C51" s="239"/>
      <c r="D51" s="239"/>
      <c r="E51" s="239"/>
      <c r="F51" s="239"/>
      <c r="G51" s="239"/>
    </row>
    <row r="52" spans="1:8">
      <c r="A52" s="239"/>
      <c r="B52" s="239"/>
      <c r="C52" s="239"/>
      <c r="D52" s="239"/>
      <c r="E52" s="239"/>
      <c r="F52" s="239"/>
      <c r="G52" s="239"/>
    </row>
    <row r="53" spans="1:8">
      <c r="A53" s="239"/>
      <c r="B53" s="239"/>
      <c r="C53" s="239"/>
      <c r="D53" s="239"/>
      <c r="E53" s="239"/>
      <c r="F53" s="239"/>
      <c r="G53" s="239"/>
    </row>
    <row r="54" spans="1:8">
      <c r="A54" s="239"/>
      <c r="B54" s="239"/>
      <c r="C54" s="239"/>
      <c r="D54" s="239"/>
      <c r="E54" s="239"/>
      <c r="F54" s="239"/>
      <c r="G54" s="239"/>
    </row>
    <row r="55" spans="1:8">
      <c r="A55" s="239"/>
      <c r="B55" s="239"/>
      <c r="C55" s="239"/>
      <c r="D55" s="239"/>
      <c r="E55" s="239"/>
      <c r="F55" s="239"/>
      <c r="G55" s="239"/>
    </row>
    <row r="56" spans="1:8">
      <c r="A56" s="239"/>
      <c r="B56" s="239"/>
      <c r="C56" s="239"/>
      <c r="D56" s="239"/>
      <c r="E56" s="239"/>
      <c r="F56" s="239"/>
      <c r="G56" s="239"/>
    </row>
    <row r="57" spans="1:8">
      <c r="A57" s="239"/>
      <c r="B57" s="239"/>
      <c r="C57" s="239"/>
      <c r="D57" s="239"/>
      <c r="E57" s="239"/>
      <c r="F57" s="239"/>
      <c r="G57" s="239"/>
    </row>
    <row r="58" spans="1:8">
      <c r="A58" s="239"/>
      <c r="B58" s="239"/>
      <c r="C58" s="239"/>
      <c r="D58" s="239"/>
      <c r="E58" s="239"/>
      <c r="F58" s="239"/>
      <c r="G58" s="239"/>
    </row>
    <row r="59" spans="1:8">
      <c r="A59" s="239"/>
      <c r="B59" s="239"/>
      <c r="C59" s="239"/>
      <c r="D59" s="239"/>
      <c r="E59" s="239"/>
      <c r="F59" s="239"/>
      <c r="G59" s="239"/>
    </row>
    <row r="60" spans="1:8">
      <c r="A60" s="239"/>
      <c r="B60" s="239"/>
      <c r="C60" s="239"/>
      <c r="D60" s="239"/>
      <c r="E60" s="239"/>
      <c r="F60" s="239"/>
      <c r="G60" s="239"/>
    </row>
    <row r="61" spans="1:8">
      <c r="A61" s="239"/>
      <c r="B61" s="239"/>
      <c r="C61" s="239"/>
      <c r="D61" s="239"/>
      <c r="E61" s="239"/>
      <c r="F61" s="239"/>
      <c r="G61" s="239"/>
    </row>
    <row r="62" spans="1:8">
      <c r="A62" s="239"/>
      <c r="B62" s="239"/>
      <c r="C62" s="239"/>
      <c r="D62" s="239"/>
      <c r="E62" s="239"/>
      <c r="F62" s="239"/>
      <c r="G62" s="239"/>
    </row>
    <row r="63" spans="1:8">
      <c r="A63" s="239"/>
      <c r="B63" s="239"/>
      <c r="C63" s="239"/>
      <c r="D63" s="239"/>
      <c r="E63" s="239"/>
      <c r="F63" s="239"/>
      <c r="G63" s="239"/>
    </row>
    <row r="64" spans="1:8">
      <c r="A64" s="239"/>
      <c r="B64" s="239"/>
      <c r="C64" s="239"/>
      <c r="D64" s="239"/>
      <c r="E64" s="239"/>
      <c r="F64" s="239"/>
      <c r="G64" s="239"/>
    </row>
    <row r="65" spans="1:7">
      <c r="A65" s="239"/>
      <c r="B65" s="239"/>
      <c r="C65" s="239"/>
      <c r="D65" s="239"/>
      <c r="E65" s="239"/>
      <c r="F65" s="239"/>
      <c r="G65" s="239"/>
    </row>
    <row r="66" spans="1:7">
      <c r="A66" s="239"/>
      <c r="B66" s="239"/>
      <c r="C66" s="239"/>
      <c r="D66" s="239"/>
      <c r="E66" s="239"/>
      <c r="F66" s="239"/>
      <c r="G66" s="239"/>
    </row>
    <row r="67" spans="1:7">
      <c r="A67" s="239"/>
      <c r="B67" s="239"/>
      <c r="C67" s="239"/>
      <c r="D67" s="239"/>
      <c r="E67" s="239"/>
      <c r="F67" s="239"/>
      <c r="G67" s="239"/>
    </row>
    <row r="68" spans="1:7">
      <c r="A68" s="239"/>
      <c r="B68" s="239"/>
      <c r="C68" s="239"/>
      <c r="D68" s="239"/>
      <c r="E68" s="239"/>
      <c r="F68" s="239"/>
      <c r="G68" s="239"/>
    </row>
    <row r="69" spans="1:7">
      <c r="A69" s="239"/>
      <c r="B69" s="239"/>
      <c r="C69" s="239"/>
      <c r="D69" s="239"/>
      <c r="E69" s="239"/>
      <c r="F69" s="239"/>
      <c r="G69" s="239"/>
    </row>
    <row r="70" spans="1:7">
      <c r="A70" s="239"/>
      <c r="B70" s="239"/>
      <c r="C70" s="239"/>
      <c r="D70" s="239"/>
      <c r="E70" s="239"/>
      <c r="F70" s="239"/>
      <c r="G70" s="239"/>
    </row>
    <row r="71" spans="1:7">
      <c r="A71" s="239"/>
      <c r="B71" s="239"/>
      <c r="C71" s="239"/>
      <c r="D71" s="239"/>
      <c r="E71" s="239"/>
      <c r="F71" s="239"/>
      <c r="G71" s="239"/>
    </row>
    <row r="72" spans="1:7">
      <c r="A72" s="239"/>
      <c r="B72" s="239"/>
      <c r="C72" s="239"/>
      <c r="D72" s="239"/>
      <c r="E72" s="239"/>
      <c r="F72" s="239"/>
      <c r="G72" s="239"/>
    </row>
    <row r="73" spans="1:7">
      <c r="A73" s="239"/>
      <c r="B73" s="239"/>
      <c r="C73" s="239"/>
      <c r="D73" s="239"/>
      <c r="E73" s="239"/>
      <c r="F73" s="239"/>
      <c r="G73" s="239"/>
    </row>
    <row r="74" spans="1:7">
      <c r="A74" s="239"/>
      <c r="B74" s="239"/>
      <c r="C74" s="239"/>
      <c r="D74" s="239"/>
      <c r="E74" s="239"/>
      <c r="F74" s="239"/>
      <c r="G74" s="239"/>
    </row>
    <row r="75" spans="1:7">
      <c r="A75" s="239"/>
      <c r="B75" s="239"/>
      <c r="C75" s="239"/>
      <c r="D75" s="239"/>
      <c r="E75" s="239"/>
      <c r="F75" s="239"/>
      <c r="G75" s="239"/>
    </row>
    <row r="76" spans="1:7">
      <c r="A76" s="239"/>
      <c r="B76" s="239"/>
      <c r="C76" s="239"/>
      <c r="D76" s="239"/>
      <c r="E76" s="239"/>
      <c r="F76" s="239"/>
      <c r="G76" s="239"/>
    </row>
    <row r="77" spans="1:7">
      <c r="A77" s="239"/>
      <c r="B77" s="239"/>
      <c r="C77" s="239"/>
      <c r="D77" s="239"/>
      <c r="E77" s="239"/>
      <c r="F77" s="239"/>
      <c r="G77" s="239"/>
    </row>
    <row r="78" spans="1:7">
      <c r="A78" s="239"/>
      <c r="B78" s="239"/>
      <c r="C78" s="239"/>
      <c r="D78" s="239"/>
      <c r="E78" s="239"/>
      <c r="F78" s="239"/>
      <c r="G78" s="239"/>
    </row>
    <row r="79" spans="1:7">
      <c r="A79" s="239"/>
      <c r="B79" s="239"/>
      <c r="C79" s="239"/>
      <c r="D79" s="239"/>
      <c r="E79" s="239"/>
      <c r="F79" s="239"/>
      <c r="G79" s="239"/>
    </row>
    <row r="80" spans="1:7">
      <c r="A80" s="239"/>
      <c r="B80" s="239"/>
      <c r="C80" s="239"/>
      <c r="D80" s="239"/>
      <c r="E80" s="239"/>
      <c r="F80" s="239"/>
      <c r="G80" s="239"/>
    </row>
    <row r="81" spans="1:7">
      <c r="A81" s="239"/>
      <c r="B81" s="239"/>
      <c r="C81" s="239"/>
      <c r="D81" s="239"/>
      <c r="E81" s="239"/>
      <c r="F81" s="239"/>
      <c r="G81" s="239"/>
    </row>
    <row r="82" spans="1:7">
      <c r="A82" s="239"/>
      <c r="B82" s="239"/>
      <c r="C82" s="239"/>
      <c r="D82" s="239"/>
      <c r="E82" s="239"/>
      <c r="F82" s="239"/>
      <c r="G82" s="239"/>
    </row>
    <row r="83" spans="1:7">
      <c r="A83" s="239"/>
      <c r="B83" s="239"/>
      <c r="C83" s="239"/>
      <c r="D83" s="239"/>
      <c r="E83" s="239"/>
      <c r="F83" s="239"/>
      <c r="G83" s="239"/>
    </row>
    <row r="94" spans="1:7">
      <c r="D94" s="290"/>
    </row>
    <row r="95" spans="1:7">
      <c r="D95" s="290"/>
    </row>
    <row r="96" spans="1:7">
      <c r="D96" s="290"/>
    </row>
    <row r="97" spans="4:4">
      <c r="D97" s="290"/>
    </row>
    <row r="98" spans="4:4">
      <c r="D98" s="290"/>
    </row>
    <row r="99" spans="4:4">
      <c r="D99" s="290"/>
    </row>
    <row r="100" spans="4:4">
      <c r="D100" s="290"/>
    </row>
    <row r="102" spans="4:4">
      <c r="D102" s="290"/>
    </row>
    <row r="104" spans="4:4">
      <c r="D104" s="291"/>
    </row>
    <row r="106" spans="4:4">
      <c r="D106" s="290"/>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9" orientation="portrait" r:id="rId1"/>
  <headerFooter alignWithMargins="0"/>
</worksheet>
</file>

<file path=xl/worksheets/sheet251.xml><?xml version="1.0" encoding="utf-8"?>
<worksheet xmlns="http://schemas.openxmlformats.org/spreadsheetml/2006/main" xmlns:r="http://schemas.openxmlformats.org/officeDocument/2006/relationships">
  <dimension ref="A1:H106"/>
  <sheetViews>
    <sheetView zoomScale="75" zoomScaleNormal="75" workbookViewId="0">
      <selection activeCell="F18" sqref="F18"/>
    </sheetView>
  </sheetViews>
  <sheetFormatPr defaultColWidth="9.140625" defaultRowHeight="12.75"/>
  <cols>
    <col min="1" max="1" width="34.5703125" style="182" customWidth="1"/>
    <col min="2" max="2" width="25.42578125" style="182" customWidth="1"/>
    <col min="3" max="3" width="29.42578125" style="182" customWidth="1"/>
    <col min="4" max="4" width="17.5703125" style="182" customWidth="1"/>
    <col min="5" max="5" width="15.140625" style="182" customWidth="1"/>
    <col min="6" max="6" width="11" style="182" customWidth="1"/>
    <col min="7" max="7" width="10.7109375" style="182" bestFit="1" customWidth="1"/>
    <col min="8" max="8" width="12" style="182" customWidth="1"/>
    <col min="9" max="16384" width="9.140625" style="182"/>
  </cols>
  <sheetData>
    <row r="1" spans="1:8" ht="18.75">
      <c r="A1" s="449" t="s">
        <v>373</v>
      </c>
    </row>
    <row r="3" spans="1:8" ht="15.75">
      <c r="A3" s="450" t="s">
        <v>374</v>
      </c>
      <c r="B3" s="451"/>
      <c r="C3" s="451"/>
    </row>
    <row r="4" spans="1:8" ht="21" customHeight="1">
      <c r="A4" s="452" t="s">
        <v>375</v>
      </c>
      <c r="B4" s="452" t="s">
        <v>376</v>
      </c>
      <c r="C4" s="453" t="s">
        <v>377</v>
      </c>
      <c r="D4" s="239"/>
      <c r="E4" s="239"/>
      <c r="F4" s="239"/>
      <c r="G4" s="239"/>
    </row>
    <row r="5" spans="1:8" ht="21" customHeight="1">
      <c r="A5" s="454" t="s">
        <v>1</v>
      </c>
      <c r="B5" s="454" t="s">
        <v>77</v>
      </c>
      <c r="C5" s="1871" t="s">
        <v>378</v>
      </c>
      <c r="D5" s="1872"/>
      <c r="E5" s="1873"/>
      <c r="F5" s="1874"/>
      <c r="G5" s="1874"/>
    </row>
    <row r="6" spans="1:8" ht="21" customHeight="1">
      <c r="A6" s="454" t="s">
        <v>1</v>
      </c>
      <c r="B6" s="454" t="s">
        <v>379</v>
      </c>
      <c r="C6" s="1875" t="s">
        <v>2431</v>
      </c>
      <c r="D6" s="1872"/>
      <c r="E6" s="1873"/>
      <c r="F6" s="1874"/>
      <c r="G6" s="1874"/>
    </row>
    <row r="7" spans="1:8" ht="21" customHeight="1">
      <c r="A7" s="454" t="s">
        <v>1</v>
      </c>
      <c r="B7" s="454" t="s">
        <v>381</v>
      </c>
      <c r="C7" s="1875">
        <v>10</v>
      </c>
      <c r="D7" s="1872"/>
      <c r="E7" s="1873"/>
      <c r="F7" s="1874"/>
      <c r="G7" s="1874"/>
    </row>
    <row r="8" spans="1:8" ht="21" customHeight="1">
      <c r="A8" s="454" t="s">
        <v>382</v>
      </c>
      <c r="B8" s="454" t="s">
        <v>383</v>
      </c>
      <c r="C8" s="1876" t="s">
        <v>2443</v>
      </c>
      <c r="D8" s="1877"/>
      <c r="E8" s="1873"/>
      <c r="F8" s="1873"/>
      <c r="G8" s="1877"/>
    </row>
    <row r="9" spans="1:8" ht="118.5" customHeight="1">
      <c r="A9" s="454" t="s">
        <v>382</v>
      </c>
      <c r="B9" s="454" t="s">
        <v>385</v>
      </c>
      <c r="C9" s="2226" t="s">
        <v>2444</v>
      </c>
      <c r="D9" s="2227"/>
      <c r="E9" s="2227"/>
      <c r="F9" s="2227"/>
      <c r="G9" s="2228"/>
      <c r="H9" s="182" t="s">
        <v>627</v>
      </c>
    </row>
    <row r="10" spans="1:8" ht="51.75" customHeight="1">
      <c r="A10" s="454" t="s">
        <v>382</v>
      </c>
      <c r="B10" s="454" t="s">
        <v>387</v>
      </c>
      <c r="C10" s="2226" t="s">
        <v>2445</v>
      </c>
      <c r="D10" s="2227"/>
      <c r="E10" s="2227"/>
      <c r="F10" s="2227"/>
      <c r="G10" s="2228"/>
    </row>
    <row r="11" spans="1:8" ht="51.75" customHeight="1">
      <c r="A11" s="454" t="s">
        <v>382</v>
      </c>
      <c r="B11" s="454" t="s">
        <v>389</v>
      </c>
      <c r="C11" s="2226" t="s">
        <v>2446</v>
      </c>
      <c r="D11" s="2227"/>
      <c r="E11" s="2227"/>
      <c r="F11" s="2227"/>
      <c r="G11" s="2228"/>
    </row>
    <row r="12" spans="1:8" ht="51.75" customHeight="1">
      <c r="A12" s="454" t="s">
        <v>382</v>
      </c>
      <c r="B12" s="454" t="s">
        <v>391</v>
      </c>
      <c r="C12" s="2223" t="s">
        <v>2447</v>
      </c>
      <c r="D12" s="2224"/>
      <c r="E12" s="2224"/>
      <c r="F12" s="2224"/>
      <c r="G12" s="2225"/>
    </row>
    <row r="13" spans="1:8" ht="21" customHeight="1">
      <c r="A13" s="454" t="s">
        <v>382</v>
      </c>
      <c r="B13" s="454" t="s">
        <v>393</v>
      </c>
      <c r="C13" s="1871" t="s">
        <v>394</v>
      </c>
      <c r="D13" s="1872"/>
      <c r="E13" s="1873"/>
      <c r="F13" s="1873"/>
      <c r="G13" s="1872"/>
    </row>
    <row r="14" spans="1:8" ht="21" customHeight="1">
      <c r="A14" s="454" t="s">
        <v>382</v>
      </c>
      <c r="B14" s="454" t="s">
        <v>395</v>
      </c>
      <c r="C14" s="1875">
        <v>20</v>
      </c>
      <c r="D14" s="1872"/>
      <c r="E14" s="1873"/>
      <c r="F14" s="1873"/>
      <c r="G14" s="1872"/>
    </row>
    <row r="15" spans="1:8">
      <c r="A15" s="239"/>
      <c r="B15" s="239"/>
      <c r="C15" s="239"/>
      <c r="D15" s="239"/>
      <c r="E15" s="239"/>
      <c r="F15" s="239"/>
      <c r="G15" s="239"/>
    </row>
    <row r="16" spans="1:8" ht="15.75">
      <c r="A16" s="462" t="s">
        <v>396</v>
      </c>
      <c r="B16" s="463"/>
      <c r="C16" s="464"/>
      <c r="D16" s="236"/>
      <c r="E16" s="202"/>
      <c r="F16" s="202"/>
      <c r="G16" s="236"/>
    </row>
    <row r="17" spans="1:8" ht="15">
      <c r="A17" s="452" t="s">
        <v>16</v>
      </c>
      <c r="B17" s="453" t="s">
        <v>397</v>
      </c>
      <c r="C17" s="453" t="s">
        <v>398</v>
      </c>
      <c r="D17" s="236"/>
      <c r="E17" s="202"/>
      <c r="F17" s="202"/>
      <c r="G17" s="236"/>
    </row>
    <row r="18" spans="1:8" ht="15">
      <c r="A18" s="454" t="s">
        <v>0</v>
      </c>
      <c r="B18" s="465">
        <f>SUM(H31:H33)</f>
        <v>247.89999999999998</v>
      </c>
      <c r="C18" s="466">
        <f>B18/C$14</f>
        <v>12.395</v>
      </c>
      <c r="D18" s="236"/>
      <c r="E18" s="202"/>
      <c r="F18" s="202"/>
      <c r="G18" s="236"/>
    </row>
    <row r="19" spans="1:8" ht="15">
      <c r="A19" s="454" t="s">
        <v>2</v>
      </c>
      <c r="B19" s="465">
        <f>SUM(H34:H36)</f>
        <v>2466.5</v>
      </c>
      <c r="C19" s="466">
        <f t="shared" ref="C19:C27" si="0">B19/C$14</f>
        <v>123.325</v>
      </c>
      <c r="D19" s="236"/>
      <c r="E19" s="202"/>
      <c r="F19" s="202"/>
      <c r="G19" s="236"/>
    </row>
    <row r="20" spans="1:8" ht="15">
      <c r="A20" s="454" t="s">
        <v>3</v>
      </c>
      <c r="B20" s="465">
        <f>SUM(H37:H39)</f>
        <v>4566.3999999999996</v>
      </c>
      <c r="C20" s="466">
        <f t="shared" si="0"/>
        <v>228.32</v>
      </c>
      <c r="D20" s="236"/>
      <c r="E20" s="202"/>
      <c r="F20" s="202"/>
      <c r="G20" s="236"/>
    </row>
    <row r="21" spans="1:8" ht="15">
      <c r="A21" s="454" t="s">
        <v>4</v>
      </c>
      <c r="B21" s="465">
        <f>H40</f>
        <v>0</v>
      </c>
      <c r="C21" s="466">
        <f t="shared" si="0"/>
        <v>0</v>
      </c>
      <c r="D21" s="236"/>
      <c r="E21" s="202"/>
      <c r="F21" s="202"/>
      <c r="G21" s="236"/>
    </row>
    <row r="22" spans="1:8" ht="15">
      <c r="A22" s="454" t="s">
        <v>26</v>
      </c>
      <c r="B22" s="465">
        <f>H41</f>
        <v>0</v>
      </c>
      <c r="C22" s="466">
        <f t="shared" si="0"/>
        <v>0</v>
      </c>
      <c r="D22" s="236"/>
      <c r="E22" s="202"/>
      <c r="F22" s="202"/>
      <c r="G22" s="236"/>
    </row>
    <row r="23" spans="1:8" ht="15">
      <c r="A23" s="454" t="s">
        <v>7</v>
      </c>
      <c r="B23" s="465">
        <f>SUM(H42:H44)</f>
        <v>0</v>
      </c>
      <c r="C23" s="466">
        <f t="shared" si="0"/>
        <v>0</v>
      </c>
      <c r="D23" s="236"/>
      <c r="E23" s="202"/>
      <c r="F23" s="202"/>
      <c r="G23" s="236"/>
    </row>
    <row r="24" spans="1:8" ht="15">
      <c r="A24" s="454" t="s">
        <v>27</v>
      </c>
      <c r="B24" s="465">
        <f>SUM(H45:H47)</f>
        <v>0</v>
      </c>
      <c r="C24" s="466">
        <f t="shared" si="0"/>
        <v>0</v>
      </c>
      <c r="D24" s="236"/>
      <c r="E24" s="202"/>
      <c r="F24" s="202"/>
      <c r="G24" s="236"/>
    </row>
    <row r="25" spans="1:8" ht="15">
      <c r="A25" s="454" t="s">
        <v>5</v>
      </c>
      <c r="B25" s="465">
        <f>G48</f>
        <v>0</v>
      </c>
      <c r="C25" s="466">
        <f t="shared" si="0"/>
        <v>0</v>
      </c>
      <c r="D25" s="236"/>
      <c r="E25" s="202"/>
      <c r="F25" s="202"/>
      <c r="G25" s="236"/>
    </row>
    <row r="26" spans="1:8" ht="15">
      <c r="A26" s="454" t="s">
        <v>20</v>
      </c>
      <c r="B26" s="465">
        <f>H48</f>
        <v>0</v>
      </c>
      <c r="C26" s="466">
        <f t="shared" si="0"/>
        <v>0</v>
      </c>
      <c r="D26" s="236"/>
      <c r="E26" s="202"/>
      <c r="F26" s="202"/>
      <c r="G26" s="236"/>
    </row>
    <row r="27" spans="1:8" ht="15">
      <c r="A27" s="454" t="s">
        <v>399</v>
      </c>
      <c r="B27" s="465">
        <f>SUM(B18:B26)</f>
        <v>7280.7999999999993</v>
      </c>
      <c r="C27" s="466">
        <f t="shared" si="0"/>
        <v>364.03999999999996</v>
      </c>
      <c r="D27" s="236"/>
      <c r="E27" s="202"/>
      <c r="F27" s="202"/>
      <c r="G27" s="236"/>
    </row>
    <row r="28" spans="1:8">
      <c r="A28" s="1878"/>
      <c r="B28" s="891"/>
      <c r="C28" s="891"/>
      <c r="D28" s="236"/>
      <c r="E28" s="236"/>
      <c r="F28" s="236"/>
      <c r="G28" s="236"/>
    </row>
    <row r="29" spans="1:8" ht="15.75">
      <c r="A29" s="468" t="s">
        <v>400</v>
      </c>
      <c r="B29" s="236"/>
      <c r="C29" s="236"/>
      <c r="D29" s="891"/>
      <c r="E29" s="236"/>
      <c r="F29" s="236"/>
      <c r="G29" s="236"/>
    </row>
    <row r="30" spans="1:8" ht="15">
      <c r="A30" s="452" t="s">
        <v>16</v>
      </c>
      <c r="B30" s="452" t="s">
        <v>401</v>
      </c>
      <c r="C30" s="453" t="s">
        <v>402</v>
      </c>
      <c r="D30" s="453" t="s">
        <v>403</v>
      </c>
      <c r="E30" s="452" t="s">
        <v>46</v>
      </c>
      <c r="F30" s="453" t="s">
        <v>404</v>
      </c>
      <c r="G30" s="453" t="s">
        <v>405</v>
      </c>
      <c r="H30" s="453" t="s">
        <v>397</v>
      </c>
    </row>
    <row r="31" spans="1:8" ht="15">
      <c r="A31" s="454" t="s">
        <v>0</v>
      </c>
      <c r="B31" s="1879">
        <v>334</v>
      </c>
      <c r="C31" s="1880" t="s">
        <v>427</v>
      </c>
      <c r="D31" s="1880" t="s">
        <v>428</v>
      </c>
      <c r="E31" s="1880" t="s">
        <v>408</v>
      </c>
      <c r="F31" s="1881">
        <v>12.395</v>
      </c>
      <c r="G31" s="473">
        <v>20</v>
      </c>
      <c r="H31" s="474">
        <f t="shared" ref="H31:H49" si="1">IF(G31&lt;=0, 0, F31*G31)</f>
        <v>247.89999999999998</v>
      </c>
    </row>
    <row r="32" spans="1:8" ht="15">
      <c r="A32" s="454" t="s">
        <v>0</v>
      </c>
      <c r="B32" s="1882"/>
      <c r="C32" s="1882"/>
      <c r="D32" s="1883"/>
      <c r="E32" s="1883"/>
      <c r="F32" s="1884"/>
      <c r="G32" s="486"/>
      <c r="H32" s="474">
        <f t="shared" si="1"/>
        <v>0</v>
      </c>
    </row>
    <row r="33" spans="1:8" ht="15">
      <c r="A33" s="454" t="s">
        <v>0</v>
      </c>
      <c r="B33" s="1882"/>
      <c r="C33" s="1882"/>
      <c r="D33" s="1883"/>
      <c r="E33" s="1883"/>
      <c r="F33" s="1884"/>
      <c r="G33" s="486"/>
      <c r="H33" s="474">
        <f t="shared" si="1"/>
        <v>0</v>
      </c>
    </row>
    <row r="34" spans="1:8" ht="15">
      <c r="A34" s="454" t="s">
        <v>2</v>
      </c>
      <c r="B34" s="1882"/>
      <c r="C34" s="1882"/>
      <c r="D34" s="1883"/>
      <c r="E34" s="1885"/>
      <c r="F34" s="1884"/>
      <c r="G34" s="486"/>
      <c r="H34" s="474">
        <v>0</v>
      </c>
    </row>
    <row r="35" spans="1:8" ht="15">
      <c r="A35" s="454" t="s">
        <v>2</v>
      </c>
      <c r="B35" s="1882">
        <v>937</v>
      </c>
      <c r="C35" s="1882" t="s">
        <v>429</v>
      </c>
      <c r="D35" s="1883" t="s">
        <v>430</v>
      </c>
      <c r="E35" s="1883" t="s">
        <v>411</v>
      </c>
      <c r="F35" s="1884">
        <v>5.96</v>
      </c>
      <c r="G35" s="486">
        <v>160</v>
      </c>
      <c r="H35" s="474">
        <f t="shared" si="1"/>
        <v>953.6</v>
      </c>
    </row>
    <row r="36" spans="1:8" ht="15">
      <c r="A36" s="454" t="s">
        <v>2</v>
      </c>
      <c r="B36" s="1886">
        <v>964</v>
      </c>
      <c r="C36" s="1887" t="s">
        <v>431</v>
      </c>
      <c r="D36" s="1887" t="s">
        <v>432</v>
      </c>
      <c r="E36" s="1887" t="s">
        <v>411</v>
      </c>
      <c r="F36" s="1888">
        <v>50.43</v>
      </c>
      <c r="G36" s="486">
        <v>30</v>
      </c>
      <c r="H36" s="474">
        <f t="shared" si="1"/>
        <v>1512.9</v>
      </c>
    </row>
    <row r="37" spans="1:8" ht="15">
      <c r="A37" s="454" t="s">
        <v>3</v>
      </c>
      <c r="B37" s="1882"/>
      <c r="C37" s="1882"/>
      <c r="D37" s="1883"/>
      <c r="E37" s="1883"/>
      <c r="F37" s="1884"/>
      <c r="G37" s="1898"/>
      <c r="H37" s="474">
        <f>IF(G37&lt;=0, 0, F37*G37)</f>
        <v>0</v>
      </c>
    </row>
    <row r="38" spans="1:8" ht="15">
      <c r="A38" s="454" t="s">
        <v>3</v>
      </c>
      <c r="B38" s="1882"/>
      <c r="C38" s="1882"/>
      <c r="D38" s="1883"/>
      <c r="E38" s="1883"/>
      <c r="F38" s="1899"/>
      <c r="G38" s="1889"/>
      <c r="H38" s="474">
        <f t="shared" si="1"/>
        <v>0</v>
      </c>
    </row>
    <row r="39" spans="1:8" ht="15">
      <c r="A39" s="454" t="s">
        <v>3</v>
      </c>
      <c r="B39" s="1882">
        <v>230</v>
      </c>
      <c r="C39" s="1882" t="s">
        <v>414</v>
      </c>
      <c r="D39" s="1883" t="s">
        <v>2442</v>
      </c>
      <c r="E39" s="1883" t="s">
        <v>411</v>
      </c>
      <c r="F39" s="1884">
        <v>28.54</v>
      </c>
      <c r="G39" s="486">
        <v>160</v>
      </c>
      <c r="H39" s="474">
        <f>IF(G39&lt;=0, 0, F39*G39)</f>
        <v>4566.3999999999996</v>
      </c>
    </row>
    <row r="40" spans="1:8" ht="15">
      <c r="A40" s="454" t="s">
        <v>4</v>
      </c>
      <c r="B40" s="1882"/>
      <c r="C40" s="1883"/>
      <c r="D40" s="1883"/>
      <c r="E40" s="1883"/>
      <c r="F40" s="1897"/>
      <c r="G40" s="486"/>
      <c r="H40" s="474">
        <f t="shared" si="1"/>
        <v>0</v>
      </c>
    </row>
    <row r="41" spans="1:8" ht="16.5" customHeight="1">
      <c r="A41" s="454" t="s">
        <v>419</v>
      </c>
      <c r="B41" s="1882"/>
      <c r="C41" s="1882" t="s">
        <v>416</v>
      </c>
      <c r="D41" s="1883" t="s">
        <v>420</v>
      </c>
      <c r="E41" s="1883" t="s">
        <v>418</v>
      </c>
      <c r="F41" s="1897"/>
      <c r="G41" s="486"/>
      <c r="H41" s="474">
        <f t="shared" si="1"/>
        <v>0</v>
      </c>
    </row>
    <row r="42" spans="1:8" ht="15">
      <c r="A42" s="454" t="s">
        <v>7</v>
      </c>
      <c r="B42" s="1882"/>
      <c r="C42" s="1882"/>
      <c r="D42" s="1883"/>
      <c r="E42" s="1883"/>
      <c r="F42" s="1884"/>
      <c r="G42" s="482"/>
      <c r="H42" s="474">
        <f t="shared" si="1"/>
        <v>0</v>
      </c>
    </row>
    <row r="43" spans="1:8" ht="15">
      <c r="A43" s="454" t="s">
        <v>7</v>
      </c>
      <c r="B43" s="1882"/>
      <c r="C43" s="1882"/>
      <c r="D43" s="1883"/>
      <c r="E43" s="1883"/>
      <c r="F43" s="1884"/>
      <c r="G43" s="482"/>
      <c r="H43" s="474">
        <f t="shared" si="1"/>
        <v>0</v>
      </c>
    </row>
    <row r="44" spans="1:8" ht="15">
      <c r="A44" s="454" t="s">
        <v>7</v>
      </c>
      <c r="B44" s="1882"/>
      <c r="C44" s="1882"/>
      <c r="D44" s="1883"/>
      <c r="E44" s="1883"/>
      <c r="F44" s="1884"/>
      <c r="G44" s="482"/>
      <c r="H44" s="474">
        <f t="shared" si="1"/>
        <v>0</v>
      </c>
    </row>
    <row r="45" spans="1:8" ht="15">
      <c r="A45" s="454" t="s">
        <v>421</v>
      </c>
      <c r="B45" s="1882"/>
      <c r="C45" s="1882"/>
      <c r="D45" s="1883"/>
      <c r="E45" s="1883"/>
      <c r="F45" s="1884"/>
      <c r="G45" s="482"/>
      <c r="H45" s="474">
        <f t="shared" si="1"/>
        <v>0</v>
      </c>
    </row>
    <row r="46" spans="1:8" ht="15">
      <c r="A46" s="454" t="s">
        <v>421</v>
      </c>
      <c r="B46" s="1882"/>
      <c r="C46" s="1882"/>
      <c r="D46" s="1883"/>
      <c r="E46" s="1883"/>
      <c r="F46" s="1884"/>
      <c r="G46" s="482"/>
      <c r="H46" s="474">
        <f t="shared" si="1"/>
        <v>0</v>
      </c>
    </row>
    <row r="47" spans="1:8" ht="15">
      <c r="A47" s="454" t="s">
        <v>421</v>
      </c>
      <c r="B47" s="1882"/>
      <c r="C47" s="1882"/>
      <c r="D47" s="1883"/>
      <c r="E47" s="1883"/>
      <c r="F47" s="1884"/>
      <c r="G47" s="482"/>
      <c r="H47" s="474">
        <f t="shared" si="1"/>
        <v>0</v>
      </c>
    </row>
    <row r="48" spans="1:8" ht="15">
      <c r="A48" s="454" t="s">
        <v>5</v>
      </c>
      <c r="B48" s="1882"/>
      <c r="C48" s="1882"/>
      <c r="D48" s="1883"/>
      <c r="E48" s="1883"/>
      <c r="F48" s="1884"/>
      <c r="G48" s="482"/>
      <c r="H48" s="474">
        <f t="shared" si="1"/>
        <v>0</v>
      </c>
    </row>
    <row r="49" spans="1:8" ht="15">
      <c r="A49" s="454" t="s">
        <v>20</v>
      </c>
      <c r="B49" s="1882"/>
      <c r="C49" s="1882"/>
      <c r="D49" s="1883"/>
      <c r="E49" s="1883"/>
      <c r="F49" s="1884"/>
      <c r="G49" s="482"/>
      <c r="H49" s="474">
        <f t="shared" si="1"/>
        <v>0</v>
      </c>
    </row>
    <row r="50" spans="1:8">
      <c r="A50" s="239"/>
      <c r="B50" s="239"/>
      <c r="C50" s="239"/>
      <c r="D50" s="239"/>
      <c r="E50" s="239"/>
      <c r="F50" s="239"/>
      <c r="G50" s="239"/>
    </row>
    <row r="51" spans="1:8">
      <c r="A51" s="239"/>
      <c r="B51" s="239"/>
      <c r="C51" s="239"/>
      <c r="D51" s="239"/>
      <c r="E51" s="239"/>
      <c r="F51" s="239"/>
      <c r="G51" s="239"/>
    </row>
    <row r="52" spans="1:8">
      <c r="A52" s="239"/>
      <c r="B52" s="239"/>
      <c r="C52" s="239"/>
      <c r="D52" s="239"/>
      <c r="E52" s="239"/>
      <c r="F52" s="239"/>
      <c r="G52" s="239"/>
    </row>
    <row r="53" spans="1:8">
      <c r="A53" s="239"/>
      <c r="B53" s="239"/>
      <c r="C53" s="239"/>
      <c r="D53" s="239"/>
      <c r="E53" s="239"/>
      <c r="F53" s="239"/>
      <c r="G53" s="239"/>
    </row>
    <row r="54" spans="1:8">
      <c r="A54" s="239"/>
      <c r="B54" s="239"/>
      <c r="C54" s="239"/>
      <c r="D54" s="239"/>
      <c r="E54" s="239"/>
      <c r="F54" s="239"/>
      <c r="G54" s="239"/>
    </row>
    <row r="55" spans="1:8">
      <c r="A55" s="239"/>
      <c r="B55" s="239"/>
      <c r="C55" s="239"/>
      <c r="D55" s="239"/>
      <c r="E55" s="239"/>
      <c r="F55" s="239"/>
      <c r="G55" s="239"/>
    </row>
    <row r="56" spans="1:8">
      <c r="A56" s="239"/>
      <c r="B56" s="239"/>
      <c r="C56" s="239"/>
      <c r="D56" s="239"/>
      <c r="E56" s="239"/>
      <c r="F56" s="239"/>
      <c r="G56" s="239"/>
    </row>
    <row r="57" spans="1:8">
      <c r="A57" s="239"/>
      <c r="B57" s="239"/>
      <c r="C57" s="239"/>
      <c r="D57" s="239"/>
      <c r="E57" s="239"/>
      <c r="F57" s="239"/>
      <c r="G57" s="239"/>
    </row>
    <row r="58" spans="1:8">
      <c r="A58" s="239"/>
      <c r="B58" s="239"/>
      <c r="C58" s="239"/>
      <c r="D58" s="239"/>
      <c r="E58" s="239"/>
      <c r="F58" s="239"/>
      <c r="G58" s="239"/>
    </row>
    <row r="59" spans="1:8">
      <c r="A59" s="239"/>
      <c r="B59" s="239"/>
      <c r="C59" s="239"/>
      <c r="D59" s="239"/>
      <c r="E59" s="239"/>
      <c r="F59" s="239"/>
      <c r="G59" s="239"/>
    </row>
    <row r="60" spans="1:8">
      <c r="A60" s="239"/>
      <c r="B60" s="239"/>
      <c r="C60" s="239"/>
      <c r="D60" s="239"/>
      <c r="E60" s="239"/>
      <c r="F60" s="239"/>
      <c r="G60" s="239"/>
    </row>
    <row r="61" spans="1:8">
      <c r="A61" s="239"/>
      <c r="B61" s="239"/>
      <c r="C61" s="239"/>
      <c r="D61" s="239"/>
      <c r="E61" s="239"/>
      <c r="F61" s="239"/>
      <c r="G61" s="239"/>
    </row>
    <row r="62" spans="1:8">
      <c r="A62" s="239"/>
      <c r="B62" s="239"/>
      <c r="C62" s="239"/>
      <c r="D62" s="239"/>
      <c r="E62" s="239"/>
      <c r="F62" s="239"/>
      <c r="G62" s="239"/>
    </row>
    <row r="63" spans="1:8">
      <c r="A63" s="239"/>
      <c r="B63" s="239"/>
      <c r="C63" s="239"/>
      <c r="D63" s="239"/>
      <c r="E63" s="239"/>
      <c r="F63" s="239"/>
      <c r="G63" s="239"/>
    </row>
    <row r="64" spans="1:8">
      <c r="A64" s="239"/>
      <c r="B64" s="239"/>
      <c r="C64" s="239"/>
      <c r="D64" s="239"/>
      <c r="E64" s="239"/>
      <c r="F64" s="239"/>
      <c r="G64" s="239"/>
    </row>
    <row r="65" spans="1:7">
      <c r="A65" s="239"/>
      <c r="B65" s="239"/>
      <c r="C65" s="239"/>
      <c r="D65" s="239"/>
      <c r="E65" s="239"/>
      <c r="F65" s="239"/>
      <c r="G65" s="239"/>
    </row>
    <row r="66" spans="1:7">
      <c r="A66" s="239"/>
      <c r="B66" s="239"/>
      <c r="C66" s="239"/>
      <c r="D66" s="239"/>
      <c r="E66" s="239"/>
      <c r="F66" s="239"/>
      <c r="G66" s="239"/>
    </row>
    <row r="67" spans="1:7">
      <c r="A67" s="239"/>
      <c r="B67" s="239"/>
      <c r="C67" s="239"/>
      <c r="D67" s="239"/>
      <c r="E67" s="239"/>
      <c r="F67" s="239"/>
      <c r="G67" s="239"/>
    </row>
    <row r="68" spans="1:7">
      <c r="A68" s="239"/>
      <c r="B68" s="239"/>
      <c r="C68" s="239"/>
      <c r="D68" s="239"/>
      <c r="E68" s="239"/>
      <c r="F68" s="239"/>
      <c r="G68" s="239"/>
    </row>
    <row r="69" spans="1:7">
      <c r="A69" s="239"/>
      <c r="B69" s="239"/>
      <c r="C69" s="239"/>
      <c r="D69" s="239"/>
      <c r="E69" s="239"/>
      <c r="F69" s="239"/>
      <c r="G69" s="239"/>
    </row>
    <row r="70" spans="1:7">
      <c r="A70" s="239"/>
      <c r="B70" s="239"/>
      <c r="C70" s="239"/>
      <c r="D70" s="239"/>
      <c r="E70" s="239"/>
      <c r="F70" s="239"/>
      <c r="G70" s="239"/>
    </row>
    <row r="71" spans="1:7">
      <c r="A71" s="239"/>
      <c r="B71" s="239"/>
      <c r="C71" s="239"/>
      <c r="D71" s="239"/>
      <c r="E71" s="239"/>
      <c r="F71" s="239"/>
      <c r="G71" s="239"/>
    </row>
    <row r="72" spans="1:7">
      <c r="A72" s="239"/>
      <c r="B72" s="239"/>
      <c r="C72" s="239"/>
      <c r="D72" s="239"/>
      <c r="E72" s="239"/>
      <c r="F72" s="239"/>
      <c r="G72" s="239"/>
    </row>
    <row r="73" spans="1:7">
      <c r="A73" s="239"/>
      <c r="B73" s="239"/>
      <c r="C73" s="239"/>
      <c r="D73" s="239"/>
      <c r="E73" s="239"/>
      <c r="F73" s="239"/>
      <c r="G73" s="239"/>
    </row>
    <row r="74" spans="1:7">
      <c r="A74" s="239"/>
      <c r="B74" s="239"/>
      <c r="C74" s="239"/>
      <c r="D74" s="239"/>
      <c r="E74" s="239"/>
      <c r="F74" s="239"/>
      <c r="G74" s="239"/>
    </row>
    <row r="75" spans="1:7">
      <c r="A75" s="239"/>
      <c r="B75" s="239"/>
      <c r="C75" s="239"/>
      <c r="D75" s="239"/>
      <c r="E75" s="239"/>
      <c r="F75" s="239"/>
      <c r="G75" s="239"/>
    </row>
    <row r="76" spans="1:7">
      <c r="A76" s="239"/>
      <c r="B76" s="239"/>
      <c r="C76" s="239"/>
      <c r="D76" s="239"/>
      <c r="E76" s="239"/>
      <c r="F76" s="239"/>
      <c r="G76" s="239"/>
    </row>
    <row r="77" spans="1:7">
      <c r="A77" s="239"/>
      <c r="B77" s="239"/>
      <c r="C77" s="239"/>
      <c r="D77" s="239"/>
      <c r="E77" s="239"/>
      <c r="F77" s="239"/>
      <c r="G77" s="239"/>
    </row>
    <row r="78" spans="1:7">
      <c r="A78" s="239"/>
      <c r="B78" s="239"/>
      <c r="C78" s="239"/>
      <c r="D78" s="239"/>
      <c r="E78" s="239"/>
      <c r="F78" s="239"/>
      <c r="G78" s="239"/>
    </row>
    <row r="79" spans="1:7">
      <c r="A79" s="239"/>
      <c r="B79" s="239"/>
      <c r="C79" s="239"/>
      <c r="D79" s="239"/>
      <c r="E79" s="239"/>
      <c r="F79" s="239"/>
      <c r="G79" s="239"/>
    </row>
    <row r="80" spans="1:7">
      <c r="A80" s="239"/>
      <c r="B80" s="239"/>
      <c r="C80" s="239"/>
      <c r="D80" s="239"/>
      <c r="E80" s="239"/>
      <c r="F80" s="239"/>
      <c r="G80" s="239"/>
    </row>
    <row r="81" spans="1:7">
      <c r="A81" s="239"/>
      <c r="B81" s="239"/>
      <c r="C81" s="239"/>
      <c r="D81" s="239"/>
      <c r="E81" s="239"/>
      <c r="F81" s="239"/>
      <c r="G81" s="239"/>
    </row>
    <row r="82" spans="1:7">
      <c r="A82" s="239"/>
      <c r="B82" s="239"/>
      <c r="C82" s="239"/>
      <c r="D82" s="239"/>
      <c r="E82" s="239"/>
      <c r="F82" s="239"/>
      <c r="G82" s="239"/>
    </row>
    <row r="83" spans="1:7">
      <c r="A83" s="239"/>
      <c r="B83" s="239"/>
      <c r="C83" s="239"/>
      <c r="D83" s="239"/>
      <c r="E83" s="239"/>
      <c r="F83" s="239"/>
      <c r="G83" s="239"/>
    </row>
    <row r="94" spans="1:7">
      <c r="D94" s="290"/>
    </row>
    <row r="95" spans="1:7">
      <c r="D95" s="290"/>
    </row>
    <row r="96" spans="1:7">
      <c r="D96" s="290"/>
    </row>
    <row r="97" spans="4:4">
      <c r="D97" s="290"/>
    </row>
    <row r="98" spans="4:4">
      <c r="D98" s="290"/>
    </row>
    <row r="99" spans="4:4">
      <c r="D99" s="290"/>
    </row>
    <row r="100" spans="4:4">
      <c r="D100" s="290"/>
    </row>
    <row r="102" spans="4:4">
      <c r="D102" s="290"/>
    </row>
    <row r="104" spans="4:4">
      <c r="D104" s="291"/>
    </row>
    <row r="106" spans="4:4">
      <c r="D106" s="290"/>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pageSetup orientation="portrait" r:id="rId1"/>
</worksheet>
</file>

<file path=xl/worksheets/sheet252.xml><?xml version="1.0" encoding="utf-8"?>
<worksheet xmlns="http://schemas.openxmlformats.org/spreadsheetml/2006/main" xmlns:r="http://schemas.openxmlformats.org/officeDocument/2006/relationships">
  <dimension ref="B1:P107"/>
  <sheetViews>
    <sheetView zoomScaleNormal="100" workbookViewId="0">
      <selection activeCell="E37" sqref="E37"/>
    </sheetView>
  </sheetViews>
  <sheetFormatPr defaultRowHeight="12.75"/>
  <cols>
    <col min="1" max="1" width="2.85546875" style="2" customWidth="1"/>
    <col min="2" max="2" width="11.5703125" style="2" customWidth="1"/>
    <col min="3" max="3" width="18.7109375" style="2" customWidth="1"/>
    <col min="4" max="4" width="27.5703125" style="2" customWidth="1"/>
    <col min="5" max="5" width="20.85546875" style="2" bestFit="1" customWidth="1"/>
    <col min="6" max="6" width="10.140625" style="2" customWidth="1"/>
    <col min="7" max="7" width="10.42578125" style="2" customWidth="1"/>
    <col min="8" max="8" width="10.5703125" style="2" customWidth="1"/>
    <col min="9" max="9" width="7.85546875" style="2" customWidth="1"/>
    <col min="10" max="10" width="8.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2" s="79" customFormat="1">
      <c r="B1" s="94" t="s">
        <v>36</v>
      </c>
      <c r="C1" s="94" t="s">
        <v>37</v>
      </c>
      <c r="D1" s="94" t="s">
        <v>29</v>
      </c>
      <c r="E1" s="94" t="s">
        <v>30</v>
      </c>
    </row>
    <row r="2" spans="2:12">
      <c r="B2" s="2" t="s">
        <v>1256</v>
      </c>
      <c r="C2" s="2">
        <v>798</v>
      </c>
      <c r="D2" s="2" t="s">
        <v>1257</v>
      </c>
      <c r="E2" s="2" t="s">
        <v>1258</v>
      </c>
    </row>
    <row r="3" spans="2:12" ht="15.75">
      <c r="B3" s="1" t="s">
        <v>17</v>
      </c>
    </row>
    <row r="4" spans="2:12">
      <c r="B4" s="68" t="s">
        <v>1</v>
      </c>
      <c r="C4" s="69" t="s">
        <v>21</v>
      </c>
      <c r="D4" s="70"/>
      <c r="E4" s="70"/>
      <c r="F4" s="70"/>
      <c r="G4" s="83" t="s">
        <v>12</v>
      </c>
      <c r="H4" s="87"/>
      <c r="I4" s="87" t="s">
        <v>621</v>
      </c>
      <c r="J4"/>
    </row>
    <row r="5" spans="2:12">
      <c r="B5" s="71" t="s">
        <v>13</v>
      </c>
      <c r="C5" s="72" t="s">
        <v>22</v>
      </c>
      <c r="D5" s="72" t="s">
        <v>29</v>
      </c>
      <c r="E5" s="72" t="s">
        <v>30</v>
      </c>
      <c r="F5" s="72" t="s">
        <v>23</v>
      </c>
      <c r="G5" s="84" t="s">
        <v>14</v>
      </c>
      <c r="H5" s="88"/>
      <c r="I5" s="88" t="s">
        <v>622</v>
      </c>
      <c r="J5"/>
    </row>
    <row r="6" spans="2:12">
      <c r="B6" s="54">
        <v>798</v>
      </c>
      <c r="C6" s="7" t="str">
        <f>+E12</f>
        <v>EQIP</v>
      </c>
      <c r="D6" s="53" t="s">
        <v>1259</v>
      </c>
      <c r="E6" s="53" t="str">
        <f>$E$2</f>
        <v xml:space="preserve">Contiguous US </v>
      </c>
      <c r="F6" s="7" t="s">
        <v>1260</v>
      </c>
      <c r="G6" s="85">
        <f>I25</f>
        <v>2.5649999999999999</v>
      </c>
      <c r="H6" s="89"/>
      <c r="I6" s="89" t="s">
        <v>1261</v>
      </c>
      <c r="J6"/>
    </row>
    <row r="7" spans="2:12">
      <c r="B7" s="54">
        <v>798</v>
      </c>
      <c r="C7" s="7" t="str">
        <f>$F$12</f>
        <v>EQIP-HU</v>
      </c>
      <c r="D7" s="53" t="s">
        <v>1259</v>
      </c>
      <c r="E7" s="53" t="str">
        <f t="shared" ref="E7:E9" si="0">$E$2</f>
        <v xml:space="preserve">Contiguous US </v>
      </c>
      <c r="F7" s="7" t="s">
        <v>1260</v>
      </c>
      <c r="G7" s="85">
        <f>$J$25</f>
        <v>3.0780000000000003</v>
      </c>
      <c r="H7" s="89"/>
      <c r="I7"/>
      <c r="J7"/>
    </row>
    <row r="8" spans="2:12">
      <c r="B8" s="54">
        <v>798</v>
      </c>
      <c r="C8" s="7" t="str">
        <f>$G$12</f>
        <v>AMA</v>
      </c>
      <c r="D8" s="53" t="s">
        <v>1259</v>
      </c>
      <c r="E8" s="53" t="str">
        <f t="shared" si="0"/>
        <v xml:space="preserve">Contiguous US </v>
      </c>
      <c r="F8" s="7" t="s">
        <v>1260</v>
      </c>
      <c r="G8" s="85">
        <f>$K$25</f>
        <v>2.5649999999999999</v>
      </c>
      <c r="H8" s="89"/>
      <c r="I8"/>
      <c r="J8"/>
    </row>
    <row r="9" spans="2:12">
      <c r="B9" s="8">
        <v>798</v>
      </c>
      <c r="C9" s="10" t="str">
        <f>$H$12</f>
        <v>AMA-HU</v>
      </c>
      <c r="D9" s="9" t="s">
        <v>1259</v>
      </c>
      <c r="E9" s="53" t="str">
        <f t="shared" si="0"/>
        <v xml:space="preserve">Contiguous US </v>
      </c>
      <c r="F9" s="10" t="s">
        <v>1260</v>
      </c>
      <c r="G9" s="86">
        <f>$L$25</f>
        <v>3.0780000000000003</v>
      </c>
      <c r="H9" s="89"/>
      <c r="I9"/>
      <c r="J9"/>
    </row>
    <row r="10" spans="2:12" ht="21" customHeight="1">
      <c r="B10" s="4"/>
      <c r="C10" s="3"/>
      <c r="D10" s="3"/>
      <c r="G10"/>
      <c r="H10"/>
      <c r="I10"/>
      <c r="J10"/>
    </row>
    <row r="11" spans="2:12" ht="15.75">
      <c r="B11" s="1" t="s">
        <v>18</v>
      </c>
      <c r="C11" s="3"/>
      <c r="D11" s="3"/>
      <c r="G11"/>
      <c r="H11"/>
      <c r="I11"/>
      <c r="J11"/>
    </row>
    <row r="12" spans="2:12">
      <c r="B12" s="55"/>
      <c r="C12" s="12"/>
      <c r="D12" s="11"/>
      <c r="E12" s="13" t="s">
        <v>15</v>
      </c>
      <c r="F12" s="13" t="s">
        <v>31</v>
      </c>
      <c r="G12" s="13" t="s">
        <v>1262</v>
      </c>
      <c r="H12" s="13" t="s">
        <v>1263</v>
      </c>
      <c r="I12" s="13"/>
      <c r="J12" s="13"/>
      <c r="K12" s="13"/>
      <c r="L12" s="14"/>
    </row>
    <row r="13" spans="2:12">
      <c r="B13" s="15"/>
      <c r="C13" s="67"/>
      <c r="D13" s="16"/>
      <c r="E13" s="17" t="s">
        <v>22</v>
      </c>
      <c r="F13" s="17" t="s">
        <v>22</v>
      </c>
      <c r="G13" s="17" t="s">
        <v>22</v>
      </c>
      <c r="H13" s="17" t="s">
        <v>22</v>
      </c>
      <c r="I13" s="17" t="str">
        <f>+E12</f>
        <v>EQIP</v>
      </c>
      <c r="J13" s="17" t="str">
        <f>+F12</f>
        <v>EQIP-HU</v>
      </c>
      <c r="K13" s="17" t="str">
        <f>$G$12</f>
        <v>AMA</v>
      </c>
      <c r="L13" s="18" t="str">
        <f>$H$12</f>
        <v>AMA-HU</v>
      </c>
    </row>
    <row r="14" spans="2:12">
      <c r="B14" s="19"/>
      <c r="C14" s="16"/>
      <c r="D14" s="16"/>
      <c r="E14" s="17" t="s">
        <v>12</v>
      </c>
      <c r="F14" s="17" t="s">
        <v>12</v>
      </c>
      <c r="G14" s="17" t="s">
        <v>12</v>
      </c>
      <c r="H14" s="17" t="s">
        <v>12</v>
      </c>
      <c r="I14" s="17" t="s">
        <v>12</v>
      </c>
      <c r="J14" s="17" t="s">
        <v>12</v>
      </c>
      <c r="K14" s="17" t="s">
        <v>12</v>
      </c>
      <c r="L14" s="18" t="s">
        <v>12</v>
      </c>
    </row>
    <row r="15" spans="2:12">
      <c r="B15" s="164" t="s">
        <v>16</v>
      </c>
      <c r="C15" s="16"/>
      <c r="D15" s="165" t="s">
        <v>6</v>
      </c>
      <c r="E15" s="22" t="s">
        <v>24</v>
      </c>
      <c r="F15" s="22" t="s">
        <v>24</v>
      </c>
      <c r="G15" s="22" t="s">
        <v>24</v>
      </c>
      <c r="H15" s="22" t="s">
        <v>24</v>
      </c>
      <c r="I15" s="22" t="s">
        <v>14</v>
      </c>
      <c r="J15" s="22" t="s">
        <v>14</v>
      </c>
      <c r="K15" s="22" t="s">
        <v>14</v>
      </c>
      <c r="L15" s="23" t="s">
        <v>14</v>
      </c>
    </row>
    <row r="16" spans="2:12">
      <c r="B16" s="15" t="s">
        <v>0</v>
      </c>
      <c r="C16" s="16"/>
      <c r="D16" s="24">
        <f>+I42</f>
        <v>0</v>
      </c>
      <c r="E16" s="160">
        <v>0</v>
      </c>
      <c r="F16" s="160">
        <v>0</v>
      </c>
      <c r="G16" s="160">
        <v>0</v>
      </c>
      <c r="H16" s="160">
        <v>0</v>
      </c>
      <c r="I16" s="73">
        <f>+$D16*E16</f>
        <v>0</v>
      </c>
      <c r="J16" s="73">
        <f>+$D16*F16</f>
        <v>0</v>
      </c>
      <c r="K16" s="73">
        <f>+$D16*G16</f>
        <v>0</v>
      </c>
      <c r="L16" s="74">
        <f>+$D16*H16</f>
        <v>0</v>
      </c>
    </row>
    <row r="17" spans="2:16">
      <c r="B17" s="15" t="s">
        <v>2</v>
      </c>
      <c r="C17" s="16"/>
      <c r="D17" s="24">
        <f>I45</f>
        <v>2.87</v>
      </c>
      <c r="E17" s="160">
        <v>0.75</v>
      </c>
      <c r="F17" s="160">
        <v>0.9</v>
      </c>
      <c r="G17" s="160">
        <v>0.75</v>
      </c>
      <c r="H17" s="160">
        <v>0.9</v>
      </c>
      <c r="I17" s="73">
        <f t="shared" ref="I17:L24" si="1">+$D17*E17</f>
        <v>2.1524999999999999</v>
      </c>
      <c r="J17" s="73">
        <f t="shared" si="1"/>
        <v>2.5830000000000002</v>
      </c>
      <c r="K17" s="73">
        <f t="shared" si="1"/>
        <v>2.1524999999999999</v>
      </c>
      <c r="L17" s="74">
        <f t="shared" si="1"/>
        <v>2.5830000000000002</v>
      </c>
    </row>
    <row r="18" spans="2:16">
      <c r="B18" s="15" t="s">
        <v>3</v>
      </c>
      <c r="C18" s="16"/>
      <c r="D18" s="24">
        <f>I49</f>
        <v>0.55000000000000004</v>
      </c>
      <c r="E18" s="160">
        <v>0.75</v>
      </c>
      <c r="F18" s="160">
        <v>0.9</v>
      </c>
      <c r="G18" s="160">
        <v>0.75</v>
      </c>
      <c r="H18" s="160">
        <v>0.9</v>
      </c>
      <c r="I18" s="73">
        <f t="shared" si="1"/>
        <v>0.41250000000000003</v>
      </c>
      <c r="J18" s="73">
        <f t="shared" si="1"/>
        <v>0.49500000000000005</v>
      </c>
      <c r="K18" s="73">
        <f t="shared" si="1"/>
        <v>0.41250000000000003</v>
      </c>
      <c r="L18" s="74">
        <f t="shared" si="1"/>
        <v>0.49500000000000005</v>
      </c>
    </row>
    <row r="19" spans="2:16">
      <c r="B19" s="15" t="s">
        <v>4</v>
      </c>
      <c r="C19" s="16"/>
      <c r="D19" s="24">
        <f>I53</f>
        <v>0</v>
      </c>
      <c r="E19" s="160">
        <v>0</v>
      </c>
      <c r="F19" s="160">
        <v>0</v>
      </c>
      <c r="G19" s="160">
        <v>0</v>
      </c>
      <c r="H19" s="160">
        <v>0</v>
      </c>
      <c r="I19" s="73">
        <f t="shared" si="1"/>
        <v>0</v>
      </c>
      <c r="J19" s="73">
        <f t="shared" si="1"/>
        <v>0</v>
      </c>
      <c r="K19" s="73">
        <f t="shared" si="1"/>
        <v>0</v>
      </c>
      <c r="L19" s="74">
        <f t="shared" si="1"/>
        <v>0</v>
      </c>
    </row>
    <row r="20" spans="2:16">
      <c r="B20" s="15" t="s">
        <v>26</v>
      </c>
      <c r="C20" s="16"/>
      <c r="D20" s="24">
        <f>I56</f>
        <v>0.16</v>
      </c>
      <c r="E20" s="160">
        <v>0</v>
      </c>
      <c r="F20" s="160">
        <v>0</v>
      </c>
      <c r="G20" s="160">
        <v>0</v>
      </c>
      <c r="H20" s="160">
        <v>0</v>
      </c>
      <c r="I20" s="73">
        <f t="shared" si="1"/>
        <v>0</v>
      </c>
      <c r="J20" s="73">
        <f t="shared" si="1"/>
        <v>0</v>
      </c>
      <c r="K20" s="73">
        <f t="shared" si="1"/>
        <v>0</v>
      </c>
      <c r="L20" s="74">
        <f t="shared" si="1"/>
        <v>0</v>
      </c>
    </row>
    <row r="21" spans="2:16">
      <c r="B21" s="15" t="s">
        <v>7</v>
      </c>
      <c r="C21" s="16"/>
      <c r="D21" s="24">
        <f>I60</f>
        <v>0</v>
      </c>
      <c r="E21" s="160">
        <v>0</v>
      </c>
      <c r="F21" s="160">
        <v>0</v>
      </c>
      <c r="G21" s="160">
        <v>0</v>
      </c>
      <c r="H21" s="160">
        <v>0</v>
      </c>
      <c r="I21" s="73">
        <f t="shared" si="1"/>
        <v>0</v>
      </c>
      <c r="J21" s="73">
        <f t="shared" si="1"/>
        <v>0</v>
      </c>
      <c r="K21" s="73">
        <f t="shared" si="1"/>
        <v>0</v>
      </c>
      <c r="L21" s="74">
        <f t="shared" si="1"/>
        <v>0</v>
      </c>
    </row>
    <row r="22" spans="2:16">
      <c r="B22" s="15" t="s">
        <v>27</v>
      </c>
      <c r="C22" s="16"/>
      <c r="D22" s="24">
        <f>I63</f>
        <v>0</v>
      </c>
      <c r="E22" s="160">
        <v>0</v>
      </c>
      <c r="F22" s="160">
        <v>0</v>
      </c>
      <c r="G22" s="160">
        <v>0</v>
      </c>
      <c r="H22" s="160">
        <v>0</v>
      </c>
      <c r="I22" s="73">
        <f t="shared" si="1"/>
        <v>0</v>
      </c>
      <c r="J22" s="73">
        <f t="shared" si="1"/>
        <v>0</v>
      </c>
      <c r="K22" s="73">
        <f t="shared" si="1"/>
        <v>0</v>
      </c>
      <c r="L22" s="74">
        <f t="shared" si="1"/>
        <v>0</v>
      </c>
    </row>
    <row r="23" spans="2:16">
      <c r="B23" s="15" t="s">
        <v>5</v>
      </c>
      <c r="C23" s="16"/>
      <c r="D23" s="24">
        <f>I66</f>
        <v>0</v>
      </c>
      <c r="E23" s="160">
        <v>0</v>
      </c>
      <c r="F23" s="160">
        <v>0</v>
      </c>
      <c r="G23" s="160">
        <v>0</v>
      </c>
      <c r="H23" s="160">
        <v>0</v>
      </c>
      <c r="I23" s="73">
        <f t="shared" si="1"/>
        <v>0</v>
      </c>
      <c r="J23" s="73">
        <f t="shared" si="1"/>
        <v>0</v>
      </c>
      <c r="K23" s="73">
        <f t="shared" si="1"/>
        <v>0</v>
      </c>
      <c r="L23" s="74">
        <f t="shared" si="1"/>
        <v>0</v>
      </c>
    </row>
    <row r="24" spans="2:16">
      <c r="B24" s="15" t="s">
        <v>20</v>
      </c>
      <c r="C24" s="16"/>
      <c r="D24" s="75">
        <f>I69</f>
        <v>0</v>
      </c>
      <c r="E24" s="160">
        <v>0</v>
      </c>
      <c r="F24" s="160">
        <v>0</v>
      </c>
      <c r="G24" s="160">
        <v>0</v>
      </c>
      <c r="H24" s="160">
        <v>0</v>
      </c>
      <c r="I24" s="75">
        <f t="shared" si="1"/>
        <v>0</v>
      </c>
      <c r="J24" s="75">
        <f t="shared" si="1"/>
        <v>0</v>
      </c>
      <c r="K24" s="75">
        <f t="shared" si="1"/>
        <v>0</v>
      </c>
      <c r="L24" s="76">
        <f t="shared" si="1"/>
        <v>0</v>
      </c>
    </row>
    <row r="25" spans="2:16">
      <c r="B25" s="26" t="s">
        <v>19</v>
      </c>
      <c r="C25" s="27"/>
      <c r="D25" s="51">
        <f>SUM(D16:D24)</f>
        <v>3.58</v>
      </c>
      <c r="E25" s="28"/>
      <c r="F25" s="28"/>
      <c r="G25" s="28"/>
      <c r="H25" s="28"/>
      <c r="I25" s="51">
        <f t="shared" ref="I25:J25" si="2">SUM(I16:I24)</f>
        <v>2.5649999999999999</v>
      </c>
      <c r="J25" s="51">
        <f t="shared" si="2"/>
        <v>3.0780000000000003</v>
      </c>
      <c r="K25" s="51">
        <f>SUM(K16:K24)</f>
        <v>2.5649999999999999</v>
      </c>
      <c r="L25" s="77">
        <f>SUM(L16:L24)</f>
        <v>3.0780000000000003</v>
      </c>
    </row>
    <row r="26" spans="2:16" s="82" customFormat="1" ht="5.25" customHeight="1">
      <c r="B26" s="49"/>
      <c r="C26" s="49"/>
      <c r="D26" s="80"/>
      <c r="E26" s="81"/>
      <c r="F26" s="81"/>
      <c r="G26" s="81"/>
      <c r="H26" s="81"/>
      <c r="I26" s="81"/>
      <c r="J26" s="81"/>
      <c r="K26" s="80"/>
      <c r="L26" s="80"/>
      <c r="M26" s="80"/>
      <c r="N26" s="80"/>
      <c r="O26" s="80"/>
      <c r="P26" s="80"/>
    </row>
    <row r="27" spans="2:16" ht="5.25" customHeight="1"/>
    <row r="28" spans="2:16" ht="15.75">
      <c r="B28" s="50" t="s">
        <v>28</v>
      </c>
      <c r="I28" s="5"/>
    </row>
    <row r="29" spans="2:16">
      <c r="B29" s="29" t="s">
        <v>32</v>
      </c>
      <c r="C29" s="30"/>
      <c r="D29" s="30"/>
      <c r="E29" s="31"/>
      <c r="F29" s="31"/>
      <c r="G29" s="31"/>
      <c r="H29" s="31"/>
      <c r="I29" s="32"/>
    </row>
    <row r="30" spans="2:16">
      <c r="B30" s="42"/>
      <c r="C30" s="34"/>
      <c r="D30" s="1954" t="s">
        <v>1264</v>
      </c>
      <c r="E30" s="1955"/>
      <c r="F30" s="1955"/>
      <c r="G30" s="1955"/>
      <c r="H30" s="1955"/>
      <c r="I30" s="36"/>
    </row>
    <row r="31" spans="2:16">
      <c r="B31" s="42"/>
      <c r="C31" s="34"/>
      <c r="D31" s="34"/>
      <c r="E31" s="35"/>
      <c r="F31" s="35"/>
      <c r="G31" s="35"/>
      <c r="H31" s="35"/>
      <c r="I31" s="36"/>
    </row>
    <row r="32" spans="2:16" ht="36" customHeight="1">
      <c r="B32" s="91" t="s">
        <v>33</v>
      </c>
      <c r="C32" s="90"/>
      <c r="D32" s="2229" t="s">
        <v>1265</v>
      </c>
      <c r="E32" s="2230"/>
      <c r="F32" s="2230"/>
      <c r="G32" s="2230"/>
      <c r="H32" s="2231"/>
      <c r="I32" s="36"/>
    </row>
    <row r="33" spans="2:15" ht="69" customHeight="1">
      <c r="B33" s="91" t="s">
        <v>35</v>
      </c>
      <c r="C33" s="90"/>
      <c r="D33" s="2229" t="s">
        <v>1266</v>
      </c>
      <c r="E33" s="2232"/>
      <c r="F33" s="2232"/>
      <c r="G33" s="2232"/>
      <c r="H33" s="2233"/>
      <c r="I33" s="36"/>
    </row>
    <row r="34" spans="2:15" ht="69" customHeight="1">
      <c r="B34" s="91" t="s">
        <v>34</v>
      </c>
      <c r="C34" s="90"/>
      <c r="D34" s="2229" t="s">
        <v>1267</v>
      </c>
      <c r="E34" s="2232"/>
      <c r="F34" s="2232"/>
      <c r="G34" s="2232"/>
      <c r="H34" s="2233"/>
      <c r="I34" s="36"/>
    </row>
    <row r="35" spans="2:15">
      <c r="B35" s="37"/>
      <c r="C35" s="34"/>
      <c r="D35" s="34"/>
      <c r="E35" s="35"/>
      <c r="F35" s="35"/>
      <c r="G35" s="35"/>
      <c r="H35" s="35"/>
      <c r="I35" s="36"/>
    </row>
    <row r="36" spans="2:15">
      <c r="B36" s="38" t="s">
        <v>25</v>
      </c>
      <c r="C36" s="34"/>
      <c r="D36" s="1958" t="s">
        <v>1261</v>
      </c>
      <c r="E36" s="1952"/>
      <c r="F36" s="1952"/>
      <c r="G36" s="1952"/>
      <c r="H36" s="1952"/>
      <c r="I36" s="36"/>
      <c r="J36" s="49"/>
    </row>
    <row r="37" spans="2:15">
      <c r="B37" s="37"/>
      <c r="C37" s="34"/>
      <c r="D37" s="35"/>
      <c r="E37" s="35"/>
      <c r="F37" s="35"/>
      <c r="G37" s="35"/>
      <c r="H37" s="35"/>
      <c r="I37" s="36"/>
    </row>
    <row r="38" spans="2:15">
      <c r="B38" s="38" t="s">
        <v>8</v>
      </c>
      <c r="C38" s="34"/>
      <c r="D38" s="39" t="s">
        <v>1268</v>
      </c>
      <c r="E38" s="35"/>
      <c r="F38" s="35"/>
      <c r="G38" s="35"/>
      <c r="H38" s="35"/>
      <c r="I38" s="36"/>
    </row>
    <row r="39" spans="2:15">
      <c r="B39" s="38" t="s">
        <v>9</v>
      </c>
      <c r="C39" s="34"/>
      <c r="D39" s="92">
        <v>4</v>
      </c>
      <c r="E39" s="35"/>
      <c r="F39" s="35"/>
      <c r="G39" s="35"/>
      <c r="H39" s="35"/>
      <c r="I39" s="36"/>
    </row>
    <row r="40" spans="2:15">
      <c r="B40" s="38" t="s">
        <v>10</v>
      </c>
      <c r="C40" s="35"/>
      <c r="D40" s="93">
        <v>0.03</v>
      </c>
      <c r="E40" s="35"/>
      <c r="F40" s="35"/>
      <c r="G40" s="35"/>
      <c r="H40" s="35"/>
      <c r="I40" s="147" t="s">
        <v>6</v>
      </c>
    </row>
    <row r="41" spans="2:15">
      <c r="B41" s="40"/>
      <c r="C41" s="35"/>
      <c r="D41" s="35"/>
      <c r="E41" s="41"/>
      <c r="F41" s="35"/>
      <c r="G41" s="35"/>
      <c r="H41" s="35"/>
      <c r="I41" s="149"/>
      <c r="L41" s="64"/>
      <c r="M41" s="64"/>
      <c r="N41" s="61"/>
      <c r="O41" s="61"/>
    </row>
    <row r="42" spans="2:15">
      <c r="B42" s="42" t="s">
        <v>0</v>
      </c>
      <c r="C42" s="35"/>
      <c r="D42" s="35"/>
      <c r="E42" s="35"/>
      <c r="F42" s="35"/>
      <c r="G42" s="35"/>
      <c r="H42" s="35"/>
      <c r="I42" s="46">
        <v>0</v>
      </c>
      <c r="L42" s="64"/>
      <c r="M42" s="64"/>
      <c r="N42" s="61"/>
      <c r="O42" s="61"/>
    </row>
    <row r="43" spans="2:15" ht="6.75" customHeight="1">
      <c r="B43" s="42"/>
      <c r="C43" s="35"/>
      <c r="D43" s="166"/>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2.87</v>
      </c>
      <c r="L45" s="64"/>
      <c r="M45" s="61"/>
    </row>
    <row r="46" spans="2:15" ht="38.25" customHeight="1">
      <c r="B46" s="1959" t="s">
        <v>1269</v>
      </c>
      <c r="C46" s="1955"/>
      <c r="D46" s="1955"/>
      <c r="E46" s="1955"/>
      <c r="F46" s="1955"/>
      <c r="G46" s="1955"/>
      <c r="H46" s="1955"/>
      <c r="I46" s="46"/>
      <c r="L46" s="64"/>
      <c r="M46" s="61"/>
    </row>
    <row r="47" spans="2:15" ht="6" customHeight="1">
      <c r="B47" s="33"/>
      <c r="C47" s="35"/>
      <c r="D47" s="35"/>
      <c r="E47" s="60"/>
      <c r="F47" s="60"/>
      <c r="G47" s="60"/>
      <c r="H47" s="35"/>
      <c r="I47" s="46"/>
      <c r="L47" s="64"/>
      <c r="M47" s="61"/>
    </row>
    <row r="48" spans="2:15" ht="4.5" customHeight="1">
      <c r="B48" s="42"/>
      <c r="C48" s="35"/>
      <c r="D48" s="35"/>
      <c r="E48" s="35"/>
      <c r="F48" s="35"/>
      <c r="G48" s="58"/>
      <c r="H48" s="59"/>
      <c r="I48" s="46"/>
      <c r="L48" s="64"/>
      <c r="M48" s="61"/>
    </row>
    <row r="49" spans="2:15">
      <c r="B49" s="42" t="s">
        <v>3</v>
      </c>
      <c r="C49" s="35"/>
      <c r="D49" s="35"/>
      <c r="E49" s="35"/>
      <c r="F49" s="35"/>
      <c r="G49" s="35"/>
      <c r="H49" s="35"/>
      <c r="I49" s="46">
        <v>0.55000000000000004</v>
      </c>
      <c r="L49" s="64"/>
      <c r="M49" s="61"/>
    </row>
    <row r="50" spans="2:15" ht="29.25" customHeight="1">
      <c r="B50" s="1959" t="s">
        <v>1270</v>
      </c>
      <c r="C50" s="1955"/>
      <c r="D50" s="1955"/>
      <c r="E50" s="1955"/>
      <c r="F50" s="1955"/>
      <c r="G50" s="1955"/>
      <c r="H50" s="1955"/>
      <c r="I50" s="46"/>
      <c r="L50" s="64"/>
      <c r="M50" s="61"/>
    </row>
    <row r="51" spans="2:15">
      <c r="B51" s="33"/>
      <c r="C51" s="35"/>
      <c r="D51" s="35"/>
      <c r="E51" s="35"/>
      <c r="F51" s="35"/>
      <c r="G51" s="35"/>
      <c r="H51" s="35"/>
      <c r="I51" s="48"/>
      <c r="L51" s="64"/>
      <c r="M51" s="61"/>
    </row>
    <row r="52" spans="2:15" ht="5.25" customHeight="1">
      <c r="B52" s="33"/>
      <c r="C52" s="35"/>
      <c r="D52" s="35"/>
      <c r="E52" s="35"/>
      <c r="F52" s="35"/>
      <c r="G52" s="35"/>
      <c r="H52" s="35"/>
      <c r="I52" s="36"/>
      <c r="L52" s="64"/>
      <c r="M52" s="61"/>
    </row>
    <row r="53" spans="2:15">
      <c r="B53" s="42" t="s">
        <v>4</v>
      </c>
      <c r="C53" s="35"/>
      <c r="D53" s="35"/>
      <c r="E53" s="35"/>
      <c r="F53" s="35"/>
      <c r="G53" s="35"/>
      <c r="H53" s="35"/>
      <c r="I53" s="48">
        <v>0</v>
      </c>
      <c r="L53" s="64"/>
      <c r="M53" s="61"/>
    </row>
    <row r="54" spans="2:15" ht="5.25" customHeight="1">
      <c r="B54" s="33"/>
      <c r="C54" s="35"/>
      <c r="D54" s="35"/>
      <c r="E54" s="35"/>
      <c r="F54" s="35"/>
      <c r="G54" s="35"/>
      <c r="H54" s="35"/>
      <c r="I54" s="36"/>
      <c r="L54" s="64"/>
      <c r="M54" s="61"/>
    </row>
    <row r="55" spans="2:15" ht="5.25" customHeight="1">
      <c r="B55" s="37"/>
      <c r="C55" s="35"/>
      <c r="D55" s="35"/>
      <c r="E55" s="35"/>
      <c r="F55" s="35"/>
      <c r="G55" s="35"/>
      <c r="H55" s="35"/>
      <c r="I55" s="36"/>
      <c r="L55" s="64"/>
      <c r="M55" s="61"/>
    </row>
    <row r="56" spans="2:15">
      <c r="B56" s="42" t="s">
        <v>26</v>
      </c>
      <c r="C56" s="35"/>
      <c r="D56" s="35"/>
      <c r="E56" s="35"/>
      <c r="F56" s="35"/>
      <c r="G56" s="35"/>
      <c r="H56" s="35"/>
      <c r="I56" s="48">
        <v>0.16</v>
      </c>
      <c r="L56" s="64"/>
      <c r="M56" s="61"/>
    </row>
    <row r="57" spans="2:15" ht="31.5" customHeight="1">
      <c r="B57" s="1959" t="s">
        <v>1271</v>
      </c>
      <c r="C57" s="1955"/>
      <c r="D57" s="1955"/>
      <c r="E57" s="1955"/>
      <c r="F57" s="1955"/>
      <c r="G57" s="1955"/>
      <c r="H57" s="1955"/>
      <c r="I57" s="48"/>
      <c r="L57" s="64"/>
      <c r="M57" s="61"/>
    </row>
    <row r="58" spans="2:15" ht="8.25" customHeight="1">
      <c r="B58" s="1943"/>
      <c r="C58" s="1944"/>
      <c r="D58" s="1944"/>
      <c r="E58" s="1944"/>
      <c r="F58" s="1944"/>
      <c r="G58" s="1944"/>
      <c r="H58" s="35"/>
      <c r="I58" s="48"/>
      <c r="L58" s="64"/>
      <c r="M58" s="61"/>
    </row>
    <row r="59" spans="2:15" ht="5.25" customHeight="1">
      <c r="B59" s="37"/>
      <c r="C59" s="35"/>
      <c r="D59" s="35"/>
      <c r="E59" s="35"/>
      <c r="F59" s="35"/>
      <c r="G59" s="35"/>
      <c r="H59" s="35"/>
      <c r="I59" s="36"/>
      <c r="L59" s="64"/>
      <c r="M59" s="64"/>
    </row>
    <row r="60" spans="2:15">
      <c r="B60" s="42" t="s">
        <v>7</v>
      </c>
      <c r="C60" s="35"/>
      <c r="D60" s="35"/>
      <c r="E60" s="35"/>
      <c r="F60" s="35"/>
      <c r="G60" s="35"/>
      <c r="H60" s="35"/>
      <c r="I60" s="46">
        <v>0</v>
      </c>
      <c r="L60" s="64"/>
      <c r="M60" s="64"/>
      <c r="N60" s="64"/>
      <c r="O60" s="64"/>
    </row>
    <row r="61" spans="2:15" ht="6" customHeight="1">
      <c r="B61" s="33"/>
      <c r="C61" s="35"/>
      <c r="D61" s="35"/>
      <c r="E61" s="35"/>
      <c r="F61" s="35"/>
      <c r="G61" s="35"/>
      <c r="H61" s="35"/>
      <c r="I61" s="36"/>
      <c r="L61" s="64"/>
      <c r="M61" s="64"/>
      <c r="N61" s="61"/>
      <c r="O61" s="61"/>
    </row>
    <row r="62" spans="2:15" ht="6" customHeight="1">
      <c r="B62" s="37"/>
      <c r="C62" s="35"/>
      <c r="D62" s="35"/>
      <c r="E62" s="35"/>
      <c r="F62" s="35"/>
      <c r="G62" s="35"/>
      <c r="H62" s="35"/>
      <c r="I62" s="36"/>
      <c r="L62" s="64"/>
      <c r="M62" s="64"/>
      <c r="N62" s="65"/>
      <c r="O62" s="65"/>
    </row>
    <row r="63" spans="2:15">
      <c r="B63" s="42" t="s">
        <v>27</v>
      </c>
      <c r="C63" s="35"/>
      <c r="D63" s="35"/>
      <c r="E63" s="35"/>
      <c r="F63" s="35"/>
      <c r="G63" s="35"/>
      <c r="H63" s="35"/>
      <c r="I63" s="46">
        <v>0</v>
      </c>
      <c r="L63" s="64"/>
      <c r="M63" s="64"/>
      <c r="N63" s="61"/>
      <c r="O63" s="61"/>
    </row>
    <row r="64" spans="2:15" ht="6.75" customHeight="1">
      <c r="B64" s="33"/>
      <c r="C64" s="35"/>
      <c r="D64" s="35"/>
      <c r="E64" s="35"/>
      <c r="F64" s="35"/>
      <c r="G64" s="35"/>
      <c r="H64" s="35"/>
      <c r="I64" s="47"/>
      <c r="L64" s="64"/>
      <c r="M64" s="64"/>
      <c r="N64" s="65"/>
      <c r="O64" s="65"/>
    </row>
    <row r="65" spans="2:15" ht="3.75" customHeight="1">
      <c r="B65" s="37"/>
      <c r="C65" s="35"/>
      <c r="D65" s="35"/>
      <c r="E65" s="35"/>
      <c r="F65" s="35"/>
      <c r="G65" s="35"/>
      <c r="H65" s="35"/>
      <c r="I65" s="36"/>
      <c r="L65" s="64"/>
      <c r="M65" s="64"/>
      <c r="N65" s="61"/>
      <c r="O65" s="61"/>
    </row>
    <row r="66" spans="2:15">
      <c r="B66" s="42" t="s">
        <v>5</v>
      </c>
      <c r="C66" s="35"/>
      <c r="D66" s="35"/>
      <c r="E66" s="35"/>
      <c r="F66" s="35"/>
      <c r="G66" s="35"/>
      <c r="H66" s="35"/>
      <c r="I66" s="46">
        <v>0</v>
      </c>
      <c r="L66" s="64"/>
      <c r="M66" s="64"/>
      <c r="N66" s="61"/>
      <c r="O66" s="61"/>
    </row>
    <row r="67" spans="2:15" ht="5.25" customHeight="1">
      <c r="B67" s="33"/>
      <c r="C67" s="35"/>
      <c r="D67" s="35"/>
      <c r="E67" s="35"/>
      <c r="F67" s="35"/>
      <c r="G67" s="35"/>
      <c r="H67" s="35"/>
      <c r="I67" s="47"/>
      <c r="L67" s="64"/>
      <c r="M67" s="64"/>
      <c r="N67" s="64"/>
      <c r="O67" s="64"/>
    </row>
    <row r="68" spans="2:15" ht="4.5" customHeight="1">
      <c r="B68" s="37"/>
      <c r="C68" s="35"/>
      <c r="D68" s="35"/>
      <c r="E68" s="35"/>
      <c r="F68" s="35"/>
      <c r="G68" s="35"/>
      <c r="H68" s="35"/>
      <c r="I68" s="36"/>
      <c r="L68" s="64"/>
      <c r="M68" s="64"/>
      <c r="N68" s="64"/>
      <c r="O68" s="64"/>
    </row>
    <row r="69" spans="2:15">
      <c r="B69" s="42" t="s">
        <v>20</v>
      </c>
      <c r="C69" s="35"/>
      <c r="D69" s="35"/>
      <c r="E69" s="35"/>
      <c r="F69" s="35"/>
      <c r="G69" s="35"/>
      <c r="H69" s="35"/>
      <c r="I69" s="46">
        <v>0</v>
      </c>
      <c r="L69" s="64"/>
      <c r="M69" s="64"/>
      <c r="N69" s="61"/>
      <c r="O69" s="61"/>
    </row>
    <row r="70" spans="2:15" ht="7.5" customHeight="1">
      <c r="B70" s="42"/>
      <c r="C70" s="35"/>
      <c r="D70" s="35"/>
      <c r="E70" s="35"/>
      <c r="F70" s="35"/>
      <c r="G70" s="35"/>
      <c r="H70" s="35"/>
      <c r="I70" s="46"/>
      <c r="L70" s="64"/>
      <c r="M70" s="64"/>
      <c r="N70" s="61"/>
      <c r="O70" s="61"/>
    </row>
    <row r="71" spans="2:15" ht="6.75" customHeight="1">
      <c r="B71" s="42"/>
      <c r="C71" s="35"/>
      <c r="D71" s="35"/>
      <c r="E71" s="35"/>
      <c r="F71" s="35"/>
      <c r="G71" s="35"/>
      <c r="H71" s="35"/>
      <c r="I71" s="46"/>
      <c r="L71" s="64"/>
      <c r="M71" s="64"/>
      <c r="N71" s="61"/>
      <c r="O71" s="61"/>
    </row>
    <row r="72" spans="2:15" ht="5.25" customHeight="1">
      <c r="B72" s="40"/>
      <c r="C72" s="35"/>
      <c r="D72" s="35"/>
      <c r="E72" s="35"/>
      <c r="F72" s="35"/>
      <c r="G72" s="35"/>
      <c r="H72" s="35"/>
      <c r="I72" s="36"/>
      <c r="L72" s="64"/>
      <c r="M72" s="64"/>
      <c r="N72" s="64"/>
      <c r="O72" s="64"/>
    </row>
    <row r="73" spans="2:15">
      <c r="B73" s="43" t="s">
        <v>11</v>
      </c>
      <c r="C73" s="44"/>
      <c r="D73" s="44"/>
      <c r="E73" s="44"/>
      <c r="F73" s="44"/>
      <c r="G73" s="44"/>
      <c r="H73" s="44"/>
      <c r="I73" s="52">
        <f>+I69+I66+I63+I60+I56+I53+I49+I45+I42</f>
        <v>3.58</v>
      </c>
      <c r="L73" s="64"/>
      <c r="M73" s="64"/>
      <c r="N73" s="64"/>
      <c r="O73" s="64"/>
    </row>
    <row r="96" spans="5:5">
      <c r="E96" s="57"/>
    </row>
    <row r="97" spans="5:5">
      <c r="E97" s="57"/>
    </row>
    <row r="98" spans="5:5">
      <c r="E98" s="57"/>
    </row>
    <row r="99" spans="5:5">
      <c r="E99" s="57"/>
    </row>
    <row r="100" spans="5:5">
      <c r="E100" s="57"/>
    </row>
    <row r="101" spans="5:5">
      <c r="E101" s="57"/>
    </row>
    <row r="103" spans="5:5">
      <c r="E103" s="57"/>
    </row>
    <row r="105" spans="5:5">
      <c r="E105" s="56"/>
    </row>
    <row r="107" spans="5:5">
      <c r="E107" s="57"/>
    </row>
  </sheetData>
  <mergeCells count="9">
    <mergeCell ref="B50:H50"/>
    <mergeCell ref="B57:H57"/>
    <mergeCell ref="B58:G58"/>
    <mergeCell ref="D30:H30"/>
    <mergeCell ref="D32:H32"/>
    <mergeCell ref="D33:H33"/>
    <mergeCell ref="D34:H34"/>
    <mergeCell ref="D36:H36"/>
    <mergeCell ref="B46:H46"/>
  </mergeCells>
  <pageMargins left="0.36" right="0.3" top="0.43" bottom="0.64" header="0.28000000000000003" footer="0.36"/>
  <pageSetup scale="70" orientation="portrait" r:id="rId1"/>
  <headerFooter alignWithMargins="0"/>
</worksheet>
</file>

<file path=xl/worksheets/sheet26.xml><?xml version="1.0" encoding="utf-8"?>
<worksheet xmlns="http://schemas.openxmlformats.org/spreadsheetml/2006/main" xmlns:r="http://schemas.openxmlformats.org/officeDocument/2006/relationships">
  <dimension ref="B1:P110"/>
  <sheetViews>
    <sheetView zoomScaleNormal="100" workbookViewId="0"/>
  </sheetViews>
  <sheetFormatPr defaultRowHeight="12.75"/>
  <cols>
    <col min="1" max="1" width="2.85546875" style="182" customWidth="1"/>
    <col min="2" max="2" width="11.5703125" style="182" customWidth="1"/>
    <col min="3" max="3" width="18.7109375" style="182" customWidth="1"/>
    <col min="4" max="4" width="23.5703125" style="182" customWidth="1"/>
    <col min="5" max="5" width="20.5703125" style="182" customWidth="1"/>
    <col min="6" max="6" width="10.85546875" style="182" customWidth="1"/>
    <col min="7" max="7" width="10.42578125" style="182" customWidth="1"/>
    <col min="8" max="8" width="9.140625" style="182" bestFit="1" customWidth="1"/>
    <col min="9" max="9" width="9.85546875" style="182" customWidth="1"/>
    <col min="10" max="10" width="2.85546875" style="182" customWidth="1"/>
    <col min="11" max="11" width="8.140625" style="182" customWidth="1"/>
    <col min="12" max="12" width="8.42578125" style="182" customWidth="1"/>
    <col min="13" max="14" width="9.140625" style="182"/>
    <col min="15" max="16" width="9" style="182" bestFit="1" customWidth="1"/>
    <col min="17" max="16384" width="9.140625" style="182"/>
  </cols>
  <sheetData>
    <row r="1" spans="2:10" s="179" customFormat="1">
      <c r="B1" s="178" t="s">
        <v>36</v>
      </c>
      <c r="C1" s="178" t="s">
        <v>37</v>
      </c>
      <c r="D1" s="178" t="s">
        <v>29</v>
      </c>
      <c r="E1" s="178" t="s">
        <v>30</v>
      </c>
    </row>
    <row r="2" spans="2:10" ht="38.25">
      <c r="B2" s="180" t="s">
        <v>42</v>
      </c>
      <c r="C2" s="179">
        <v>122</v>
      </c>
      <c r="D2" s="181" t="s">
        <v>201</v>
      </c>
      <c r="E2" s="181" t="s">
        <v>217</v>
      </c>
    </row>
    <row r="3" spans="2:10" ht="15.75">
      <c r="B3" s="183" t="s">
        <v>17</v>
      </c>
      <c r="E3" s="184"/>
    </row>
    <row r="4" spans="2:10">
      <c r="B4" s="185" t="s">
        <v>1</v>
      </c>
      <c r="C4" s="186" t="s">
        <v>21</v>
      </c>
      <c r="D4" s="187"/>
      <c r="E4" s="188"/>
      <c r="F4" s="187"/>
      <c r="G4" s="189" t="s">
        <v>12</v>
      </c>
      <c r="H4" s="190"/>
      <c r="I4" s="190"/>
      <c r="J4" s="191"/>
    </row>
    <row r="5" spans="2:10" ht="25.5">
      <c r="B5" s="192" t="s">
        <v>13</v>
      </c>
      <c r="C5" s="193" t="s">
        <v>22</v>
      </c>
      <c r="D5" s="193" t="s">
        <v>29</v>
      </c>
      <c r="E5" s="194" t="s">
        <v>30</v>
      </c>
      <c r="F5" s="193" t="s">
        <v>23</v>
      </c>
      <c r="G5" s="195" t="s">
        <v>14</v>
      </c>
      <c r="H5" s="196"/>
      <c r="I5" s="196"/>
      <c r="J5" s="191"/>
    </row>
    <row r="6" spans="2:10" ht="38.25">
      <c r="B6" s="197">
        <v>122</v>
      </c>
      <c r="C6" s="198" t="str">
        <f>+E10</f>
        <v>EQIP</v>
      </c>
      <c r="D6" s="199" t="s">
        <v>201</v>
      </c>
      <c r="E6" s="200" t="s">
        <v>218</v>
      </c>
      <c r="F6" s="198" t="s">
        <v>38</v>
      </c>
      <c r="G6" s="201">
        <f>G23</f>
        <v>1506</v>
      </c>
      <c r="H6" s="202"/>
      <c r="I6" s="202"/>
      <c r="J6" s="191"/>
    </row>
    <row r="7" spans="2:10" ht="38.25">
      <c r="B7" s="203">
        <v>122</v>
      </c>
      <c r="C7" s="204" t="s">
        <v>15</v>
      </c>
      <c r="D7" s="205" t="s">
        <v>203</v>
      </c>
      <c r="E7" s="206" t="s">
        <v>219</v>
      </c>
      <c r="F7" s="204" t="s">
        <v>38</v>
      </c>
      <c r="G7" s="207">
        <f>$H$23</f>
        <v>1807.2</v>
      </c>
      <c r="H7" s="202"/>
      <c r="I7" s="191"/>
      <c r="J7" s="191"/>
    </row>
    <row r="8" spans="2:10" ht="14.25" customHeight="1">
      <c r="B8" s="208"/>
      <c r="C8" s="209"/>
      <c r="D8" s="209"/>
      <c r="G8" s="191"/>
      <c r="H8" s="191"/>
      <c r="I8" s="191"/>
      <c r="J8" s="191"/>
    </row>
    <row r="9" spans="2:10" ht="15.75">
      <c r="B9" s="183" t="s">
        <v>18</v>
      </c>
      <c r="C9" s="209"/>
      <c r="D9" s="209"/>
      <c r="G9" s="191"/>
      <c r="H9" s="191"/>
      <c r="I9" s="191"/>
      <c r="J9" s="191"/>
    </row>
    <row r="10" spans="2:10">
      <c r="B10" s="210"/>
      <c r="C10" s="211"/>
      <c r="D10" s="212"/>
      <c r="E10" s="213" t="s">
        <v>15</v>
      </c>
      <c r="F10" s="213" t="s">
        <v>31</v>
      </c>
      <c r="G10" s="213"/>
      <c r="H10" s="214"/>
    </row>
    <row r="11" spans="2:10">
      <c r="B11" s="215"/>
      <c r="C11" s="216"/>
      <c r="D11" s="217"/>
      <c r="E11" s="218" t="s">
        <v>22</v>
      </c>
      <c r="F11" s="218" t="s">
        <v>22</v>
      </c>
      <c r="G11" s="218" t="str">
        <f>+E10</f>
        <v>EQIP</v>
      </c>
      <c r="H11" s="219" t="str">
        <f>+F10</f>
        <v>EQIP-HU</v>
      </c>
    </row>
    <row r="12" spans="2:10">
      <c r="B12" s="220"/>
      <c r="C12" s="217"/>
      <c r="D12" s="217"/>
      <c r="E12" s="218" t="s">
        <v>12</v>
      </c>
      <c r="F12" s="218" t="s">
        <v>12</v>
      </c>
      <c r="G12" s="218" t="s">
        <v>12</v>
      </c>
      <c r="H12" s="219" t="s">
        <v>12</v>
      </c>
    </row>
    <row r="13" spans="2:10">
      <c r="B13" s="221" t="s">
        <v>16</v>
      </c>
      <c r="C13" s="217"/>
      <c r="D13" s="222" t="s">
        <v>6</v>
      </c>
      <c r="E13" s="223" t="s">
        <v>24</v>
      </c>
      <c r="F13" s="223" t="s">
        <v>24</v>
      </c>
      <c r="G13" s="223" t="s">
        <v>14</v>
      </c>
      <c r="H13" s="224" t="s">
        <v>14</v>
      </c>
    </row>
    <row r="14" spans="2:10">
      <c r="B14" s="215" t="s">
        <v>0</v>
      </c>
      <c r="C14" s="217"/>
      <c r="D14" s="225">
        <v>0</v>
      </c>
      <c r="E14" s="226">
        <v>0</v>
      </c>
      <c r="F14" s="226">
        <v>0</v>
      </c>
      <c r="G14" s="227">
        <f>+$D14*E14</f>
        <v>0</v>
      </c>
      <c r="H14" s="228">
        <f>+$D14*F14</f>
        <v>0</v>
      </c>
    </row>
    <row r="15" spans="2:10">
      <c r="B15" s="215" t="s">
        <v>2</v>
      </c>
      <c r="C15" s="217"/>
      <c r="D15" s="225">
        <v>0</v>
      </c>
      <c r="E15" s="226">
        <v>0</v>
      </c>
      <c r="F15" s="226">
        <v>0</v>
      </c>
      <c r="G15" s="227">
        <f t="shared" ref="G15:H22" si="0">+$D15*E15</f>
        <v>0</v>
      </c>
      <c r="H15" s="228">
        <f t="shared" si="0"/>
        <v>0</v>
      </c>
    </row>
    <row r="16" spans="2:10">
      <c r="B16" s="215" t="s">
        <v>3</v>
      </c>
      <c r="C16" s="217"/>
      <c r="D16" s="225">
        <f>I49</f>
        <v>2008</v>
      </c>
      <c r="E16" s="226">
        <v>0.75</v>
      </c>
      <c r="F16" s="226">
        <v>0.9</v>
      </c>
      <c r="G16" s="227">
        <f t="shared" si="0"/>
        <v>1506</v>
      </c>
      <c r="H16" s="228">
        <f t="shared" si="0"/>
        <v>1807.2</v>
      </c>
    </row>
    <row r="17" spans="2:16">
      <c r="B17" s="215" t="s">
        <v>4</v>
      </c>
      <c r="C17" s="217"/>
      <c r="D17" s="225">
        <v>0</v>
      </c>
      <c r="E17" s="226">
        <v>0</v>
      </c>
      <c r="F17" s="226">
        <v>0</v>
      </c>
      <c r="G17" s="227">
        <f t="shared" si="0"/>
        <v>0</v>
      </c>
      <c r="H17" s="228">
        <f t="shared" si="0"/>
        <v>0</v>
      </c>
    </row>
    <row r="18" spans="2:16">
      <c r="B18" s="215" t="s">
        <v>26</v>
      </c>
      <c r="C18" s="217"/>
      <c r="D18" s="225">
        <v>0</v>
      </c>
      <c r="E18" s="226">
        <v>0</v>
      </c>
      <c r="F18" s="226">
        <v>0</v>
      </c>
      <c r="G18" s="227">
        <f t="shared" si="0"/>
        <v>0</v>
      </c>
      <c r="H18" s="228">
        <f t="shared" si="0"/>
        <v>0</v>
      </c>
    </row>
    <row r="19" spans="2:16">
      <c r="B19" s="215" t="s">
        <v>7</v>
      </c>
      <c r="C19" s="217"/>
      <c r="D19" s="225">
        <f>I63</f>
        <v>0</v>
      </c>
      <c r="E19" s="226">
        <v>0.75</v>
      </c>
      <c r="F19" s="226">
        <v>0.9</v>
      </c>
      <c r="G19" s="227">
        <f t="shared" si="0"/>
        <v>0</v>
      </c>
      <c r="H19" s="228">
        <f t="shared" si="0"/>
        <v>0</v>
      </c>
    </row>
    <row r="20" spans="2:16">
      <c r="B20" s="215" t="s">
        <v>27</v>
      </c>
      <c r="C20" s="217"/>
      <c r="D20" s="225">
        <v>0</v>
      </c>
      <c r="E20" s="226">
        <v>0</v>
      </c>
      <c r="F20" s="226">
        <v>0</v>
      </c>
      <c r="G20" s="227">
        <f t="shared" si="0"/>
        <v>0</v>
      </c>
      <c r="H20" s="228">
        <f t="shared" si="0"/>
        <v>0</v>
      </c>
    </row>
    <row r="21" spans="2:16">
      <c r="B21" s="215" t="s">
        <v>5</v>
      </c>
      <c r="C21" s="217"/>
      <c r="D21" s="225">
        <v>0</v>
      </c>
      <c r="E21" s="226">
        <v>0</v>
      </c>
      <c r="F21" s="226">
        <v>0</v>
      </c>
      <c r="G21" s="227">
        <f t="shared" si="0"/>
        <v>0</v>
      </c>
      <c r="H21" s="228">
        <f t="shared" si="0"/>
        <v>0</v>
      </c>
    </row>
    <row r="22" spans="2:16">
      <c r="B22" s="215" t="s">
        <v>20</v>
      </c>
      <c r="C22" s="217"/>
      <c r="D22" s="225">
        <v>0</v>
      </c>
      <c r="E22" s="226">
        <v>0</v>
      </c>
      <c r="F22" s="226">
        <v>0</v>
      </c>
      <c r="G22" s="229">
        <f t="shared" si="0"/>
        <v>0</v>
      </c>
      <c r="H22" s="230">
        <f t="shared" si="0"/>
        <v>0</v>
      </c>
    </row>
    <row r="23" spans="2:16">
      <c r="B23" s="231" t="s">
        <v>19</v>
      </c>
      <c r="C23" s="232"/>
      <c r="D23" s="233">
        <f>SUM(D14:D22)</f>
        <v>2008</v>
      </c>
      <c r="E23" s="234"/>
      <c r="F23" s="234"/>
      <c r="G23" s="233">
        <f t="shared" ref="G23:H23" si="1">SUM(G14:G22)</f>
        <v>1506</v>
      </c>
      <c r="H23" s="235">
        <f t="shared" si="1"/>
        <v>1807.2</v>
      </c>
    </row>
    <row r="24" spans="2:16" s="239" customFormat="1" ht="5.25" customHeight="1">
      <c r="B24" s="236"/>
      <c r="C24" s="236"/>
      <c r="D24" s="237"/>
      <c r="E24" s="238"/>
      <c r="F24" s="238"/>
      <c r="G24" s="238"/>
      <c r="H24" s="238"/>
      <c r="I24" s="238"/>
      <c r="J24" s="238"/>
      <c r="K24" s="237"/>
      <c r="L24" s="237"/>
      <c r="M24" s="237"/>
      <c r="N24" s="237"/>
      <c r="O24" s="237"/>
      <c r="P24" s="237"/>
    </row>
    <row r="25" spans="2:16" ht="5.25" customHeight="1"/>
    <row r="26" spans="2:16" ht="15.75">
      <c r="B26" s="240" t="s">
        <v>28</v>
      </c>
      <c r="I26" s="241"/>
    </row>
    <row r="27" spans="2:16">
      <c r="B27" s="242" t="s">
        <v>32</v>
      </c>
      <c r="C27" s="243"/>
      <c r="D27" s="243"/>
      <c r="E27" s="244"/>
      <c r="F27" s="244"/>
      <c r="G27" s="244"/>
      <c r="H27" s="244"/>
      <c r="I27" s="245"/>
    </row>
    <row r="28" spans="2:16" ht="27.75" customHeight="1">
      <c r="B28" s="246"/>
      <c r="C28" s="247"/>
      <c r="D28" s="1966" t="s">
        <v>220</v>
      </c>
      <c r="E28" s="1967"/>
      <c r="F28" s="1967"/>
      <c r="G28" s="1967"/>
      <c r="H28" s="1967"/>
      <c r="I28" s="248"/>
    </row>
    <row r="29" spans="2:16">
      <c r="B29" s="246"/>
      <c r="C29" s="247"/>
      <c r="D29" s="249"/>
      <c r="E29" s="250"/>
      <c r="F29" s="250"/>
      <c r="G29" s="250"/>
      <c r="H29" s="250"/>
      <c r="I29" s="248"/>
    </row>
    <row r="30" spans="2:16">
      <c r="B30" s="251" t="s">
        <v>41</v>
      </c>
      <c r="C30" s="247"/>
      <c r="D30" s="1964" t="s">
        <v>206</v>
      </c>
      <c r="E30" s="1965"/>
      <c r="F30" s="1965"/>
      <c r="G30" s="1965"/>
      <c r="H30" s="1965"/>
      <c r="I30" s="248"/>
    </row>
    <row r="31" spans="2:16">
      <c r="B31" s="252" t="s">
        <v>40</v>
      </c>
      <c r="C31" s="247"/>
      <c r="D31" s="1964" t="s">
        <v>221</v>
      </c>
      <c r="E31" s="1965"/>
      <c r="F31" s="1965"/>
      <c r="G31" s="1965"/>
      <c r="H31" s="1965"/>
      <c r="I31" s="248"/>
    </row>
    <row r="32" spans="2:16" ht="80.25" customHeight="1">
      <c r="B32" s="252" t="s">
        <v>33</v>
      </c>
      <c r="C32" s="253"/>
      <c r="D32" s="1964" t="s">
        <v>222</v>
      </c>
      <c r="E32" s="1965"/>
      <c r="F32" s="1965"/>
      <c r="G32" s="1965"/>
      <c r="H32" s="1965"/>
      <c r="I32" s="248"/>
    </row>
    <row r="33" spans="2:15" ht="66.75" customHeight="1">
      <c r="B33" s="252" t="s">
        <v>35</v>
      </c>
      <c r="C33" s="253"/>
      <c r="D33" s="1964" t="s">
        <v>209</v>
      </c>
      <c r="E33" s="1965"/>
      <c r="F33" s="1965"/>
      <c r="G33" s="1965"/>
      <c r="H33" s="1965"/>
      <c r="I33" s="248"/>
    </row>
    <row r="34" spans="2:15" ht="36" customHeight="1">
      <c r="B34" s="252" t="s">
        <v>34</v>
      </c>
      <c r="C34" s="253"/>
      <c r="D34" s="1964" t="s">
        <v>210</v>
      </c>
      <c r="E34" s="1965"/>
      <c r="F34" s="1965"/>
      <c r="G34" s="1965"/>
      <c r="H34" s="1965"/>
      <c r="I34" s="248"/>
    </row>
    <row r="35" spans="2:15">
      <c r="B35" s="251"/>
      <c r="C35" s="247"/>
      <c r="D35" s="247"/>
      <c r="E35" s="254"/>
      <c r="F35" s="254"/>
      <c r="G35" s="254"/>
      <c r="H35" s="254"/>
      <c r="I35" s="248"/>
    </row>
    <row r="36" spans="2:15">
      <c r="B36" s="255" t="s">
        <v>25</v>
      </c>
      <c r="C36" s="247"/>
      <c r="D36" s="1968" t="s">
        <v>42</v>
      </c>
      <c r="E36" s="1969"/>
      <c r="F36" s="1969"/>
      <c r="G36" s="1969"/>
      <c r="H36" s="1969"/>
      <c r="I36" s="248"/>
      <c r="J36" s="236"/>
    </row>
    <row r="37" spans="2:15">
      <c r="B37" s="251"/>
      <c r="C37" s="247"/>
      <c r="D37" s="254"/>
      <c r="E37" s="254"/>
      <c r="F37" s="254"/>
      <c r="G37" s="254"/>
      <c r="H37" s="254"/>
      <c r="I37" s="248"/>
    </row>
    <row r="38" spans="2:15">
      <c r="B38" s="255" t="s">
        <v>8</v>
      </c>
      <c r="C38" s="247"/>
      <c r="D38" s="256" t="s">
        <v>38</v>
      </c>
      <c r="E38" s="254"/>
      <c r="F38" s="254"/>
      <c r="G38" s="254"/>
      <c r="H38" s="254"/>
      <c r="I38" s="248"/>
    </row>
    <row r="39" spans="2:15">
      <c r="B39" s="255" t="s">
        <v>9</v>
      </c>
      <c r="C39" s="247"/>
      <c r="D39" s="257">
        <v>1</v>
      </c>
      <c r="E39" s="254"/>
      <c r="F39" s="254"/>
      <c r="G39" s="254"/>
      <c r="H39" s="254"/>
      <c r="I39" s="248"/>
    </row>
    <row r="40" spans="2:15">
      <c r="B40" s="255" t="s">
        <v>10</v>
      </c>
      <c r="C40" s="254"/>
      <c r="D40" s="258">
        <v>0.05</v>
      </c>
      <c r="E40" s="259"/>
      <c r="F40" s="254"/>
      <c r="G40" s="254"/>
      <c r="H40" s="254"/>
      <c r="I40" s="260" t="s">
        <v>6</v>
      </c>
    </row>
    <row r="41" spans="2:15">
      <c r="B41" s="261"/>
      <c r="C41" s="254"/>
      <c r="D41" s="254"/>
      <c r="E41" s="254"/>
      <c r="F41" s="254"/>
      <c r="G41" s="254"/>
      <c r="H41" s="254"/>
      <c r="I41" s="262"/>
      <c r="L41" s="263"/>
      <c r="M41" s="263"/>
      <c r="N41" s="264"/>
      <c r="O41" s="264"/>
    </row>
    <row r="42" spans="2:15">
      <c r="B42" s="246" t="s">
        <v>0</v>
      </c>
      <c r="C42" s="254"/>
      <c r="D42" s="254"/>
      <c r="E42" s="254"/>
      <c r="F42" s="254"/>
      <c r="G42" s="254"/>
      <c r="H42" s="254"/>
      <c r="I42" s="265">
        <v>0</v>
      </c>
      <c r="L42" s="263"/>
      <c r="M42" s="263"/>
      <c r="N42" s="264"/>
      <c r="O42" s="264"/>
    </row>
    <row r="43" spans="2:15" ht="14.25" customHeight="1">
      <c r="B43" s="251" t="s">
        <v>39</v>
      </c>
      <c r="C43" s="254"/>
      <c r="D43" s="266"/>
      <c r="E43" s="254"/>
      <c r="F43" s="254"/>
      <c r="G43" s="254"/>
      <c r="H43" s="254"/>
      <c r="I43" s="265"/>
      <c r="L43" s="263"/>
      <c r="M43" s="264"/>
    </row>
    <row r="44" spans="2:15" ht="6" customHeight="1">
      <c r="B44" s="267"/>
      <c r="C44" s="268"/>
      <c r="D44" s="269"/>
      <c r="E44" s="254"/>
      <c r="F44" s="254"/>
      <c r="G44" s="254"/>
      <c r="H44" s="254"/>
      <c r="I44" s="265"/>
      <c r="L44" s="263"/>
      <c r="M44" s="264"/>
    </row>
    <row r="45" spans="2:15">
      <c r="B45" s="246" t="s">
        <v>2</v>
      </c>
      <c r="C45" s="254"/>
      <c r="D45" s="270"/>
      <c r="E45" s="254"/>
      <c r="F45" s="254"/>
      <c r="G45" s="254"/>
      <c r="H45" s="254"/>
      <c r="I45" s="265">
        <v>0</v>
      </c>
      <c r="L45" s="263"/>
      <c r="M45" s="264"/>
    </row>
    <row r="46" spans="2:15" ht="12.75" customHeight="1">
      <c r="B46" s="1970" t="s">
        <v>39</v>
      </c>
      <c r="C46" s="1967"/>
      <c r="D46" s="1967"/>
      <c r="E46" s="1967"/>
      <c r="F46" s="1967"/>
      <c r="G46" s="1967"/>
      <c r="H46" s="1967"/>
      <c r="I46" s="265"/>
      <c r="L46" s="263"/>
      <c r="M46" s="264"/>
    </row>
    <row r="47" spans="2:15" ht="6" customHeight="1">
      <c r="B47" s="271"/>
      <c r="C47" s="254"/>
      <c r="D47" s="254"/>
      <c r="E47" s="272"/>
      <c r="F47" s="272"/>
      <c r="G47" s="272"/>
      <c r="H47" s="254"/>
      <c r="I47" s="265"/>
      <c r="L47" s="263"/>
      <c r="M47" s="264"/>
    </row>
    <row r="48" spans="2:15" ht="4.5" customHeight="1">
      <c r="B48" s="246"/>
      <c r="C48" s="254"/>
      <c r="D48" s="254"/>
      <c r="E48" s="254"/>
      <c r="F48" s="254"/>
      <c r="G48" s="273"/>
      <c r="H48" s="274"/>
      <c r="I48" s="265"/>
      <c r="L48" s="263"/>
      <c r="M48" s="264"/>
    </row>
    <row r="49" spans="2:15">
      <c r="B49" s="246" t="s">
        <v>3</v>
      </c>
      <c r="C49" s="254"/>
      <c r="D49" s="254"/>
      <c r="E49" s="254"/>
      <c r="F49" s="254"/>
      <c r="G49" s="254"/>
      <c r="H49" s="254"/>
      <c r="I49" s="265">
        <f>$H$56</f>
        <v>2008</v>
      </c>
      <c r="L49" s="263"/>
      <c r="M49" s="264"/>
    </row>
    <row r="50" spans="2:15" ht="24.75" customHeight="1">
      <c r="B50" s="1970" t="s">
        <v>211</v>
      </c>
      <c r="C50" s="1967"/>
      <c r="D50" s="1967"/>
      <c r="E50" s="1967"/>
      <c r="F50" s="1967"/>
      <c r="G50" s="1967"/>
      <c r="H50" s="1967"/>
      <c r="I50" s="265"/>
      <c r="L50" s="263"/>
      <c r="M50" s="264"/>
    </row>
    <row r="51" spans="2:15" ht="12.75" customHeight="1">
      <c r="B51" s="275"/>
      <c r="C51" s="276"/>
      <c r="D51" s="277" t="s">
        <v>212</v>
      </c>
      <c r="E51" s="278" t="s">
        <v>46</v>
      </c>
      <c r="F51" s="278" t="s">
        <v>6</v>
      </c>
      <c r="G51" s="278" t="s">
        <v>47</v>
      </c>
      <c r="H51" s="278" t="s">
        <v>48</v>
      </c>
      <c r="I51" s="265"/>
      <c r="L51" s="263"/>
      <c r="M51" s="264"/>
    </row>
    <row r="52" spans="2:15" ht="12.75" customHeight="1">
      <c r="B52" s="275"/>
      <c r="C52" s="250"/>
      <c r="D52" s="250" t="s">
        <v>213</v>
      </c>
      <c r="E52" s="279" t="s">
        <v>49</v>
      </c>
      <c r="F52" s="280">
        <v>71</v>
      </c>
      <c r="G52" s="250">
        <v>0.5</v>
      </c>
      <c r="H52" s="280">
        <f>F52*G52</f>
        <v>35.5</v>
      </c>
      <c r="I52" s="265"/>
      <c r="L52" s="263"/>
      <c r="M52" s="264"/>
    </row>
    <row r="53" spans="2:15" ht="12.75" customHeight="1">
      <c r="B53" s="275"/>
      <c r="C53" s="250"/>
      <c r="D53" s="250" t="s">
        <v>214</v>
      </c>
      <c r="E53" s="279" t="s">
        <v>49</v>
      </c>
      <c r="F53" s="280">
        <v>87</v>
      </c>
      <c r="G53" s="250">
        <v>6</v>
      </c>
      <c r="H53" s="280">
        <f>F53*G53</f>
        <v>522</v>
      </c>
      <c r="I53" s="265"/>
      <c r="L53" s="263"/>
      <c r="M53" s="264"/>
    </row>
    <row r="54" spans="2:15" ht="12.75" customHeight="1">
      <c r="B54" s="275"/>
      <c r="C54" s="250"/>
      <c r="D54" s="250" t="s">
        <v>215</v>
      </c>
      <c r="E54" s="279" t="s">
        <v>49</v>
      </c>
      <c r="F54" s="280">
        <v>149</v>
      </c>
      <c r="G54" s="250">
        <v>6</v>
      </c>
      <c r="H54" s="280">
        <f>F54*G54</f>
        <v>894</v>
      </c>
      <c r="I54" s="265"/>
      <c r="L54" s="263"/>
      <c r="M54" s="264"/>
    </row>
    <row r="55" spans="2:15" ht="12.75" customHeight="1">
      <c r="B55" s="275"/>
      <c r="C55" s="250"/>
      <c r="D55" s="250" t="s">
        <v>216</v>
      </c>
      <c r="E55" s="279" t="s">
        <v>49</v>
      </c>
      <c r="F55" s="280">
        <v>159</v>
      </c>
      <c r="G55" s="250">
        <v>3.5</v>
      </c>
      <c r="H55" s="280">
        <f>F55*G55</f>
        <v>556.5</v>
      </c>
      <c r="I55" s="265"/>
      <c r="L55" s="263"/>
      <c r="M55" s="264"/>
    </row>
    <row r="56" spans="2:15">
      <c r="B56" s="246" t="s">
        <v>4</v>
      </c>
      <c r="C56" s="254"/>
      <c r="D56" s="254"/>
      <c r="E56" s="254"/>
      <c r="F56" s="254"/>
      <c r="G56" s="254">
        <f>SUM(G52:G55)</f>
        <v>16</v>
      </c>
      <c r="H56" s="281">
        <f>SUM(H52:H55)</f>
        <v>2008</v>
      </c>
      <c r="I56" s="282">
        <v>0</v>
      </c>
      <c r="L56" s="263"/>
      <c r="M56" s="264"/>
    </row>
    <row r="57" spans="2:15" ht="12" customHeight="1">
      <c r="B57" s="251" t="s">
        <v>39</v>
      </c>
      <c r="C57" s="254"/>
      <c r="D57" s="254"/>
      <c r="E57" s="254"/>
      <c r="F57" s="254"/>
      <c r="G57" s="254"/>
      <c r="H57" s="254"/>
      <c r="I57" s="248"/>
      <c r="L57" s="263"/>
      <c r="M57" s="264"/>
    </row>
    <row r="58" spans="2:15" ht="5.25" customHeight="1">
      <c r="B58" s="251"/>
      <c r="C58" s="254"/>
      <c r="D58" s="254"/>
      <c r="E58" s="254"/>
      <c r="F58" s="254"/>
      <c r="G58" s="254"/>
      <c r="H58" s="254"/>
      <c r="I58" s="248"/>
      <c r="L58" s="263"/>
      <c r="M58" s="264"/>
    </row>
    <row r="59" spans="2:15">
      <c r="B59" s="246" t="s">
        <v>26</v>
      </c>
      <c r="C59" s="254"/>
      <c r="D59" s="254"/>
      <c r="E59" s="254"/>
      <c r="F59" s="254"/>
      <c r="G59" s="254"/>
      <c r="H59" s="254"/>
      <c r="I59" s="265">
        <v>0</v>
      </c>
      <c r="L59" s="263"/>
      <c r="M59" s="264"/>
    </row>
    <row r="60" spans="2:15" ht="14.25" customHeight="1">
      <c r="B60" s="1970" t="s">
        <v>39</v>
      </c>
      <c r="C60" s="1971"/>
      <c r="D60" s="1971"/>
      <c r="E60" s="1971"/>
      <c r="F60" s="1971"/>
      <c r="G60" s="1971"/>
      <c r="H60" s="1971"/>
      <c r="I60" s="282"/>
      <c r="L60" s="263"/>
      <c r="M60" s="264"/>
    </row>
    <row r="61" spans="2:15" ht="12" customHeight="1">
      <c r="B61" s="1972"/>
      <c r="C61" s="1934"/>
      <c r="D61" s="1934"/>
      <c r="E61" s="1934"/>
      <c r="F61" s="1934"/>
      <c r="G61" s="1934"/>
      <c r="H61" s="254"/>
      <c r="I61" s="282"/>
      <c r="L61" s="263"/>
      <c r="M61" s="264"/>
    </row>
    <row r="62" spans="2:15" ht="9.75" customHeight="1">
      <c r="B62" s="251"/>
      <c r="C62" s="254"/>
      <c r="D62" s="254"/>
      <c r="E62" s="254"/>
      <c r="F62" s="254"/>
      <c r="G62" s="254"/>
      <c r="H62" s="254"/>
      <c r="I62" s="248"/>
      <c r="L62" s="263"/>
      <c r="M62" s="263"/>
    </row>
    <row r="63" spans="2:15">
      <c r="B63" s="246" t="s">
        <v>7</v>
      </c>
      <c r="C63" s="254"/>
      <c r="D63" s="254"/>
      <c r="E63" s="254"/>
      <c r="F63" s="254"/>
      <c r="G63" s="254"/>
      <c r="H63" s="254"/>
      <c r="I63" s="265">
        <v>0</v>
      </c>
      <c r="L63" s="263"/>
      <c r="M63" s="263"/>
      <c r="N63" s="263"/>
      <c r="O63" s="263"/>
    </row>
    <row r="64" spans="2:15" ht="12" customHeight="1">
      <c r="B64" s="251" t="s">
        <v>39</v>
      </c>
      <c r="C64" s="254"/>
      <c r="D64" s="283"/>
      <c r="E64" s="284"/>
      <c r="F64" s="284"/>
      <c r="G64" s="284"/>
      <c r="H64" s="284"/>
      <c r="I64" s="265"/>
      <c r="L64" s="263"/>
      <c r="M64" s="263"/>
      <c r="N64" s="264"/>
      <c r="O64" s="264"/>
    </row>
    <row r="65" spans="2:15" ht="6" customHeight="1">
      <c r="B65" s="251"/>
      <c r="C65" s="254"/>
      <c r="D65" s="254"/>
      <c r="E65" s="254"/>
      <c r="F65" s="254"/>
      <c r="G65" s="254"/>
      <c r="H65" s="254"/>
      <c r="I65" s="248"/>
      <c r="L65" s="263"/>
      <c r="M65" s="263"/>
      <c r="N65" s="285"/>
      <c r="O65" s="285"/>
    </row>
    <row r="66" spans="2:15">
      <c r="B66" s="246" t="s">
        <v>27</v>
      </c>
      <c r="C66" s="254"/>
      <c r="D66" s="254"/>
      <c r="E66" s="254"/>
      <c r="F66" s="254"/>
      <c r="G66" s="254"/>
      <c r="H66" s="254"/>
      <c r="I66" s="265">
        <v>0</v>
      </c>
      <c r="L66" s="263"/>
      <c r="M66" s="263"/>
      <c r="N66" s="264"/>
      <c r="O66" s="264"/>
    </row>
    <row r="67" spans="2:15" ht="13.5" customHeight="1">
      <c r="B67" s="251" t="s">
        <v>39</v>
      </c>
      <c r="C67" s="254"/>
      <c r="D67" s="254"/>
      <c r="E67" s="254"/>
      <c r="F67" s="254"/>
      <c r="G67" s="254"/>
      <c r="H67" s="254"/>
      <c r="I67" s="286"/>
      <c r="L67" s="263"/>
      <c r="M67" s="263"/>
      <c r="N67" s="285"/>
      <c r="O67" s="285"/>
    </row>
    <row r="68" spans="2:15" ht="3.75" customHeight="1">
      <c r="B68" s="251"/>
      <c r="C68" s="254"/>
      <c r="D68" s="254"/>
      <c r="E68" s="254"/>
      <c r="F68" s="254"/>
      <c r="G68" s="254"/>
      <c r="H68" s="254"/>
      <c r="I68" s="248"/>
      <c r="L68" s="263"/>
      <c r="M68" s="263"/>
      <c r="N68" s="264"/>
      <c r="O68" s="264"/>
    </row>
    <row r="69" spans="2:15">
      <c r="B69" s="246" t="s">
        <v>5</v>
      </c>
      <c r="C69" s="254"/>
      <c r="D69" s="254"/>
      <c r="E69" s="254"/>
      <c r="F69" s="254"/>
      <c r="G69" s="254"/>
      <c r="H69" s="254"/>
      <c r="I69" s="265">
        <v>0</v>
      </c>
      <c r="L69" s="263"/>
      <c r="M69" s="263"/>
      <c r="N69" s="264"/>
      <c r="O69" s="264"/>
    </row>
    <row r="70" spans="2:15" ht="11.25" customHeight="1">
      <c r="B70" s="251" t="s">
        <v>39</v>
      </c>
      <c r="C70" s="254"/>
      <c r="D70" s="254"/>
      <c r="E70" s="254"/>
      <c r="F70" s="254"/>
      <c r="G70" s="254"/>
      <c r="H70" s="254"/>
      <c r="I70" s="286"/>
      <c r="L70" s="263"/>
      <c r="M70" s="263"/>
      <c r="N70" s="263"/>
      <c r="O70" s="263"/>
    </row>
    <row r="71" spans="2:15" ht="4.5" customHeight="1">
      <c r="B71" s="251"/>
      <c r="C71" s="254"/>
      <c r="D71" s="254"/>
      <c r="E71" s="254"/>
      <c r="F71" s="254"/>
      <c r="G71" s="254"/>
      <c r="H71" s="254"/>
      <c r="I71" s="248"/>
      <c r="L71" s="263"/>
      <c r="M71" s="263"/>
      <c r="N71" s="263"/>
      <c r="O71" s="263"/>
    </row>
    <row r="72" spans="2:15">
      <c r="B72" s="246" t="s">
        <v>20</v>
      </c>
      <c r="C72" s="254"/>
      <c r="D72" s="254"/>
      <c r="E72" s="254"/>
      <c r="F72" s="254"/>
      <c r="G72" s="254"/>
      <c r="H72" s="254"/>
      <c r="I72" s="265">
        <v>0</v>
      </c>
      <c r="L72" s="263"/>
      <c r="M72" s="263"/>
      <c r="N72" s="264"/>
      <c r="O72" s="264"/>
    </row>
    <row r="73" spans="2:15" ht="12" customHeight="1">
      <c r="B73" s="251" t="s">
        <v>39</v>
      </c>
      <c r="C73" s="254"/>
      <c r="D73" s="254"/>
      <c r="E73" s="254"/>
      <c r="F73" s="254"/>
      <c r="G73" s="254"/>
      <c r="H73" s="254"/>
      <c r="I73" s="265"/>
      <c r="L73" s="263"/>
      <c r="M73" s="263"/>
      <c r="N73" s="264"/>
      <c r="O73" s="264"/>
    </row>
    <row r="74" spans="2:15" ht="6.75" customHeight="1">
      <c r="B74" s="246"/>
      <c r="C74" s="254"/>
      <c r="D74" s="254"/>
      <c r="E74" s="254"/>
      <c r="F74" s="254"/>
      <c r="G74" s="254"/>
      <c r="H74" s="254"/>
      <c r="I74" s="265"/>
      <c r="L74" s="263"/>
      <c r="M74" s="263"/>
      <c r="N74" s="264"/>
      <c r="O74" s="264"/>
    </row>
    <row r="75" spans="2:15" ht="5.25" customHeight="1">
      <c r="B75" s="261"/>
      <c r="C75" s="254"/>
      <c r="D75" s="254"/>
      <c r="E75" s="254"/>
      <c r="F75" s="254"/>
      <c r="G75" s="254"/>
      <c r="H75" s="254"/>
      <c r="I75" s="248"/>
      <c r="L75" s="263"/>
      <c r="M75" s="263"/>
      <c r="N75" s="263"/>
      <c r="O75" s="263"/>
    </row>
    <row r="76" spans="2:15">
      <c r="B76" s="287" t="s">
        <v>11</v>
      </c>
      <c r="C76" s="288"/>
      <c r="D76" s="288"/>
      <c r="E76" s="288"/>
      <c r="F76" s="288"/>
      <c r="G76" s="288"/>
      <c r="H76" s="288"/>
      <c r="I76" s="289">
        <f>+I72+I69+I66+I63+I59+I56+I49+I45+I42</f>
        <v>2008</v>
      </c>
      <c r="L76" s="263"/>
      <c r="M76" s="263"/>
      <c r="N76" s="263"/>
      <c r="O76" s="263"/>
    </row>
    <row r="99" spans="5:5">
      <c r="E99" s="290"/>
    </row>
    <row r="100" spans="5:5">
      <c r="E100" s="290"/>
    </row>
    <row r="101" spans="5:5">
      <c r="E101" s="290"/>
    </row>
    <row r="102" spans="5:5">
      <c r="E102" s="290"/>
    </row>
    <row r="103" spans="5:5">
      <c r="E103" s="290"/>
    </row>
    <row r="104" spans="5:5">
      <c r="E104" s="290"/>
    </row>
    <row r="106" spans="5:5">
      <c r="E106" s="290"/>
    </row>
    <row r="108" spans="5:5">
      <c r="E108" s="291"/>
    </row>
    <row r="110" spans="5:5">
      <c r="E110" s="290"/>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27.xml><?xml version="1.0" encoding="utf-8"?>
<worksheet xmlns="http://schemas.openxmlformats.org/spreadsheetml/2006/main" xmlns:r="http://schemas.openxmlformats.org/officeDocument/2006/relationships">
  <dimension ref="B1:P111"/>
  <sheetViews>
    <sheetView zoomScaleNormal="100" workbookViewId="0"/>
  </sheetViews>
  <sheetFormatPr defaultRowHeight="12.75"/>
  <cols>
    <col min="1" max="1" width="2.85546875" style="182" customWidth="1"/>
    <col min="2" max="2" width="11.5703125" style="182" customWidth="1"/>
    <col min="3" max="3" width="18.7109375" style="182" customWidth="1"/>
    <col min="4" max="4" width="23.5703125" style="182" customWidth="1"/>
    <col min="5" max="5" width="20.5703125" style="182" customWidth="1"/>
    <col min="6" max="6" width="10.85546875" style="182" customWidth="1"/>
    <col min="7" max="7" width="10.42578125" style="182" customWidth="1"/>
    <col min="8" max="8" width="9.140625" style="182" bestFit="1" customWidth="1"/>
    <col min="9" max="9" width="9.85546875" style="182" customWidth="1"/>
    <col min="10" max="10" width="2.85546875" style="182" customWidth="1"/>
    <col min="11" max="11" width="8.140625" style="182" customWidth="1"/>
    <col min="12" max="12" width="8.42578125" style="182" customWidth="1"/>
    <col min="13" max="14" width="9.140625" style="182"/>
    <col min="15" max="16" width="9" style="182" bestFit="1" customWidth="1"/>
    <col min="17" max="16384" width="9.140625" style="182"/>
  </cols>
  <sheetData>
    <row r="1" spans="2:10" s="179" customFormat="1">
      <c r="B1" s="178" t="s">
        <v>36</v>
      </c>
      <c r="C1" s="178" t="s">
        <v>37</v>
      </c>
      <c r="D1" s="178" t="s">
        <v>29</v>
      </c>
      <c r="E1" s="178" t="s">
        <v>30</v>
      </c>
    </row>
    <row r="2" spans="2:10" ht="38.25">
      <c r="B2" s="180" t="s">
        <v>42</v>
      </c>
      <c r="C2" s="179">
        <v>122</v>
      </c>
      <c r="D2" s="181" t="s">
        <v>201</v>
      </c>
      <c r="E2" s="181" t="s">
        <v>223</v>
      </c>
    </row>
    <row r="3" spans="2:10" ht="15.75">
      <c r="B3" s="183" t="s">
        <v>17</v>
      </c>
      <c r="E3" s="184"/>
    </row>
    <row r="4" spans="2:10">
      <c r="B4" s="185" t="s">
        <v>1</v>
      </c>
      <c r="C4" s="186" t="s">
        <v>21</v>
      </c>
      <c r="D4" s="187"/>
      <c r="E4" s="188"/>
      <c r="F4" s="187"/>
      <c r="G4" s="189" t="s">
        <v>12</v>
      </c>
      <c r="H4" s="190"/>
      <c r="I4" s="190"/>
      <c r="J4" s="191"/>
    </row>
    <row r="5" spans="2:10" ht="25.5">
      <c r="B5" s="192" t="s">
        <v>13</v>
      </c>
      <c r="C5" s="193" t="s">
        <v>22</v>
      </c>
      <c r="D5" s="193" t="s">
        <v>29</v>
      </c>
      <c r="E5" s="194" t="s">
        <v>30</v>
      </c>
      <c r="F5" s="193" t="s">
        <v>23</v>
      </c>
      <c r="G5" s="195" t="s">
        <v>14</v>
      </c>
      <c r="H5" s="196"/>
      <c r="I5" s="196"/>
      <c r="J5" s="191"/>
    </row>
    <row r="6" spans="2:10" ht="38.25">
      <c r="B6" s="197">
        <v>122</v>
      </c>
      <c r="C6" s="198" t="str">
        <f>+E10</f>
        <v>EQIP</v>
      </c>
      <c r="D6" s="199" t="s">
        <v>201</v>
      </c>
      <c r="E6" s="200" t="s">
        <v>223</v>
      </c>
      <c r="F6" s="198" t="s">
        <v>38</v>
      </c>
      <c r="G6" s="201">
        <f>G23</f>
        <v>1865.25</v>
      </c>
      <c r="H6" s="202"/>
      <c r="I6" s="202"/>
      <c r="J6" s="191"/>
    </row>
    <row r="7" spans="2:10" ht="38.25">
      <c r="B7" s="203">
        <v>122</v>
      </c>
      <c r="C7" s="204" t="s">
        <v>15</v>
      </c>
      <c r="D7" s="205" t="s">
        <v>203</v>
      </c>
      <c r="E7" s="206" t="s">
        <v>224</v>
      </c>
      <c r="F7" s="204" t="s">
        <v>38</v>
      </c>
      <c r="G7" s="207">
        <f>$H$23</f>
        <v>2238.3000000000002</v>
      </c>
      <c r="H7" s="202"/>
      <c r="I7" s="191"/>
      <c r="J7" s="191"/>
    </row>
    <row r="8" spans="2:10" ht="14.25" customHeight="1">
      <c r="B8" s="208"/>
      <c r="C8" s="209"/>
      <c r="D8" s="209"/>
      <c r="G8" s="191"/>
      <c r="H8" s="191"/>
      <c r="I8" s="191"/>
      <c r="J8" s="191"/>
    </row>
    <row r="9" spans="2:10" ht="15.75">
      <c r="B9" s="183" t="s">
        <v>18</v>
      </c>
      <c r="C9" s="209"/>
      <c r="D9" s="209"/>
      <c r="G9" s="191"/>
      <c r="H9" s="191"/>
      <c r="I9" s="191"/>
      <c r="J9" s="191"/>
    </row>
    <row r="10" spans="2:10">
      <c r="B10" s="210"/>
      <c r="C10" s="211"/>
      <c r="D10" s="212"/>
      <c r="E10" s="213" t="s">
        <v>15</v>
      </c>
      <c r="F10" s="213" t="s">
        <v>31</v>
      </c>
      <c r="G10" s="213"/>
      <c r="H10" s="214"/>
    </row>
    <row r="11" spans="2:10">
      <c r="B11" s="215"/>
      <c r="C11" s="216"/>
      <c r="D11" s="217"/>
      <c r="E11" s="218" t="s">
        <v>22</v>
      </c>
      <c r="F11" s="218" t="s">
        <v>22</v>
      </c>
      <c r="G11" s="218" t="str">
        <f>+E10</f>
        <v>EQIP</v>
      </c>
      <c r="H11" s="219" t="str">
        <f>+F10</f>
        <v>EQIP-HU</v>
      </c>
    </row>
    <row r="12" spans="2:10">
      <c r="B12" s="220"/>
      <c r="C12" s="217"/>
      <c r="D12" s="217"/>
      <c r="E12" s="218" t="s">
        <v>12</v>
      </c>
      <c r="F12" s="218" t="s">
        <v>12</v>
      </c>
      <c r="G12" s="218" t="s">
        <v>12</v>
      </c>
      <c r="H12" s="219" t="s">
        <v>12</v>
      </c>
    </row>
    <row r="13" spans="2:10">
      <c r="B13" s="221" t="s">
        <v>16</v>
      </c>
      <c r="C13" s="217"/>
      <c r="D13" s="222" t="s">
        <v>6</v>
      </c>
      <c r="E13" s="223" t="s">
        <v>24</v>
      </c>
      <c r="F13" s="223" t="s">
        <v>24</v>
      </c>
      <c r="G13" s="223" t="s">
        <v>14</v>
      </c>
      <c r="H13" s="224" t="s">
        <v>14</v>
      </c>
    </row>
    <row r="14" spans="2:10">
      <c r="B14" s="215" t="s">
        <v>0</v>
      </c>
      <c r="C14" s="217"/>
      <c r="D14" s="225">
        <v>0</v>
      </c>
      <c r="E14" s="226">
        <v>0</v>
      </c>
      <c r="F14" s="226">
        <v>0</v>
      </c>
      <c r="G14" s="227">
        <f>+$D14*E14</f>
        <v>0</v>
      </c>
      <c r="H14" s="228">
        <f>+$D14*F14</f>
        <v>0</v>
      </c>
    </row>
    <row r="15" spans="2:10">
      <c r="B15" s="215" t="s">
        <v>2</v>
      </c>
      <c r="C15" s="217"/>
      <c r="D15" s="225">
        <v>0</v>
      </c>
      <c r="E15" s="226">
        <v>0</v>
      </c>
      <c r="F15" s="226">
        <v>0</v>
      </c>
      <c r="G15" s="227">
        <f t="shared" ref="G15:H22" si="0">+$D15*E15</f>
        <v>0</v>
      </c>
      <c r="H15" s="228">
        <f t="shared" si="0"/>
        <v>0</v>
      </c>
    </row>
    <row r="16" spans="2:10">
      <c r="B16" s="215" t="s">
        <v>3</v>
      </c>
      <c r="C16" s="217"/>
      <c r="D16" s="225">
        <f>I49</f>
        <v>2487</v>
      </c>
      <c r="E16" s="226">
        <v>0.75</v>
      </c>
      <c r="F16" s="226">
        <v>0.9</v>
      </c>
      <c r="G16" s="227">
        <f t="shared" si="0"/>
        <v>1865.25</v>
      </c>
      <c r="H16" s="228">
        <f t="shared" si="0"/>
        <v>2238.3000000000002</v>
      </c>
    </row>
    <row r="17" spans="2:16">
      <c r="B17" s="215" t="s">
        <v>4</v>
      </c>
      <c r="C17" s="217"/>
      <c r="D17" s="225">
        <v>0</v>
      </c>
      <c r="E17" s="226">
        <v>0</v>
      </c>
      <c r="F17" s="226">
        <v>0</v>
      </c>
      <c r="G17" s="227">
        <f t="shared" si="0"/>
        <v>0</v>
      </c>
      <c r="H17" s="228">
        <f t="shared" si="0"/>
        <v>0</v>
      </c>
    </row>
    <row r="18" spans="2:16">
      <c r="B18" s="215" t="s">
        <v>26</v>
      </c>
      <c r="C18" s="217"/>
      <c r="D18" s="225">
        <v>0</v>
      </c>
      <c r="E18" s="226">
        <v>0</v>
      </c>
      <c r="F18" s="226">
        <v>0</v>
      </c>
      <c r="G18" s="227">
        <f t="shared" si="0"/>
        <v>0</v>
      </c>
      <c r="H18" s="228">
        <f t="shared" si="0"/>
        <v>0</v>
      </c>
    </row>
    <row r="19" spans="2:16">
      <c r="B19" s="215" t="s">
        <v>7</v>
      </c>
      <c r="C19" s="217"/>
      <c r="D19" s="225">
        <f>I63</f>
        <v>0</v>
      </c>
      <c r="E19" s="226">
        <v>0.75</v>
      </c>
      <c r="F19" s="226">
        <v>0.9</v>
      </c>
      <c r="G19" s="227">
        <f t="shared" si="0"/>
        <v>0</v>
      </c>
      <c r="H19" s="228">
        <f t="shared" si="0"/>
        <v>0</v>
      </c>
    </row>
    <row r="20" spans="2:16">
      <c r="B20" s="215" t="s">
        <v>27</v>
      </c>
      <c r="C20" s="217"/>
      <c r="D20" s="225">
        <v>0</v>
      </c>
      <c r="E20" s="226">
        <v>0</v>
      </c>
      <c r="F20" s="226">
        <v>0</v>
      </c>
      <c r="G20" s="227">
        <f t="shared" si="0"/>
        <v>0</v>
      </c>
      <c r="H20" s="228">
        <f t="shared" si="0"/>
        <v>0</v>
      </c>
    </row>
    <row r="21" spans="2:16">
      <c r="B21" s="215" t="s">
        <v>5</v>
      </c>
      <c r="C21" s="217"/>
      <c r="D21" s="225">
        <v>0</v>
      </c>
      <c r="E21" s="226">
        <v>0</v>
      </c>
      <c r="F21" s="226">
        <v>0</v>
      </c>
      <c r="G21" s="227">
        <f t="shared" si="0"/>
        <v>0</v>
      </c>
      <c r="H21" s="228">
        <f t="shared" si="0"/>
        <v>0</v>
      </c>
    </row>
    <row r="22" spans="2:16">
      <c r="B22" s="215" t="s">
        <v>20</v>
      </c>
      <c r="C22" s="217"/>
      <c r="D22" s="225">
        <v>0</v>
      </c>
      <c r="E22" s="226">
        <v>0</v>
      </c>
      <c r="F22" s="226">
        <v>0</v>
      </c>
      <c r="G22" s="229">
        <f t="shared" si="0"/>
        <v>0</v>
      </c>
      <c r="H22" s="230">
        <f t="shared" si="0"/>
        <v>0</v>
      </c>
    </row>
    <row r="23" spans="2:16">
      <c r="B23" s="231" t="s">
        <v>19</v>
      </c>
      <c r="C23" s="232"/>
      <c r="D23" s="233">
        <f>SUM(D14:D22)</f>
        <v>2487</v>
      </c>
      <c r="E23" s="234"/>
      <c r="F23" s="234"/>
      <c r="G23" s="233">
        <f t="shared" ref="G23:H23" si="1">SUM(G14:G22)</f>
        <v>1865.25</v>
      </c>
      <c r="H23" s="235">
        <f t="shared" si="1"/>
        <v>2238.3000000000002</v>
      </c>
    </row>
    <row r="24" spans="2:16" s="239" customFormat="1" ht="5.25" customHeight="1">
      <c r="B24" s="236"/>
      <c r="C24" s="236"/>
      <c r="D24" s="237"/>
      <c r="E24" s="238"/>
      <c r="F24" s="238"/>
      <c r="G24" s="238"/>
      <c r="H24" s="238"/>
      <c r="I24" s="238"/>
      <c r="J24" s="238"/>
      <c r="K24" s="237"/>
      <c r="L24" s="237"/>
      <c r="M24" s="237"/>
      <c r="N24" s="237"/>
      <c r="O24" s="237"/>
      <c r="P24" s="237"/>
    </row>
    <row r="25" spans="2:16" ht="5.25" customHeight="1"/>
    <row r="26" spans="2:16" ht="15.75">
      <c r="B26" s="240" t="s">
        <v>28</v>
      </c>
      <c r="I26" s="241"/>
    </row>
    <row r="27" spans="2:16">
      <c r="B27" s="242" t="s">
        <v>32</v>
      </c>
      <c r="C27" s="243"/>
      <c r="D27" s="243"/>
      <c r="E27" s="244"/>
      <c r="F27" s="244"/>
      <c r="G27" s="244"/>
      <c r="H27" s="244"/>
      <c r="I27" s="245"/>
    </row>
    <row r="28" spans="2:16" ht="24" customHeight="1">
      <c r="B28" s="246"/>
      <c r="C28" s="247"/>
      <c r="D28" s="1966" t="s">
        <v>225</v>
      </c>
      <c r="E28" s="1967"/>
      <c r="F28" s="1967"/>
      <c r="G28" s="1967"/>
      <c r="H28" s="1967"/>
      <c r="I28" s="248"/>
    </row>
    <row r="29" spans="2:16">
      <c r="B29" s="246"/>
      <c r="C29" s="247"/>
      <c r="D29" s="249"/>
      <c r="E29" s="250"/>
      <c r="F29" s="250"/>
      <c r="G29" s="250"/>
      <c r="H29" s="250"/>
      <c r="I29" s="248"/>
    </row>
    <row r="30" spans="2:16">
      <c r="B30" s="251" t="s">
        <v>41</v>
      </c>
      <c r="C30" s="247"/>
      <c r="D30" s="1964" t="s">
        <v>206</v>
      </c>
      <c r="E30" s="1965"/>
      <c r="F30" s="1965"/>
      <c r="G30" s="1965"/>
      <c r="H30" s="1965"/>
      <c r="I30" s="248"/>
    </row>
    <row r="31" spans="2:16">
      <c r="B31" s="252" t="s">
        <v>40</v>
      </c>
      <c r="C31" s="247"/>
      <c r="D31" s="1964" t="s">
        <v>226</v>
      </c>
      <c r="E31" s="1965"/>
      <c r="F31" s="1965"/>
      <c r="G31" s="1965"/>
      <c r="H31" s="1965"/>
      <c r="I31" s="248"/>
    </row>
    <row r="32" spans="2:16" ht="80.25" customHeight="1">
      <c r="B32" s="252" t="s">
        <v>33</v>
      </c>
      <c r="C32" s="253"/>
      <c r="D32" s="1964" t="s">
        <v>227</v>
      </c>
      <c r="E32" s="1965"/>
      <c r="F32" s="1965"/>
      <c r="G32" s="1965"/>
      <c r="H32" s="1965"/>
      <c r="I32" s="248"/>
    </row>
    <row r="33" spans="2:15" ht="66.75" customHeight="1">
      <c r="B33" s="252" t="s">
        <v>35</v>
      </c>
      <c r="C33" s="253"/>
      <c r="D33" s="1964" t="s">
        <v>209</v>
      </c>
      <c r="E33" s="1965"/>
      <c r="F33" s="1965"/>
      <c r="G33" s="1965"/>
      <c r="H33" s="1965"/>
      <c r="I33" s="248"/>
    </row>
    <row r="34" spans="2:15" ht="36" customHeight="1">
      <c r="B34" s="252" t="s">
        <v>34</v>
      </c>
      <c r="C34" s="253"/>
      <c r="D34" s="1964" t="s">
        <v>210</v>
      </c>
      <c r="E34" s="1965"/>
      <c r="F34" s="1965"/>
      <c r="G34" s="1965"/>
      <c r="H34" s="1965"/>
      <c r="I34" s="248"/>
    </row>
    <row r="35" spans="2:15">
      <c r="B35" s="251"/>
      <c r="C35" s="247"/>
      <c r="D35" s="247"/>
      <c r="E35" s="254"/>
      <c r="F35" s="254"/>
      <c r="G35" s="254"/>
      <c r="H35" s="254"/>
      <c r="I35" s="248"/>
    </row>
    <row r="36" spans="2:15">
      <c r="B36" s="255" t="s">
        <v>25</v>
      </c>
      <c r="C36" s="247"/>
      <c r="D36" s="1968" t="s">
        <v>42</v>
      </c>
      <c r="E36" s="1969"/>
      <c r="F36" s="1969"/>
      <c r="G36" s="1969"/>
      <c r="H36" s="1969"/>
      <c r="I36" s="248"/>
      <c r="J36" s="236"/>
    </row>
    <row r="37" spans="2:15">
      <c r="B37" s="251"/>
      <c r="C37" s="247"/>
      <c r="D37" s="254"/>
      <c r="E37" s="254"/>
      <c r="F37" s="254"/>
      <c r="G37" s="254"/>
      <c r="H37" s="254"/>
      <c r="I37" s="248"/>
    </row>
    <row r="38" spans="2:15">
      <c r="B38" s="255" t="s">
        <v>8</v>
      </c>
      <c r="C38" s="247"/>
      <c r="D38" s="256" t="s">
        <v>38</v>
      </c>
      <c r="E38" s="254"/>
      <c r="F38" s="254"/>
      <c r="G38" s="254"/>
      <c r="H38" s="254"/>
      <c r="I38" s="248"/>
    </row>
    <row r="39" spans="2:15">
      <c r="B39" s="255" t="s">
        <v>9</v>
      </c>
      <c r="C39" s="247"/>
      <c r="D39" s="257">
        <v>1</v>
      </c>
      <c r="E39" s="254"/>
      <c r="F39" s="254"/>
      <c r="G39" s="254"/>
      <c r="H39" s="254"/>
      <c r="I39" s="248"/>
    </row>
    <row r="40" spans="2:15">
      <c r="B40" s="255" t="s">
        <v>10</v>
      </c>
      <c r="C40" s="254"/>
      <c r="D40" s="258">
        <v>0.05</v>
      </c>
      <c r="E40" s="259"/>
      <c r="F40" s="254"/>
      <c r="G40" s="254"/>
      <c r="H40" s="254"/>
      <c r="I40" s="260" t="s">
        <v>6</v>
      </c>
    </row>
    <row r="41" spans="2:15">
      <c r="B41" s="261"/>
      <c r="C41" s="254"/>
      <c r="D41" s="254"/>
      <c r="E41" s="254"/>
      <c r="F41" s="254"/>
      <c r="G41" s="254"/>
      <c r="H41" s="254"/>
      <c r="I41" s="262"/>
      <c r="L41" s="263"/>
      <c r="M41" s="263"/>
      <c r="N41" s="264"/>
      <c r="O41" s="264"/>
    </row>
    <row r="42" spans="2:15">
      <c r="B42" s="246" t="s">
        <v>0</v>
      </c>
      <c r="C42" s="254"/>
      <c r="D42" s="254"/>
      <c r="E42" s="254"/>
      <c r="F42" s="254"/>
      <c r="G42" s="254"/>
      <c r="H42" s="254"/>
      <c r="I42" s="265">
        <v>0</v>
      </c>
      <c r="L42" s="263"/>
      <c r="M42" s="263"/>
      <c r="N42" s="264"/>
      <c r="O42" s="264"/>
    </row>
    <row r="43" spans="2:15" ht="14.25" customHeight="1">
      <c r="B43" s="251" t="s">
        <v>39</v>
      </c>
      <c r="C43" s="254"/>
      <c r="D43" s="266"/>
      <c r="E43" s="254"/>
      <c r="F43" s="254"/>
      <c r="G43" s="254"/>
      <c r="H43" s="254"/>
      <c r="I43" s="265"/>
      <c r="L43" s="263"/>
      <c r="M43" s="264"/>
    </row>
    <row r="44" spans="2:15" ht="6" customHeight="1">
      <c r="B44" s="267"/>
      <c r="C44" s="268"/>
      <c r="D44" s="269"/>
      <c r="E44" s="254"/>
      <c r="F44" s="254"/>
      <c r="G44" s="254"/>
      <c r="H44" s="254"/>
      <c r="I44" s="265"/>
      <c r="L44" s="263"/>
      <c r="M44" s="264"/>
    </row>
    <row r="45" spans="2:15">
      <c r="B45" s="246" t="s">
        <v>2</v>
      </c>
      <c r="C45" s="254"/>
      <c r="D45" s="270"/>
      <c r="E45" s="254"/>
      <c r="F45" s="254"/>
      <c r="G45" s="254"/>
      <c r="H45" s="254"/>
      <c r="I45" s="265">
        <v>0</v>
      </c>
      <c r="L45" s="263"/>
      <c r="M45" s="264"/>
    </row>
    <row r="46" spans="2:15" ht="12.75" customHeight="1">
      <c r="B46" s="1970" t="s">
        <v>39</v>
      </c>
      <c r="C46" s="1967"/>
      <c r="D46" s="1967"/>
      <c r="E46" s="1967"/>
      <c r="F46" s="1967"/>
      <c r="G46" s="1967"/>
      <c r="H46" s="1967"/>
      <c r="I46" s="265"/>
      <c r="L46" s="263"/>
      <c r="M46" s="264"/>
    </row>
    <row r="47" spans="2:15" ht="6" customHeight="1">
      <c r="B47" s="271"/>
      <c r="C47" s="254"/>
      <c r="D47" s="254"/>
      <c r="E47" s="272"/>
      <c r="F47" s="272"/>
      <c r="G47" s="272"/>
      <c r="H47" s="254"/>
      <c r="I47" s="265"/>
      <c r="L47" s="263"/>
      <c r="M47" s="264"/>
    </row>
    <row r="48" spans="2:15" ht="4.5" customHeight="1">
      <c r="B48" s="246"/>
      <c r="C48" s="254"/>
      <c r="D48" s="254"/>
      <c r="E48" s="254"/>
      <c r="F48" s="254"/>
      <c r="G48" s="273"/>
      <c r="H48" s="274"/>
      <c r="I48" s="265"/>
      <c r="L48" s="263"/>
      <c r="M48" s="264"/>
    </row>
    <row r="49" spans="2:15">
      <c r="B49" s="246" t="s">
        <v>3</v>
      </c>
      <c r="C49" s="254"/>
      <c r="D49" s="254"/>
      <c r="E49" s="254"/>
      <c r="F49" s="254"/>
      <c r="G49" s="254"/>
      <c r="H49" s="254"/>
      <c r="I49" s="265">
        <f>$H$56</f>
        <v>2487</v>
      </c>
      <c r="L49" s="263"/>
      <c r="M49" s="264"/>
    </row>
    <row r="50" spans="2:15" ht="24.75" customHeight="1">
      <c r="B50" s="1970" t="s">
        <v>211</v>
      </c>
      <c r="C50" s="1967"/>
      <c r="D50" s="1967"/>
      <c r="E50" s="1967"/>
      <c r="F50" s="1967"/>
      <c r="G50" s="1967"/>
      <c r="H50" s="1967"/>
      <c r="I50" s="265"/>
      <c r="L50" s="263"/>
      <c r="M50" s="264"/>
    </row>
    <row r="51" spans="2:15" ht="12.75" customHeight="1">
      <c r="B51" s="275"/>
      <c r="C51" s="276"/>
      <c r="D51" s="277" t="s">
        <v>212</v>
      </c>
      <c r="E51" s="278" t="s">
        <v>46</v>
      </c>
      <c r="F51" s="278" t="s">
        <v>6</v>
      </c>
      <c r="G51" s="278" t="s">
        <v>47</v>
      </c>
      <c r="H51" s="278" t="s">
        <v>48</v>
      </c>
      <c r="I51" s="265"/>
      <c r="L51" s="263"/>
      <c r="M51" s="264"/>
    </row>
    <row r="52" spans="2:15" ht="12.75" customHeight="1">
      <c r="B52" s="275"/>
      <c r="C52" s="250"/>
      <c r="D52" s="250" t="s">
        <v>213</v>
      </c>
      <c r="E52" s="279" t="s">
        <v>49</v>
      </c>
      <c r="F52" s="280">
        <v>71</v>
      </c>
      <c r="G52" s="250">
        <v>1</v>
      </c>
      <c r="H52" s="280">
        <f>F52*G52</f>
        <v>71</v>
      </c>
      <c r="I52" s="265"/>
      <c r="L52" s="263"/>
      <c r="M52" s="264"/>
    </row>
    <row r="53" spans="2:15" ht="12.75" customHeight="1">
      <c r="B53" s="275"/>
      <c r="C53" s="250"/>
      <c r="D53" s="250" t="s">
        <v>214</v>
      </c>
      <c r="E53" s="279" t="s">
        <v>49</v>
      </c>
      <c r="F53" s="280">
        <v>87</v>
      </c>
      <c r="G53" s="250">
        <v>7.5</v>
      </c>
      <c r="H53" s="280">
        <f>F53*G53</f>
        <v>652.5</v>
      </c>
      <c r="I53" s="265"/>
      <c r="L53" s="263"/>
      <c r="M53" s="264"/>
    </row>
    <row r="54" spans="2:15" ht="12.75" customHeight="1">
      <c r="B54" s="275"/>
      <c r="C54" s="250"/>
      <c r="D54" s="250" t="s">
        <v>215</v>
      </c>
      <c r="E54" s="279" t="s">
        <v>49</v>
      </c>
      <c r="F54" s="280">
        <v>149</v>
      </c>
      <c r="G54" s="250">
        <v>6.5</v>
      </c>
      <c r="H54" s="280">
        <f>F54*G54</f>
        <v>968.5</v>
      </c>
      <c r="I54" s="265"/>
      <c r="L54" s="263"/>
      <c r="M54" s="264"/>
    </row>
    <row r="55" spans="2:15" ht="12.75" customHeight="1">
      <c r="B55" s="275"/>
      <c r="C55" s="250"/>
      <c r="D55" s="250" t="s">
        <v>216</v>
      </c>
      <c r="E55" s="279" t="s">
        <v>49</v>
      </c>
      <c r="F55" s="280">
        <v>159</v>
      </c>
      <c r="G55" s="250">
        <v>5</v>
      </c>
      <c r="H55" s="280">
        <f>F55*G55</f>
        <v>795</v>
      </c>
      <c r="I55" s="265"/>
      <c r="L55" s="263"/>
      <c r="M55" s="264"/>
    </row>
    <row r="56" spans="2:15">
      <c r="B56" s="246" t="s">
        <v>4</v>
      </c>
      <c r="C56" s="254"/>
      <c r="D56" s="254"/>
      <c r="E56" s="254"/>
      <c r="F56" s="254"/>
      <c r="G56" s="254">
        <f>SUM(G52:G55)</f>
        <v>20</v>
      </c>
      <c r="H56" s="281">
        <f>SUM(H52:H55)</f>
        <v>2487</v>
      </c>
      <c r="I56" s="282">
        <v>0</v>
      </c>
      <c r="L56" s="263"/>
      <c r="M56" s="264"/>
    </row>
    <row r="57" spans="2:15" ht="12" customHeight="1">
      <c r="B57" s="251" t="s">
        <v>39</v>
      </c>
      <c r="C57" s="254"/>
      <c r="D57" s="254"/>
      <c r="E57" s="254"/>
      <c r="F57" s="254"/>
      <c r="G57" s="254"/>
      <c r="H57" s="254"/>
      <c r="I57" s="248"/>
      <c r="L57" s="263"/>
      <c r="M57" s="264"/>
    </row>
    <row r="58" spans="2:15" ht="5.25" customHeight="1">
      <c r="B58" s="251"/>
      <c r="C58" s="254"/>
      <c r="D58" s="254"/>
      <c r="E58" s="254"/>
      <c r="F58" s="254"/>
      <c r="G58" s="254"/>
      <c r="H58" s="254"/>
      <c r="I58" s="248"/>
      <c r="L58" s="263"/>
      <c r="M58" s="264"/>
    </row>
    <row r="59" spans="2:15">
      <c r="B59" s="246" t="s">
        <v>26</v>
      </c>
      <c r="C59" s="254"/>
      <c r="D59" s="254"/>
      <c r="E59" s="254"/>
      <c r="F59" s="254"/>
      <c r="G59" s="254"/>
      <c r="H59" s="254"/>
      <c r="I59" s="265">
        <v>0</v>
      </c>
      <c r="L59" s="263"/>
      <c r="M59" s="264"/>
    </row>
    <row r="60" spans="2:15" ht="14.25" customHeight="1">
      <c r="B60" s="1970" t="s">
        <v>39</v>
      </c>
      <c r="C60" s="1971"/>
      <c r="D60" s="1971"/>
      <c r="E60" s="1971"/>
      <c r="F60" s="1971"/>
      <c r="G60" s="1971"/>
      <c r="H60" s="1971"/>
      <c r="I60" s="282"/>
      <c r="L60" s="263"/>
      <c r="M60" s="264"/>
    </row>
    <row r="61" spans="2:15" ht="12" customHeight="1">
      <c r="B61" s="1972"/>
      <c r="C61" s="1934"/>
      <c r="D61" s="1934"/>
      <c r="E61" s="1934"/>
      <c r="F61" s="1934"/>
      <c r="G61" s="1934"/>
      <c r="H61" s="254"/>
      <c r="I61" s="282"/>
      <c r="L61" s="263"/>
      <c r="M61" s="264"/>
    </row>
    <row r="62" spans="2:15" ht="9.75" customHeight="1">
      <c r="B62" s="251"/>
      <c r="C62" s="254"/>
      <c r="D62" s="254"/>
      <c r="E62" s="254"/>
      <c r="F62" s="254"/>
      <c r="G62" s="254"/>
      <c r="H62" s="254"/>
      <c r="I62" s="248"/>
      <c r="L62" s="263"/>
      <c r="M62" s="263"/>
    </row>
    <row r="63" spans="2:15">
      <c r="B63" s="246" t="s">
        <v>7</v>
      </c>
      <c r="C63" s="254"/>
      <c r="D63" s="254"/>
      <c r="E63" s="254"/>
      <c r="F63" s="254"/>
      <c r="G63" s="254"/>
      <c r="H63" s="254"/>
      <c r="I63" s="265">
        <v>0</v>
      </c>
      <c r="L63" s="263"/>
      <c r="M63" s="263"/>
      <c r="N63" s="263"/>
      <c r="O63" s="263"/>
    </row>
    <row r="64" spans="2:15">
      <c r="B64" s="251" t="s">
        <v>39</v>
      </c>
      <c r="C64" s="254"/>
      <c r="D64" s="254"/>
      <c r="E64" s="254"/>
      <c r="F64" s="254"/>
      <c r="G64" s="254"/>
      <c r="H64" s="254"/>
      <c r="I64" s="265"/>
      <c r="L64" s="263"/>
      <c r="M64" s="263"/>
      <c r="N64" s="263"/>
      <c r="O64" s="263"/>
    </row>
    <row r="65" spans="2:15" ht="12" customHeight="1">
      <c r="B65" s="271"/>
      <c r="C65" s="254"/>
      <c r="D65" s="283"/>
      <c r="E65" s="284"/>
      <c r="F65" s="284"/>
      <c r="G65" s="284"/>
      <c r="H65" s="284"/>
      <c r="I65" s="248"/>
      <c r="L65" s="263"/>
      <c r="M65" s="263"/>
      <c r="N65" s="264"/>
      <c r="O65" s="264"/>
    </row>
    <row r="66" spans="2:15" ht="6" customHeight="1">
      <c r="B66" s="251"/>
      <c r="C66" s="254"/>
      <c r="D66" s="254"/>
      <c r="E66" s="254"/>
      <c r="F66" s="254"/>
      <c r="G66" s="254"/>
      <c r="H66" s="254"/>
      <c r="I66" s="248"/>
      <c r="L66" s="263"/>
      <c r="M66" s="263"/>
      <c r="N66" s="285"/>
      <c r="O66" s="285"/>
    </row>
    <row r="67" spans="2:15">
      <c r="B67" s="246" t="s">
        <v>27</v>
      </c>
      <c r="C67" s="254"/>
      <c r="D67" s="254"/>
      <c r="E67" s="254"/>
      <c r="F67" s="254"/>
      <c r="G67" s="254"/>
      <c r="H67" s="254"/>
      <c r="I67" s="265">
        <v>0</v>
      </c>
      <c r="L67" s="263"/>
      <c r="M67" s="263"/>
      <c r="N67" s="264"/>
      <c r="O67" s="264"/>
    </row>
    <row r="68" spans="2:15" ht="13.5" customHeight="1">
      <c r="B68" s="251" t="s">
        <v>39</v>
      </c>
      <c r="C68" s="254"/>
      <c r="D68" s="254"/>
      <c r="E68" s="254"/>
      <c r="F68" s="254"/>
      <c r="G68" s="254"/>
      <c r="H68" s="254"/>
      <c r="I68" s="286"/>
      <c r="L68" s="263"/>
      <c r="M68" s="263"/>
      <c r="N68" s="285"/>
      <c r="O68" s="285"/>
    </row>
    <row r="69" spans="2:15" ht="3.75" customHeight="1">
      <c r="B69" s="251"/>
      <c r="C69" s="254"/>
      <c r="D69" s="254"/>
      <c r="E69" s="254"/>
      <c r="F69" s="254"/>
      <c r="G69" s="254"/>
      <c r="H69" s="254"/>
      <c r="I69" s="248"/>
      <c r="L69" s="263"/>
      <c r="M69" s="263"/>
      <c r="N69" s="264"/>
      <c r="O69" s="264"/>
    </row>
    <row r="70" spans="2:15">
      <c r="B70" s="246" t="s">
        <v>5</v>
      </c>
      <c r="C70" s="254"/>
      <c r="D70" s="254"/>
      <c r="E70" s="254"/>
      <c r="F70" s="254"/>
      <c r="G70" s="254"/>
      <c r="H70" s="254"/>
      <c r="I70" s="265">
        <v>0</v>
      </c>
      <c r="L70" s="263"/>
      <c r="M70" s="263"/>
      <c r="N70" s="264"/>
      <c r="O70" s="264"/>
    </row>
    <row r="71" spans="2:15" ht="11.25" customHeight="1">
      <c r="B71" s="251" t="s">
        <v>39</v>
      </c>
      <c r="C71" s="254"/>
      <c r="D71" s="254"/>
      <c r="E71" s="254"/>
      <c r="F71" s="254"/>
      <c r="G71" s="254"/>
      <c r="H71" s="254"/>
      <c r="I71" s="286"/>
      <c r="L71" s="263"/>
      <c r="M71" s="263"/>
      <c r="N71" s="263"/>
      <c r="O71" s="263"/>
    </row>
    <row r="72" spans="2:15" ht="4.5" customHeight="1">
      <c r="B72" s="251"/>
      <c r="C72" s="254"/>
      <c r="D72" s="254"/>
      <c r="E72" s="254"/>
      <c r="F72" s="254"/>
      <c r="G72" s="254"/>
      <c r="H72" s="254"/>
      <c r="I72" s="248"/>
      <c r="L72" s="263"/>
      <c r="M72" s="263"/>
      <c r="N72" s="263"/>
      <c r="O72" s="263"/>
    </row>
    <row r="73" spans="2:15">
      <c r="B73" s="246" t="s">
        <v>20</v>
      </c>
      <c r="C73" s="254"/>
      <c r="D73" s="254"/>
      <c r="E73" s="254"/>
      <c r="F73" s="254"/>
      <c r="G73" s="254"/>
      <c r="H73" s="254"/>
      <c r="I73" s="265">
        <v>0</v>
      </c>
      <c r="L73" s="263"/>
      <c r="M73" s="263"/>
      <c r="N73" s="264"/>
      <c r="O73" s="264"/>
    </row>
    <row r="74" spans="2:15" ht="12" customHeight="1">
      <c r="B74" s="251" t="s">
        <v>39</v>
      </c>
      <c r="C74" s="254"/>
      <c r="D74" s="254"/>
      <c r="E74" s="254"/>
      <c r="F74" s="254"/>
      <c r="G74" s="254"/>
      <c r="H74" s="254"/>
      <c r="I74" s="265"/>
      <c r="L74" s="263"/>
      <c r="M74" s="263"/>
      <c r="N74" s="264"/>
      <c r="O74" s="264"/>
    </row>
    <row r="75" spans="2:15" ht="6.75" customHeight="1">
      <c r="B75" s="246"/>
      <c r="C75" s="254"/>
      <c r="D75" s="254"/>
      <c r="E75" s="254"/>
      <c r="F75" s="254"/>
      <c r="G75" s="254"/>
      <c r="H75" s="254"/>
      <c r="I75" s="265"/>
      <c r="L75" s="263"/>
      <c r="M75" s="263"/>
      <c r="N75" s="264"/>
      <c r="O75" s="264"/>
    </row>
    <row r="76" spans="2:15" ht="5.25" customHeight="1">
      <c r="B76" s="261"/>
      <c r="C76" s="254"/>
      <c r="D76" s="254"/>
      <c r="E76" s="254"/>
      <c r="F76" s="254"/>
      <c r="G76" s="254"/>
      <c r="H76" s="254"/>
      <c r="I76" s="292"/>
      <c r="L76" s="263"/>
      <c r="M76" s="263"/>
      <c r="N76" s="263"/>
      <c r="O76" s="263"/>
    </row>
    <row r="77" spans="2:15">
      <c r="B77" s="287" t="s">
        <v>11</v>
      </c>
      <c r="C77" s="288"/>
      <c r="D77" s="288"/>
      <c r="E77" s="288"/>
      <c r="F77" s="288"/>
      <c r="G77" s="288"/>
      <c r="H77" s="288"/>
      <c r="I77" s="293">
        <f>+I73+I70+I67+I63+I59+I56+I49+I45+I42</f>
        <v>2487</v>
      </c>
      <c r="L77" s="263"/>
      <c r="M77" s="263"/>
      <c r="N77" s="263"/>
      <c r="O77" s="263"/>
    </row>
    <row r="100" spans="5:5">
      <c r="E100" s="290"/>
    </row>
    <row r="101" spans="5:5">
      <c r="E101" s="290"/>
    </row>
    <row r="102" spans="5:5">
      <c r="E102" s="290"/>
    </row>
    <row r="103" spans="5:5">
      <c r="E103" s="290"/>
    </row>
    <row r="104" spans="5:5">
      <c r="E104" s="290"/>
    </row>
    <row r="105" spans="5:5">
      <c r="E105" s="290"/>
    </row>
    <row r="107" spans="5:5">
      <c r="E107" s="290"/>
    </row>
    <row r="109" spans="5:5">
      <c r="E109" s="291"/>
    </row>
    <row r="111" spans="5:5">
      <c r="E111" s="290"/>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28.xml><?xml version="1.0" encoding="utf-8"?>
<worksheet xmlns="http://schemas.openxmlformats.org/spreadsheetml/2006/main" xmlns:r="http://schemas.openxmlformats.org/officeDocument/2006/relationships">
  <dimension ref="B1:P110"/>
  <sheetViews>
    <sheetView zoomScaleNormal="100" workbookViewId="0"/>
  </sheetViews>
  <sheetFormatPr defaultRowHeight="12.75"/>
  <cols>
    <col min="1" max="1" width="2.85546875" style="182" customWidth="1"/>
    <col min="2" max="2" width="11.5703125" style="182" customWidth="1"/>
    <col min="3" max="3" width="18.7109375" style="182" customWidth="1"/>
    <col min="4" max="4" width="23.5703125" style="182" customWidth="1"/>
    <col min="5" max="5" width="20.5703125" style="182" customWidth="1"/>
    <col min="6" max="6" width="10.85546875" style="182" customWidth="1"/>
    <col min="7" max="7" width="10.42578125" style="182" customWidth="1"/>
    <col min="8" max="8" width="9.140625" style="182" bestFit="1" customWidth="1"/>
    <col min="9" max="9" width="9.85546875" style="182" customWidth="1"/>
    <col min="10" max="10" width="2.85546875" style="182" customWidth="1"/>
    <col min="11" max="11" width="8.140625" style="182" customWidth="1"/>
    <col min="12" max="12" width="8.42578125" style="182" customWidth="1"/>
    <col min="13" max="14" width="9.140625" style="182"/>
    <col min="15" max="16" width="9" style="182" bestFit="1" customWidth="1"/>
    <col min="17" max="16384" width="9.140625" style="182"/>
  </cols>
  <sheetData>
    <row r="1" spans="2:10" s="179" customFormat="1">
      <c r="B1" s="178" t="s">
        <v>36</v>
      </c>
      <c r="C1" s="178" t="s">
        <v>37</v>
      </c>
      <c r="D1" s="178" t="s">
        <v>29</v>
      </c>
      <c r="E1" s="178" t="s">
        <v>30</v>
      </c>
    </row>
    <row r="2" spans="2:10" ht="38.25">
      <c r="B2" s="180" t="s">
        <v>42</v>
      </c>
      <c r="C2" s="179">
        <v>122</v>
      </c>
      <c r="D2" s="181" t="s">
        <v>201</v>
      </c>
      <c r="E2" s="181" t="s">
        <v>228</v>
      </c>
    </row>
    <row r="3" spans="2:10" ht="15.75">
      <c r="B3" s="183" t="s">
        <v>17</v>
      </c>
      <c r="E3" s="184"/>
    </row>
    <row r="4" spans="2:10">
      <c r="B4" s="185" t="s">
        <v>1</v>
      </c>
      <c r="C4" s="186" t="s">
        <v>21</v>
      </c>
      <c r="D4" s="187"/>
      <c r="E4" s="188"/>
      <c r="F4" s="187"/>
      <c r="G4" s="189" t="s">
        <v>12</v>
      </c>
      <c r="H4" s="190"/>
      <c r="I4" s="190"/>
      <c r="J4" s="191"/>
    </row>
    <row r="5" spans="2:10" ht="25.5">
      <c r="B5" s="192" t="s">
        <v>13</v>
      </c>
      <c r="C5" s="193" t="s">
        <v>22</v>
      </c>
      <c r="D5" s="193" t="s">
        <v>29</v>
      </c>
      <c r="E5" s="194" t="s">
        <v>30</v>
      </c>
      <c r="F5" s="193" t="s">
        <v>23</v>
      </c>
      <c r="G5" s="195" t="s">
        <v>14</v>
      </c>
      <c r="H5" s="196"/>
      <c r="I5" s="196"/>
      <c r="J5" s="191"/>
    </row>
    <row r="6" spans="2:10" ht="38.25">
      <c r="B6" s="197">
        <v>122</v>
      </c>
      <c r="C6" s="198" t="str">
        <f>+E10</f>
        <v>EQIP</v>
      </c>
      <c r="D6" s="199" t="s">
        <v>201</v>
      </c>
      <c r="E6" s="200" t="s">
        <v>228</v>
      </c>
      <c r="F6" s="198" t="s">
        <v>38</v>
      </c>
      <c r="G6" s="201">
        <f>G23</f>
        <v>2401.875</v>
      </c>
      <c r="H6" s="202"/>
      <c r="I6" s="202"/>
      <c r="J6" s="191"/>
    </row>
    <row r="7" spans="2:10" ht="38.25">
      <c r="B7" s="203">
        <v>122</v>
      </c>
      <c r="C7" s="204" t="s">
        <v>15</v>
      </c>
      <c r="D7" s="205" t="s">
        <v>203</v>
      </c>
      <c r="E7" s="206" t="s">
        <v>229</v>
      </c>
      <c r="F7" s="204" t="s">
        <v>38</v>
      </c>
      <c r="G7" s="207">
        <f>$H$23</f>
        <v>2882.25</v>
      </c>
      <c r="H7" s="202"/>
      <c r="I7" s="191"/>
      <c r="J7" s="191"/>
    </row>
    <row r="8" spans="2:10" ht="14.25" customHeight="1">
      <c r="B8" s="208"/>
      <c r="C8" s="209"/>
      <c r="D8" s="209"/>
      <c r="G8" s="191"/>
      <c r="H8" s="191"/>
      <c r="I8" s="191"/>
      <c r="J8" s="191"/>
    </row>
    <row r="9" spans="2:10" ht="15.75">
      <c r="B9" s="183" t="s">
        <v>18</v>
      </c>
      <c r="C9" s="209"/>
      <c r="D9" s="209"/>
      <c r="G9" s="191"/>
      <c r="H9" s="191"/>
      <c r="I9" s="191"/>
      <c r="J9" s="191"/>
    </row>
    <row r="10" spans="2:10">
      <c r="B10" s="210"/>
      <c r="C10" s="211"/>
      <c r="D10" s="212"/>
      <c r="E10" s="213" t="s">
        <v>15</v>
      </c>
      <c r="F10" s="213" t="s">
        <v>31</v>
      </c>
      <c r="G10" s="213"/>
      <c r="H10" s="214"/>
    </row>
    <row r="11" spans="2:10">
      <c r="B11" s="215"/>
      <c r="C11" s="216"/>
      <c r="D11" s="217"/>
      <c r="E11" s="218" t="s">
        <v>22</v>
      </c>
      <c r="F11" s="218" t="s">
        <v>22</v>
      </c>
      <c r="G11" s="218" t="str">
        <f>+E10</f>
        <v>EQIP</v>
      </c>
      <c r="H11" s="219" t="str">
        <f>+F10</f>
        <v>EQIP-HU</v>
      </c>
    </row>
    <row r="12" spans="2:10">
      <c r="B12" s="220"/>
      <c r="C12" s="217"/>
      <c r="D12" s="217"/>
      <c r="E12" s="218" t="s">
        <v>12</v>
      </c>
      <c r="F12" s="218" t="s">
        <v>12</v>
      </c>
      <c r="G12" s="218" t="s">
        <v>12</v>
      </c>
      <c r="H12" s="219" t="s">
        <v>12</v>
      </c>
    </row>
    <row r="13" spans="2:10">
      <c r="B13" s="221" t="s">
        <v>16</v>
      </c>
      <c r="C13" s="217"/>
      <c r="D13" s="222" t="s">
        <v>6</v>
      </c>
      <c r="E13" s="223" t="s">
        <v>24</v>
      </c>
      <c r="F13" s="223" t="s">
        <v>24</v>
      </c>
      <c r="G13" s="223" t="s">
        <v>14</v>
      </c>
      <c r="H13" s="224" t="s">
        <v>14</v>
      </c>
    </row>
    <row r="14" spans="2:10">
      <c r="B14" s="215" t="s">
        <v>0</v>
      </c>
      <c r="C14" s="217"/>
      <c r="D14" s="225">
        <v>0</v>
      </c>
      <c r="E14" s="226">
        <v>0</v>
      </c>
      <c r="F14" s="226">
        <v>0</v>
      </c>
      <c r="G14" s="227">
        <f>+$D14*E14</f>
        <v>0</v>
      </c>
      <c r="H14" s="228">
        <f>+$D14*F14</f>
        <v>0</v>
      </c>
    </row>
    <row r="15" spans="2:10">
      <c r="B15" s="215" t="s">
        <v>2</v>
      </c>
      <c r="C15" s="217"/>
      <c r="D15" s="225">
        <v>0</v>
      </c>
      <c r="E15" s="226">
        <v>0</v>
      </c>
      <c r="F15" s="226">
        <v>0</v>
      </c>
      <c r="G15" s="227">
        <f t="shared" ref="G15:H22" si="0">+$D15*E15</f>
        <v>0</v>
      </c>
      <c r="H15" s="228">
        <f t="shared" si="0"/>
        <v>0</v>
      </c>
    </row>
    <row r="16" spans="2:10">
      <c r="B16" s="215" t="s">
        <v>3</v>
      </c>
      <c r="C16" s="217"/>
      <c r="D16" s="225">
        <f>I49</f>
        <v>3202.5</v>
      </c>
      <c r="E16" s="226">
        <v>0.75</v>
      </c>
      <c r="F16" s="226">
        <v>0.9</v>
      </c>
      <c r="G16" s="227">
        <f t="shared" si="0"/>
        <v>2401.875</v>
      </c>
      <c r="H16" s="228">
        <f t="shared" si="0"/>
        <v>2882.25</v>
      </c>
    </row>
    <row r="17" spans="2:16">
      <c r="B17" s="215" t="s">
        <v>4</v>
      </c>
      <c r="C17" s="217"/>
      <c r="D17" s="225">
        <v>0</v>
      </c>
      <c r="E17" s="226">
        <v>0</v>
      </c>
      <c r="F17" s="226">
        <v>0</v>
      </c>
      <c r="G17" s="227">
        <f t="shared" si="0"/>
        <v>0</v>
      </c>
      <c r="H17" s="228">
        <f t="shared" si="0"/>
        <v>0</v>
      </c>
    </row>
    <row r="18" spans="2:16">
      <c r="B18" s="215" t="s">
        <v>26</v>
      </c>
      <c r="C18" s="217"/>
      <c r="D18" s="225">
        <v>0</v>
      </c>
      <c r="E18" s="226">
        <v>0</v>
      </c>
      <c r="F18" s="226">
        <v>0</v>
      </c>
      <c r="G18" s="227">
        <f t="shared" si="0"/>
        <v>0</v>
      </c>
      <c r="H18" s="228">
        <f t="shared" si="0"/>
        <v>0</v>
      </c>
    </row>
    <row r="19" spans="2:16">
      <c r="B19" s="215" t="s">
        <v>7</v>
      </c>
      <c r="C19" s="217"/>
      <c r="D19" s="225">
        <f>I63</f>
        <v>0</v>
      </c>
      <c r="E19" s="226">
        <v>0.75</v>
      </c>
      <c r="F19" s="226">
        <v>0.9</v>
      </c>
      <c r="G19" s="227">
        <f t="shared" si="0"/>
        <v>0</v>
      </c>
      <c r="H19" s="228">
        <f t="shared" si="0"/>
        <v>0</v>
      </c>
    </row>
    <row r="20" spans="2:16">
      <c r="B20" s="215" t="s">
        <v>27</v>
      </c>
      <c r="C20" s="217"/>
      <c r="D20" s="225">
        <v>0</v>
      </c>
      <c r="E20" s="226">
        <v>0</v>
      </c>
      <c r="F20" s="226">
        <v>0</v>
      </c>
      <c r="G20" s="227">
        <f t="shared" si="0"/>
        <v>0</v>
      </c>
      <c r="H20" s="228">
        <f t="shared" si="0"/>
        <v>0</v>
      </c>
    </row>
    <row r="21" spans="2:16">
      <c r="B21" s="215" t="s">
        <v>5</v>
      </c>
      <c r="C21" s="217"/>
      <c r="D21" s="225">
        <v>0</v>
      </c>
      <c r="E21" s="226">
        <v>0</v>
      </c>
      <c r="F21" s="226">
        <v>0</v>
      </c>
      <c r="G21" s="227">
        <f t="shared" si="0"/>
        <v>0</v>
      </c>
      <c r="H21" s="228">
        <f t="shared" si="0"/>
        <v>0</v>
      </c>
    </row>
    <row r="22" spans="2:16">
      <c r="B22" s="215" t="s">
        <v>20</v>
      </c>
      <c r="C22" s="217"/>
      <c r="D22" s="225">
        <v>0</v>
      </c>
      <c r="E22" s="226">
        <v>0</v>
      </c>
      <c r="F22" s="226">
        <v>0</v>
      </c>
      <c r="G22" s="229">
        <f t="shared" si="0"/>
        <v>0</v>
      </c>
      <c r="H22" s="230">
        <f t="shared" si="0"/>
        <v>0</v>
      </c>
    </row>
    <row r="23" spans="2:16">
      <c r="B23" s="231" t="s">
        <v>19</v>
      </c>
      <c r="C23" s="232"/>
      <c r="D23" s="233">
        <f>SUM(D14:D22)</f>
        <v>3202.5</v>
      </c>
      <c r="E23" s="234"/>
      <c r="F23" s="234"/>
      <c r="G23" s="233">
        <f t="shared" ref="G23:H23" si="1">SUM(G14:G22)</f>
        <v>2401.875</v>
      </c>
      <c r="H23" s="235">
        <f t="shared" si="1"/>
        <v>2882.25</v>
      </c>
    </row>
    <row r="24" spans="2:16" s="239" customFormat="1" ht="5.25" customHeight="1">
      <c r="B24" s="236"/>
      <c r="C24" s="236"/>
      <c r="D24" s="237"/>
      <c r="E24" s="238"/>
      <c r="F24" s="238"/>
      <c r="G24" s="238"/>
      <c r="H24" s="238"/>
      <c r="I24" s="238"/>
      <c r="J24" s="238"/>
      <c r="K24" s="237"/>
      <c r="L24" s="237"/>
      <c r="M24" s="237"/>
      <c r="N24" s="237"/>
      <c r="O24" s="237"/>
      <c r="P24" s="237"/>
    </row>
    <row r="25" spans="2:16" ht="5.25" customHeight="1"/>
    <row r="26" spans="2:16" ht="15.75">
      <c r="B26" s="240" t="s">
        <v>28</v>
      </c>
      <c r="I26" s="241"/>
    </row>
    <row r="27" spans="2:16">
      <c r="B27" s="242" t="s">
        <v>32</v>
      </c>
      <c r="C27" s="243"/>
      <c r="D27" s="243"/>
      <c r="E27" s="244"/>
      <c r="F27" s="244"/>
      <c r="G27" s="244"/>
      <c r="H27" s="244"/>
      <c r="I27" s="245"/>
    </row>
    <row r="28" spans="2:16" ht="25.5" customHeight="1">
      <c r="B28" s="246"/>
      <c r="C28" s="247"/>
      <c r="D28" s="1966" t="s">
        <v>230</v>
      </c>
      <c r="E28" s="1967"/>
      <c r="F28" s="1967"/>
      <c r="G28" s="1967"/>
      <c r="H28" s="1967"/>
      <c r="I28" s="248"/>
    </row>
    <row r="29" spans="2:16">
      <c r="B29" s="246"/>
      <c r="C29" s="247"/>
      <c r="D29" s="249"/>
      <c r="E29" s="250"/>
      <c r="F29" s="250"/>
      <c r="G29" s="250"/>
      <c r="H29" s="250"/>
      <c r="I29" s="248"/>
    </row>
    <row r="30" spans="2:16">
      <c r="B30" s="251" t="s">
        <v>41</v>
      </c>
      <c r="C30" s="247"/>
      <c r="D30" s="1964" t="s">
        <v>206</v>
      </c>
      <c r="E30" s="1965"/>
      <c r="F30" s="1965"/>
      <c r="G30" s="1965"/>
      <c r="H30" s="1965"/>
      <c r="I30" s="248"/>
    </row>
    <row r="31" spans="2:16">
      <c r="B31" s="252" t="s">
        <v>40</v>
      </c>
      <c r="C31" s="247"/>
      <c r="D31" s="1964" t="s">
        <v>231</v>
      </c>
      <c r="E31" s="1965"/>
      <c r="F31" s="1965"/>
      <c r="G31" s="1965"/>
      <c r="H31" s="1965"/>
      <c r="I31" s="248"/>
    </row>
    <row r="32" spans="2:16" ht="80.25" customHeight="1">
      <c r="B32" s="252" t="s">
        <v>33</v>
      </c>
      <c r="C32" s="253"/>
      <c r="D32" s="1964" t="s">
        <v>232</v>
      </c>
      <c r="E32" s="1965"/>
      <c r="F32" s="1965"/>
      <c r="G32" s="1965"/>
      <c r="H32" s="1965"/>
      <c r="I32" s="248"/>
    </row>
    <row r="33" spans="2:15" ht="66.75" customHeight="1">
      <c r="B33" s="252" t="s">
        <v>35</v>
      </c>
      <c r="C33" s="253"/>
      <c r="D33" s="1964" t="s">
        <v>209</v>
      </c>
      <c r="E33" s="1965"/>
      <c r="F33" s="1965"/>
      <c r="G33" s="1965"/>
      <c r="H33" s="1965"/>
      <c r="I33" s="248"/>
    </row>
    <row r="34" spans="2:15" ht="36" customHeight="1">
      <c r="B34" s="252" t="s">
        <v>34</v>
      </c>
      <c r="C34" s="253"/>
      <c r="D34" s="1964" t="s">
        <v>210</v>
      </c>
      <c r="E34" s="1965"/>
      <c r="F34" s="1965"/>
      <c r="G34" s="1965"/>
      <c r="H34" s="1965"/>
      <c r="I34" s="248"/>
    </row>
    <row r="35" spans="2:15">
      <c r="B35" s="251"/>
      <c r="C35" s="247"/>
      <c r="D35" s="247"/>
      <c r="E35" s="254"/>
      <c r="F35" s="254"/>
      <c r="G35" s="254"/>
      <c r="H35" s="254"/>
      <c r="I35" s="248"/>
    </row>
    <row r="36" spans="2:15">
      <c r="B36" s="255" t="s">
        <v>25</v>
      </c>
      <c r="C36" s="247"/>
      <c r="D36" s="1968" t="s">
        <v>42</v>
      </c>
      <c r="E36" s="1969"/>
      <c r="F36" s="1969"/>
      <c r="G36" s="1969"/>
      <c r="H36" s="1969"/>
      <c r="I36" s="248"/>
      <c r="J36" s="236"/>
    </row>
    <row r="37" spans="2:15">
      <c r="B37" s="251"/>
      <c r="C37" s="247"/>
      <c r="D37" s="254"/>
      <c r="E37" s="254"/>
      <c r="F37" s="254"/>
      <c r="G37" s="254"/>
      <c r="H37" s="254"/>
      <c r="I37" s="248"/>
    </row>
    <row r="38" spans="2:15">
      <c r="B38" s="255" t="s">
        <v>8</v>
      </c>
      <c r="C38" s="247"/>
      <c r="D38" s="256" t="s">
        <v>38</v>
      </c>
      <c r="E38" s="254"/>
      <c r="F38" s="254"/>
      <c r="G38" s="254"/>
      <c r="H38" s="254"/>
      <c r="I38" s="248"/>
    </row>
    <row r="39" spans="2:15">
      <c r="B39" s="255" t="s">
        <v>9</v>
      </c>
      <c r="C39" s="247"/>
      <c r="D39" s="257">
        <v>1</v>
      </c>
      <c r="E39" s="254"/>
      <c r="F39" s="254"/>
      <c r="G39" s="254"/>
      <c r="H39" s="254"/>
      <c r="I39" s="248"/>
    </row>
    <row r="40" spans="2:15">
      <c r="B40" s="255" t="s">
        <v>10</v>
      </c>
      <c r="C40" s="254"/>
      <c r="D40" s="258">
        <v>0.05</v>
      </c>
      <c r="E40" s="259"/>
      <c r="F40" s="254"/>
      <c r="G40" s="254"/>
      <c r="H40" s="254"/>
      <c r="I40" s="260" t="s">
        <v>6</v>
      </c>
    </row>
    <row r="41" spans="2:15">
      <c r="B41" s="261"/>
      <c r="C41" s="254"/>
      <c r="D41" s="254"/>
      <c r="E41" s="254"/>
      <c r="F41" s="254"/>
      <c r="G41" s="254"/>
      <c r="H41" s="254"/>
      <c r="I41" s="262"/>
      <c r="L41" s="263"/>
      <c r="M41" s="263"/>
      <c r="N41" s="264"/>
      <c r="O41" s="264"/>
    </row>
    <row r="42" spans="2:15">
      <c r="B42" s="246" t="s">
        <v>0</v>
      </c>
      <c r="C42" s="254"/>
      <c r="D42" s="254"/>
      <c r="E42" s="254"/>
      <c r="F42" s="254"/>
      <c r="G42" s="254"/>
      <c r="H42" s="254"/>
      <c r="I42" s="265">
        <v>0</v>
      </c>
      <c r="L42" s="263"/>
      <c r="M42" s="263"/>
      <c r="N42" s="264"/>
      <c r="O42" s="264"/>
    </row>
    <row r="43" spans="2:15" ht="14.25" customHeight="1">
      <c r="B43" s="251" t="s">
        <v>39</v>
      </c>
      <c r="C43" s="254"/>
      <c r="D43" s="266"/>
      <c r="E43" s="254"/>
      <c r="F43" s="254"/>
      <c r="G43" s="254"/>
      <c r="H43" s="254"/>
      <c r="I43" s="265"/>
      <c r="L43" s="263"/>
      <c r="M43" s="264"/>
    </row>
    <row r="44" spans="2:15" ht="6" customHeight="1">
      <c r="B44" s="267"/>
      <c r="C44" s="268"/>
      <c r="D44" s="269"/>
      <c r="E44" s="254"/>
      <c r="F44" s="254"/>
      <c r="G44" s="254"/>
      <c r="H44" s="254"/>
      <c r="I44" s="265"/>
      <c r="L44" s="263"/>
      <c r="M44" s="264"/>
    </row>
    <row r="45" spans="2:15">
      <c r="B45" s="246" t="s">
        <v>2</v>
      </c>
      <c r="C45" s="254"/>
      <c r="D45" s="270"/>
      <c r="E45" s="254"/>
      <c r="F45" s="254"/>
      <c r="G45" s="254"/>
      <c r="H45" s="254"/>
      <c r="I45" s="265">
        <v>0</v>
      </c>
      <c r="L45" s="263"/>
      <c r="M45" s="264"/>
    </row>
    <row r="46" spans="2:15" ht="12.75" customHeight="1">
      <c r="B46" s="1970" t="s">
        <v>39</v>
      </c>
      <c r="C46" s="1967"/>
      <c r="D46" s="1967"/>
      <c r="E46" s="1967"/>
      <c r="F46" s="1967"/>
      <c r="G46" s="1967"/>
      <c r="H46" s="1967"/>
      <c r="I46" s="265"/>
      <c r="L46" s="263"/>
      <c r="M46" s="264"/>
    </row>
    <row r="47" spans="2:15" ht="6" customHeight="1">
      <c r="B47" s="271"/>
      <c r="C47" s="254"/>
      <c r="D47" s="254"/>
      <c r="E47" s="272"/>
      <c r="F47" s="272"/>
      <c r="G47" s="272"/>
      <c r="H47" s="254"/>
      <c r="I47" s="265"/>
      <c r="L47" s="263"/>
      <c r="M47" s="264"/>
    </row>
    <row r="48" spans="2:15" ht="4.5" customHeight="1">
      <c r="B48" s="246"/>
      <c r="C48" s="254"/>
      <c r="D48" s="254"/>
      <c r="E48" s="254"/>
      <c r="F48" s="254"/>
      <c r="G48" s="273"/>
      <c r="H48" s="274"/>
      <c r="I48" s="265"/>
      <c r="L48" s="263"/>
      <c r="M48" s="264"/>
    </row>
    <row r="49" spans="2:15">
      <c r="B49" s="246" t="s">
        <v>3</v>
      </c>
      <c r="C49" s="254"/>
      <c r="D49" s="254"/>
      <c r="E49" s="254"/>
      <c r="F49" s="254"/>
      <c r="G49" s="254"/>
      <c r="H49" s="254"/>
      <c r="I49" s="265">
        <f>$H$56</f>
        <v>3202.5</v>
      </c>
      <c r="L49" s="263"/>
      <c r="M49" s="264"/>
    </row>
    <row r="50" spans="2:15" ht="24.75" customHeight="1">
      <c r="B50" s="1970" t="s">
        <v>211</v>
      </c>
      <c r="C50" s="1967"/>
      <c r="D50" s="1967"/>
      <c r="E50" s="1967"/>
      <c r="F50" s="1967"/>
      <c r="G50" s="1967"/>
      <c r="H50" s="1967"/>
      <c r="I50" s="265"/>
      <c r="L50" s="263"/>
      <c r="M50" s="264"/>
    </row>
    <row r="51" spans="2:15" ht="12.75" customHeight="1">
      <c r="B51" s="275"/>
      <c r="C51" s="276"/>
      <c r="D51" s="277" t="s">
        <v>212</v>
      </c>
      <c r="E51" s="278" t="s">
        <v>46</v>
      </c>
      <c r="F51" s="278" t="s">
        <v>6</v>
      </c>
      <c r="G51" s="278" t="s">
        <v>47</v>
      </c>
      <c r="H51" s="278" t="s">
        <v>48</v>
      </c>
      <c r="I51" s="265"/>
      <c r="L51" s="263"/>
      <c r="M51" s="264"/>
    </row>
    <row r="52" spans="2:15" ht="12.75" customHeight="1">
      <c r="B52" s="275"/>
      <c r="C52" s="250"/>
      <c r="D52" s="250" t="s">
        <v>213</v>
      </c>
      <c r="E52" s="279" t="s">
        <v>49</v>
      </c>
      <c r="F52" s="280">
        <v>71</v>
      </c>
      <c r="G52" s="250">
        <v>1</v>
      </c>
      <c r="H52" s="280">
        <f>F52*G52</f>
        <v>71</v>
      </c>
      <c r="I52" s="265"/>
      <c r="L52" s="263"/>
      <c r="M52" s="264"/>
    </row>
    <row r="53" spans="2:15" ht="12.75" customHeight="1">
      <c r="B53" s="275"/>
      <c r="C53" s="250"/>
      <c r="D53" s="250" t="s">
        <v>214</v>
      </c>
      <c r="E53" s="279" t="s">
        <v>49</v>
      </c>
      <c r="F53" s="280">
        <v>87</v>
      </c>
      <c r="G53" s="250">
        <v>9.5</v>
      </c>
      <c r="H53" s="280">
        <f>F53*G53</f>
        <v>826.5</v>
      </c>
      <c r="I53" s="265"/>
      <c r="L53" s="263"/>
      <c r="M53" s="264"/>
    </row>
    <row r="54" spans="2:15" ht="12.75" customHeight="1">
      <c r="B54" s="275"/>
      <c r="C54" s="250"/>
      <c r="D54" s="250" t="s">
        <v>215</v>
      </c>
      <c r="E54" s="279" t="s">
        <v>49</v>
      </c>
      <c r="F54" s="280">
        <v>149</v>
      </c>
      <c r="G54" s="250">
        <v>8</v>
      </c>
      <c r="H54" s="280">
        <f>F54*G54</f>
        <v>1192</v>
      </c>
      <c r="I54" s="265"/>
      <c r="L54" s="263"/>
      <c r="M54" s="264"/>
    </row>
    <row r="55" spans="2:15" ht="12.75" customHeight="1">
      <c r="B55" s="275"/>
      <c r="C55" s="250"/>
      <c r="D55" s="250" t="s">
        <v>216</v>
      </c>
      <c r="E55" s="279" t="s">
        <v>49</v>
      </c>
      <c r="F55" s="280">
        <v>159</v>
      </c>
      <c r="G55" s="250">
        <v>7</v>
      </c>
      <c r="H55" s="280">
        <f>F55*G55</f>
        <v>1113</v>
      </c>
      <c r="I55" s="265"/>
      <c r="L55" s="263"/>
      <c r="M55" s="264"/>
    </row>
    <row r="56" spans="2:15">
      <c r="B56" s="246" t="s">
        <v>4</v>
      </c>
      <c r="C56" s="254"/>
      <c r="D56" s="254"/>
      <c r="E56" s="254"/>
      <c r="F56" s="254"/>
      <c r="G56" s="254">
        <f>SUM(G52:G55)</f>
        <v>25.5</v>
      </c>
      <c r="H56" s="281">
        <f>SUM(H52:H55)</f>
        <v>3202.5</v>
      </c>
      <c r="I56" s="282">
        <v>0</v>
      </c>
      <c r="L56" s="263"/>
      <c r="M56" s="264"/>
    </row>
    <row r="57" spans="2:15" ht="12" customHeight="1">
      <c r="B57" s="251" t="s">
        <v>39</v>
      </c>
      <c r="C57" s="254"/>
      <c r="D57" s="254"/>
      <c r="E57" s="254"/>
      <c r="F57" s="254"/>
      <c r="G57" s="254"/>
      <c r="H57" s="254"/>
      <c r="I57" s="248"/>
      <c r="L57" s="263"/>
      <c r="M57" s="264"/>
    </row>
    <row r="58" spans="2:15" ht="5.25" customHeight="1">
      <c r="B58" s="251"/>
      <c r="C58" s="254"/>
      <c r="D58" s="254"/>
      <c r="E58" s="254"/>
      <c r="F58" s="254"/>
      <c r="G58" s="254"/>
      <c r="H58" s="254"/>
      <c r="I58" s="248"/>
      <c r="L58" s="263"/>
      <c r="M58" s="264"/>
    </row>
    <row r="59" spans="2:15">
      <c r="B59" s="246" t="s">
        <v>26</v>
      </c>
      <c r="C59" s="254"/>
      <c r="D59" s="254"/>
      <c r="E59" s="254"/>
      <c r="F59" s="254"/>
      <c r="G59" s="254"/>
      <c r="H59" s="254"/>
      <c r="I59" s="265">
        <v>0</v>
      </c>
      <c r="L59" s="263"/>
      <c r="M59" s="264"/>
    </row>
    <row r="60" spans="2:15" ht="14.25" customHeight="1">
      <c r="B60" s="1970" t="s">
        <v>39</v>
      </c>
      <c r="C60" s="1971"/>
      <c r="D60" s="1971"/>
      <c r="E60" s="1971"/>
      <c r="F60" s="1971"/>
      <c r="G60" s="1971"/>
      <c r="H60" s="1971"/>
      <c r="I60" s="282"/>
      <c r="L60" s="263"/>
      <c r="M60" s="264"/>
    </row>
    <row r="61" spans="2:15" ht="12" customHeight="1">
      <c r="B61" s="1972"/>
      <c r="C61" s="1934"/>
      <c r="D61" s="1934"/>
      <c r="E61" s="1934"/>
      <c r="F61" s="1934"/>
      <c r="G61" s="1934"/>
      <c r="H61" s="254"/>
      <c r="I61" s="282"/>
      <c r="L61" s="263"/>
      <c r="M61" s="264"/>
    </row>
    <row r="62" spans="2:15" ht="9.75" customHeight="1">
      <c r="B62" s="251"/>
      <c r="C62" s="254"/>
      <c r="D62" s="254"/>
      <c r="E62" s="254"/>
      <c r="F62" s="254"/>
      <c r="G62" s="254"/>
      <c r="H62" s="254"/>
      <c r="I62" s="248"/>
      <c r="L62" s="263"/>
      <c r="M62" s="263"/>
    </row>
    <row r="63" spans="2:15">
      <c r="B63" s="246" t="s">
        <v>7</v>
      </c>
      <c r="C63" s="254"/>
      <c r="D63" s="254"/>
      <c r="E63" s="254"/>
      <c r="F63" s="254"/>
      <c r="G63" s="254"/>
      <c r="H63" s="254"/>
      <c r="I63" s="265">
        <v>0</v>
      </c>
      <c r="L63" s="263"/>
      <c r="M63" s="263"/>
      <c r="N63" s="263"/>
      <c r="O63" s="263"/>
    </row>
    <row r="64" spans="2:15" ht="12" customHeight="1">
      <c r="B64" s="251" t="s">
        <v>39</v>
      </c>
      <c r="C64" s="254"/>
      <c r="D64" s="283"/>
      <c r="E64" s="284"/>
      <c r="F64" s="284"/>
      <c r="G64" s="284"/>
      <c r="H64" s="284"/>
      <c r="I64" s="248"/>
      <c r="L64" s="263"/>
      <c r="M64" s="263"/>
      <c r="N64" s="264"/>
      <c r="O64" s="264"/>
    </row>
    <row r="65" spans="2:15" ht="6" customHeight="1">
      <c r="B65" s="251"/>
      <c r="C65" s="254"/>
      <c r="D65" s="254"/>
      <c r="E65" s="254"/>
      <c r="F65" s="254"/>
      <c r="G65" s="254"/>
      <c r="H65" s="254"/>
      <c r="I65" s="248"/>
      <c r="L65" s="263"/>
      <c r="M65" s="263"/>
      <c r="N65" s="285"/>
      <c r="O65" s="285"/>
    </row>
    <row r="66" spans="2:15">
      <c r="B66" s="246" t="s">
        <v>27</v>
      </c>
      <c r="C66" s="254"/>
      <c r="D66" s="254"/>
      <c r="E66" s="254"/>
      <c r="F66" s="254"/>
      <c r="G66" s="254"/>
      <c r="H66" s="254"/>
      <c r="I66" s="265">
        <v>0</v>
      </c>
      <c r="L66" s="263"/>
      <c r="M66" s="263"/>
      <c r="N66" s="264"/>
      <c r="O66" s="264"/>
    </row>
    <row r="67" spans="2:15" ht="13.5" customHeight="1">
      <c r="B67" s="251" t="s">
        <v>39</v>
      </c>
      <c r="C67" s="254"/>
      <c r="D67" s="254"/>
      <c r="E67" s="254"/>
      <c r="F67" s="254"/>
      <c r="G67" s="254"/>
      <c r="H67" s="254"/>
      <c r="I67" s="286"/>
      <c r="L67" s="263"/>
      <c r="M67" s="263"/>
      <c r="N67" s="285"/>
      <c r="O67" s="285"/>
    </row>
    <row r="68" spans="2:15" ht="3.75" customHeight="1">
      <c r="B68" s="251"/>
      <c r="C68" s="254"/>
      <c r="D68" s="254"/>
      <c r="E68" s="254"/>
      <c r="F68" s="254"/>
      <c r="G68" s="254"/>
      <c r="H68" s="254"/>
      <c r="I68" s="248"/>
      <c r="L68" s="263"/>
      <c r="M68" s="263"/>
      <c r="N68" s="264"/>
      <c r="O68" s="264"/>
    </row>
    <row r="69" spans="2:15">
      <c r="B69" s="246" t="s">
        <v>5</v>
      </c>
      <c r="C69" s="254"/>
      <c r="D69" s="254"/>
      <c r="E69" s="254"/>
      <c r="F69" s="254"/>
      <c r="G69" s="254"/>
      <c r="H69" s="254"/>
      <c r="I69" s="265">
        <v>0</v>
      </c>
      <c r="L69" s="263"/>
      <c r="M69" s="263"/>
      <c r="N69" s="264"/>
      <c r="O69" s="264"/>
    </row>
    <row r="70" spans="2:15" ht="11.25" customHeight="1">
      <c r="B70" s="251" t="s">
        <v>39</v>
      </c>
      <c r="C70" s="254"/>
      <c r="D70" s="254"/>
      <c r="E70" s="254"/>
      <c r="F70" s="254"/>
      <c r="G70" s="254"/>
      <c r="H70" s="254"/>
      <c r="I70" s="286"/>
      <c r="L70" s="263"/>
      <c r="M70" s="263"/>
      <c r="N70" s="263"/>
      <c r="O70" s="263"/>
    </row>
    <row r="71" spans="2:15" ht="4.5" customHeight="1">
      <c r="B71" s="251"/>
      <c r="C71" s="254"/>
      <c r="D71" s="254"/>
      <c r="E71" s="254"/>
      <c r="F71" s="254"/>
      <c r="G71" s="254"/>
      <c r="H71" s="254"/>
      <c r="I71" s="248"/>
      <c r="L71" s="263"/>
      <c r="M71" s="263"/>
      <c r="N71" s="263"/>
      <c r="O71" s="263"/>
    </row>
    <row r="72" spans="2:15">
      <c r="B72" s="246" t="s">
        <v>20</v>
      </c>
      <c r="C72" s="254"/>
      <c r="D72" s="254"/>
      <c r="E72" s="254"/>
      <c r="F72" s="254"/>
      <c r="G72" s="254"/>
      <c r="H72" s="254"/>
      <c r="I72" s="265">
        <v>0</v>
      </c>
      <c r="L72" s="263"/>
      <c r="M72" s="263"/>
      <c r="N72" s="264"/>
      <c r="O72" s="264"/>
    </row>
    <row r="73" spans="2:15" ht="12" customHeight="1">
      <c r="B73" s="251" t="s">
        <v>39</v>
      </c>
      <c r="C73" s="254"/>
      <c r="D73" s="254"/>
      <c r="E73" s="254"/>
      <c r="F73" s="254"/>
      <c r="G73" s="254"/>
      <c r="H73" s="254"/>
      <c r="I73" s="265"/>
      <c r="L73" s="263"/>
      <c r="M73" s="263"/>
      <c r="N73" s="264"/>
      <c r="O73" s="264"/>
    </row>
    <row r="74" spans="2:15" ht="6.75" customHeight="1">
      <c r="B74" s="246"/>
      <c r="C74" s="254"/>
      <c r="D74" s="254"/>
      <c r="E74" s="254"/>
      <c r="F74" s="254"/>
      <c r="G74" s="254"/>
      <c r="H74" s="254"/>
      <c r="I74" s="265"/>
      <c r="L74" s="263"/>
      <c r="M74" s="263"/>
      <c r="N74" s="264"/>
      <c r="O74" s="264"/>
    </row>
    <row r="75" spans="2:15" ht="5.25" customHeight="1">
      <c r="B75" s="261"/>
      <c r="C75" s="254"/>
      <c r="D75" s="254"/>
      <c r="E75" s="254"/>
      <c r="F75" s="254"/>
      <c r="G75" s="254"/>
      <c r="H75" s="254"/>
      <c r="I75" s="248"/>
      <c r="L75" s="263"/>
      <c r="M75" s="263"/>
      <c r="N75" s="263"/>
      <c r="O75" s="263"/>
    </row>
    <row r="76" spans="2:15">
      <c r="B76" s="287" t="s">
        <v>11</v>
      </c>
      <c r="C76" s="288"/>
      <c r="D76" s="288"/>
      <c r="E76" s="288"/>
      <c r="F76" s="288"/>
      <c r="G76" s="288"/>
      <c r="H76" s="288"/>
      <c r="I76" s="289">
        <f>+I72+I69+I66+I63+I59+I56+I49+I45+I42</f>
        <v>3202.5</v>
      </c>
      <c r="L76" s="263"/>
      <c r="M76" s="263"/>
      <c r="N76" s="263"/>
      <c r="O76" s="263"/>
    </row>
    <row r="99" spans="5:5">
      <c r="E99" s="290"/>
    </row>
    <row r="100" spans="5:5">
      <c r="E100" s="290"/>
    </row>
    <row r="101" spans="5:5">
      <c r="E101" s="290"/>
    </row>
    <row r="102" spans="5:5">
      <c r="E102" s="290"/>
    </row>
    <row r="103" spans="5:5">
      <c r="E103" s="290"/>
    </row>
    <row r="104" spans="5:5">
      <c r="E104" s="290"/>
    </row>
    <row r="106" spans="5:5">
      <c r="E106" s="290"/>
    </row>
    <row r="108" spans="5:5">
      <c r="E108" s="291"/>
    </row>
    <row r="110" spans="5:5">
      <c r="E110" s="290"/>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29.xml><?xml version="1.0" encoding="utf-8"?>
<worksheet xmlns="http://schemas.openxmlformats.org/spreadsheetml/2006/main" xmlns:r="http://schemas.openxmlformats.org/officeDocument/2006/relationships">
  <dimension ref="B1:P110"/>
  <sheetViews>
    <sheetView zoomScaleNormal="100" workbookViewId="0"/>
  </sheetViews>
  <sheetFormatPr defaultRowHeight="12.75"/>
  <cols>
    <col min="1" max="1" width="2.85546875" style="182" customWidth="1"/>
    <col min="2" max="2" width="11.5703125" style="182" customWidth="1"/>
    <col min="3" max="3" width="18.7109375" style="182" customWidth="1"/>
    <col min="4" max="4" width="23.5703125" style="182" customWidth="1"/>
    <col min="5" max="5" width="20.5703125" style="182" customWidth="1"/>
    <col min="6" max="6" width="10.85546875" style="182" customWidth="1"/>
    <col min="7" max="7" width="10.42578125" style="182" customWidth="1"/>
    <col min="8" max="8" width="9.140625" style="182" bestFit="1" customWidth="1"/>
    <col min="9" max="9" width="9.85546875" style="182" customWidth="1"/>
    <col min="10" max="10" width="2.85546875" style="182" customWidth="1"/>
    <col min="11" max="11" width="8.140625" style="182" customWidth="1"/>
    <col min="12" max="12" width="8.42578125" style="182" customWidth="1"/>
    <col min="13" max="14" width="9.140625" style="182"/>
    <col min="15" max="16" width="9" style="182" bestFit="1" customWidth="1"/>
    <col min="17" max="16384" width="9.140625" style="182"/>
  </cols>
  <sheetData>
    <row r="1" spans="2:10" s="179" customFormat="1">
      <c r="B1" s="178" t="s">
        <v>36</v>
      </c>
      <c r="C1" s="178" t="s">
        <v>37</v>
      </c>
      <c r="D1" s="178" t="s">
        <v>29</v>
      </c>
      <c r="E1" s="178" t="s">
        <v>30</v>
      </c>
    </row>
    <row r="2" spans="2:10" ht="38.25">
      <c r="B2" s="180" t="s">
        <v>42</v>
      </c>
      <c r="C2" s="179">
        <v>122</v>
      </c>
      <c r="D2" s="181" t="s">
        <v>201</v>
      </c>
      <c r="E2" s="181" t="s">
        <v>233</v>
      </c>
    </row>
    <row r="3" spans="2:10" ht="15.75">
      <c r="B3" s="183" t="s">
        <v>17</v>
      </c>
      <c r="E3" s="184"/>
    </row>
    <row r="4" spans="2:10">
      <c r="B4" s="185" t="s">
        <v>1</v>
      </c>
      <c r="C4" s="186" t="s">
        <v>21</v>
      </c>
      <c r="D4" s="187"/>
      <c r="E4" s="188"/>
      <c r="F4" s="187"/>
      <c r="G4" s="189" t="s">
        <v>12</v>
      </c>
      <c r="H4" s="190"/>
      <c r="I4" s="190"/>
      <c r="J4" s="191"/>
    </row>
    <row r="5" spans="2:10" ht="25.5">
      <c r="B5" s="192" t="s">
        <v>13</v>
      </c>
      <c r="C5" s="193" t="s">
        <v>22</v>
      </c>
      <c r="D5" s="193" t="s">
        <v>29</v>
      </c>
      <c r="E5" s="194" t="s">
        <v>30</v>
      </c>
      <c r="F5" s="193" t="s">
        <v>23</v>
      </c>
      <c r="G5" s="195" t="s">
        <v>14</v>
      </c>
      <c r="H5" s="196"/>
      <c r="I5" s="196"/>
      <c r="J5" s="191"/>
    </row>
    <row r="6" spans="2:10" ht="38.25">
      <c r="B6" s="197">
        <v>122</v>
      </c>
      <c r="C6" s="198" t="str">
        <f>+E10</f>
        <v>EQIP</v>
      </c>
      <c r="D6" s="199" t="s">
        <v>201</v>
      </c>
      <c r="E6" s="200" t="s">
        <v>233</v>
      </c>
      <c r="F6" s="198" t="s">
        <v>38</v>
      </c>
      <c r="G6" s="201">
        <f>G23</f>
        <v>1908.375</v>
      </c>
      <c r="H6" s="202"/>
      <c r="I6" s="202"/>
      <c r="J6" s="191"/>
    </row>
    <row r="7" spans="2:10" ht="38.25">
      <c r="B7" s="203">
        <v>122</v>
      </c>
      <c r="C7" s="204" t="s">
        <v>15</v>
      </c>
      <c r="D7" s="205" t="s">
        <v>203</v>
      </c>
      <c r="E7" s="206" t="s">
        <v>234</v>
      </c>
      <c r="F7" s="204" t="s">
        <v>38</v>
      </c>
      <c r="G7" s="207">
        <f>$H$23</f>
        <v>2290.0500000000002</v>
      </c>
      <c r="H7" s="202"/>
      <c r="I7" s="191"/>
      <c r="J7" s="191"/>
    </row>
    <row r="8" spans="2:10" ht="14.25" customHeight="1">
      <c r="B8" s="208"/>
      <c r="C8" s="209"/>
      <c r="D8" s="209"/>
      <c r="G8" s="191"/>
      <c r="H8" s="191"/>
      <c r="I8" s="191"/>
      <c r="J8" s="191"/>
    </row>
    <row r="9" spans="2:10" ht="15.75">
      <c r="B9" s="183" t="s">
        <v>18</v>
      </c>
      <c r="C9" s="209"/>
      <c r="D9" s="209"/>
      <c r="G9" s="191"/>
      <c r="H9" s="191"/>
      <c r="I9" s="191"/>
      <c r="J9" s="191"/>
    </row>
    <row r="10" spans="2:10">
      <c r="B10" s="210"/>
      <c r="C10" s="211"/>
      <c r="D10" s="212"/>
      <c r="E10" s="213" t="s">
        <v>15</v>
      </c>
      <c r="F10" s="213" t="s">
        <v>31</v>
      </c>
      <c r="G10" s="213"/>
      <c r="H10" s="214"/>
    </row>
    <row r="11" spans="2:10">
      <c r="B11" s="215"/>
      <c r="C11" s="216"/>
      <c r="D11" s="217"/>
      <c r="E11" s="218" t="s">
        <v>22</v>
      </c>
      <c r="F11" s="218" t="s">
        <v>22</v>
      </c>
      <c r="G11" s="218" t="str">
        <f>+E10</f>
        <v>EQIP</v>
      </c>
      <c r="H11" s="219" t="str">
        <f>+F10</f>
        <v>EQIP-HU</v>
      </c>
    </row>
    <row r="12" spans="2:10">
      <c r="B12" s="220"/>
      <c r="C12" s="217"/>
      <c r="D12" s="217"/>
      <c r="E12" s="218" t="s">
        <v>12</v>
      </c>
      <c r="F12" s="218" t="s">
        <v>12</v>
      </c>
      <c r="G12" s="218" t="s">
        <v>12</v>
      </c>
      <c r="H12" s="219" t="s">
        <v>12</v>
      </c>
    </row>
    <row r="13" spans="2:10">
      <c r="B13" s="221" t="s">
        <v>16</v>
      </c>
      <c r="C13" s="217"/>
      <c r="D13" s="222" t="s">
        <v>6</v>
      </c>
      <c r="E13" s="223" t="s">
        <v>24</v>
      </c>
      <c r="F13" s="223" t="s">
        <v>24</v>
      </c>
      <c r="G13" s="223" t="s">
        <v>14</v>
      </c>
      <c r="H13" s="224" t="s">
        <v>14</v>
      </c>
    </row>
    <row r="14" spans="2:10">
      <c r="B14" s="215" t="s">
        <v>0</v>
      </c>
      <c r="C14" s="217"/>
      <c r="D14" s="225">
        <v>0</v>
      </c>
      <c r="E14" s="226">
        <v>0</v>
      </c>
      <c r="F14" s="226">
        <v>0</v>
      </c>
      <c r="G14" s="227">
        <f>+$D14*E14</f>
        <v>0</v>
      </c>
      <c r="H14" s="228">
        <f>+$D14*F14</f>
        <v>0</v>
      </c>
    </row>
    <row r="15" spans="2:10">
      <c r="B15" s="215" t="s">
        <v>2</v>
      </c>
      <c r="C15" s="217"/>
      <c r="D15" s="225">
        <v>0</v>
      </c>
      <c r="E15" s="226">
        <v>0</v>
      </c>
      <c r="F15" s="226">
        <v>0</v>
      </c>
      <c r="G15" s="227">
        <f t="shared" ref="G15:H22" si="0">+$D15*E15</f>
        <v>0</v>
      </c>
      <c r="H15" s="228">
        <f t="shared" si="0"/>
        <v>0</v>
      </c>
    </row>
    <row r="16" spans="2:10">
      <c r="B16" s="215" t="s">
        <v>3</v>
      </c>
      <c r="C16" s="217"/>
      <c r="D16" s="225">
        <f>I49</f>
        <v>2544.5</v>
      </c>
      <c r="E16" s="226">
        <v>0.75</v>
      </c>
      <c r="F16" s="226">
        <v>0.9</v>
      </c>
      <c r="G16" s="227">
        <f t="shared" si="0"/>
        <v>1908.375</v>
      </c>
      <c r="H16" s="228">
        <f t="shared" si="0"/>
        <v>2290.0500000000002</v>
      </c>
    </row>
    <row r="17" spans="2:16">
      <c r="B17" s="215" t="s">
        <v>4</v>
      </c>
      <c r="C17" s="217"/>
      <c r="D17" s="225">
        <v>0</v>
      </c>
      <c r="E17" s="226">
        <v>0</v>
      </c>
      <c r="F17" s="226">
        <v>0</v>
      </c>
      <c r="G17" s="227">
        <f t="shared" si="0"/>
        <v>0</v>
      </c>
      <c r="H17" s="228">
        <f t="shared" si="0"/>
        <v>0</v>
      </c>
    </row>
    <row r="18" spans="2:16">
      <c r="B18" s="215" t="s">
        <v>26</v>
      </c>
      <c r="C18" s="217"/>
      <c r="D18" s="225">
        <v>0</v>
      </c>
      <c r="E18" s="226">
        <v>0</v>
      </c>
      <c r="F18" s="226">
        <v>0</v>
      </c>
      <c r="G18" s="227">
        <f t="shared" si="0"/>
        <v>0</v>
      </c>
      <c r="H18" s="228">
        <f t="shared" si="0"/>
        <v>0</v>
      </c>
    </row>
    <row r="19" spans="2:16">
      <c r="B19" s="215" t="s">
        <v>7</v>
      </c>
      <c r="C19" s="217"/>
      <c r="D19" s="225">
        <f>I63</f>
        <v>0</v>
      </c>
      <c r="E19" s="226">
        <v>0.75</v>
      </c>
      <c r="F19" s="226">
        <v>0.9</v>
      </c>
      <c r="G19" s="227">
        <f t="shared" si="0"/>
        <v>0</v>
      </c>
      <c r="H19" s="228">
        <f t="shared" si="0"/>
        <v>0</v>
      </c>
    </row>
    <row r="20" spans="2:16">
      <c r="B20" s="215" t="s">
        <v>27</v>
      </c>
      <c r="C20" s="217"/>
      <c r="D20" s="225">
        <v>0</v>
      </c>
      <c r="E20" s="226">
        <v>0</v>
      </c>
      <c r="F20" s="226">
        <v>0</v>
      </c>
      <c r="G20" s="227">
        <f t="shared" si="0"/>
        <v>0</v>
      </c>
      <c r="H20" s="228">
        <f t="shared" si="0"/>
        <v>0</v>
      </c>
    </row>
    <row r="21" spans="2:16">
      <c r="B21" s="215" t="s">
        <v>5</v>
      </c>
      <c r="C21" s="217"/>
      <c r="D21" s="225">
        <v>0</v>
      </c>
      <c r="E21" s="226">
        <v>0</v>
      </c>
      <c r="F21" s="226">
        <v>0</v>
      </c>
      <c r="G21" s="227">
        <f t="shared" si="0"/>
        <v>0</v>
      </c>
      <c r="H21" s="228">
        <f t="shared" si="0"/>
        <v>0</v>
      </c>
    </row>
    <row r="22" spans="2:16">
      <c r="B22" s="215" t="s">
        <v>20</v>
      </c>
      <c r="C22" s="217"/>
      <c r="D22" s="225">
        <v>0</v>
      </c>
      <c r="E22" s="226">
        <v>0</v>
      </c>
      <c r="F22" s="226">
        <v>0</v>
      </c>
      <c r="G22" s="229">
        <f t="shared" si="0"/>
        <v>0</v>
      </c>
      <c r="H22" s="230">
        <f t="shared" si="0"/>
        <v>0</v>
      </c>
    </row>
    <row r="23" spans="2:16">
      <c r="B23" s="231" t="s">
        <v>19</v>
      </c>
      <c r="C23" s="232"/>
      <c r="D23" s="233">
        <f>SUM(D14:D22)</f>
        <v>2544.5</v>
      </c>
      <c r="E23" s="234"/>
      <c r="F23" s="234"/>
      <c r="G23" s="233">
        <f t="shared" ref="G23:H23" si="1">SUM(G14:G22)</f>
        <v>1908.375</v>
      </c>
      <c r="H23" s="235">
        <f t="shared" si="1"/>
        <v>2290.0500000000002</v>
      </c>
    </row>
    <row r="24" spans="2:16" s="239" customFormat="1" ht="5.25" customHeight="1">
      <c r="B24" s="236"/>
      <c r="C24" s="236"/>
      <c r="D24" s="237"/>
      <c r="E24" s="238"/>
      <c r="F24" s="238"/>
      <c r="G24" s="238"/>
      <c r="H24" s="238"/>
      <c r="I24" s="238"/>
      <c r="J24" s="238"/>
      <c r="K24" s="237"/>
      <c r="L24" s="237"/>
      <c r="M24" s="237"/>
      <c r="N24" s="237"/>
      <c r="O24" s="237"/>
      <c r="P24" s="237"/>
    </row>
    <row r="25" spans="2:16" ht="5.25" customHeight="1"/>
    <row r="26" spans="2:16" ht="15.75">
      <c r="B26" s="240" t="s">
        <v>28</v>
      </c>
      <c r="I26" s="241"/>
    </row>
    <row r="27" spans="2:16">
      <c r="B27" s="242" t="s">
        <v>32</v>
      </c>
      <c r="C27" s="243"/>
      <c r="D27" s="243"/>
      <c r="E27" s="244"/>
      <c r="F27" s="244"/>
      <c r="G27" s="244"/>
      <c r="H27" s="244"/>
      <c r="I27" s="245"/>
    </row>
    <row r="28" spans="2:16" ht="25.5" customHeight="1">
      <c r="B28" s="246"/>
      <c r="C28" s="247"/>
      <c r="D28" s="1966" t="s">
        <v>235</v>
      </c>
      <c r="E28" s="1967"/>
      <c r="F28" s="1967"/>
      <c r="G28" s="1967"/>
      <c r="H28" s="1967"/>
      <c r="I28" s="248"/>
    </row>
    <row r="29" spans="2:16">
      <c r="B29" s="246"/>
      <c r="C29" s="247"/>
      <c r="D29" s="249"/>
      <c r="E29" s="250"/>
      <c r="F29" s="250"/>
      <c r="G29" s="250"/>
      <c r="H29" s="250"/>
      <c r="I29" s="248"/>
    </row>
    <row r="30" spans="2:16">
      <c r="B30" s="251" t="s">
        <v>41</v>
      </c>
      <c r="C30" s="247"/>
      <c r="D30" s="1964" t="s">
        <v>206</v>
      </c>
      <c r="E30" s="1965"/>
      <c r="F30" s="1965"/>
      <c r="G30" s="1965"/>
      <c r="H30" s="1965"/>
      <c r="I30" s="248"/>
    </row>
    <row r="31" spans="2:16" ht="26.25" customHeight="1">
      <c r="B31" s="252" t="s">
        <v>40</v>
      </c>
      <c r="C31" s="247"/>
      <c r="D31" s="1964" t="s">
        <v>236</v>
      </c>
      <c r="E31" s="1965"/>
      <c r="F31" s="1965"/>
      <c r="G31" s="1965"/>
      <c r="H31" s="1965"/>
      <c r="I31" s="248"/>
    </row>
    <row r="32" spans="2:16" ht="105" customHeight="1">
      <c r="B32" s="252" t="s">
        <v>33</v>
      </c>
      <c r="C32" s="253"/>
      <c r="D32" s="1964" t="s">
        <v>237</v>
      </c>
      <c r="E32" s="1965"/>
      <c r="F32" s="1965"/>
      <c r="G32" s="1965"/>
      <c r="H32" s="1965"/>
      <c r="I32" s="248"/>
    </row>
    <row r="33" spans="2:15" ht="66.75" customHeight="1">
      <c r="B33" s="252" t="s">
        <v>35</v>
      </c>
      <c r="C33" s="253"/>
      <c r="D33" s="1964" t="s">
        <v>209</v>
      </c>
      <c r="E33" s="1965"/>
      <c r="F33" s="1965"/>
      <c r="G33" s="1965"/>
      <c r="H33" s="1965"/>
      <c r="I33" s="248"/>
    </row>
    <row r="34" spans="2:15" ht="36" customHeight="1">
      <c r="B34" s="252" t="s">
        <v>34</v>
      </c>
      <c r="C34" s="253"/>
      <c r="D34" s="1964" t="s">
        <v>210</v>
      </c>
      <c r="E34" s="1965"/>
      <c r="F34" s="1965"/>
      <c r="G34" s="1965"/>
      <c r="H34" s="1965"/>
      <c r="I34" s="248"/>
    </row>
    <row r="35" spans="2:15">
      <c r="B35" s="251"/>
      <c r="C35" s="247"/>
      <c r="D35" s="247"/>
      <c r="E35" s="254"/>
      <c r="F35" s="254"/>
      <c r="G35" s="254"/>
      <c r="H35" s="254"/>
      <c r="I35" s="248"/>
    </row>
    <row r="36" spans="2:15">
      <c r="B36" s="255" t="s">
        <v>25</v>
      </c>
      <c r="C36" s="247"/>
      <c r="D36" s="1968" t="s">
        <v>42</v>
      </c>
      <c r="E36" s="1969"/>
      <c r="F36" s="1969"/>
      <c r="G36" s="1969"/>
      <c r="H36" s="1969"/>
      <c r="I36" s="248"/>
      <c r="J36" s="236"/>
    </row>
    <row r="37" spans="2:15">
      <c r="B37" s="251"/>
      <c r="C37" s="247"/>
      <c r="D37" s="254"/>
      <c r="E37" s="254"/>
      <c r="F37" s="254"/>
      <c r="G37" s="254"/>
      <c r="H37" s="254"/>
      <c r="I37" s="248"/>
    </row>
    <row r="38" spans="2:15">
      <c r="B38" s="255" t="s">
        <v>8</v>
      </c>
      <c r="C38" s="247"/>
      <c r="D38" s="256" t="s">
        <v>38</v>
      </c>
      <c r="E38" s="254"/>
      <c r="F38" s="254"/>
      <c r="G38" s="254"/>
      <c r="H38" s="254"/>
      <c r="I38" s="248"/>
    </row>
    <row r="39" spans="2:15">
      <c r="B39" s="255" t="s">
        <v>9</v>
      </c>
      <c r="C39" s="247"/>
      <c r="D39" s="257">
        <v>1</v>
      </c>
      <c r="E39" s="254"/>
      <c r="F39" s="254"/>
      <c r="G39" s="254"/>
      <c r="H39" s="254"/>
      <c r="I39" s="248"/>
    </row>
    <row r="40" spans="2:15">
      <c r="B40" s="255" t="s">
        <v>10</v>
      </c>
      <c r="C40" s="254"/>
      <c r="D40" s="258">
        <v>0.05</v>
      </c>
      <c r="E40" s="259"/>
      <c r="F40" s="254"/>
      <c r="G40" s="254"/>
      <c r="H40" s="254"/>
      <c r="I40" s="260" t="s">
        <v>6</v>
      </c>
    </row>
    <row r="41" spans="2:15">
      <c r="B41" s="261"/>
      <c r="C41" s="254"/>
      <c r="D41" s="254"/>
      <c r="E41" s="254"/>
      <c r="F41" s="254"/>
      <c r="G41" s="254"/>
      <c r="H41" s="254"/>
      <c r="I41" s="262"/>
      <c r="L41" s="263"/>
      <c r="M41" s="263"/>
      <c r="N41" s="264"/>
      <c r="O41" s="264"/>
    </row>
    <row r="42" spans="2:15">
      <c r="B42" s="246" t="s">
        <v>0</v>
      </c>
      <c r="C42" s="254"/>
      <c r="D42" s="254"/>
      <c r="E42" s="254"/>
      <c r="F42" s="254"/>
      <c r="G42" s="254"/>
      <c r="H42" s="254"/>
      <c r="I42" s="265">
        <v>0</v>
      </c>
      <c r="L42" s="263"/>
      <c r="M42" s="263"/>
      <c r="N42" s="264"/>
      <c r="O42" s="264"/>
    </row>
    <row r="43" spans="2:15" ht="14.25" customHeight="1">
      <c r="B43" s="251" t="s">
        <v>39</v>
      </c>
      <c r="C43" s="254"/>
      <c r="D43" s="266"/>
      <c r="E43" s="254"/>
      <c r="F43" s="254"/>
      <c r="G43" s="254"/>
      <c r="H43" s="254"/>
      <c r="I43" s="265"/>
      <c r="L43" s="263"/>
      <c r="M43" s="264"/>
    </row>
    <row r="44" spans="2:15" ht="6" customHeight="1">
      <c r="B44" s="267"/>
      <c r="C44" s="268"/>
      <c r="D44" s="269"/>
      <c r="E44" s="254"/>
      <c r="F44" s="254"/>
      <c r="G44" s="254"/>
      <c r="H44" s="254"/>
      <c r="I44" s="265"/>
      <c r="L44" s="263"/>
      <c r="M44" s="264"/>
    </row>
    <row r="45" spans="2:15">
      <c r="B45" s="246" t="s">
        <v>2</v>
      </c>
      <c r="C45" s="254"/>
      <c r="D45" s="270"/>
      <c r="E45" s="254"/>
      <c r="F45" s="254"/>
      <c r="G45" s="254"/>
      <c r="H45" s="254"/>
      <c r="I45" s="265">
        <v>0</v>
      </c>
      <c r="L45" s="263"/>
      <c r="M45" s="264"/>
    </row>
    <row r="46" spans="2:15" ht="12.75" customHeight="1">
      <c r="B46" s="1970" t="s">
        <v>39</v>
      </c>
      <c r="C46" s="1967"/>
      <c r="D46" s="1967"/>
      <c r="E46" s="1967"/>
      <c r="F46" s="1967"/>
      <c r="G46" s="1967"/>
      <c r="H46" s="1967"/>
      <c r="I46" s="265"/>
      <c r="L46" s="263"/>
      <c r="M46" s="264"/>
    </row>
    <row r="47" spans="2:15" ht="6" customHeight="1">
      <c r="B47" s="271"/>
      <c r="C47" s="254"/>
      <c r="D47" s="254"/>
      <c r="E47" s="272"/>
      <c r="F47" s="272"/>
      <c r="G47" s="272"/>
      <c r="H47" s="254"/>
      <c r="I47" s="265"/>
      <c r="L47" s="263"/>
      <c r="M47" s="264"/>
    </row>
    <row r="48" spans="2:15" ht="4.5" customHeight="1">
      <c r="B48" s="246"/>
      <c r="C48" s="254"/>
      <c r="D48" s="254"/>
      <c r="E48" s="254"/>
      <c r="F48" s="254"/>
      <c r="G48" s="273"/>
      <c r="H48" s="274"/>
      <c r="I48" s="265"/>
      <c r="L48" s="263"/>
      <c r="M48" s="264"/>
    </row>
    <row r="49" spans="2:15">
      <c r="B49" s="246" t="s">
        <v>3</v>
      </c>
      <c r="C49" s="254"/>
      <c r="D49" s="254"/>
      <c r="E49" s="254"/>
      <c r="F49" s="254"/>
      <c r="G49" s="254"/>
      <c r="H49" s="254"/>
      <c r="I49" s="265">
        <f>$H$56</f>
        <v>2544.5</v>
      </c>
      <c r="L49" s="263"/>
      <c r="M49" s="264"/>
    </row>
    <row r="50" spans="2:15" ht="24.75" customHeight="1">
      <c r="B50" s="1970" t="s">
        <v>211</v>
      </c>
      <c r="C50" s="1967"/>
      <c r="D50" s="1967"/>
      <c r="E50" s="1967"/>
      <c r="F50" s="1967"/>
      <c r="G50" s="1967"/>
      <c r="H50" s="1967"/>
      <c r="I50" s="265"/>
      <c r="L50" s="263"/>
      <c r="M50" s="264"/>
    </row>
    <row r="51" spans="2:15" ht="12.75" customHeight="1">
      <c r="B51" s="275"/>
      <c r="C51" s="276"/>
      <c r="D51" s="277" t="s">
        <v>212</v>
      </c>
      <c r="E51" s="278" t="s">
        <v>46</v>
      </c>
      <c r="F51" s="278" t="s">
        <v>6</v>
      </c>
      <c r="G51" s="278" t="s">
        <v>47</v>
      </c>
      <c r="H51" s="278" t="s">
        <v>48</v>
      </c>
      <c r="I51" s="265"/>
      <c r="L51" s="263"/>
      <c r="M51" s="264"/>
    </row>
    <row r="52" spans="2:15" ht="12.75" customHeight="1">
      <c r="B52" s="275"/>
      <c r="C52" s="250"/>
      <c r="D52" s="250" t="s">
        <v>213</v>
      </c>
      <c r="E52" s="279" t="s">
        <v>49</v>
      </c>
      <c r="F52" s="280">
        <v>71</v>
      </c>
      <c r="G52" s="250">
        <v>0.5</v>
      </c>
      <c r="H52" s="280">
        <f>F52*G52</f>
        <v>35.5</v>
      </c>
      <c r="I52" s="265"/>
      <c r="L52" s="263"/>
      <c r="M52" s="264"/>
    </row>
    <row r="53" spans="2:15" ht="12.75" customHeight="1">
      <c r="B53" s="275"/>
      <c r="C53" s="250"/>
      <c r="D53" s="250" t="s">
        <v>214</v>
      </c>
      <c r="E53" s="279" t="s">
        <v>49</v>
      </c>
      <c r="F53" s="280">
        <v>87</v>
      </c>
      <c r="G53" s="250">
        <v>6</v>
      </c>
      <c r="H53" s="280">
        <f>F53*G53</f>
        <v>522</v>
      </c>
      <c r="I53" s="265"/>
      <c r="L53" s="263"/>
      <c r="M53" s="264"/>
    </row>
    <row r="54" spans="2:15" ht="12.75" customHeight="1">
      <c r="B54" s="275"/>
      <c r="C54" s="250"/>
      <c r="D54" s="250" t="s">
        <v>215</v>
      </c>
      <c r="E54" s="279" t="s">
        <v>49</v>
      </c>
      <c r="F54" s="280">
        <v>149</v>
      </c>
      <c r="G54" s="250">
        <v>8</v>
      </c>
      <c r="H54" s="280">
        <f>F54*G54</f>
        <v>1192</v>
      </c>
      <c r="I54" s="265"/>
      <c r="L54" s="263"/>
      <c r="M54" s="264"/>
    </row>
    <row r="55" spans="2:15" ht="12.75" customHeight="1">
      <c r="B55" s="275"/>
      <c r="C55" s="250"/>
      <c r="D55" s="250" t="s">
        <v>216</v>
      </c>
      <c r="E55" s="279" t="s">
        <v>49</v>
      </c>
      <c r="F55" s="280">
        <v>159</v>
      </c>
      <c r="G55" s="250">
        <v>5</v>
      </c>
      <c r="H55" s="280">
        <f>F55*G55</f>
        <v>795</v>
      </c>
      <c r="I55" s="265"/>
      <c r="L55" s="263"/>
      <c r="M55" s="264"/>
    </row>
    <row r="56" spans="2:15">
      <c r="B56" s="246" t="s">
        <v>4</v>
      </c>
      <c r="C56" s="254"/>
      <c r="D56" s="254"/>
      <c r="E56" s="254"/>
      <c r="F56" s="254"/>
      <c r="G56" s="254">
        <f>SUM(G52:G55)</f>
        <v>19.5</v>
      </c>
      <c r="H56" s="281">
        <f>SUM(H52:H55)</f>
        <v>2544.5</v>
      </c>
      <c r="I56" s="282">
        <v>0</v>
      </c>
      <c r="L56" s="263"/>
      <c r="M56" s="264"/>
    </row>
    <row r="57" spans="2:15" ht="12" customHeight="1">
      <c r="B57" s="251" t="s">
        <v>39</v>
      </c>
      <c r="C57" s="254"/>
      <c r="D57" s="254"/>
      <c r="E57" s="254"/>
      <c r="F57" s="254"/>
      <c r="G57" s="254"/>
      <c r="H57" s="254"/>
      <c r="I57" s="248"/>
      <c r="L57" s="263"/>
      <c r="M57" s="264"/>
    </row>
    <row r="58" spans="2:15" ht="5.25" customHeight="1">
      <c r="B58" s="251"/>
      <c r="C58" s="254"/>
      <c r="D58" s="254"/>
      <c r="E58" s="254"/>
      <c r="F58" s="254"/>
      <c r="G58" s="254"/>
      <c r="H58" s="254"/>
      <c r="I58" s="248"/>
      <c r="L58" s="263"/>
      <c r="M58" s="264"/>
    </row>
    <row r="59" spans="2:15">
      <c r="B59" s="246" t="s">
        <v>26</v>
      </c>
      <c r="C59" s="254"/>
      <c r="D59" s="254"/>
      <c r="E59" s="254"/>
      <c r="F59" s="254"/>
      <c r="G59" s="254"/>
      <c r="H59" s="254"/>
      <c r="I59" s="265">
        <v>0</v>
      </c>
      <c r="L59" s="263"/>
      <c r="M59" s="264"/>
    </row>
    <row r="60" spans="2:15" ht="14.25" customHeight="1">
      <c r="B60" s="1970" t="s">
        <v>39</v>
      </c>
      <c r="C60" s="1971"/>
      <c r="D60" s="1971"/>
      <c r="E60" s="1971"/>
      <c r="F60" s="1971"/>
      <c r="G60" s="1971"/>
      <c r="H60" s="1971"/>
      <c r="I60" s="282"/>
      <c r="L60" s="263"/>
      <c r="M60" s="264"/>
    </row>
    <row r="61" spans="2:15" ht="12" customHeight="1">
      <c r="B61" s="1972"/>
      <c r="C61" s="1934"/>
      <c r="D61" s="1934"/>
      <c r="E61" s="1934"/>
      <c r="F61" s="1934"/>
      <c r="G61" s="1934"/>
      <c r="H61" s="254"/>
      <c r="I61" s="282"/>
      <c r="L61" s="263"/>
      <c r="M61" s="264"/>
    </row>
    <row r="62" spans="2:15" ht="9.75" customHeight="1">
      <c r="B62" s="251"/>
      <c r="C62" s="254"/>
      <c r="D62" s="254"/>
      <c r="E62" s="254"/>
      <c r="F62" s="254"/>
      <c r="G62" s="254"/>
      <c r="H62" s="254"/>
      <c r="I62" s="248"/>
      <c r="L62" s="263"/>
      <c r="M62" s="263"/>
    </row>
    <row r="63" spans="2:15">
      <c r="B63" s="246" t="s">
        <v>7</v>
      </c>
      <c r="C63" s="254"/>
      <c r="D63" s="254"/>
      <c r="E63" s="254"/>
      <c r="F63" s="254"/>
      <c r="G63" s="254"/>
      <c r="H63" s="254"/>
      <c r="I63" s="265">
        <v>0</v>
      </c>
      <c r="L63" s="263"/>
      <c r="M63" s="263"/>
      <c r="N63" s="263"/>
      <c r="O63" s="263"/>
    </row>
    <row r="64" spans="2:15" ht="12" customHeight="1">
      <c r="B64" s="251" t="s">
        <v>39</v>
      </c>
      <c r="C64" s="254"/>
      <c r="D64" s="283"/>
      <c r="E64" s="284"/>
      <c r="F64" s="284"/>
      <c r="G64" s="284"/>
      <c r="H64" s="284"/>
      <c r="I64" s="248"/>
      <c r="L64" s="263"/>
      <c r="M64" s="263"/>
      <c r="N64" s="264"/>
      <c r="O64" s="264"/>
    </row>
    <row r="65" spans="2:15" ht="6" customHeight="1">
      <c r="B65" s="251"/>
      <c r="C65" s="254"/>
      <c r="D65" s="254"/>
      <c r="E65" s="254"/>
      <c r="F65" s="254"/>
      <c r="G65" s="254"/>
      <c r="H65" s="254"/>
      <c r="I65" s="248"/>
      <c r="L65" s="263"/>
      <c r="M65" s="263"/>
      <c r="N65" s="285"/>
      <c r="O65" s="285"/>
    </row>
    <row r="66" spans="2:15">
      <c r="B66" s="246" t="s">
        <v>27</v>
      </c>
      <c r="C66" s="254"/>
      <c r="D66" s="254"/>
      <c r="E66" s="254"/>
      <c r="F66" s="254"/>
      <c r="G66" s="254"/>
      <c r="H66" s="254"/>
      <c r="I66" s="265">
        <v>0</v>
      </c>
      <c r="L66" s="263"/>
      <c r="M66" s="263"/>
      <c r="N66" s="264"/>
      <c r="O66" s="264"/>
    </row>
    <row r="67" spans="2:15" ht="13.5" customHeight="1">
      <c r="B67" s="251" t="s">
        <v>39</v>
      </c>
      <c r="C67" s="254"/>
      <c r="D67" s="254"/>
      <c r="E67" s="254"/>
      <c r="F67" s="254"/>
      <c r="G67" s="254"/>
      <c r="H67" s="254"/>
      <c r="I67" s="286"/>
      <c r="L67" s="263"/>
      <c r="M67" s="263"/>
      <c r="N67" s="285"/>
      <c r="O67" s="285"/>
    </row>
    <row r="68" spans="2:15" ht="3.75" customHeight="1">
      <c r="B68" s="251"/>
      <c r="C68" s="254"/>
      <c r="D68" s="254"/>
      <c r="E68" s="254"/>
      <c r="F68" s="254"/>
      <c r="G68" s="254"/>
      <c r="H68" s="254"/>
      <c r="I68" s="248"/>
      <c r="L68" s="263"/>
      <c r="M68" s="263"/>
      <c r="N68" s="264"/>
      <c r="O68" s="264"/>
    </row>
    <row r="69" spans="2:15">
      <c r="B69" s="246" t="s">
        <v>5</v>
      </c>
      <c r="C69" s="254"/>
      <c r="D69" s="254"/>
      <c r="E69" s="254"/>
      <c r="F69" s="254"/>
      <c r="G69" s="254"/>
      <c r="H69" s="254"/>
      <c r="I69" s="265">
        <v>0</v>
      </c>
      <c r="L69" s="263"/>
      <c r="M69" s="263"/>
      <c r="N69" s="264"/>
      <c r="O69" s="264"/>
    </row>
    <row r="70" spans="2:15" ht="11.25" customHeight="1">
      <c r="B70" s="251" t="s">
        <v>39</v>
      </c>
      <c r="C70" s="254"/>
      <c r="D70" s="254"/>
      <c r="E70" s="254"/>
      <c r="F70" s="254"/>
      <c r="G70" s="254"/>
      <c r="H70" s="254"/>
      <c r="I70" s="286"/>
      <c r="L70" s="263"/>
      <c r="M70" s="263"/>
      <c r="N70" s="263"/>
      <c r="O70" s="263"/>
    </row>
    <row r="71" spans="2:15" ht="4.5" customHeight="1">
      <c r="B71" s="251"/>
      <c r="C71" s="254"/>
      <c r="D71" s="254"/>
      <c r="E71" s="254"/>
      <c r="F71" s="254"/>
      <c r="G71" s="254"/>
      <c r="H71" s="254"/>
      <c r="I71" s="248"/>
      <c r="L71" s="263"/>
      <c r="M71" s="263"/>
      <c r="N71" s="263"/>
      <c r="O71" s="263"/>
    </row>
    <row r="72" spans="2:15">
      <c r="B72" s="246" t="s">
        <v>20</v>
      </c>
      <c r="C72" s="254"/>
      <c r="D72" s="254"/>
      <c r="E72" s="254"/>
      <c r="F72" s="254"/>
      <c r="G72" s="254"/>
      <c r="H72" s="254"/>
      <c r="I72" s="265">
        <v>0</v>
      </c>
      <c r="L72" s="263"/>
      <c r="M72" s="263"/>
      <c r="N72" s="264"/>
      <c r="O72" s="264"/>
    </row>
    <row r="73" spans="2:15" ht="12" customHeight="1">
      <c r="B73" s="251" t="s">
        <v>39</v>
      </c>
      <c r="C73" s="254"/>
      <c r="D73" s="254"/>
      <c r="E73" s="254"/>
      <c r="F73" s="254"/>
      <c r="G73" s="254"/>
      <c r="H73" s="254"/>
      <c r="I73" s="265"/>
      <c r="L73" s="263"/>
      <c r="M73" s="263"/>
      <c r="N73" s="264"/>
      <c r="O73" s="264"/>
    </row>
    <row r="74" spans="2:15" ht="6.75" customHeight="1">
      <c r="B74" s="246"/>
      <c r="C74" s="254"/>
      <c r="D74" s="254"/>
      <c r="E74" s="254"/>
      <c r="F74" s="254"/>
      <c r="G74" s="254"/>
      <c r="H74" s="254"/>
      <c r="I74" s="265"/>
      <c r="L74" s="263"/>
      <c r="M74" s="263"/>
      <c r="N74" s="264"/>
      <c r="O74" s="264"/>
    </row>
    <row r="75" spans="2:15" ht="5.25" customHeight="1">
      <c r="B75" s="261"/>
      <c r="C75" s="254"/>
      <c r="D75" s="254"/>
      <c r="E75" s="254"/>
      <c r="F75" s="254"/>
      <c r="G75" s="254"/>
      <c r="H75" s="254"/>
      <c r="I75" s="248"/>
      <c r="L75" s="263"/>
      <c r="M75" s="263"/>
      <c r="N75" s="263"/>
      <c r="O75" s="263"/>
    </row>
    <row r="76" spans="2:15">
      <c r="B76" s="287" t="s">
        <v>11</v>
      </c>
      <c r="C76" s="288"/>
      <c r="D76" s="288"/>
      <c r="E76" s="288"/>
      <c r="F76" s="288"/>
      <c r="G76" s="288"/>
      <c r="H76" s="288"/>
      <c r="I76" s="289">
        <f>+I72+I69+I66+I63+I59+I56+I49+I45+I42</f>
        <v>2544.5</v>
      </c>
      <c r="L76" s="263"/>
      <c r="M76" s="263"/>
      <c r="N76" s="263"/>
      <c r="O76" s="263"/>
    </row>
    <row r="99" spans="5:5">
      <c r="E99" s="290"/>
    </row>
    <row r="100" spans="5:5">
      <c r="E100" s="290"/>
    </row>
    <row r="101" spans="5:5">
      <c r="E101" s="290"/>
    </row>
    <row r="102" spans="5:5">
      <c r="E102" s="290"/>
    </row>
    <row r="103" spans="5:5">
      <c r="E103" s="290"/>
    </row>
    <row r="104" spans="5:5">
      <c r="E104" s="290"/>
    </row>
    <row r="106" spans="5:5">
      <c r="E106" s="290"/>
    </row>
    <row r="108" spans="5:5">
      <c r="E108" s="291"/>
    </row>
    <row r="110" spans="5:5">
      <c r="E110" s="290"/>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xml><?xml version="1.0" encoding="utf-8"?>
<worksheet xmlns="http://schemas.openxmlformats.org/spreadsheetml/2006/main" xmlns:r="http://schemas.openxmlformats.org/officeDocument/2006/relationships">
  <dimension ref="A1:L55"/>
  <sheetViews>
    <sheetView view="pageBreakPreview" topLeftCell="A22" zoomScaleNormal="100" workbookViewId="0">
      <selection activeCell="D42" sqref="D42"/>
    </sheetView>
  </sheetViews>
  <sheetFormatPr defaultRowHeight="12.75"/>
  <cols>
    <col min="2" max="2" width="20.85546875" customWidth="1"/>
    <col min="3" max="3" width="26.5703125" bestFit="1" customWidth="1"/>
    <col min="4" max="4" width="21.28515625" customWidth="1"/>
    <col min="5" max="5" width="15.28515625" customWidth="1"/>
    <col min="6" max="6" width="10.28515625" customWidth="1"/>
    <col min="7" max="7" width="13" customWidth="1"/>
    <col min="8" max="8" width="10.140625" customWidth="1"/>
    <col min="9" max="9" width="11" customWidth="1"/>
    <col min="10" max="10" width="11.28515625" customWidth="1"/>
    <col min="11" max="11" width="9.85546875" customWidth="1"/>
  </cols>
  <sheetData>
    <row r="1" spans="1:12">
      <c r="A1" s="2"/>
      <c r="B1" s="2"/>
      <c r="C1" s="2"/>
      <c r="D1" s="2"/>
      <c r="E1" s="2"/>
      <c r="F1" s="2"/>
      <c r="G1" s="2"/>
      <c r="H1" s="2"/>
      <c r="I1" s="2"/>
      <c r="J1" s="2"/>
      <c r="K1" s="2"/>
    </row>
    <row r="2" spans="1:12" ht="15.75">
      <c r="A2" s="118" t="s">
        <v>17</v>
      </c>
      <c r="B2" s="119"/>
      <c r="C2" s="119"/>
      <c r="D2" s="119"/>
      <c r="E2" s="119"/>
      <c r="F2" s="119"/>
      <c r="G2" s="2"/>
      <c r="H2" s="2"/>
      <c r="I2" s="2"/>
      <c r="J2" s="2"/>
      <c r="K2" s="2"/>
    </row>
    <row r="3" spans="1:12" ht="25.5">
      <c r="A3" s="120" t="s">
        <v>37</v>
      </c>
      <c r="B3" s="121" t="s">
        <v>75</v>
      </c>
      <c r="C3" s="122" t="s">
        <v>29</v>
      </c>
      <c r="D3" s="122" t="s">
        <v>30</v>
      </c>
      <c r="E3" s="121" t="s">
        <v>23</v>
      </c>
      <c r="F3" s="123" t="s">
        <v>76</v>
      </c>
      <c r="G3" s="124" t="s">
        <v>77</v>
      </c>
      <c r="K3" s="2"/>
    </row>
    <row r="4" spans="1:12" ht="25.5">
      <c r="A4" s="54">
        <v>102</v>
      </c>
      <c r="B4" s="7" t="s">
        <v>78</v>
      </c>
      <c r="C4" s="125" t="s">
        <v>79</v>
      </c>
      <c r="D4" s="110" t="s">
        <v>105</v>
      </c>
      <c r="E4" s="7" t="s">
        <v>81</v>
      </c>
      <c r="F4" s="85">
        <f>+F21</f>
        <v>2553</v>
      </c>
      <c r="G4" s="126" t="str">
        <f>+C26</f>
        <v>Statewide</v>
      </c>
      <c r="K4" s="2"/>
    </row>
    <row r="5" spans="1:12" ht="25.5">
      <c r="A5" s="8">
        <v>102</v>
      </c>
      <c r="B5" s="10" t="s">
        <v>78</v>
      </c>
      <c r="C5" s="127" t="s">
        <v>79</v>
      </c>
      <c r="D5" s="111" t="s">
        <v>106</v>
      </c>
      <c r="E5" s="10" t="s">
        <v>81</v>
      </c>
      <c r="F5" s="86">
        <f>G21</f>
        <v>3063.6</v>
      </c>
      <c r="G5" s="2" t="str">
        <f>+C26</f>
        <v>Statewide</v>
      </c>
      <c r="K5" s="2"/>
    </row>
    <row r="6" spans="1:12">
      <c r="A6" s="4"/>
      <c r="B6" s="3"/>
      <c r="C6" s="3"/>
      <c r="D6" s="2"/>
      <c r="E6" s="2"/>
      <c r="K6" s="2"/>
    </row>
    <row r="7" spans="1:12" ht="15.75">
      <c r="A7" s="1" t="s">
        <v>18</v>
      </c>
      <c r="B7" s="3"/>
      <c r="C7" s="3"/>
      <c r="D7" s="2"/>
      <c r="E7" s="2"/>
      <c r="I7" s="81"/>
      <c r="J7" s="81"/>
      <c r="K7" s="49"/>
      <c r="L7" s="81"/>
    </row>
    <row r="8" spans="1:12">
      <c r="A8" s="128"/>
      <c r="B8" s="11"/>
      <c r="C8" s="12"/>
      <c r="D8" s="13" t="s">
        <v>83</v>
      </c>
      <c r="E8" s="13" t="s">
        <v>84</v>
      </c>
      <c r="F8" s="13" t="s">
        <v>85</v>
      </c>
      <c r="G8" s="14" t="s">
        <v>15</v>
      </c>
      <c r="H8" s="87"/>
      <c r="I8" s="87"/>
      <c r="J8" s="81"/>
    </row>
    <row r="9" spans="1:12">
      <c r="A9" s="15"/>
      <c r="B9" s="67"/>
      <c r="C9" s="16"/>
      <c r="D9" s="17" t="s">
        <v>22</v>
      </c>
      <c r="E9" s="17" t="s">
        <v>22</v>
      </c>
      <c r="F9" s="17" t="s">
        <v>86</v>
      </c>
      <c r="G9" s="18" t="s">
        <v>87</v>
      </c>
      <c r="H9" s="87"/>
      <c r="I9" s="87"/>
      <c r="J9" s="81"/>
    </row>
    <row r="10" spans="1:12">
      <c r="A10" s="19"/>
      <c r="B10" s="16"/>
      <c r="C10" s="16"/>
      <c r="D10" s="17" t="s">
        <v>12</v>
      </c>
      <c r="E10" s="17" t="s">
        <v>12</v>
      </c>
      <c r="F10" s="17" t="s">
        <v>12</v>
      </c>
      <c r="G10" s="18" t="s">
        <v>12</v>
      </c>
      <c r="H10" s="87"/>
      <c r="I10" s="87"/>
      <c r="J10" s="81"/>
    </row>
    <row r="11" spans="1:12">
      <c r="A11" s="129" t="s">
        <v>16</v>
      </c>
      <c r="B11" s="16"/>
      <c r="C11" s="22" t="s">
        <v>6</v>
      </c>
      <c r="D11" s="22" t="s">
        <v>24</v>
      </c>
      <c r="E11" s="22" t="s">
        <v>24</v>
      </c>
      <c r="F11" s="22" t="s">
        <v>14</v>
      </c>
      <c r="G11" s="23" t="s">
        <v>14</v>
      </c>
      <c r="H11" s="88"/>
      <c r="I11" s="88"/>
      <c r="J11" s="81"/>
    </row>
    <row r="12" spans="1:12">
      <c r="A12" s="15" t="s">
        <v>0</v>
      </c>
      <c r="B12" s="16"/>
      <c r="C12" s="24">
        <f>+I34/C29</f>
        <v>204</v>
      </c>
      <c r="D12" s="130">
        <v>0.75</v>
      </c>
      <c r="E12" s="130">
        <v>0.9</v>
      </c>
      <c r="F12" s="73">
        <f t="shared" ref="F12:G20" si="0">+$C12*D12</f>
        <v>153</v>
      </c>
      <c r="G12" s="74">
        <f t="shared" si="0"/>
        <v>183.6</v>
      </c>
      <c r="H12" s="131"/>
      <c r="I12" s="132"/>
      <c r="J12" s="81"/>
    </row>
    <row r="13" spans="1:12">
      <c r="A13" s="15" t="s">
        <v>2</v>
      </c>
      <c r="B13" s="16"/>
      <c r="C13" s="24">
        <f>+I38/C29</f>
        <v>0</v>
      </c>
      <c r="D13" s="130">
        <v>0.75</v>
      </c>
      <c r="E13" s="130">
        <v>0.9</v>
      </c>
      <c r="F13" s="73">
        <f t="shared" si="0"/>
        <v>0</v>
      </c>
      <c r="G13" s="74">
        <f t="shared" si="0"/>
        <v>0</v>
      </c>
      <c r="H13" s="131"/>
      <c r="I13" s="132"/>
      <c r="J13" s="81"/>
    </row>
    <row r="14" spans="1:12">
      <c r="A14" s="15" t="s">
        <v>3</v>
      </c>
      <c r="B14" s="16"/>
      <c r="C14" s="24">
        <f>+I40/C29</f>
        <v>3000</v>
      </c>
      <c r="D14" s="130">
        <v>0.75</v>
      </c>
      <c r="E14" s="130">
        <v>0.9</v>
      </c>
      <c r="F14" s="73">
        <f t="shared" si="0"/>
        <v>2250</v>
      </c>
      <c r="G14" s="74">
        <f t="shared" si="0"/>
        <v>2700</v>
      </c>
      <c r="H14" s="131"/>
      <c r="I14" s="132"/>
      <c r="J14" s="81"/>
    </row>
    <row r="15" spans="1:12">
      <c r="A15" s="15" t="s">
        <v>4</v>
      </c>
      <c r="B15" s="16"/>
      <c r="C15" s="24">
        <f>+I43/C29</f>
        <v>200</v>
      </c>
      <c r="D15" s="130">
        <v>0.75</v>
      </c>
      <c r="E15" s="130">
        <v>0.9</v>
      </c>
      <c r="F15" s="73">
        <f t="shared" si="0"/>
        <v>150</v>
      </c>
      <c r="G15" s="74">
        <f t="shared" si="0"/>
        <v>180</v>
      </c>
      <c r="H15" s="131"/>
      <c r="I15" s="132"/>
      <c r="J15" s="81"/>
    </row>
    <row r="16" spans="1:12">
      <c r="A16" s="15" t="s">
        <v>26</v>
      </c>
      <c r="B16" s="16"/>
      <c r="C16" s="24">
        <f>+I45/C29</f>
        <v>0</v>
      </c>
      <c r="D16" s="130">
        <v>0</v>
      </c>
      <c r="E16" s="130">
        <v>0</v>
      </c>
      <c r="F16" s="73">
        <f t="shared" si="0"/>
        <v>0</v>
      </c>
      <c r="G16" s="74">
        <f t="shared" si="0"/>
        <v>0</v>
      </c>
      <c r="H16" s="131"/>
      <c r="I16" s="132"/>
      <c r="J16" s="81"/>
    </row>
    <row r="17" spans="1:12">
      <c r="A17" s="15" t="s">
        <v>7</v>
      </c>
      <c r="B17" s="16"/>
      <c r="C17" s="24">
        <f>+I47/C29</f>
        <v>0</v>
      </c>
      <c r="D17" s="130">
        <v>0</v>
      </c>
      <c r="E17" s="130">
        <v>0</v>
      </c>
      <c r="F17" s="73">
        <f t="shared" si="0"/>
        <v>0</v>
      </c>
      <c r="G17" s="74">
        <f t="shared" si="0"/>
        <v>0</v>
      </c>
      <c r="H17" s="131"/>
      <c r="I17" s="132"/>
      <c r="J17" s="81"/>
    </row>
    <row r="18" spans="1:12">
      <c r="A18" s="15" t="s">
        <v>27</v>
      </c>
      <c r="B18" s="16"/>
      <c r="C18" s="24">
        <f>+I49/C29</f>
        <v>0</v>
      </c>
      <c r="D18" s="130">
        <v>0</v>
      </c>
      <c r="E18" s="130">
        <v>0</v>
      </c>
      <c r="F18" s="73">
        <f t="shared" si="0"/>
        <v>0</v>
      </c>
      <c r="G18" s="74">
        <f t="shared" si="0"/>
        <v>0</v>
      </c>
      <c r="H18" s="131"/>
      <c r="I18" s="132"/>
      <c r="J18" s="81"/>
    </row>
    <row r="19" spans="1:12">
      <c r="A19" s="15" t="s">
        <v>5</v>
      </c>
      <c r="B19" s="16"/>
      <c r="C19" s="24">
        <f>+I51/C29</f>
        <v>0</v>
      </c>
      <c r="D19" s="130">
        <v>0</v>
      </c>
      <c r="E19" s="130">
        <v>0</v>
      </c>
      <c r="F19" s="73">
        <f t="shared" si="0"/>
        <v>0</v>
      </c>
      <c r="G19" s="74">
        <f t="shared" si="0"/>
        <v>0</v>
      </c>
      <c r="H19" s="131"/>
      <c r="I19" s="132"/>
      <c r="J19" s="81"/>
    </row>
    <row r="20" spans="1:12">
      <c r="A20" s="15" t="s">
        <v>88</v>
      </c>
      <c r="B20" s="16"/>
      <c r="C20" s="75">
        <f>+I53/C29</f>
        <v>0</v>
      </c>
      <c r="D20" s="130">
        <v>0</v>
      </c>
      <c r="E20" s="130">
        <v>0</v>
      </c>
      <c r="F20" s="133">
        <f t="shared" si="0"/>
        <v>0</v>
      </c>
      <c r="G20" s="134">
        <f t="shared" si="0"/>
        <v>0</v>
      </c>
      <c r="H20" s="135"/>
      <c r="I20" s="136"/>
      <c r="J20" s="81"/>
    </row>
    <row r="21" spans="1:12">
      <c r="A21" s="137" t="s">
        <v>19</v>
      </c>
      <c r="B21" s="27"/>
      <c r="C21" s="51">
        <f>SUM(C12:C20)</f>
        <v>3404</v>
      </c>
      <c r="D21" s="28"/>
      <c r="E21" s="28"/>
      <c r="F21" s="138">
        <f>SUM(F12:F20)</f>
        <v>2553</v>
      </c>
      <c r="G21" s="139">
        <f>SUM(G12:G20)</f>
        <v>3063.6</v>
      </c>
      <c r="H21" s="132"/>
      <c r="I21" s="132"/>
      <c r="J21" s="81"/>
    </row>
    <row r="22" spans="1:12">
      <c r="A22" s="2"/>
      <c r="B22" s="2"/>
      <c r="C22" s="2"/>
      <c r="D22" s="2"/>
      <c r="E22" s="2"/>
      <c r="F22" s="2"/>
      <c r="G22" s="2"/>
      <c r="H22" s="2"/>
      <c r="I22" s="49"/>
      <c r="J22" s="49"/>
      <c r="K22" s="49"/>
      <c r="L22" s="81"/>
    </row>
    <row r="23" spans="1:12" ht="15.75">
      <c r="A23" s="50" t="s">
        <v>28</v>
      </c>
      <c r="B23" s="2"/>
      <c r="C23" s="2"/>
      <c r="D23" s="2"/>
      <c r="E23" s="2"/>
      <c r="F23" s="2"/>
      <c r="G23" s="2"/>
      <c r="H23" s="2"/>
      <c r="I23" s="140"/>
      <c r="J23" s="2"/>
      <c r="K23" s="2"/>
    </row>
    <row r="24" spans="1:12">
      <c r="A24" s="29" t="s">
        <v>89</v>
      </c>
      <c r="B24" s="30"/>
      <c r="C24" s="30"/>
      <c r="D24" s="31"/>
      <c r="E24" s="31"/>
      <c r="F24" s="31"/>
      <c r="G24" s="31"/>
      <c r="H24" s="31"/>
      <c r="I24" s="32"/>
      <c r="J24" s="2"/>
      <c r="K24" s="2"/>
    </row>
    <row r="25" spans="1:12">
      <c r="A25" s="1943" t="s">
        <v>107</v>
      </c>
      <c r="B25" s="1944"/>
      <c r="C25" s="1944"/>
      <c r="D25" s="1944"/>
      <c r="E25" s="1944"/>
      <c r="F25" s="1944"/>
      <c r="G25" s="1944"/>
      <c r="H25" s="1944"/>
      <c r="I25" s="1945"/>
      <c r="J25" s="141"/>
      <c r="K25" s="2"/>
    </row>
    <row r="26" spans="1:12">
      <c r="A26" s="38" t="s">
        <v>25</v>
      </c>
      <c r="B26" s="34"/>
      <c r="C26" s="39" t="s">
        <v>91</v>
      </c>
      <c r="D26" s="6"/>
      <c r="E26" s="35"/>
      <c r="F26" s="35"/>
      <c r="G26" s="35"/>
      <c r="H26" s="35"/>
      <c r="I26" s="36"/>
      <c r="J26" s="49"/>
      <c r="K26" s="2"/>
    </row>
    <row r="27" spans="1:12">
      <c r="A27" s="142"/>
      <c r="B27" s="143"/>
      <c r="C27" s="143"/>
      <c r="D27" s="6"/>
      <c r="E27" s="35"/>
      <c r="F27" s="35"/>
      <c r="G27" s="35"/>
      <c r="H27" s="35"/>
      <c r="I27" s="36"/>
      <c r="J27" s="2"/>
      <c r="K27" s="2"/>
    </row>
    <row r="28" spans="1:12">
      <c r="A28" s="38" t="s">
        <v>8</v>
      </c>
      <c r="B28" s="34"/>
      <c r="C28" s="39" t="s">
        <v>81</v>
      </c>
      <c r="D28" s="6"/>
      <c r="E28" s="35"/>
      <c r="F28" s="35"/>
      <c r="G28" s="35"/>
      <c r="H28" s="35"/>
      <c r="I28" s="36"/>
      <c r="J28" s="2"/>
      <c r="K28" s="2"/>
    </row>
    <row r="29" spans="1:12">
      <c r="A29" s="38" t="s">
        <v>92</v>
      </c>
      <c r="B29" s="34"/>
      <c r="C29" s="144">
        <v>1</v>
      </c>
      <c r="D29" s="6"/>
      <c r="E29" s="145"/>
      <c r="F29" s="145"/>
      <c r="G29" s="145"/>
      <c r="H29" s="145"/>
      <c r="I29" s="146"/>
      <c r="J29" s="2"/>
      <c r="K29" s="2"/>
    </row>
    <row r="30" spans="1:12">
      <c r="A30" s="38" t="s">
        <v>9</v>
      </c>
      <c r="B30" s="34"/>
      <c r="C30" s="92">
        <v>1</v>
      </c>
      <c r="D30" s="6"/>
      <c r="E30" s="35"/>
      <c r="F30" s="35"/>
      <c r="G30" s="35"/>
      <c r="H30" s="35"/>
      <c r="I30" s="36"/>
      <c r="J30" s="2"/>
      <c r="K30" s="2"/>
    </row>
    <row r="31" spans="1:12">
      <c r="A31" s="38" t="s">
        <v>10</v>
      </c>
      <c r="B31" s="35"/>
      <c r="C31" s="93">
        <v>0.05</v>
      </c>
      <c r="D31" s="6"/>
      <c r="E31" s="35"/>
      <c r="F31" s="35"/>
      <c r="G31" s="35"/>
      <c r="H31" s="35"/>
      <c r="I31" s="147" t="s">
        <v>6</v>
      </c>
      <c r="J31" s="2"/>
      <c r="K31" s="2"/>
    </row>
    <row r="32" spans="1:12">
      <c r="A32" s="38" t="s">
        <v>93</v>
      </c>
      <c r="B32" s="35"/>
      <c r="C32" s="148">
        <f>SUM(I34,I38,I40,I43,I45,I46,I46,I47,I49,I51,I53)/C29</f>
        <v>3404</v>
      </c>
      <c r="D32" s="6"/>
      <c r="E32" s="35"/>
      <c r="F32" s="35"/>
      <c r="G32" s="35"/>
      <c r="H32" s="35"/>
      <c r="I32" s="147"/>
      <c r="J32" s="2"/>
      <c r="K32" s="2"/>
    </row>
    <row r="33" spans="1:11">
      <c r="A33" s="40"/>
      <c r="B33" s="35"/>
      <c r="C33" s="35"/>
      <c r="D33" s="41"/>
      <c r="E33" s="35"/>
      <c r="F33" s="35"/>
      <c r="G33" s="35"/>
      <c r="H33" s="35"/>
      <c r="I33" s="149"/>
      <c r="J33" s="2"/>
      <c r="K33" s="2"/>
    </row>
    <row r="34" spans="1:11">
      <c r="A34" s="42" t="s">
        <v>0</v>
      </c>
      <c r="B34" s="35"/>
      <c r="C34" s="35"/>
      <c r="D34" s="41"/>
      <c r="E34" s="35"/>
      <c r="F34" s="35"/>
      <c r="G34" s="35"/>
      <c r="H34" s="35"/>
      <c r="I34" s="46">
        <f>SUM(F36:F37)</f>
        <v>204</v>
      </c>
      <c r="J34" s="2"/>
      <c r="K34" s="2"/>
    </row>
    <row r="35" spans="1:11">
      <c r="A35" s="40" t="s">
        <v>94</v>
      </c>
      <c r="B35" s="35"/>
      <c r="C35" s="92"/>
      <c r="D35" s="41"/>
      <c r="E35" s="35"/>
      <c r="F35" s="35"/>
      <c r="G35" s="35"/>
      <c r="H35" s="35"/>
      <c r="I35" s="47"/>
      <c r="J35" s="2"/>
      <c r="K35" s="2"/>
    </row>
    <row r="36" spans="1:11">
      <c r="A36" s="1946" t="s">
        <v>95</v>
      </c>
      <c r="B36" s="1947"/>
      <c r="C36" s="150" t="s">
        <v>96</v>
      </c>
      <c r="D36" s="151">
        <v>17</v>
      </c>
      <c r="E36" s="152">
        <v>2</v>
      </c>
      <c r="F36" s="153">
        <f>D36*E36</f>
        <v>34</v>
      </c>
      <c r="G36" s="35"/>
      <c r="H36" s="35"/>
      <c r="I36" s="47"/>
      <c r="J36" s="2"/>
      <c r="K36" s="2"/>
    </row>
    <row r="37" spans="1:11">
      <c r="A37" s="1946" t="s">
        <v>97</v>
      </c>
      <c r="B37" s="1947"/>
      <c r="C37" s="150" t="s">
        <v>96</v>
      </c>
      <c r="D37" s="151">
        <v>17</v>
      </c>
      <c r="E37" s="152">
        <v>10</v>
      </c>
      <c r="F37" s="153">
        <f>D37*E37</f>
        <v>170</v>
      </c>
      <c r="G37" s="35"/>
      <c r="H37" s="35"/>
      <c r="I37" s="47"/>
      <c r="J37" s="2"/>
      <c r="K37" s="2"/>
    </row>
    <row r="38" spans="1:11">
      <c r="A38" s="42" t="s">
        <v>2</v>
      </c>
      <c r="B38" s="35"/>
      <c r="C38" s="35"/>
      <c r="D38" s="35"/>
      <c r="E38" s="35"/>
      <c r="F38" s="35"/>
      <c r="G38" s="35"/>
      <c r="H38" s="35"/>
      <c r="I38" s="46">
        <f>SUM(F39)</f>
        <v>0</v>
      </c>
      <c r="J38" s="2"/>
      <c r="K38" s="2"/>
    </row>
    <row r="39" spans="1:11">
      <c r="A39" s="40" t="s">
        <v>98</v>
      </c>
      <c r="B39" s="35"/>
      <c r="C39" s="35"/>
      <c r="D39" s="35"/>
      <c r="E39" s="35"/>
      <c r="F39" s="35"/>
      <c r="G39" s="35"/>
      <c r="H39" s="35"/>
      <c r="I39" s="36"/>
      <c r="J39" s="2"/>
      <c r="K39" s="2"/>
    </row>
    <row r="40" spans="1:11">
      <c r="A40" s="42" t="s">
        <v>3</v>
      </c>
      <c r="B40" s="35"/>
      <c r="C40" s="35"/>
      <c r="D40" s="35"/>
      <c r="E40" s="35"/>
      <c r="F40" s="35"/>
      <c r="G40" s="35"/>
      <c r="H40" s="35"/>
      <c r="I40" s="46">
        <f>SUM(F42)</f>
        <v>3000</v>
      </c>
      <c r="J40" s="2"/>
      <c r="K40" s="2"/>
    </row>
    <row r="41" spans="1:11">
      <c r="A41" s="40" t="s">
        <v>99</v>
      </c>
      <c r="B41" s="35"/>
      <c r="C41" s="35"/>
      <c r="D41" s="35"/>
      <c r="E41" s="35"/>
      <c r="F41" s="35"/>
      <c r="G41" s="35"/>
      <c r="H41" s="35"/>
      <c r="I41" s="46"/>
      <c r="J41" s="2"/>
      <c r="K41" s="2"/>
    </row>
    <row r="42" spans="1:11" ht="25.5" customHeight="1">
      <c r="A42" s="1948" t="s">
        <v>108</v>
      </c>
      <c r="B42" s="1949"/>
      <c r="C42" s="150" t="s">
        <v>101</v>
      </c>
      <c r="D42" s="154">
        <v>3000</v>
      </c>
      <c r="E42" s="155">
        <v>1</v>
      </c>
      <c r="F42" s="156">
        <f>D42*E42</f>
        <v>3000</v>
      </c>
      <c r="G42" s="35"/>
      <c r="H42" s="35"/>
      <c r="I42" s="46"/>
      <c r="J42" s="2"/>
      <c r="K42" s="2"/>
    </row>
    <row r="43" spans="1:11">
      <c r="A43" s="42" t="s">
        <v>4</v>
      </c>
      <c r="B43" s="35"/>
      <c r="C43" s="35"/>
      <c r="D43" s="35"/>
      <c r="E43" s="35"/>
      <c r="F43" s="35"/>
      <c r="G43" s="35"/>
      <c r="H43" s="35"/>
      <c r="I43" s="48">
        <v>200</v>
      </c>
      <c r="J43" s="2"/>
      <c r="K43" s="2"/>
    </row>
    <row r="44" spans="1:11">
      <c r="A44" s="1950" t="s">
        <v>102</v>
      </c>
      <c r="B44" s="1951"/>
      <c r="C44" s="150" t="s">
        <v>103</v>
      </c>
      <c r="D44" s="157">
        <v>0.02</v>
      </c>
      <c r="E44" s="153">
        <f>SUM(I34,I38,I40)</f>
        <v>3204</v>
      </c>
      <c r="F44" s="153">
        <f>D44*E44</f>
        <v>64.08</v>
      </c>
      <c r="G44" s="143"/>
      <c r="H44" s="35"/>
      <c r="I44" s="48"/>
      <c r="J44" s="2"/>
      <c r="K44" s="2"/>
    </row>
    <row r="45" spans="1:11">
      <c r="A45" s="42" t="s">
        <v>26</v>
      </c>
      <c r="B45" s="35"/>
      <c r="C45" s="35"/>
      <c r="D45" s="35"/>
      <c r="E45" s="35"/>
      <c r="F45" s="35"/>
      <c r="G45" s="35"/>
      <c r="H45" s="35"/>
      <c r="I45" s="48">
        <f>F46</f>
        <v>0</v>
      </c>
      <c r="J45" s="2"/>
      <c r="K45" s="2"/>
    </row>
    <row r="46" spans="1:11">
      <c r="A46" s="37" t="s">
        <v>104</v>
      </c>
      <c r="B46" s="35"/>
      <c r="C46" s="35"/>
      <c r="D46" s="35"/>
      <c r="E46" s="35"/>
      <c r="F46" s="35"/>
      <c r="G46" s="35"/>
      <c r="H46" s="35"/>
      <c r="I46" s="48"/>
      <c r="J46" s="2"/>
      <c r="K46" s="2"/>
    </row>
    <row r="47" spans="1:11">
      <c r="A47" s="42" t="s">
        <v>7</v>
      </c>
      <c r="B47" s="35"/>
      <c r="C47" s="35"/>
      <c r="D47" s="35"/>
      <c r="E47" s="35"/>
      <c r="F47" s="35"/>
      <c r="G47" s="35"/>
      <c r="H47" s="35"/>
      <c r="I47" s="48">
        <f>F48</f>
        <v>0</v>
      </c>
      <c r="J47" s="2"/>
      <c r="K47" s="2"/>
    </row>
    <row r="48" spans="1:11">
      <c r="A48" s="37" t="s">
        <v>104</v>
      </c>
      <c r="B48" s="35"/>
      <c r="C48" s="35"/>
      <c r="D48" s="35"/>
      <c r="E48" s="35"/>
      <c r="F48" s="35"/>
      <c r="G48" s="35"/>
      <c r="H48" s="35"/>
      <c r="I48" s="48"/>
      <c r="J48" s="2"/>
      <c r="K48" s="2"/>
    </row>
    <row r="49" spans="1:11">
      <c r="A49" s="42" t="s">
        <v>27</v>
      </c>
      <c r="B49" s="35"/>
      <c r="C49" s="35"/>
      <c r="D49" s="35"/>
      <c r="E49" s="35"/>
      <c r="F49" s="35"/>
      <c r="G49" s="35"/>
      <c r="H49" s="35"/>
      <c r="I49" s="48">
        <f>F50</f>
        <v>0</v>
      </c>
      <c r="J49" s="2"/>
      <c r="K49" s="2"/>
    </row>
    <row r="50" spans="1:11">
      <c r="A50" s="37" t="s">
        <v>104</v>
      </c>
      <c r="B50" s="35"/>
      <c r="C50" s="35"/>
      <c r="D50" s="35"/>
      <c r="E50" s="35"/>
      <c r="F50" s="35"/>
      <c r="G50" s="35"/>
      <c r="H50" s="35"/>
      <c r="I50" s="48"/>
      <c r="J50" s="2"/>
      <c r="K50" s="2"/>
    </row>
    <row r="51" spans="1:11">
      <c r="A51" s="42" t="s">
        <v>5</v>
      </c>
      <c r="B51" s="35"/>
      <c r="C51" s="35"/>
      <c r="D51" s="35"/>
      <c r="E51" s="35"/>
      <c r="F51" s="35"/>
      <c r="G51" s="35"/>
      <c r="H51" s="35"/>
      <c r="I51" s="48">
        <f>F52</f>
        <v>0</v>
      </c>
      <c r="J51" s="2"/>
      <c r="K51" s="2"/>
    </row>
    <row r="52" spans="1:11">
      <c r="A52" s="37" t="s">
        <v>104</v>
      </c>
      <c r="B52" s="35"/>
      <c r="C52" s="35"/>
      <c r="D52" s="35"/>
      <c r="E52" s="35"/>
      <c r="F52" s="35"/>
      <c r="G52" s="35"/>
      <c r="H52" s="35"/>
      <c r="I52" s="48"/>
      <c r="J52" s="2"/>
      <c r="K52" s="2"/>
    </row>
    <row r="53" spans="1:11">
      <c r="A53" s="42" t="s">
        <v>20</v>
      </c>
      <c r="B53" s="35"/>
      <c r="C53" s="35"/>
      <c r="D53" s="35"/>
      <c r="E53" s="35"/>
      <c r="F53" s="35"/>
      <c r="G53" s="35"/>
      <c r="H53" s="35"/>
      <c r="I53" s="48">
        <f>F54</f>
        <v>0</v>
      </c>
      <c r="J53" s="2"/>
      <c r="K53" s="2"/>
    </row>
    <row r="54" spans="1:11">
      <c r="A54" s="37" t="s">
        <v>104</v>
      </c>
      <c r="B54" s="35"/>
      <c r="C54" s="35"/>
      <c r="D54" s="35"/>
      <c r="E54" s="35"/>
      <c r="F54" s="35"/>
      <c r="G54" s="35"/>
      <c r="H54" s="35"/>
      <c r="I54" s="36"/>
      <c r="J54" s="2"/>
      <c r="K54" s="2"/>
    </row>
    <row r="55" spans="1:11">
      <c r="A55" s="43" t="s">
        <v>11</v>
      </c>
      <c r="B55" s="44"/>
      <c r="C55" s="44"/>
      <c r="D55" s="44"/>
      <c r="E55" s="44"/>
      <c r="F55" s="44"/>
      <c r="G55" s="44"/>
      <c r="H55" s="44"/>
      <c r="I55" s="52">
        <f>+I53+I51+I49+I47+I45+I43+I40+I38+I34</f>
        <v>3404</v>
      </c>
      <c r="J55" s="2"/>
      <c r="K55" s="2"/>
    </row>
  </sheetData>
  <mergeCells count="5">
    <mergeCell ref="A25:I25"/>
    <mergeCell ref="A36:B36"/>
    <mergeCell ref="A37:B37"/>
    <mergeCell ref="A42:B42"/>
    <mergeCell ref="A44:B44"/>
  </mergeCells>
  <pageMargins left="0.75" right="0" top="0.25" bottom="0.25" header="0.25" footer="0.17"/>
  <pageSetup scale="75" orientation="landscape" horizontalDpi="300" verticalDpi="300" r:id="rId1"/>
  <headerFooter alignWithMargins="0">
    <oddHeader>&amp;CP 102 Comprehensive Nutrient Management Plan
Medium Poultry</oddHeader>
  </headerFooter>
  <colBreaks count="1" manualBreakCount="1">
    <brk id="9" max="1048575" man="1"/>
  </colBreaks>
</worksheet>
</file>

<file path=xl/worksheets/sheet30.xml><?xml version="1.0" encoding="utf-8"?>
<worksheet xmlns="http://schemas.openxmlformats.org/spreadsheetml/2006/main" xmlns:r="http://schemas.openxmlformats.org/officeDocument/2006/relationships">
  <dimension ref="B1:P110"/>
  <sheetViews>
    <sheetView zoomScaleNormal="100" workbookViewId="0"/>
  </sheetViews>
  <sheetFormatPr defaultRowHeight="12.75"/>
  <cols>
    <col min="1" max="1" width="2.85546875" style="182" customWidth="1"/>
    <col min="2" max="2" width="11.5703125" style="182" customWidth="1"/>
    <col min="3" max="3" width="18.7109375" style="182" customWidth="1"/>
    <col min="4" max="4" width="23.5703125" style="182" customWidth="1"/>
    <col min="5" max="5" width="20.5703125" style="182" customWidth="1"/>
    <col min="6" max="6" width="10.85546875" style="182" customWidth="1"/>
    <col min="7" max="7" width="10.42578125" style="182" customWidth="1"/>
    <col min="8" max="8" width="9.140625" style="182" bestFit="1" customWidth="1"/>
    <col min="9" max="9" width="9.85546875" style="182" customWidth="1"/>
    <col min="10" max="10" width="2.85546875" style="182" customWidth="1"/>
    <col min="11" max="11" width="8.140625" style="182" customWidth="1"/>
    <col min="12" max="12" width="8.42578125" style="182" customWidth="1"/>
    <col min="13" max="14" width="9.140625" style="182"/>
    <col min="15" max="16" width="9" style="182" bestFit="1" customWidth="1"/>
    <col min="17" max="16384" width="9.140625" style="182"/>
  </cols>
  <sheetData>
    <row r="1" spans="2:10" s="179" customFormat="1">
      <c r="B1" s="178" t="s">
        <v>36</v>
      </c>
      <c r="C1" s="178" t="s">
        <v>37</v>
      </c>
      <c r="D1" s="178" t="s">
        <v>29</v>
      </c>
      <c r="E1" s="178" t="s">
        <v>30</v>
      </c>
    </row>
    <row r="2" spans="2:10" ht="38.25">
      <c r="B2" s="180" t="s">
        <v>42</v>
      </c>
      <c r="C2" s="179">
        <v>122</v>
      </c>
      <c r="D2" s="181" t="s">
        <v>201</v>
      </c>
      <c r="E2" s="181" t="s">
        <v>238</v>
      </c>
    </row>
    <row r="3" spans="2:10" ht="15.75">
      <c r="B3" s="183" t="s">
        <v>17</v>
      </c>
      <c r="E3" s="184"/>
    </row>
    <row r="4" spans="2:10">
      <c r="B4" s="185" t="s">
        <v>1</v>
      </c>
      <c r="C4" s="186" t="s">
        <v>21</v>
      </c>
      <c r="D4" s="187"/>
      <c r="E4" s="188"/>
      <c r="F4" s="187"/>
      <c r="G4" s="189" t="s">
        <v>12</v>
      </c>
      <c r="H4" s="190"/>
      <c r="I4" s="190"/>
      <c r="J4" s="191"/>
    </row>
    <row r="5" spans="2:10" ht="25.5">
      <c r="B5" s="192" t="s">
        <v>13</v>
      </c>
      <c r="C5" s="193" t="s">
        <v>22</v>
      </c>
      <c r="D5" s="193" t="s">
        <v>29</v>
      </c>
      <c r="E5" s="194" t="s">
        <v>30</v>
      </c>
      <c r="F5" s="193" t="s">
        <v>23</v>
      </c>
      <c r="G5" s="195" t="s">
        <v>14</v>
      </c>
      <c r="H5" s="196"/>
      <c r="I5" s="196"/>
      <c r="J5" s="191"/>
    </row>
    <row r="6" spans="2:10" ht="38.25">
      <c r="B6" s="197">
        <v>122</v>
      </c>
      <c r="C6" s="198" t="str">
        <f>+E10</f>
        <v>EQIP</v>
      </c>
      <c r="D6" s="199" t="s">
        <v>201</v>
      </c>
      <c r="E6" s="200" t="s">
        <v>238</v>
      </c>
      <c r="F6" s="198" t="s">
        <v>38</v>
      </c>
      <c r="G6" s="201">
        <f>G23</f>
        <v>2440.875</v>
      </c>
      <c r="H6" s="202"/>
      <c r="I6" s="202"/>
      <c r="J6" s="191"/>
    </row>
    <row r="7" spans="2:10" ht="38.25">
      <c r="B7" s="203">
        <v>122</v>
      </c>
      <c r="C7" s="204" t="s">
        <v>15</v>
      </c>
      <c r="D7" s="205" t="s">
        <v>203</v>
      </c>
      <c r="E7" s="206" t="s">
        <v>239</v>
      </c>
      <c r="F7" s="204" t="s">
        <v>38</v>
      </c>
      <c r="G7" s="207">
        <f>$H$23</f>
        <v>2929.05</v>
      </c>
      <c r="H7" s="202"/>
      <c r="I7" s="191"/>
      <c r="J7" s="191"/>
    </row>
    <row r="8" spans="2:10" ht="14.25" customHeight="1">
      <c r="B8" s="208"/>
      <c r="C8" s="209"/>
      <c r="D8" s="209"/>
      <c r="G8" s="191"/>
      <c r="H8" s="191"/>
      <c r="I8" s="191"/>
      <c r="J8" s="191"/>
    </row>
    <row r="9" spans="2:10" ht="15.75">
      <c r="B9" s="183" t="s">
        <v>18</v>
      </c>
      <c r="C9" s="209"/>
      <c r="D9" s="209"/>
      <c r="G9" s="191"/>
      <c r="H9" s="191"/>
      <c r="I9" s="191"/>
      <c r="J9" s="191"/>
    </row>
    <row r="10" spans="2:10">
      <c r="B10" s="210"/>
      <c r="C10" s="211"/>
      <c r="D10" s="212"/>
      <c r="E10" s="213" t="s">
        <v>15</v>
      </c>
      <c r="F10" s="213" t="s">
        <v>31</v>
      </c>
      <c r="G10" s="213"/>
      <c r="H10" s="214"/>
    </row>
    <row r="11" spans="2:10">
      <c r="B11" s="215"/>
      <c r="C11" s="216"/>
      <c r="D11" s="217"/>
      <c r="E11" s="218" t="s">
        <v>22</v>
      </c>
      <c r="F11" s="218" t="s">
        <v>22</v>
      </c>
      <c r="G11" s="218" t="str">
        <f>+E10</f>
        <v>EQIP</v>
      </c>
      <c r="H11" s="219" t="str">
        <f>+F10</f>
        <v>EQIP-HU</v>
      </c>
    </row>
    <row r="12" spans="2:10">
      <c r="B12" s="220"/>
      <c r="C12" s="217"/>
      <c r="D12" s="217"/>
      <c r="E12" s="218" t="s">
        <v>12</v>
      </c>
      <c r="F12" s="218" t="s">
        <v>12</v>
      </c>
      <c r="G12" s="218" t="s">
        <v>12</v>
      </c>
      <c r="H12" s="219" t="s">
        <v>12</v>
      </c>
    </row>
    <row r="13" spans="2:10">
      <c r="B13" s="221" t="s">
        <v>16</v>
      </c>
      <c r="C13" s="217"/>
      <c r="D13" s="222" t="s">
        <v>6</v>
      </c>
      <c r="E13" s="223" t="s">
        <v>24</v>
      </c>
      <c r="F13" s="223" t="s">
        <v>24</v>
      </c>
      <c r="G13" s="223" t="s">
        <v>14</v>
      </c>
      <c r="H13" s="224" t="s">
        <v>14</v>
      </c>
    </row>
    <row r="14" spans="2:10">
      <c r="B14" s="215" t="s">
        <v>0</v>
      </c>
      <c r="C14" s="217"/>
      <c r="D14" s="225">
        <v>0</v>
      </c>
      <c r="E14" s="226">
        <v>0</v>
      </c>
      <c r="F14" s="226">
        <v>0</v>
      </c>
      <c r="G14" s="227">
        <f>+$D14*E14</f>
        <v>0</v>
      </c>
      <c r="H14" s="228">
        <f>+$D14*F14</f>
        <v>0</v>
      </c>
    </row>
    <row r="15" spans="2:10">
      <c r="B15" s="215" t="s">
        <v>2</v>
      </c>
      <c r="C15" s="217"/>
      <c r="D15" s="225">
        <v>0</v>
      </c>
      <c r="E15" s="226">
        <v>0</v>
      </c>
      <c r="F15" s="226">
        <v>0</v>
      </c>
      <c r="G15" s="227">
        <f t="shared" ref="G15:H22" si="0">+$D15*E15</f>
        <v>0</v>
      </c>
      <c r="H15" s="228">
        <f t="shared" si="0"/>
        <v>0</v>
      </c>
    </row>
    <row r="16" spans="2:10">
      <c r="B16" s="215" t="s">
        <v>3</v>
      </c>
      <c r="C16" s="217"/>
      <c r="D16" s="225">
        <f>I49</f>
        <v>3254.5</v>
      </c>
      <c r="E16" s="226">
        <v>0.75</v>
      </c>
      <c r="F16" s="226">
        <v>0.9</v>
      </c>
      <c r="G16" s="227">
        <f t="shared" si="0"/>
        <v>2440.875</v>
      </c>
      <c r="H16" s="228">
        <f t="shared" si="0"/>
        <v>2929.05</v>
      </c>
    </row>
    <row r="17" spans="2:16">
      <c r="B17" s="215" t="s">
        <v>4</v>
      </c>
      <c r="C17" s="217"/>
      <c r="D17" s="225">
        <v>0</v>
      </c>
      <c r="E17" s="226">
        <v>0</v>
      </c>
      <c r="F17" s="226">
        <v>0</v>
      </c>
      <c r="G17" s="227">
        <f t="shared" si="0"/>
        <v>0</v>
      </c>
      <c r="H17" s="228">
        <f t="shared" si="0"/>
        <v>0</v>
      </c>
    </row>
    <row r="18" spans="2:16">
      <c r="B18" s="215" t="s">
        <v>26</v>
      </c>
      <c r="C18" s="217"/>
      <c r="D18" s="225">
        <v>0</v>
      </c>
      <c r="E18" s="226">
        <v>0</v>
      </c>
      <c r="F18" s="226">
        <v>0</v>
      </c>
      <c r="G18" s="227">
        <f t="shared" si="0"/>
        <v>0</v>
      </c>
      <c r="H18" s="228">
        <f t="shared" si="0"/>
        <v>0</v>
      </c>
    </row>
    <row r="19" spans="2:16">
      <c r="B19" s="215" t="s">
        <v>7</v>
      </c>
      <c r="C19" s="217"/>
      <c r="D19" s="225">
        <f>I63</f>
        <v>0</v>
      </c>
      <c r="E19" s="226">
        <v>0.75</v>
      </c>
      <c r="F19" s="226">
        <v>0.9</v>
      </c>
      <c r="G19" s="227">
        <f t="shared" si="0"/>
        <v>0</v>
      </c>
      <c r="H19" s="228">
        <f t="shared" si="0"/>
        <v>0</v>
      </c>
    </row>
    <row r="20" spans="2:16">
      <c r="B20" s="215" t="s">
        <v>27</v>
      </c>
      <c r="C20" s="217"/>
      <c r="D20" s="225">
        <v>0</v>
      </c>
      <c r="E20" s="226">
        <v>0</v>
      </c>
      <c r="F20" s="226">
        <v>0</v>
      </c>
      <c r="G20" s="227">
        <f t="shared" si="0"/>
        <v>0</v>
      </c>
      <c r="H20" s="228">
        <f t="shared" si="0"/>
        <v>0</v>
      </c>
    </row>
    <row r="21" spans="2:16">
      <c r="B21" s="215" t="s">
        <v>5</v>
      </c>
      <c r="C21" s="217"/>
      <c r="D21" s="225">
        <v>0</v>
      </c>
      <c r="E21" s="226">
        <v>0</v>
      </c>
      <c r="F21" s="226">
        <v>0</v>
      </c>
      <c r="G21" s="227">
        <f t="shared" si="0"/>
        <v>0</v>
      </c>
      <c r="H21" s="228">
        <f t="shared" si="0"/>
        <v>0</v>
      </c>
    </row>
    <row r="22" spans="2:16">
      <c r="B22" s="215" t="s">
        <v>20</v>
      </c>
      <c r="C22" s="217"/>
      <c r="D22" s="225">
        <v>0</v>
      </c>
      <c r="E22" s="226">
        <v>0</v>
      </c>
      <c r="F22" s="226">
        <v>0</v>
      </c>
      <c r="G22" s="229">
        <f t="shared" si="0"/>
        <v>0</v>
      </c>
      <c r="H22" s="230">
        <f t="shared" si="0"/>
        <v>0</v>
      </c>
    </row>
    <row r="23" spans="2:16">
      <c r="B23" s="231" t="s">
        <v>19</v>
      </c>
      <c r="C23" s="232"/>
      <c r="D23" s="233">
        <f>SUM(D14:D22)</f>
        <v>3254.5</v>
      </c>
      <c r="E23" s="234"/>
      <c r="F23" s="234"/>
      <c r="G23" s="233">
        <f t="shared" ref="G23:H23" si="1">SUM(G14:G22)</f>
        <v>2440.875</v>
      </c>
      <c r="H23" s="235">
        <f t="shared" si="1"/>
        <v>2929.05</v>
      </c>
    </row>
    <row r="24" spans="2:16" s="239" customFormat="1" ht="5.25" customHeight="1">
      <c r="B24" s="236"/>
      <c r="C24" s="236"/>
      <c r="D24" s="237"/>
      <c r="E24" s="238"/>
      <c r="F24" s="238"/>
      <c r="G24" s="238"/>
      <c r="H24" s="238"/>
      <c r="I24" s="238"/>
      <c r="J24" s="238"/>
      <c r="K24" s="237"/>
      <c r="L24" s="237"/>
      <c r="M24" s="237"/>
      <c r="N24" s="237"/>
      <c r="O24" s="237"/>
      <c r="P24" s="237"/>
    </row>
    <row r="25" spans="2:16" ht="5.25" customHeight="1"/>
    <row r="26" spans="2:16" ht="15.75">
      <c r="B26" s="240" t="s">
        <v>28</v>
      </c>
      <c r="I26" s="241"/>
    </row>
    <row r="27" spans="2:16">
      <c r="B27" s="242" t="s">
        <v>32</v>
      </c>
      <c r="C27" s="243"/>
      <c r="D27" s="243"/>
      <c r="E27" s="244"/>
      <c r="F27" s="244"/>
      <c r="G27" s="244"/>
      <c r="H27" s="244"/>
      <c r="I27" s="245"/>
    </row>
    <row r="28" spans="2:16" ht="24.75" customHeight="1">
      <c r="B28" s="246"/>
      <c r="C28" s="247"/>
      <c r="D28" s="1966" t="s">
        <v>240</v>
      </c>
      <c r="E28" s="1967"/>
      <c r="F28" s="1967"/>
      <c r="G28" s="1967"/>
      <c r="H28" s="1967"/>
      <c r="I28" s="248"/>
    </row>
    <row r="29" spans="2:16">
      <c r="B29" s="246"/>
      <c r="C29" s="247"/>
      <c r="D29" s="249"/>
      <c r="E29" s="250"/>
      <c r="F29" s="250"/>
      <c r="G29" s="250"/>
      <c r="H29" s="250"/>
      <c r="I29" s="248"/>
    </row>
    <row r="30" spans="2:16">
      <c r="B30" s="251" t="s">
        <v>41</v>
      </c>
      <c r="C30" s="247"/>
      <c r="D30" s="1964" t="s">
        <v>206</v>
      </c>
      <c r="E30" s="1965"/>
      <c r="F30" s="1965"/>
      <c r="G30" s="1965"/>
      <c r="H30" s="1965"/>
      <c r="I30" s="248"/>
    </row>
    <row r="31" spans="2:16" ht="26.25" customHeight="1">
      <c r="B31" s="252" t="s">
        <v>40</v>
      </c>
      <c r="C31" s="247"/>
      <c r="D31" s="1964" t="s">
        <v>241</v>
      </c>
      <c r="E31" s="1965"/>
      <c r="F31" s="1965"/>
      <c r="G31" s="1965"/>
      <c r="H31" s="1965"/>
      <c r="I31" s="248"/>
    </row>
    <row r="32" spans="2:16" ht="104.25" customHeight="1">
      <c r="B32" s="252" t="s">
        <v>33</v>
      </c>
      <c r="C32" s="253"/>
      <c r="D32" s="1964" t="s">
        <v>242</v>
      </c>
      <c r="E32" s="1965"/>
      <c r="F32" s="1965"/>
      <c r="G32" s="1965"/>
      <c r="H32" s="1965"/>
      <c r="I32" s="248"/>
    </row>
    <row r="33" spans="2:15" ht="66.75" customHeight="1">
      <c r="B33" s="252" t="s">
        <v>35</v>
      </c>
      <c r="C33" s="253"/>
      <c r="D33" s="1964" t="s">
        <v>209</v>
      </c>
      <c r="E33" s="1965"/>
      <c r="F33" s="1965"/>
      <c r="G33" s="1965"/>
      <c r="H33" s="1965"/>
      <c r="I33" s="248"/>
    </row>
    <row r="34" spans="2:15" ht="36" customHeight="1">
      <c r="B34" s="252" t="s">
        <v>34</v>
      </c>
      <c r="C34" s="253"/>
      <c r="D34" s="1964" t="s">
        <v>210</v>
      </c>
      <c r="E34" s="1965"/>
      <c r="F34" s="1965"/>
      <c r="G34" s="1965"/>
      <c r="H34" s="1965"/>
      <c r="I34" s="248"/>
    </row>
    <row r="35" spans="2:15">
      <c r="B35" s="251"/>
      <c r="C35" s="247"/>
      <c r="D35" s="247"/>
      <c r="E35" s="254"/>
      <c r="F35" s="254"/>
      <c r="G35" s="254"/>
      <c r="H35" s="254"/>
      <c r="I35" s="248"/>
    </row>
    <row r="36" spans="2:15">
      <c r="B36" s="255" t="s">
        <v>25</v>
      </c>
      <c r="C36" s="247"/>
      <c r="D36" s="1968" t="s">
        <v>42</v>
      </c>
      <c r="E36" s="1969"/>
      <c r="F36" s="1969"/>
      <c r="G36" s="1969"/>
      <c r="H36" s="1969"/>
      <c r="I36" s="248"/>
      <c r="J36" s="236"/>
    </row>
    <row r="37" spans="2:15">
      <c r="B37" s="251"/>
      <c r="C37" s="247"/>
      <c r="D37" s="254"/>
      <c r="E37" s="254"/>
      <c r="F37" s="254"/>
      <c r="G37" s="254"/>
      <c r="H37" s="254"/>
      <c r="I37" s="248"/>
    </row>
    <row r="38" spans="2:15">
      <c r="B38" s="255" t="s">
        <v>8</v>
      </c>
      <c r="C38" s="247"/>
      <c r="D38" s="256" t="s">
        <v>38</v>
      </c>
      <c r="E38" s="254"/>
      <c r="F38" s="254"/>
      <c r="G38" s="254"/>
      <c r="H38" s="254"/>
      <c r="I38" s="248"/>
    </row>
    <row r="39" spans="2:15">
      <c r="B39" s="255" t="s">
        <v>9</v>
      </c>
      <c r="C39" s="247"/>
      <c r="D39" s="257">
        <v>1</v>
      </c>
      <c r="E39" s="254"/>
      <c r="F39" s="254"/>
      <c r="G39" s="254"/>
      <c r="H39" s="254"/>
      <c r="I39" s="248"/>
    </row>
    <row r="40" spans="2:15">
      <c r="B40" s="255" t="s">
        <v>10</v>
      </c>
      <c r="C40" s="254"/>
      <c r="D40" s="258">
        <v>0.05</v>
      </c>
      <c r="E40" s="259"/>
      <c r="F40" s="254"/>
      <c r="G40" s="254"/>
      <c r="H40" s="254"/>
      <c r="I40" s="260" t="s">
        <v>6</v>
      </c>
    </row>
    <row r="41" spans="2:15">
      <c r="B41" s="261"/>
      <c r="C41" s="254"/>
      <c r="D41" s="254"/>
      <c r="E41" s="254"/>
      <c r="F41" s="254"/>
      <c r="G41" s="254"/>
      <c r="H41" s="254"/>
      <c r="I41" s="262"/>
      <c r="L41" s="263"/>
      <c r="M41" s="263"/>
      <c r="N41" s="264"/>
      <c r="O41" s="264"/>
    </row>
    <row r="42" spans="2:15">
      <c r="B42" s="246" t="s">
        <v>0</v>
      </c>
      <c r="C42" s="254"/>
      <c r="D42" s="254"/>
      <c r="E42" s="254"/>
      <c r="F42" s="254"/>
      <c r="G42" s="254"/>
      <c r="H42" s="254"/>
      <c r="I42" s="265">
        <v>0</v>
      </c>
      <c r="L42" s="263"/>
      <c r="M42" s="263"/>
      <c r="N42" s="264"/>
      <c r="O42" s="264"/>
    </row>
    <row r="43" spans="2:15" ht="14.25" customHeight="1">
      <c r="B43" s="251" t="s">
        <v>39</v>
      </c>
      <c r="C43" s="254"/>
      <c r="D43" s="266"/>
      <c r="E43" s="254"/>
      <c r="F43" s="254"/>
      <c r="G43" s="254"/>
      <c r="H43" s="254"/>
      <c r="I43" s="265"/>
      <c r="L43" s="263"/>
      <c r="M43" s="264"/>
    </row>
    <row r="44" spans="2:15" ht="6" customHeight="1">
      <c r="B44" s="267"/>
      <c r="C44" s="268"/>
      <c r="D44" s="269"/>
      <c r="E44" s="254"/>
      <c r="F44" s="254"/>
      <c r="G44" s="254"/>
      <c r="H44" s="254"/>
      <c r="I44" s="265"/>
      <c r="L44" s="263"/>
      <c r="M44" s="264"/>
    </row>
    <row r="45" spans="2:15">
      <c r="B45" s="246" t="s">
        <v>2</v>
      </c>
      <c r="C45" s="254"/>
      <c r="D45" s="270"/>
      <c r="E45" s="254"/>
      <c r="F45" s="254"/>
      <c r="G45" s="254"/>
      <c r="H45" s="254"/>
      <c r="I45" s="265">
        <v>0</v>
      </c>
      <c r="L45" s="263"/>
      <c r="M45" s="264"/>
    </row>
    <row r="46" spans="2:15" ht="12.75" customHeight="1">
      <c r="B46" s="1970" t="s">
        <v>39</v>
      </c>
      <c r="C46" s="1967"/>
      <c r="D46" s="1967"/>
      <c r="E46" s="1967"/>
      <c r="F46" s="1967"/>
      <c r="G46" s="1967"/>
      <c r="H46" s="1967"/>
      <c r="I46" s="265"/>
      <c r="L46" s="263"/>
      <c r="M46" s="264"/>
    </row>
    <row r="47" spans="2:15" ht="6" customHeight="1">
      <c r="B47" s="271"/>
      <c r="C47" s="254"/>
      <c r="D47" s="254"/>
      <c r="E47" s="272"/>
      <c r="F47" s="272"/>
      <c r="G47" s="272"/>
      <c r="H47" s="254"/>
      <c r="I47" s="265"/>
      <c r="L47" s="263"/>
      <c r="M47" s="264"/>
    </row>
    <row r="48" spans="2:15" ht="4.5" customHeight="1">
      <c r="B48" s="246"/>
      <c r="C48" s="254"/>
      <c r="D48" s="254"/>
      <c r="E48" s="254"/>
      <c r="F48" s="254"/>
      <c r="G48" s="273"/>
      <c r="H48" s="274"/>
      <c r="I48" s="265"/>
      <c r="L48" s="263"/>
      <c r="M48" s="264"/>
    </row>
    <row r="49" spans="2:15">
      <c r="B49" s="246" t="s">
        <v>3</v>
      </c>
      <c r="C49" s="254"/>
      <c r="D49" s="254"/>
      <c r="E49" s="254"/>
      <c r="F49" s="254"/>
      <c r="G49" s="254"/>
      <c r="H49" s="254"/>
      <c r="I49" s="265">
        <f>$H$56</f>
        <v>3254.5</v>
      </c>
      <c r="L49" s="263"/>
      <c r="M49" s="264"/>
    </row>
    <row r="50" spans="2:15" ht="24.75" customHeight="1">
      <c r="B50" s="1970" t="s">
        <v>211</v>
      </c>
      <c r="C50" s="1967"/>
      <c r="D50" s="1967"/>
      <c r="E50" s="1967"/>
      <c r="F50" s="1967"/>
      <c r="G50" s="1967"/>
      <c r="H50" s="1967"/>
      <c r="I50" s="265"/>
      <c r="L50" s="263"/>
      <c r="M50" s="264"/>
    </row>
    <row r="51" spans="2:15" ht="12.75" customHeight="1">
      <c r="B51" s="275"/>
      <c r="C51" s="276"/>
      <c r="D51" s="277" t="s">
        <v>212</v>
      </c>
      <c r="E51" s="278" t="s">
        <v>46</v>
      </c>
      <c r="F51" s="278" t="s">
        <v>6</v>
      </c>
      <c r="G51" s="278" t="s">
        <v>47</v>
      </c>
      <c r="H51" s="278" t="s">
        <v>48</v>
      </c>
      <c r="I51" s="265"/>
      <c r="L51" s="263"/>
      <c r="M51" s="264"/>
    </row>
    <row r="52" spans="2:15" ht="12.75" customHeight="1">
      <c r="B52" s="275"/>
      <c r="C52" s="250"/>
      <c r="D52" s="250" t="s">
        <v>213</v>
      </c>
      <c r="E52" s="279" t="s">
        <v>49</v>
      </c>
      <c r="F52" s="280">
        <v>71</v>
      </c>
      <c r="G52" s="250">
        <v>1</v>
      </c>
      <c r="H52" s="280">
        <f>F52*G52</f>
        <v>71</v>
      </c>
      <c r="I52" s="265"/>
      <c r="L52" s="263"/>
      <c r="M52" s="264"/>
    </row>
    <row r="53" spans="2:15" ht="12.75" customHeight="1">
      <c r="B53" s="275"/>
      <c r="C53" s="250"/>
      <c r="D53" s="250" t="s">
        <v>214</v>
      </c>
      <c r="E53" s="279" t="s">
        <v>49</v>
      </c>
      <c r="F53" s="280">
        <v>87</v>
      </c>
      <c r="G53" s="250">
        <v>8.5</v>
      </c>
      <c r="H53" s="280">
        <f>F53*G53</f>
        <v>739.5</v>
      </c>
      <c r="I53" s="265"/>
      <c r="L53" s="263"/>
      <c r="M53" s="264"/>
    </row>
    <row r="54" spans="2:15" ht="12.75" customHeight="1">
      <c r="B54" s="275"/>
      <c r="C54" s="250"/>
      <c r="D54" s="250" t="s">
        <v>215</v>
      </c>
      <c r="E54" s="279" t="s">
        <v>49</v>
      </c>
      <c r="F54" s="280">
        <v>149</v>
      </c>
      <c r="G54" s="250">
        <v>10</v>
      </c>
      <c r="H54" s="280">
        <f>F54*G54</f>
        <v>1490</v>
      </c>
      <c r="I54" s="265"/>
      <c r="L54" s="263"/>
      <c r="M54" s="264"/>
    </row>
    <row r="55" spans="2:15" ht="12.75" customHeight="1">
      <c r="B55" s="275"/>
      <c r="C55" s="250"/>
      <c r="D55" s="250" t="s">
        <v>216</v>
      </c>
      <c r="E55" s="279" t="s">
        <v>49</v>
      </c>
      <c r="F55" s="280">
        <v>159</v>
      </c>
      <c r="G55" s="250">
        <v>6</v>
      </c>
      <c r="H55" s="280">
        <f>F55*G55</f>
        <v>954</v>
      </c>
      <c r="I55" s="265"/>
      <c r="L55" s="263"/>
      <c r="M55" s="264"/>
    </row>
    <row r="56" spans="2:15">
      <c r="B56" s="246" t="s">
        <v>4</v>
      </c>
      <c r="C56" s="254"/>
      <c r="D56" s="254"/>
      <c r="E56" s="254"/>
      <c r="F56" s="254"/>
      <c r="G56" s="254">
        <f>SUM(G52:G55)</f>
        <v>25.5</v>
      </c>
      <c r="H56" s="281">
        <f>SUM(H52:H55)</f>
        <v>3254.5</v>
      </c>
      <c r="I56" s="282">
        <v>0</v>
      </c>
      <c r="L56" s="263"/>
      <c r="M56" s="264"/>
    </row>
    <row r="57" spans="2:15" ht="12" customHeight="1">
      <c r="B57" s="251" t="s">
        <v>39</v>
      </c>
      <c r="C57" s="254"/>
      <c r="D57" s="254"/>
      <c r="E57" s="254"/>
      <c r="F57" s="254"/>
      <c r="G57" s="254"/>
      <c r="H57" s="254"/>
      <c r="I57" s="248"/>
      <c r="L57" s="263"/>
      <c r="M57" s="264"/>
    </row>
    <row r="58" spans="2:15" ht="5.25" customHeight="1">
      <c r="B58" s="251"/>
      <c r="C58" s="254"/>
      <c r="D58" s="254"/>
      <c r="E58" s="254"/>
      <c r="F58" s="254"/>
      <c r="G58" s="254"/>
      <c r="H58" s="254"/>
      <c r="I58" s="248"/>
      <c r="L58" s="263"/>
      <c r="M58" s="264"/>
    </row>
    <row r="59" spans="2:15">
      <c r="B59" s="246" t="s">
        <v>26</v>
      </c>
      <c r="C59" s="254"/>
      <c r="D59" s="254"/>
      <c r="E59" s="254"/>
      <c r="F59" s="254"/>
      <c r="G59" s="254"/>
      <c r="H59" s="254"/>
      <c r="I59" s="265">
        <v>0</v>
      </c>
      <c r="L59" s="263"/>
      <c r="M59" s="264"/>
    </row>
    <row r="60" spans="2:15" ht="14.25" customHeight="1">
      <c r="B60" s="1970" t="s">
        <v>39</v>
      </c>
      <c r="C60" s="1971"/>
      <c r="D60" s="1971"/>
      <c r="E60" s="1971"/>
      <c r="F60" s="1971"/>
      <c r="G60" s="1971"/>
      <c r="H60" s="1971"/>
      <c r="I60" s="282"/>
      <c r="L60" s="263"/>
      <c r="M60" s="264"/>
    </row>
    <row r="61" spans="2:15" ht="12" customHeight="1">
      <c r="B61" s="1972"/>
      <c r="C61" s="1934"/>
      <c r="D61" s="1934"/>
      <c r="E61" s="1934"/>
      <c r="F61" s="1934"/>
      <c r="G61" s="1934"/>
      <c r="H61" s="254"/>
      <c r="I61" s="282"/>
      <c r="L61" s="263"/>
      <c r="M61" s="264"/>
    </row>
    <row r="62" spans="2:15" ht="9.75" customHeight="1">
      <c r="B62" s="251"/>
      <c r="C62" s="254"/>
      <c r="D62" s="254"/>
      <c r="E62" s="254"/>
      <c r="F62" s="254"/>
      <c r="G62" s="254"/>
      <c r="H62" s="254"/>
      <c r="I62" s="248"/>
      <c r="L62" s="263"/>
      <c r="M62" s="263"/>
    </row>
    <row r="63" spans="2:15">
      <c r="B63" s="246" t="s">
        <v>7</v>
      </c>
      <c r="C63" s="254"/>
      <c r="D63" s="254"/>
      <c r="E63" s="254"/>
      <c r="F63" s="254"/>
      <c r="G63" s="254"/>
      <c r="H63" s="254"/>
      <c r="I63" s="265">
        <v>0</v>
      </c>
      <c r="L63" s="263"/>
      <c r="M63" s="263"/>
      <c r="N63" s="263"/>
      <c r="O63" s="263"/>
    </row>
    <row r="64" spans="2:15" ht="12" customHeight="1">
      <c r="B64" s="251" t="s">
        <v>39</v>
      </c>
      <c r="C64" s="254"/>
      <c r="D64" s="283"/>
      <c r="E64" s="284"/>
      <c r="F64" s="284"/>
      <c r="G64" s="284"/>
      <c r="H64" s="284"/>
      <c r="I64" s="248"/>
      <c r="L64" s="263"/>
      <c r="M64" s="263"/>
      <c r="N64" s="264"/>
      <c r="O64" s="264"/>
    </row>
    <row r="65" spans="2:15" ht="6" customHeight="1">
      <c r="B65" s="251"/>
      <c r="C65" s="254"/>
      <c r="D65" s="254"/>
      <c r="E65" s="254"/>
      <c r="F65" s="254"/>
      <c r="G65" s="254"/>
      <c r="H65" s="254"/>
      <c r="I65" s="248"/>
      <c r="L65" s="263"/>
      <c r="M65" s="263"/>
      <c r="N65" s="285"/>
      <c r="O65" s="285"/>
    </row>
    <row r="66" spans="2:15">
      <c r="B66" s="246" t="s">
        <v>27</v>
      </c>
      <c r="C66" s="254"/>
      <c r="D66" s="254"/>
      <c r="E66" s="254"/>
      <c r="F66" s="254"/>
      <c r="G66" s="254"/>
      <c r="H66" s="254"/>
      <c r="I66" s="265">
        <v>0</v>
      </c>
      <c r="L66" s="263"/>
      <c r="M66" s="263"/>
      <c r="N66" s="264"/>
      <c r="O66" s="264"/>
    </row>
    <row r="67" spans="2:15" ht="13.5" customHeight="1">
      <c r="B67" s="251" t="s">
        <v>39</v>
      </c>
      <c r="C67" s="254"/>
      <c r="D67" s="254"/>
      <c r="E67" s="254"/>
      <c r="F67" s="254"/>
      <c r="G67" s="254"/>
      <c r="H67" s="254"/>
      <c r="I67" s="286"/>
      <c r="L67" s="263"/>
      <c r="M67" s="263"/>
      <c r="N67" s="285"/>
      <c r="O67" s="285"/>
    </row>
    <row r="68" spans="2:15" ht="3.75" customHeight="1">
      <c r="B68" s="251"/>
      <c r="C68" s="254"/>
      <c r="D68" s="254"/>
      <c r="E68" s="254"/>
      <c r="F68" s="254"/>
      <c r="G68" s="254"/>
      <c r="H68" s="254"/>
      <c r="I68" s="248"/>
      <c r="L68" s="263"/>
      <c r="M68" s="263"/>
      <c r="N68" s="264"/>
      <c r="O68" s="264"/>
    </row>
    <row r="69" spans="2:15">
      <c r="B69" s="246" t="s">
        <v>5</v>
      </c>
      <c r="C69" s="254"/>
      <c r="D69" s="254"/>
      <c r="E69" s="254"/>
      <c r="F69" s="254"/>
      <c r="G69" s="254"/>
      <c r="H69" s="254"/>
      <c r="I69" s="265">
        <v>0</v>
      </c>
      <c r="L69" s="263"/>
      <c r="M69" s="263"/>
      <c r="N69" s="264"/>
      <c r="O69" s="264"/>
    </row>
    <row r="70" spans="2:15" ht="11.25" customHeight="1">
      <c r="B70" s="251" t="s">
        <v>39</v>
      </c>
      <c r="C70" s="254"/>
      <c r="D70" s="254"/>
      <c r="E70" s="254"/>
      <c r="F70" s="254"/>
      <c r="G70" s="254"/>
      <c r="H70" s="254"/>
      <c r="I70" s="286"/>
      <c r="L70" s="263"/>
      <c r="M70" s="263"/>
      <c r="N70" s="263"/>
      <c r="O70" s="263"/>
    </row>
    <row r="71" spans="2:15" ht="4.5" customHeight="1">
      <c r="B71" s="251"/>
      <c r="C71" s="254"/>
      <c r="D71" s="254"/>
      <c r="E71" s="254"/>
      <c r="F71" s="254"/>
      <c r="G71" s="254"/>
      <c r="H71" s="254"/>
      <c r="I71" s="248"/>
      <c r="L71" s="263"/>
      <c r="M71" s="263"/>
      <c r="N71" s="263"/>
      <c r="O71" s="263"/>
    </row>
    <row r="72" spans="2:15">
      <c r="B72" s="246" t="s">
        <v>20</v>
      </c>
      <c r="C72" s="254"/>
      <c r="D72" s="254"/>
      <c r="E72" s="254"/>
      <c r="F72" s="254"/>
      <c r="G72" s="254"/>
      <c r="H72" s="254"/>
      <c r="I72" s="265">
        <v>0</v>
      </c>
      <c r="L72" s="263"/>
      <c r="M72" s="263"/>
      <c r="N72" s="264"/>
      <c r="O72" s="264"/>
    </row>
    <row r="73" spans="2:15" ht="12" customHeight="1">
      <c r="B73" s="251" t="s">
        <v>39</v>
      </c>
      <c r="C73" s="254"/>
      <c r="D73" s="254"/>
      <c r="E73" s="254"/>
      <c r="F73" s="254"/>
      <c r="G73" s="254"/>
      <c r="H73" s="254"/>
      <c r="I73" s="265"/>
      <c r="L73" s="263"/>
      <c r="M73" s="263"/>
      <c r="N73" s="264"/>
      <c r="O73" s="264"/>
    </row>
    <row r="74" spans="2:15" ht="6.75" customHeight="1">
      <c r="B74" s="246"/>
      <c r="C74" s="254"/>
      <c r="D74" s="254"/>
      <c r="E74" s="254"/>
      <c r="F74" s="254"/>
      <c r="G74" s="254"/>
      <c r="H74" s="254"/>
      <c r="I74" s="265"/>
      <c r="L74" s="263"/>
      <c r="M74" s="263"/>
      <c r="N74" s="264"/>
      <c r="O74" s="264"/>
    </row>
    <row r="75" spans="2:15" ht="5.25" customHeight="1">
      <c r="B75" s="261"/>
      <c r="C75" s="254"/>
      <c r="D75" s="254"/>
      <c r="E75" s="254"/>
      <c r="F75" s="254"/>
      <c r="G75" s="254"/>
      <c r="H75" s="254"/>
      <c r="I75" s="248"/>
      <c r="L75" s="263"/>
      <c r="M75" s="263"/>
      <c r="N75" s="263"/>
      <c r="O75" s="263"/>
    </row>
    <row r="76" spans="2:15">
      <c r="B76" s="287" t="s">
        <v>11</v>
      </c>
      <c r="C76" s="288"/>
      <c r="D76" s="288"/>
      <c r="E76" s="288"/>
      <c r="F76" s="288"/>
      <c r="G76" s="288"/>
      <c r="H76" s="288"/>
      <c r="I76" s="289">
        <f>+I72+I69+I66+I63+I59+I56+I49+I45+I42</f>
        <v>3254.5</v>
      </c>
      <c r="L76" s="263"/>
      <c r="M76" s="263"/>
      <c r="N76" s="263"/>
      <c r="O76" s="263"/>
    </row>
    <row r="99" spans="5:5">
      <c r="E99" s="290"/>
    </row>
    <row r="100" spans="5:5">
      <c r="E100" s="290"/>
    </row>
    <row r="101" spans="5:5">
      <c r="E101" s="290"/>
    </row>
    <row r="102" spans="5:5">
      <c r="E102" s="290"/>
    </row>
    <row r="103" spans="5:5">
      <c r="E103" s="290"/>
    </row>
    <row r="104" spans="5:5">
      <c r="E104" s="290"/>
    </row>
    <row r="106" spans="5:5">
      <c r="E106" s="290"/>
    </row>
    <row r="108" spans="5:5">
      <c r="E108" s="291"/>
    </row>
    <row r="110" spans="5:5">
      <c r="E110" s="290"/>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1.xml><?xml version="1.0" encoding="utf-8"?>
<worksheet xmlns="http://schemas.openxmlformats.org/spreadsheetml/2006/main" xmlns:r="http://schemas.openxmlformats.org/officeDocument/2006/relationships">
  <dimension ref="B1:P110"/>
  <sheetViews>
    <sheetView zoomScaleNormal="100" workbookViewId="0">
      <selection activeCell="I23" sqref="I23"/>
    </sheetView>
  </sheetViews>
  <sheetFormatPr defaultRowHeight="12.75"/>
  <cols>
    <col min="1" max="1" width="2.85546875" style="182" customWidth="1"/>
    <col min="2" max="2" width="11.5703125" style="182" customWidth="1"/>
    <col min="3" max="3" width="18.7109375" style="182" customWidth="1"/>
    <col min="4" max="4" width="23.5703125" style="182" customWidth="1"/>
    <col min="5" max="5" width="20.5703125" style="182" customWidth="1"/>
    <col min="6" max="6" width="10.85546875" style="182" customWidth="1"/>
    <col min="7" max="7" width="10.42578125" style="182" customWidth="1"/>
    <col min="8" max="8" width="9.140625" style="182" bestFit="1" customWidth="1"/>
    <col min="9" max="9" width="9.85546875" style="182" customWidth="1"/>
    <col min="10" max="10" width="2.85546875" style="182" customWidth="1"/>
    <col min="11" max="11" width="8.140625" style="182" customWidth="1"/>
    <col min="12" max="12" width="8.42578125" style="182" customWidth="1"/>
    <col min="13" max="14" width="9.140625" style="182"/>
    <col min="15" max="16" width="9" style="182" bestFit="1" customWidth="1"/>
    <col min="17" max="16384" width="9.140625" style="182"/>
  </cols>
  <sheetData>
    <row r="1" spans="2:10" s="179" customFormat="1">
      <c r="B1" s="178" t="s">
        <v>36</v>
      </c>
      <c r="C1" s="178" t="s">
        <v>37</v>
      </c>
      <c r="D1" s="178" t="s">
        <v>29</v>
      </c>
      <c r="E1" s="178" t="s">
        <v>30</v>
      </c>
    </row>
    <row r="2" spans="2:10" ht="38.25">
      <c r="B2" s="180" t="s">
        <v>42</v>
      </c>
      <c r="C2" s="179">
        <v>122</v>
      </c>
      <c r="D2" s="181" t="s">
        <v>201</v>
      </c>
      <c r="E2" s="181" t="s">
        <v>243</v>
      </c>
    </row>
    <row r="3" spans="2:10" ht="15.75">
      <c r="B3" s="183" t="s">
        <v>17</v>
      </c>
      <c r="E3" s="184"/>
    </row>
    <row r="4" spans="2:10">
      <c r="B4" s="185" t="s">
        <v>1</v>
      </c>
      <c r="C4" s="186" t="s">
        <v>21</v>
      </c>
      <c r="D4" s="187"/>
      <c r="E4" s="188"/>
      <c r="F4" s="187"/>
      <c r="G4" s="189" t="s">
        <v>12</v>
      </c>
      <c r="H4" s="190"/>
      <c r="I4" s="190"/>
      <c r="J4" s="191"/>
    </row>
    <row r="5" spans="2:10" ht="25.5">
      <c r="B5" s="192" t="s">
        <v>13</v>
      </c>
      <c r="C5" s="193" t="s">
        <v>22</v>
      </c>
      <c r="D5" s="193" t="s">
        <v>29</v>
      </c>
      <c r="E5" s="194" t="s">
        <v>30</v>
      </c>
      <c r="F5" s="193" t="s">
        <v>23</v>
      </c>
      <c r="G5" s="195" t="s">
        <v>14</v>
      </c>
      <c r="H5" s="196"/>
      <c r="I5" s="196"/>
      <c r="J5" s="191"/>
    </row>
    <row r="6" spans="2:10" ht="38.25">
      <c r="B6" s="197">
        <v>122</v>
      </c>
      <c r="C6" s="198" t="str">
        <f>+E10</f>
        <v>EQIP</v>
      </c>
      <c r="D6" s="199" t="s">
        <v>201</v>
      </c>
      <c r="E6" s="200" t="s">
        <v>243</v>
      </c>
      <c r="F6" s="198" t="s">
        <v>38</v>
      </c>
      <c r="G6" s="201">
        <f>G23</f>
        <v>3306.375</v>
      </c>
      <c r="H6" s="202"/>
      <c r="I6" s="202"/>
      <c r="J6" s="191"/>
    </row>
    <row r="7" spans="2:10" ht="38.25">
      <c r="B7" s="203">
        <v>122</v>
      </c>
      <c r="C7" s="204" t="s">
        <v>15</v>
      </c>
      <c r="D7" s="205" t="s">
        <v>203</v>
      </c>
      <c r="E7" s="206" t="s">
        <v>244</v>
      </c>
      <c r="F7" s="204" t="s">
        <v>38</v>
      </c>
      <c r="G7" s="207">
        <f>$H$23</f>
        <v>3967.65</v>
      </c>
      <c r="H7" s="202"/>
      <c r="I7" s="191"/>
      <c r="J7" s="191"/>
    </row>
    <row r="8" spans="2:10" ht="14.25" customHeight="1">
      <c r="B8" s="208"/>
      <c r="C8" s="209"/>
      <c r="D8" s="209"/>
      <c r="G8" s="191"/>
      <c r="H8" s="191"/>
      <c r="I8" s="191"/>
      <c r="J8" s="191"/>
    </row>
    <row r="9" spans="2:10" ht="15.75">
      <c r="B9" s="183" t="s">
        <v>18</v>
      </c>
      <c r="C9" s="209"/>
      <c r="D9" s="209"/>
      <c r="G9" s="191"/>
      <c r="H9" s="191"/>
      <c r="I9" s="191"/>
      <c r="J9" s="191"/>
    </row>
    <row r="10" spans="2:10">
      <c r="B10" s="210"/>
      <c r="C10" s="211"/>
      <c r="D10" s="212"/>
      <c r="E10" s="213" t="s">
        <v>15</v>
      </c>
      <c r="F10" s="213" t="s">
        <v>31</v>
      </c>
      <c r="G10" s="213"/>
      <c r="H10" s="214"/>
    </row>
    <row r="11" spans="2:10">
      <c r="B11" s="215"/>
      <c r="C11" s="216"/>
      <c r="D11" s="217"/>
      <c r="E11" s="218" t="s">
        <v>22</v>
      </c>
      <c r="F11" s="218" t="s">
        <v>22</v>
      </c>
      <c r="G11" s="218" t="str">
        <f>+E10</f>
        <v>EQIP</v>
      </c>
      <c r="H11" s="219" t="str">
        <f>+F10</f>
        <v>EQIP-HU</v>
      </c>
    </row>
    <row r="12" spans="2:10">
      <c r="B12" s="220"/>
      <c r="C12" s="217"/>
      <c r="D12" s="217"/>
      <c r="E12" s="218" t="s">
        <v>12</v>
      </c>
      <c r="F12" s="218" t="s">
        <v>12</v>
      </c>
      <c r="G12" s="218" t="s">
        <v>12</v>
      </c>
      <c r="H12" s="219" t="s">
        <v>12</v>
      </c>
    </row>
    <row r="13" spans="2:10">
      <c r="B13" s="221" t="s">
        <v>16</v>
      </c>
      <c r="C13" s="217"/>
      <c r="D13" s="222" t="s">
        <v>6</v>
      </c>
      <c r="E13" s="223" t="s">
        <v>24</v>
      </c>
      <c r="F13" s="223" t="s">
        <v>24</v>
      </c>
      <c r="G13" s="223" t="s">
        <v>14</v>
      </c>
      <c r="H13" s="224" t="s">
        <v>14</v>
      </c>
    </row>
    <row r="14" spans="2:10">
      <c r="B14" s="215" t="s">
        <v>0</v>
      </c>
      <c r="C14" s="217"/>
      <c r="D14" s="225">
        <v>0</v>
      </c>
      <c r="E14" s="226">
        <v>0</v>
      </c>
      <c r="F14" s="226">
        <v>0</v>
      </c>
      <c r="G14" s="227">
        <f>+$D14*E14</f>
        <v>0</v>
      </c>
      <c r="H14" s="228">
        <f>+$D14*F14</f>
        <v>0</v>
      </c>
    </row>
    <row r="15" spans="2:10">
      <c r="B15" s="215" t="s">
        <v>2</v>
      </c>
      <c r="C15" s="217"/>
      <c r="D15" s="225">
        <v>0</v>
      </c>
      <c r="E15" s="226">
        <v>0</v>
      </c>
      <c r="F15" s="226">
        <v>0</v>
      </c>
      <c r="G15" s="227">
        <f t="shared" ref="G15:H22" si="0">+$D15*E15</f>
        <v>0</v>
      </c>
      <c r="H15" s="228">
        <f t="shared" si="0"/>
        <v>0</v>
      </c>
    </row>
    <row r="16" spans="2:10">
      <c r="B16" s="215" t="s">
        <v>3</v>
      </c>
      <c r="C16" s="217"/>
      <c r="D16" s="225">
        <f>I49</f>
        <v>4408.5</v>
      </c>
      <c r="E16" s="226">
        <v>0.75</v>
      </c>
      <c r="F16" s="226">
        <v>0.9</v>
      </c>
      <c r="G16" s="227">
        <f t="shared" si="0"/>
        <v>3306.375</v>
      </c>
      <c r="H16" s="228">
        <f t="shared" si="0"/>
        <v>3967.65</v>
      </c>
    </row>
    <row r="17" spans="2:16">
      <c r="B17" s="215" t="s">
        <v>4</v>
      </c>
      <c r="C17" s="217"/>
      <c r="D17" s="225">
        <v>0</v>
      </c>
      <c r="E17" s="226">
        <v>0</v>
      </c>
      <c r="F17" s="226">
        <v>0</v>
      </c>
      <c r="G17" s="227">
        <f t="shared" si="0"/>
        <v>0</v>
      </c>
      <c r="H17" s="228">
        <f t="shared" si="0"/>
        <v>0</v>
      </c>
    </row>
    <row r="18" spans="2:16">
      <c r="B18" s="215" t="s">
        <v>26</v>
      </c>
      <c r="C18" s="217"/>
      <c r="D18" s="225">
        <v>0</v>
      </c>
      <c r="E18" s="226">
        <v>0</v>
      </c>
      <c r="F18" s="226">
        <v>0</v>
      </c>
      <c r="G18" s="227">
        <f t="shared" si="0"/>
        <v>0</v>
      </c>
      <c r="H18" s="228">
        <f t="shared" si="0"/>
        <v>0</v>
      </c>
    </row>
    <row r="19" spans="2:16">
      <c r="B19" s="215" t="s">
        <v>7</v>
      </c>
      <c r="C19" s="217"/>
      <c r="D19" s="225">
        <f>I63</f>
        <v>0</v>
      </c>
      <c r="E19" s="226">
        <v>0.75</v>
      </c>
      <c r="F19" s="226">
        <v>0.9</v>
      </c>
      <c r="G19" s="227">
        <f t="shared" si="0"/>
        <v>0</v>
      </c>
      <c r="H19" s="228">
        <f t="shared" si="0"/>
        <v>0</v>
      </c>
    </row>
    <row r="20" spans="2:16">
      <c r="B20" s="215" t="s">
        <v>27</v>
      </c>
      <c r="C20" s="217"/>
      <c r="D20" s="225">
        <v>0</v>
      </c>
      <c r="E20" s="226">
        <v>0</v>
      </c>
      <c r="F20" s="226">
        <v>0</v>
      </c>
      <c r="G20" s="227">
        <f t="shared" si="0"/>
        <v>0</v>
      </c>
      <c r="H20" s="228">
        <f t="shared" si="0"/>
        <v>0</v>
      </c>
    </row>
    <row r="21" spans="2:16">
      <c r="B21" s="215" t="s">
        <v>5</v>
      </c>
      <c r="C21" s="217"/>
      <c r="D21" s="225">
        <v>0</v>
      </c>
      <c r="E21" s="226">
        <v>0</v>
      </c>
      <c r="F21" s="226">
        <v>0</v>
      </c>
      <c r="G21" s="227">
        <f t="shared" si="0"/>
        <v>0</v>
      </c>
      <c r="H21" s="228">
        <f t="shared" si="0"/>
        <v>0</v>
      </c>
    </row>
    <row r="22" spans="2:16">
      <c r="B22" s="215" t="s">
        <v>20</v>
      </c>
      <c r="C22" s="217"/>
      <c r="D22" s="225">
        <v>0</v>
      </c>
      <c r="E22" s="226">
        <v>0</v>
      </c>
      <c r="F22" s="226">
        <v>0</v>
      </c>
      <c r="G22" s="229">
        <f t="shared" si="0"/>
        <v>0</v>
      </c>
      <c r="H22" s="230">
        <f t="shared" si="0"/>
        <v>0</v>
      </c>
    </row>
    <row r="23" spans="2:16">
      <c r="B23" s="231" t="s">
        <v>19</v>
      </c>
      <c r="C23" s="232"/>
      <c r="D23" s="233">
        <f>SUM(D14:D22)</f>
        <v>4408.5</v>
      </c>
      <c r="E23" s="234"/>
      <c r="F23" s="234"/>
      <c r="G23" s="233">
        <f t="shared" ref="G23:H23" si="1">SUM(G14:G22)</f>
        <v>3306.375</v>
      </c>
      <c r="H23" s="235">
        <f t="shared" si="1"/>
        <v>3967.65</v>
      </c>
    </row>
    <row r="24" spans="2:16" s="239" customFormat="1" ht="5.25" customHeight="1">
      <c r="B24" s="236"/>
      <c r="C24" s="236"/>
      <c r="D24" s="237"/>
      <c r="E24" s="238"/>
      <c r="F24" s="238"/>
      <c r="G24" s="238"/>
      <c r="H24" s="238"/>
      <c r="I24" s="238"/>
      <c r="J24" s="238"/>
      <c r="K24" s="237"/>
      <c r="L24" s="237"/>
      <c r="M24" s="237"/>
      <c r="N24" s="237"/>
      <c r="O24" s="237"/>
      <c r="P24" s="237"/>
    </row>
    <row r="25" spans="2:16" ht="5.25" customHeight="1"/>
    <row r="26" spans="2:16" ht="15.75">
      <c r="B26" s="240" t="s">
        <v>28</v>
      </c>
      <c r="I26" s="241"/>
    </row>
    <row r="27" spans="2:16">
      <c r="B27" s="242" t="s">
        <v>32</v>
      </c>
      <c r="C27" s="243"/>
      <c r="D27" s="243"/>
      <c r="E27" s="244"/>
      <c r="F27" s="244"/>
      <c r="G27" s="244"/>
      <c r="H27" s="244"/>
      <c r="I27" s="245"/>
    </row>
    <row r="28" spans="2:16" ht="24" customHeight="1">
      <c r="B28" s="246"/>
      <c r="C28" s="247"/>
      <c r="D28" s="1966" t="s">
        <v>245</v>
      </c>
      <c r="E28" s="1967"/>
      <c r="F28" s="1967"/>
      <c r="G28" s="1967"/>
      <c r="H28" s="1967"/>
      <c r="I28" s="248"/>
    </row>
    <row r="29" spans="2:16">
      <c r="B29" s="246"/>
      <c r="C29" s="247"/>
      <c r="D29" s="249"/>
      <c r="E29" s="250"/>
      <c r="F29" s="250"/>
      <c r="G29" s="250"/>
      <c r="H29" s="250"/>
      <c r="I29" s="248"/>
    </row>
    <row r="30" spans="2:16">
      <c r="B30" s="251" t="s">
        <v>41</v>
      </c>
      <c r="C30" s="247"/>
      <c r="D30" s="1964" t="s">
        <v>206</v>
      </c>
      <c r="E30" s="1965"/>
      <c r="F30" s="1965"/>
      <c r="G30" s="1965"/>
      <c r="H30" s="1965"/>
      <c r="I30" s="248"/>
    </row>
    <row r="31" spans="2:16" ht="26.25" customHeight="1">
      <c r="B31" s="252" t="s">
        <v>40</v>
      </c>
      <c r="C31" s="247"/>
      <c r="D31" s="1964" t="s">
        <v>246</v>
      </c>
      <c r="E31" s="1965"/>
      <c r="F31" s="1965"/>
      <c r="G31" s="1965"/>
      <c r="H31" s="1965"/>
      <c r="I31" s="248"/>
    </row>
    <row r="32" spans="2:16" ht="104.25" customHeight="1">
      <c r="B32" s="252" t="s">
        <v>33</v>
      </c>
      <c r="C32" s="253"/>
      <c r="D32" s="1964" t="s">
        <v>247</v>
      </c>
      <c r="E32" s="1965"/>
      <c r="F32" s="1965"/>
      <c r="G32" s="1965"/>
      <c r="H32" s="1965"/>
      <c r="I32" s="248"/>
    </row>
    <row r="33" spans="2:15" ht="66.75" customHeight="1">
      <c r="B33" s="252" t="s">
        <v>35</v>
      </c>
      <c r="C33" s="253"/>
      <c r="D33" s="1964" t="s">
        <v>209</v>
      </c>
      <c r="E33" s="1965"/>
      <c r="F33" s="1965"/>
      <c r="G33" s="1965"/>
      <c r="H33" s="1965"/>
      <c r="I33" s="248"/>
    </row>
    <row r="34" spans="2:15" ht="36" customHeight="1">
      <c r="B34" s="252" t="s">
        <v>34</v>
      </c>
      <c r="C34" s="253"/>
      <c r="D34" s="1964" t="s">
        <v>210</v>
      </c>
      <c r="E34" s="1965"/>
      <c r="F34" s="1965"/>
      <c r="G34" s="1965"/>
      <c r="H34" s="1965"/>
      <c r="I34" s="248"/>
    </row>
    <row r="35" spans="2:15">
      <c r="B35" s="251"/>
      <c r="C35" s="247"/>
      <c r="D35" s="247"/>
      <c r="E35" s="254"/>
      <c r="F35" s="254"/>
      <c r="G35" s="254"/>
      <c r="H35" s="254"/>
      <c r="I35" s="248"/>
    </row>
    <row r="36" spans="2:15">
      <c r="B36" s="255" t="s">
        <v>25</v>
      </c>
      <c r="C36" s="247"/>
      <c r="D36" s="1968" t="s">
        <v>42</v>
      </c>
      <c r="E36" s="1969"/>
      <c r="F36" s="1969"/>
      <c r="G36" s="1969"/>
      <c r="H36" s="1969"/>
      <c r="I36" s="248"/>
      <c r="J36" s="236"/>
    </row>
    <row r="37" spans="2:15">
      <c r="B37" s="251"/>
      <c r="C37" s="247"/>
      <c r="D37" s="254"/>
      <c r="E37" s="254"/>
      <c r="F37" s="254"/>
      <c r="G37" s="254"/>
      <c r="H37" s="254"/>
      <c r="I37" s="248"/>
    </row>
    <row r="38" spans="2:15">
      <c r="B38" s="255" t="s">
        <v>8</v>
      </c>
      <c r="C38" s="247"/>
      <c r="D38" s="256" t="s">
        <v>38</v>
      </c>
      <c r="E38" s="254"/>
      <c r="F38" s="254"/>
      <c r="G38" s="254"/>
      <c r="H38" s="254"/>
      <c r="I38" s="248"/>
    </row>
    <row r="39" spans="2:15">
      <c r="B39" s="255" t="s">
        <v>9</v>
      </c>
      <c r="C39" s="247"/>
      <c r="D39" s="257">
        <v>1</v>
      </c>
      <c r="E39" s="254"/>
      <c r="F39" s="254"/>
      <c r="G39" s="254"/>
      <c r="H39" s="254"/>
      <c r="I39" s="248"/>
    </row>
    <row r="40" spans="2:15">
      <c r="B40" s="255" t="s">
        <v>10</v>
      </c>
      <c r="C40" s="254"/>
      <c r="D40" s="258">
        <v>0.05</v>
      </c>
      <c r="E40" s="259"/>
      <c r="F40" s="254"/>
      <c r="G40" s="254"/>
      <c r="H40" s="254"/>
      <c r="I40" s="260" t="s">
        <v>6</v>
      </c>
    </row>
    <row r="41" spans="2:15">
      <c r="B41" s="261"/>
      <c r="C41" s="254"/>
      <c r="D41" s="254"/>
      <c r="E41" s="254"/>
      <c r="F41" s="254"/>
      <c r="G41" s="254"/>
      <c r="H41" s="254"/>
      <c r="I41" s="262"/>
      <c r="L41" s="263"/>
      <c r="M41" s="263"/>
      <c r="N41" s="264"/>
      <c r="O41" s="264"/>
    </row>
    <row r="42" spans="2:15">
      <c r="B42" s="246" t="s">
        <v>0</v>
      </c>
      <c r="C42" s="254"/>
      <c r="D42" s="254"/>
      <c r="E42" s="254"/>
      <c r="F42" s="254"/>
      <c r="G42" s="254"/>
      <c r="H42" s="254"/>
      <c r="I42" s="265">
        <v>0</v>
      </c>
      <c r="L42" s="263"/>
      <c r="M42" s="263"/>
      <c r="N42" s="264"/>
      <c r="O42" s="264"/>
    </row>
    <row r="43" spans="2:15" ht="14.25" customHeight="1">
      <c r="B43" s="251" t="s">
        <v>39</v>
      </c>
      <c r="C43" s="254"/>
      <c r="D43" s="266"/>
      <c r="E43" s="254"/>
      <c r="F43" s="254"/>
      <c r="G43" s="254"/>
      <c r="H43" s="254"/>
      <c r="I43" s="265"/>
      <c r="L43" s="263"/>
      <c r="M43" s="264"/>
    </row>
    <row r="44" spans="2:15" ht="6" customHeight="1">
      <c r="B44" s="267"/>
      <c r="C44" s="268"/>
      <c r="D44" s="269"/>
      <c r="E44" s="254"/>
      <c r="F44" s="254"/>
      <c r="G44" s="254"/>
      <c r="H44" s="254"/>
      <c r="I44" s="265"/>
      <c r="L44" s="263"/>
      <c r="M44" s="264"/>
    </row>
    <row r="45" spans="2:15">
      <c r="B45" s="246" t="s">
        <v>2</v>
      </c>
      <c r="C45" s="254"/>
      <c r="D45" s="270"/>
      <c r="E45" s="254"/>
      <c r="F45" s="254"/>
      <c r="G45" s="254"/>
      <c r="H45" s="254"/>
      <c r="I45" s="265">
        <v>0</v>
      </c>
      <c r="L45" s="263"/>
      <c r="M45" s="264"/>
    </row>
    <row r="46" spans="2:15" ht="12.75" customHeight="1">
      <c r="B46" s="1970" t="s">
        <v>39</v>
      </c>
      <c r="C46" s="1967"/>
      <c r="D46" s="1967"/>
      <c r="E46" s="1967"/>
      <c r="F46" s="1967"/>
      <c r="G46" s="1967"/>
      <c r="H46" s="1967"/>
      <c r="I46" s="265"/>
      <c r="L46" s="263"/>
      <c r="M46" s="264"/>
    </row>
    <row r="47" spans="2:15" ht="6" customHeight="1">
      <c r="B47" s="271"/>
      <c r="C47" s="254"/>
      <c r="D47" s="254"/>
      <c r="E47" s="272"/>
      <c r="F47" s="272"/>
      <c r="G47" s="272"/>
      <c r="H47" s="254"/>
      <c r="I47" s="265"/>
      <c r="L47" s="263"/>
      <c r="M47" s="264"/>
    </row>
    <row r="48" spans="2:15" ht="4.5" customHeight="1">
      <c r="B48" s="246"/>
      <c r="C48" s="254"/>
      <c r="D48" s="254"/>
      <c r="E48" s="254"/>
      <c r="F48" s="254"/>
      <c r="G48" s="273"/>
      <c r="H48" s="274"/>
      <c r="I48" s="265"/>
      <c r="L48" s="263"/>
      <c r="M48" s="264"/>
    </row>
    <row r="49" spans="2:15">
      <c r="B49" s="246" t="s">
        <v>3</v>
      </c>
      <c r="C49" s="254"/>
      <c r="D49" s="254"/>
      <c r="E49" s="254"/>
      <c r="F49" s="254"/>
      <c r="G49" s="254"/>
      <c r="H49" s="254"/>
      <c r="I49" s="265">
        <f>$H$56</f>
        <v>4408.5</v>
      </c>
      <c r="L49" s="263"/>
      <c r="M49" s="264"/>
    </row>
    <row r="50" spans="2:15" ht="24.75" customHeight="1">
      <c r="B50" s="1970" t="s">
        <v>211</v>
      </c>
      <c r="C50" s="1967"/>
      <c r="D50" s="1967"/>
      <c r="E50" s="1967"/>
      <c r="F50" s="1967"/>
      <c r="G50" s="1967"/>
      <c r="H50" s="1967"/>
      <c r="I50" s="265"/>
      <c r="L50" s="263"/>
      <c r="M50" s="264"/>
    </row>
    <row r="51" spans="2:15" ht="12.75" customHeight="1">
      <c r="B51" s="275"/>
      <c r="C51" s="276"/>
      <c r="D51" s="277" t="s">
        <v>212</v>
      </c>
      <c r="E51" s="278" t="s">
        <v>46</v>
      </c>
      <c r="F51" s="278" t="s">
        <v>6</v>
      </c>
      <c r="G51" s="278" t="s">
        <v>47</v>
      </c>
      <c r="H51" s="278" t="s">
        <v>48</v>
      </c>
      <c r="I51" s="265"/>
      <c r="L51" s="263"/>
      <c r="M51" s="264"/>
    </row>
    <row r="52" spans="2:15" ht="12.75" customHeight="1">
      <c r="B52" s="275"/>
      <c r="C52" s="250"/>
      <c r="D52" s="250" t="s">
        <v>213</v>
      </c>
      <c r="E52" s="279" t="s">
        <v>49</v>
      </c>
      <c r="F52" s="280">
        <v>71</v>
      </c>
      <c r="G52" s="250">
        <v>1</v>
      </c>
      <c r="H52" s="280">
        <f>F52*G52</f>
        <v>71</v>
      </c>
      <c r="I52" s="265"/>
      <c r="L52" s="263"/>
      <c r="M52" s="264"/>
    </row>
    <row r="53" spans="2:15" ht="12.75" customHeight="1">
      <c r="B53" s="275"/>
      <c r="C53" s="250"/>
      <c r="D53" s="250" t="s">
        <v>214</v>
      </c>
      <c r="E53" s="279" t="s">
        <v>49</v>
      </c>
      <c r="F53" s="280">
        <v>87</v>
      </c>
      <c r="G53" s="250">
        <v>12</v>
      </c>
      <c r="H53" s="280">
        <f>F53*G53</f>
        <v>1044</v>
      </c>
      <c r="I53" s="265"/>
      <c r="L53" s="263"/>
      <c r="M53" s="264"/>
    </row>
    <row r="54" spans="2:15" ht="12.75" customHeight="1">
      <c r="B54" s="275"/>
      <c r="C54" s="250"/>
      <c r="D54" s="250" t="s">
        <v>215</v>
      </c>
      <c r="E54" s="279" t="s">
        <v>49</v>
      </c>
      <c r="F54" s="280">
        <v>149</v>
      </c>
      <c r="G54" s="250">
        <v>12.5</v>
      </c>
      <c r="H54" s="280">
        <f>F54*G54</f>
        <v>1862.5</v>
      </c>
      <c r="I54" s="265"/>
      <c r="L54" s="263"/>
      <c r="M54" s="264"/>
    </row>
    <row r="55" spans="2:15" ht="12.75" customHeight="1">
      <c r="B55" s="275"/>
      <c r="C55" s="250"/>
      <c r="D55" s="250" t="s">
        <v>216</v>
      </c>
      <c r="E55" s="279" t="s">
        <v>49</v>
      </c>
      <c r="F55" s="280">
        <v>159</v>
      </c>
      <c r="G55" s="250">
        <v>9</v>
      </c>
      <c r="H55" s="280">
        <f>F55*G55</f>
        <v>1431</v>
      </c>
      <c r="I55" s="265"/>
      <c r="L55" s="263"/>
      <c r="M55" s="264"/>
    </row>
    <row r="56" spans="2:15">
      <c r="B56" s="246" t="s">
        <v>4</v>
      </c>
      <c r="C56" s="254"/>
      <c r="D56" s="254"/>
      <c r="E56" s="254"/>
      <c r="F56" s="254"/>
      <c r="G56" s="254">
        <f>SUM(G52:G55)</f>
        <v>34.5</v>
      </c>
      <c r="H56" s="281">
        <f>SUM(H52:H55)</f>
        <v>4408.5</v>
      </c>
      <c r="I56" s="282">
        <v>0</v>
      </c>
      <c r="L56" s="263"/>
      <c r="M56" s="264"/>
    </row>
    <row r="57" spans="2:15" ht="12" customHeight="1">
      <c r="B57" s="251" t="s">
        <v>39</v>
      </c>
      <c r="C57" s="254"/>
      <c r="D57" s="254"/>
      <c r="E57" s="254"/>
      <c r="F57" s="254"/>
      <c r="G57" s="254"/>
      <c r="H57" s="254"/>
      <c r="I57" s="248"/>
      <c r="L57" s="263"/>
      <c r="M57" s="264"/>
    </row>
    <row r="58" spans="2:15" ht="5.25" customHeight="1">
      <c r="B58" s="251"/>
      <c r="C58" s="254"/>
      <c r="D58" s="254"/>
      <c r="E58" s="254"/>
      <c r="F58" s="254"/>
      <c r="G58" s="254"/>
      <c r="H58" s="254"/>
      <c r="I58" s="248"/>
      <c r="L58" s="263"/>
      <c r="M58" s="264"/>
    </row>
    <row r="59" spans="2:15">
      <c r="B59" s="246" t="s">
        <v>26</v>
      </c>
      <c r="C59" s="254"/>
      <c r="D59" s="254"/>
      <c r="E59" s="254"/>
      <c r="F59" s="254"/>
      <c r="G59" s="254"/>
      <c r="H59" s="254"/>
      <c r="I59" s="265">
        <v>0</v>
      </c>
      <c r="L59" s="263"/>
      <c r="M59" s="264"/>
    </row>
    <row r="60" spans="2:15" ht="14.25" customHeight="1">
      <c r="B60" s="1970" t="s">
        <v>39</v>
      </c>
      <c r="C60" s="1971"/>
      <c r="D60" s="1971"/>
      <c r="E60" s="1971"/>
      <c r="F60" s="1971"/>
      <c r="G60" s="1971"/>
      <c r="H60" s="1971"/>
      <c r="I60" s="282"/>
      <c r="L60" s="263"/>
      <c r="M60" s="264"/>
    </row>
    <row r="61" spans="2:15" ht="12" customHeight="1">
      <c r="B61" s="1972"/>
      <c r="C61" s="1934"/>
      <c r="D61" s="1934"/>
      <c r="E61" s="1934"/>
      <c r="F61" s="1934"/>
      <c r="G61" s="1934"/>
      <c r="H61" s="254"/>
      <c r="I61" s="282"/>
      <c r="L61" s="263"/>
      <c r="M61" s="264"/>
    </row>
    <row r="62" spans="2:15" ht="9.75" customHeight="1">
      <c r="B62" s="251"/>
      <c r="C62" s="254"/>
      <c r="D62" s="254"/>
      <c r="E62" s="254"/>
      <c r="F62" s="254"/>
      <c r="G62" s="254"/>
      <c r="H62" s="254"/>
      <c r="I62" s="248"/>
      <c r="L62" s="263"/>
      <c r="M62" s="263"/>
    </row>
    <row r="63" spans="2:15">
      <c r="B63" s="246" t="s">
        <v>7</v>
      </c>
      <c r="C63" s="254"/>
      <c r="D63" s="254"/>
      <c r="E63" s="254"/>
      <c r="F63" s="254"/>
      <c r="G63" s="254"/>
      <c r="H63" s="254"/>
      <c r="I63" s="265">
        <v>0</v>
      </c>
      <c r="L63" s="263"/>
      <c r="M63" s="263"/>
      <c r="N63" s="263"/>
      <c r="O63" s="263"/>
    </row>
    <row r="64" spans="2:15" ht="12" customHeight="1">
      <c r="B64" s="251" t="s">
        <v>39</v>
      </c>
      <c r="C64" s="254"/>
      <c r="D64" s="283"/>
      <c r="E64" s="284"/>
      <c r="F64" s="284"/>
      <c r="G64" s="284"/>
      <c r="H64" s="284"/>
      <c r="I64" s="248"/>
      <c r="L64" s="263"/>
      <c r="M64" s="263"/>
      <c r="N64" s="264"/>
      <c r="O64" s="264"/>
    </row>
    <row r="65" spans="2:15" ht="6" customHeight="1">
      <c r="B65" s="251"/>
      <c r="C65" s="254"/>
      <c r="D65" s="254"/>
      <c r="E65" s="254"/>
      <c r="F65" s="254"/>
      <c r="G65" s="254"/>
      <c r="H65" s="254"/>
      <c r="I65" s="248"/>
      <c r="L65" s="263"/>
      <c r="M65" s="263"/>
      <c r="N65" s="285"/>
      <c r="O65" s="285"/>
    </row>
    <row r="66" spans="2:15">
      <c r="B66" s="246" t="s">
        <v>27</v>
      </c>
      <c r="C66" s="254"/>
      <c r="D66" s="254"/>
      <c r="E66" s="254"/>
      <c r="F66" s="254"/>
      <c r="G66" s="254"/>
      <c r="H66" s="254"/>
      <c r="I66" s="265">
        <v>0</v>
      </c>
      <c r="L66" s="263"/>
      <c r="M66" s="263"/>
      <c r="N66" s="264"/>
      <c r="O66" s="264"/>
    </row>
    <row r="67" spans="2:15" ht="13.5" customHeight="1">
      <c r="B67" s="251" t="s">
        <v>39</v>
      </c>
      <c r="C67" s="254"/>
      <c r="D67" s="254"/>
      <c r="E67" s="254"/>
      <c r="F67" s="254"/>
      <c r="G67" s="254"/>
      <c r="H67" s="254"/>
      <c r="I67" s="286"/>
      <c r="L67" s="263"/>
      <c r="M67" s="263"/>
      <c r="N67" s="285"/>
      <c r="O67" s="285"/>
    </row>
    <row r="68" spans="2:15" ht="3.75" customHeight="1">
      <c r="B68" s="251"/>
      <c r="C68" s="254"/>
      <c r="D68" s="254"/>
      <c r="E68" s="254"/>
      <c r="F68" s="254"/>
      <c r="G68" s="254"/>
      <c r="H68" s="254"/>
      <c r="I68" s="248"/>
      <c r="L68" s="263"/>
      <c r="M68" s="263"/>
      <c r="N68" s="264"/>
      <c r="O68" s="264"/>
    </row>
    <row r="69" spans="2:15">
      <c r="B69" s="246" t="s">
        <v>5</v>
      </c>
      <c r="C69" s="254"/>
      <c r="D69" s="254"/>
      <c r="E69" s="254"/>
      <c r="F69" s="254"/>
      <c r="G69" s="254"/>
      <c r="H69" s="254"/>
      <c r="I69" s="265">
        <v>0</v>
      </c>
      <c r="L69" s="263"/>
      <c r="M69" s="263"/>
      <c r="N69" s="264"/>
      <c r="O69" s="264"/>
    </row>
    <row r="70" spans="2:15" ht="11.25" customHeight="1">
      <c r="B70" s="251" t="s">
        <v>39</v>
      </c>
      <c r="C70" s="254"/>
      <c r="D70" s="254"/>
      <c r="E70" s="254"/>
      <c r="F70" s="254"/>
      <c r="G70" s="254"/>
      <c r="H70" s="254"/>
      <c r="I70" s="286"/>
      <c r="L70" s="263"/>
      <c r="M70" s="263"/>
      <c r="N70" s="263"/>
      <c r="O70" s="263"/>
    </row>
    <row r="71" spans="2:15" ht="4.5" customHeight="1">
      <c r="B71" s="251"/>
      <c r="C71" s="254"/>
      <c r="D71" s="254"/>
      <c r="E71" s="254"/>
      <c r="F71" s="254"/>
      <c r="G71" s="254"/>
      <c r="H71" s="254"/>
      <c r="I71" s="248"/>
      <c r="L71" s="263"/>
      <c r="M71" s="263"/>
      <c r="N71" s="263"/>
      <c r="O71" s="263"/>
    </row>
    <row r="72" spans="2:15">
      <c r="B72" s="246" t="s">
        <v>20</v>
      </c>
      <c r="C72" s="254"/>
      <c r="D72" s="254"/>
      <c r="E72" s="254"/>
      <c r="F72" s="254"/>
      <c r="G72" s="254"/>
      <c r="H72" s="254"/>
      <c r="I72" s="265">
        <v>0</v>
      </c>
      <c r="L72" s="263"/>
      <c r="M72" s="263"/>
      <c r="N72" s="264"/>
      <c r="O72" s="264"/>
    </row>
    <row r="73" spans="2:15" ht="12" customHeight="1">
      <c r="B73" s="251" t="s">
        <v>39</v>
      </c>
      <c r="C73" s="254"/>
      <c r="D73" s="254"/>
      <c r="E73" s="254"/>
      <c r="F73" s="254"/>
      <c r="G73" s="254"/>
      <c r="H73" s="254"/>
      <c r="I73" s="265"/>
      <c r="L73" s="263"/>
      <c r="M73" s="263"/>
      <c r="N73" s="264"/>
      <c r="O73" s="264"/>
    </row>
    <row r="74" spans="2:15" ht="6.75" customHeight="1">
      <c r="B74" s="246"/>
      <c r="C74" s="254"/>
      <c r="D74" s="254"/>
      <c r="E74" s="254"/>
      <c r="F74" s="254"/>
      <c r="G74" s="254"/>
      <c r="H74" s="254"/>
      <c r="I74" s="265"/>
      <c r="L74" s="263"/>
      <c r="M74" s="263"/>
      <c r="N74" s="264"/>
      <c r="O74" s="264"/>
    </row>
    <row r="75" spans="2:15" ht="5.25" customHeight="1">
      <c r="B75" s="261"/>
      <c r="C75" s="254"/>
      <c r="D75" s="254"/>
      <c r="E75" s="254"/>
      <c r="F75" s="254"/>
      <c r="G75" s="254"/>
      <c r="H75" s="254"/>
      <c r="I75" s="248"/>
      <c r="L75" s="263"/>
      <c r="M75" s="263"/>
      <c r="N75" s="263"/>
      <c r="O75" s="263"/>
    </row>
    <row r="76" spans="2:15">
      <c r="B76" s="287" t="s">
        <v>11</v>
      </c>
      <c r="C76" s="288"/>
      <c r="D76" s="288"/>
      <c r="E76" s="288"/>
      <c r="F76" s="288"/>
      <c r="G76" s="288"/>
      <c r="H76" s="288"/>
      <c r="I76" s="289">
        <f>+I72+I69+I66+I63+I59+I56+I49+I45+I42</f>
        <v>4408.5</v>
      </c>
      <c r="L76" s="263"/>
      <c r="M76" s="263"/>
      <c r="N76" s="263"/>
      <c r="O76" s="263"/>
    </row>
    <row r="99" spans="5:5">
      <c r="E99" s="290"/>
    </row>
    <row r="100" spans="5:5">
      <c r="E100" s="290"/>
    </row>
    <row r="101" spans="5:5">
      <c r="E101" s="290"/>
    </row>
    <row r="102" spans="5:5">
      <c r="E102" s="290"/>
    </row>
    <row r="103" spans="5:5">
      <c r="E103" s="290"/>
    </row>
    <row r="104" spans="5:5">
      <c r="E104" s="290"/>
    </row>
    <row r="106" spans="5:5">
      <c r="E106" s="290"/>
    </row>
    <row r="108" spans="5:5">
      <c r="E108" s="291"/>
    </row>
    <row r="110" spans="5:5">
      <c r="E110" s="290"/>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2.xml><?xml version="1.0" encoding="utf-8"?>
<worksheet xmlns="http://schemas.openxmlformats.org/spreadsheetml/2006/main" xmlns:r="http://schemas.openxmlformats.org/officeDocument/2006/relationships">
  <dimension ref="B1:P110"/>
  <sheetViews>
    <sheetView zoomScaleNormal="100" workbookViewId="0"/>
  </sheetViews>
  <sheetFormatPr defaultRowHeight="12.75"/>
  <cols>
    <col min="1" max="1" width="2.85546875" style="182" customWidth="1"/>
    <col min="2" max="2" width="11.5703125" style="182" customWidth="1"/>
    <col min="3" max="3" width="18.7109375" style="182" customWidth="1"/>
    <col min="4" max="4" width="23.5703125" style="182" customWidth="1"/>
    <col min="5" max="5" width="20.5703125" style="182" customWidth="1"/>
    <col min="6" max="6" width="10.85546875" style="182" customWidth="1"/>
    <col min="7" max="7" width="10.42578125" style="182" customWidth="1"/>
    <col min="8" max="8" width="9.140625" style="182" bestFit="1" customWidth="1"/>
    <col min="9" max="9" width="9.85546875" style="182" customWidth="1"/>
    <col min="10" max="10" width="2.85546875" style="182" customWidth="1"/>
    <col min="11" max="11" width="8.140625" style="182" customWidth="1"/>
    <col min="12" max="12" width="8.42578125" style="182" customWidth="1"/>
    <col min="13" max="14" width="9.140625" style="182"/>
    <col min="15" max="16" width="9" style="182" bestFit="1" customWidth="1"/>
    <col min="17" max="16384" width="9.140625" style="182"/>
  </cols>
  <sheetData>
    <row r="1" spans="2:10" s="179" customFormat="1">
      <c r="B1" s="178" t="s">
        <v>36</v>
      </c>
      <c r="C1" s="178" t="s">
        <v>37</v>
      </c>
      <c r="D1" s="178" t="s">
        <v>29</v>
      </c>
      <c r="E1" s="178" t="s">
        <v>30</v>
      </c>
    </row>
    <row r="2" spans="2:10" ht="38.25">
      <c r="B2" s="180" t="s">
        <v>42</v>
      </c>
      <c r="C2" s="179">
        <v>122</v>
      </c>
      <c r="D2" s="181" t="s">
        <v>201</v>
      </c>
      <c r="E2" s="181" t="s">
        <v>248</v>
      </c>
    </row>
    <row r="3" spans="2:10" ht="15.75">
      <c r="B3" s="183" t="s">
        <v>17</v>
      </c>
      <c r="E3" s="184"/>
    </row>
    <row r="4" spans="2:10">
      <c r="B4" s="185" t="s">
        <v>1</v>
      </c>
      <c r="C4" s="186" t="s">
        <v>21</v>
      </c>
      <c r="D4" s="187"/>
      <c r="E4" s="188"/>
      <c r="F4" s="187"/>
      <c r="G4" s="189" t="s">
        <v>12</v>
      </c>
      <c r="H4" s="190"/>
      <c r="I4" s="190"/>
      <c r="J4" s="191"/>
    </row>
    <row r="5" spans="2:10" ht="25.5">
      <c r="B5" s="192" t="s">
        <v>13</v>
      </c>
      <c r="C5" s="193" t="s">
        <v>22</v>
      </c>
      <c r="D5" s="193" t="s">
        <v>29</v>
      </c>
      <c r="E5" s="194" t="s">
        <v>30</v>
      </c>
      <c r="F5" s="193" t="s">
        <v>23</v>
      </c>
      <c r="G5" s="195" t="s">
        <v>14</v>
      </c>
      <c r="H5" s="196"/>
      <c r="I5" s="196"/>
      <c r="J5" s="191"/>
    </row>
    <row r="6" spans="2:10" ht="38.25">
      <c r="B6" s="197">
        <v>122</v>
      </c>
      <c r="C6" s="198" t="str">
        <f>+E10</f>
        <v>EQIP</v>
      </c>
      <c r="D6" s="199" t="s">
        <v>201</v>
      </c>
      <c r="E6" s="200" t="s">
        <v>248</v>
      </c>
      <c r="F6" s="198" t="s">
        <v>38</v>
      </c>
      <c r="G6" s="201">
        <f>G23</f>
        <v>786</v>
      </c>
      <c r="H6" s="202"/>
      <c r="I6" s="202"/>
      <c r="J6" s="191"/>
    </row>
    <row r="7" spans="2:10" ht="38.25">
      <c r="B7" s="203">
        <v>122</v>
      </c>
      <c r="C7" s="204" t="s">
        <v>15</v>
      </c>
      <c r="D7" s="205" t="s">
        <v>203</v>
      </c>
      <c r="E7" s="206" t="s">
        <v>249</v>
      </c>
      <c r="F7" s="204" t="s">
        <v>38</v>
      </c>
      <c r="G7" s="207">
        <f>$H$23</f>
        <v>943.2</v>
      </c>
      <c r="H7" s="202"/>
      <c r="I7" s="191"/>
      <c r="J7" s="191"/>
    </row>
    <row r="8" spans="2:10" ht="14.25" customHeight="1">
      <c r="B8" s="208"/>
      <c r="C8" s="209"/>
      <c r="D8" s="209"/>
      <c r="G8" s="191"/>
      <c r="H8" s="191"/>
      <c r="I8" s="191"/>
      <c r="J8" s="191"/>
    </row>
    <row r="9" spans="2:10" ht="15.75">
      <c r="B9" s="183" t="s">
        <v>18</v>
      </c>
      <c r="C9" s="209"/>
      <c r="D9" s="209"/>
      <c r="G9" s="191"/>
      <c r="H9" s="191"/>
      <c r="I9" s="191"/>
      <c r="J9" s="191"/>
    </row>
    <row r="10" spans="2:10">
      <c r="B10" s="210"/>
      <c r="C10" s="211"/>
      <c r="D10" s="212"/>
      <c r="E10" s="213" t="s">
        <v>15</v>
      </c>
      <c r="F10" s="213" t="s">
        <v>31</v>
      </c>
      <c r="G10" s="213"/>
      <c r="H10" s="214"/>
    </row>
    <row r="11" spans="2:10">
      <c r="B11" s="215"/>
      <c r="C11" s="216"/>
      <c r="D11" s="217"/>
      <c r="E11" s="218" t="s">
        <v>22</v>
      </c>
      <c r="F11" s="218" t="s">
        <v>22</v>
      </c>
      <c r="G11" s="218" t="str">
        <f>+E10</f>
        <v>EQIP</v>
      </c>
      <c r="H11" s="219" t="str">
        <f>+F10</f>
        <v>EQIP-HU</v>
      </c>
    </row>
    <row r="12" spans="2:10">
      <c r="B12" s="220"/>
      <c r="C12" s="217"/>
      <c r="D12" s="217"/>
      <c r="E12" s="218" t="s">
        <v>12</v>
      </c>
      <c r="F12" s="218" t="s">
        <v>12</v>
      </c>
      <c r="G12" s="218" t="s">
        <v>12</v>
      </c>
      <c r="H12" s="219" t="s">
        <v>12</v>
      </c>
    </row>
    <row r="13" spans="2:10">
      <c r="B13" s="221" t="s">
        <v>16</v>
      </c>
      <c r="C13" s="217"/>
      <c r="D13" s="222" t="s">
        <v>6</v>
      </c>
      <c r="E13" s="223" t="s">
        <v>24</v>
      </c>
      <c r="F13" s="223" t="s">
        <v>24</v>
      </c>
      <c r="G13" s="223" t="s">
        <v>14</v>
      </c>
      <c r="H13" s="224" t="s">
        <v>14</v>
      </c>
    </row>
    <row r="14" spans="2:10">
      <c r="B14" s="215" t="s">
        <v>0</v>
      </c>
      <c r="C14" s="217"/>
      <c r="D14" s="225">
        <v>0</v>
      </c>
      <c r="E14" s="226">
        <v>0</v>
      </c>
      <c r="F14" s="226">
        <v>0</v>
      </c>
      <c r="G14" s="227">
        <f>+$D14*E14</f>
        <v>0</v>
      </c>
      <c r="H14" s="228">
        <f>+$D14*F14</f>
        <v>0</v>
      </c>
    </row>
    <row r="15" spans="2:10">
      <c r="B15" s="215" t="s">
        <v>2</v>
      </c>
      <c r="C15" s="217"/>
      <c r="D15" s="225">
        <v>0</v>
      </c>
      <c r="E15" s="226">
        <v>0</v>
      </c>
      <c r="F15" s="226">
        <v>0</v>
      </c>
      <c r="G15" s="227">
        <f t="shared" ref="G15:H22" si="0">+$D15*E15</f>
        <v>0</v>
      </c>
      <c r="H15" s="228">
        <f t="shared" si="0"/>
        <v>0</v>
      </c>
    </row>
    <row r="16" spans="2:10">
      <c r="B16" s="215" t="s">
        <v>3</v>
      </c>
      <c r="C16" s="217"/>
      <c r="D16" s="225">
        <f>I49</f>
        <v>1048</v>
      </c>
      <c r="E16" s="226">
        <v>0.75</v>
      </c>
      <c r="F16" s="226">
        <v>0.9</v>
      </c>
      <c r="G16" s="227">
        <f t="shared" si="0"/>
        <v>786</v>
      </c>
      <c r="H16" s="228">
        <f t="shared" si="0"/>
        <v>943.2</v>
      </c>
    </row>
    <row r="17" spans="2:16">
      <c r="B17" s="215" t="s">
        <v>4</v>
      </c>
      <c r="C17" s="217"/>
      <c r="D17" s="225">
        <v>0</v>
      </c>
      <c r="E17" s="226">
        <v>0</v>
      </c>
      <c r="F17" s="226">
        <v>0</v>
      </c>
      <c r="G17" s="227">
        <f t="shared" si="0"/>
        <v>0</v>
      </c>
      <c r="H17" s="228">
        <f t="shared" si="0"/>
        <v>0</v>
      </c>
    </row>
    <row r="18" spans="2:16">
      <c r="B18" s="215" t="s">
        <v>26</v>
      </c>
      <c r="C18" s="217"/>
      <c r="D18" s="225">
        <v>0</v>
      </c>
      <c r="E18" s="226">
        <v>0</v>
      </c>
      <c r="F18" s="226">
        <v>0</v>
      </c>
      <c r="G18" s="227">
        <f t="shared" si="0"/>
        <v>0</v>
      </c>
      <c r="H18" s="228">
        <f t="shared" si="0"/>
        <v>0</v>
      </c>
    </row>
    <row r="19" spans="2:16">
      <c r="B19" s="215" t="s">
        <v>7</v>
      </c>
      <c r="C19" s="217"/>
      <c r="D19" s="225">
        <f>I63</f>
        <v>0</v>
      </c>
      <c r="E19" s="226">
        <v>0.75</v>
      </c>
      <c r="F19" s="226">
        <v>0.9</v>
      </c>
      <c r="G19" s="227">
        <f t="shared" si="0"/>
        <v>0</v>
      </c>
      <c r="H19" s="228">
        <f t="shared" si="0"/>
        <v>0</v>
      </c>
    </row>
    <row r="20" spans="2:16">
      <c r="B20" s="215" t="s">
        <v>27</v>
      </c>
      <c r="C20" s="217"/>
      <c r="D20" s="225">
        <v>0</v>
      </c>
      <c r="E20" s="226">
        <v>0</v>
      </c>
      <c r="F20" s="226">
        <v>0</v>
      </c>
      <c r="G20" s="227">
        <f t="shared" si="0"/>
        <v>0</v>
      </c>
      <c r="H20" s="228">
        <f t="shared" si="0"/>
        <v>0</v>
      </c>
    </row>
    <row r="21" spans="2:16">
      <c r="B21" s="215" t="s">
        <v>5</v>
      </c>
      <c r="C21" s="217"/>
      <c r="D21" s="225">
        <v>0</v>
      </c>
      <c r="E21" s="226">
        <v>0</v>
      </c>
      <c r="F21" s="226">
        <v>0</v>
      </c>
      <c r="G21" s="227">
        <f t="shared" si="0"/>
        <v>0</v>
      </c>
      <c r="H21" s="228">
        <f t="shared" si="0"/>
        <v>0</v>
      </c>
    </row>
    <row r="22" spans="2:16">
      <c r="B22" s="215" t="s">
        <v>20</v>
      </c>
      <c r="C22" s="217"/>
      <c r="D22" s="225">
        <v>0</v>
      </c>
      <c r="E22" s="226">
        <v>0</v>
      </c>
      <c r="F22" s="226">
        <v>0</v>
      </c>
      <c r="G22" s="229">
        <f t="shared" si="0"/>
        <v>0</v>
      </c>
      <c r="H22" s="230">
        <f t="shared" si="0"/>
        <v>0</v>
      </c>
    </row>
    <row r="23" spans="2:16">
      <c r="B23" s="231" t="s">
        <v>19</v>
      </c>
      <c r="C23" s="232"/>
      <c r="D23" s="233">
        <f>SUM(D14:D22)</f>
        <v>1048</v>
      </c>
      <c r="E23" s="234"/>
      <c r="F23" s="234"/>
      <c r="G23" s="233">
        <f t="shared" ref="G23:H23" si="1">SUM(G14:G22)</f>
        <v>786</v>
      </c>
      <c r="H23" s="235">
        <f t="shared" si="1"/>
        <v>943.2</v>
      </c>
    </row>
    <row r="24" spans="2:16" s="239" customFormat="1" ht="5.25" customHeight="1">
      <c r="B24" s="236"/>
      <c r="C24" s="236"/>
      <c r="D24" s="237"/>
      <c r="E24" s="238"/>
      <c r="F24" s="238"/>
      <c r="G24" s="238"/>
      <c r="H24" s="238"/>
      <c r="I24" s="238"/>
      <c r="J24" s="238"/>
      <c r="K24" s="237"/>
      <c r="L24" s="237"/>
      <c r="M24" s="237"/>
      <c r="N24" s="237"/>
      <c r="O24" s="237"/>
      <c r="P24" s="237"/>
    </row>
    <row r="25" spans="2:16" ht="5.25" customHeight="1"/>
    <row r="26" spans="2:16" ht="15.75">
      <c r="B26" s="240" t="s">
        <v>28</v>
      </c>
      <c r="I26" s="241"/>
    </row>
    <row r="27" spans="2:16">
      <c r="B27" s="242" t="s">
        <v>32</v>
      </c>
      <c r="C27" s="243"/>
      <c r="D27" s="243"/>
      <c r="E27" s="244"/>
      <c r="F27" s="244"/>
      <c r="G27" s="244"/>
      <c r="H27" s="244"/>
      <c r="I27" s="245"/>
    </row>
    <row r="28" spans="2:16" ht="24.75" customHeight="1">
      <c r="B28" s="246"/>
      <c r="C28" s="247"/>
      <c r="D28" s="1966" t="s">
        <v>250</v>
      </c>
      <c r="E28" s="1967"/>
      <c r="F28" s="1967"/>
      <c r="G28" s="1967"/>
      <c r="H28" s="1967"/>
      <c r="I28" s="248"/>
    </row>
    <row r="29" spans="2:16">
      <c r="B29" s="246"/>
      <c r="C29" s="247"/>
      <c r="D29" s="249"/>
      <c r="E29" s="250"/>
      <c r="F29" s="250"/>
      <c r="G29" s="250"/>
      <c r="H29" s="250"/>
      <c r="I29" s="248"/>
    </row>
    <row r="30" spans="2:16">
      <c r="B30" s="251" t="s">
        <v>41</v>
      </c>
      <c r="C30" s="247"/>
      <c r="D30" s="1964" t="s">
        <v>206</v>
      </c>
      <c r="E30" s="1965"/>
      <c r="F30" s="1965"/>
      <c r="G30" s="1965"/>
      <c r="H30" s="1965"/>
      <c r="I30" s="248"/>
    </row>
    <row r="31" spans="2:16" ht="59.25" customHeight="1">
      <c r="B31" s="252" t="s">
        <v>40</v>
      </c>
      <c r="C31" s="247"/>
      <c r="D31" s="1964" t="s">
        <v>251</v>
      </c>
      <c r="E31" s="1965"/>
      <c r="F31" s="1965"/>
      <c r="G31" s="1965"/>
      <c r="H31" s="1965"/>
      <c r="I31" s="248"/>
    </row>
    <row r="32" spans="2:16" ht="115.5" customHeight="1">
      <c r="B32" s="252" t="s">
        <v>33</v>
      </c>
      <c r="C32" s="253"/>
      <c r="D32" s="1964" t="s">
        <v>252</v>
      </c>
      <c r="E32" s="1965"/>
      <c r="F32" s="1965"/>
      <c r="G32" s="1965"/>
      <c r="H32" s="1965"/>
      <c r="I32" s="248"/>
    </row>
    <row r="33" spans="2:15" ht="66.75" customHeight="1">
      <c r="B33" s="252" t="s">
        <v>35</v>
      </c>
      <c r="C33" s="253"/>
      <c r="D33" s="1964" t="s">
        <v>209</v>
      </c>
      <c r="E33" s="1965"/>
      <c r="F33" s="1965"/>
      <c r="G33" s="1965"/>
      <c r="H33" s="1965"/>
      <c r="I33" s="248"/>
    </row>
    <row r="34" spans="2:15" ht="36" customHeight="1">
      <c r="B34" s="252" t="s">
        <v>34</v>
      </c>
      <c r="C34" s="253"/>
      <c r="D34" s="1964" t="s">
        <v>210</v>
      </c>
      <c r="E34" s="1965"/>
      <c r="F34" s="1965"/>
      <c r="G34" s="1965"/>
      <c r="H34" s="1965"/>
      <c r="I34" s="248"/>
    </row>
    <row r="35" spans="2:15">
      <c r="B35" s="251"/>
      <c r="C35" s="247"/>
      <c r="D35" s="247"/>
      <c r="E35" s="254"/>
      <c r="F35" s="254"/>
      <c r="G35" s="254"/>
      <c r="H35" s="254"/>
      <c r="I35" s="248"/>
    </row>
    <row r="36" spans="2:15">
      <c r="B36" s="255" t="s">
        <v>25</v>
      </c>
      <c r="C36" s="247"/>
      <c r="D36" s="1968" t="s">
        <v>42</v>
      </c>
      <c r="E36" s="1969"/>
      <c r="F36" s="1969"/>
      <c r="G36" s="1969"/>
      <c r="H36" s="1969"/>
      <c r="I36" s="248"/>
      <c r="J36" s="236"/>
    </row>
    <row r="37" spans="2:15">
      <c r="B37" s="251"/>
      <c r="C37" s="247"/>
      <c r="D37" s="254"/>
      <c r="E37" s="254"/>
      <c r="F37" s="254"/>
      <c r="G37" s="254"/>
      <c r="H37" s="254"/>
      <c r="I37" s="248"/>
    </row>
    <row r="38" spans="2:15">
      <c r="B38" s="255" t="s">
        <v>8</v>
      </c>
      <c r="C38" s="247"/>
      <c r="D38" s="256" t="s">
        <v>38</v>
      </c>
      <c r="E38" s="254"/>
      <c r="F38" s="254"/>
      <c r="G38" s="254"/>
      <c r="H38" s="254"/>
      <c r="I38" s="248"/>
    </row>
    <row r="39" spans="2:15">
      <c r="B39" s="255" t="s">
        <v>9</v>
      </c>
      <c r="C39" s="247"/>
      <c r="D39" s="257">
        <v>1</v>
      </c>
      <c r="E39" s="254"/>
      <c r="F39" s="254"/>
      <c r="G39" s="254"/>
      <c r="H39" s="254"/>
      <c r="I39" s="248"/>
    </row>
    <row r="40" spans="2:15">
      <c r="B40" s="255" t="s">
        <v>10</v>
      </c>
      <c r="C40" s="254"/>
      <c r="D40" s="258">
        <v>0.05</v>
      </c>
      <c r="E40" s="259"/>
      <c r="F40" s="254"/>
      <c r="G40" s="254"/>
      <c r="H40" s="254"/>
      <c r="I40" s="260" t="s">
        <v>6</v>
      </c>
    </row>
    <row r="41" spans="2:15">
      <c r="B41" s="261"/>
      <c r="C41" s="254"/>
      <c r="D41" s="254"/>
      <c r="E41" s="254"/>
      <c r="F41" s="254"/>
      <c r="G41" s="254"/>
      <c r="H41" s="254"/>
      <c r="I41" s="262"/>
      <c r="L41" s="263"/>
      <c r="M41" s="263"/>
      <c r="N41" s="264"/>
      <c r="O41" s="264"/>
    </row>
    <row r="42" spans="2:15">
      <c r="B42" s="246" t="s">
        <v>0</v>
      </c>
      <c r="C42" s="254"/>
      <c r="D42" s="254"/>
      <c r="E42" s="254"/>
      <c r="F42" s="254"/>
      <c r="G42" s="254"/>
      <c r="H42" s="254"/>
      <c r="I42" s="265">
        <v>0</v>
      </c>
      <c r="L42" s="263"/>
      <c r="M42" s="263"/>
      <c r="N42" s="264"/>
      <c r="O42" s="264"/>
    </row>
    <row r="43" spans="2:15" ht="14.25" customHeight="1">
      <c r="B43" s="251" t="s">
        <v>39</v>
      </c>
      <c r="C43" s="254"/>
      <c r="D43" s="266"/>
      <c r="E43" s="254"/>
      <c r="F43" s="254"/>
      <c r="G43" s="254"/>
      <c r="H43" s="254"/>
      <c r="I43" s="265"/>
      <c r="L43" s="263"/>
      <c r="M43" s="264"/>
    </row>
    <row r="44" spans="2:15" ht="6" customHeight="1">
      <c r="B44" s="267"/>
      <c r="C44" s="268"/>
      <c r="D44" s="269"/>
      <c r="E44" s="254"/>
      <c r="F44" s="254"/>
      <c r="G44" s="254"/>
      <c r="H44" s="254"/>
      <c r="I44" s="265"/>
      <c r="L44" s="263"/>
      <c r="M44" s="264"/>
    </row>
    <row r="45" spans="2:15">
      <c r="B45" s="246" t="s">
        <v>2</v>
      </c>
      <c r="C45" s="254"/>
      <c r="D45" s="270"/>
      <c r="E45" s="254"/>
      <c r="F45" s="254"/>
      <c r="G45" s="254"/>
      <c r="H45" s="254"/>
      <c r="I45" s="265">
        <v>0</v>
      </c>
      <c r="L45" s="263"/>
      <c r="M45" s="264"/>
    </row>
    <row r="46" spans="2:15" ht="12.75" customHeight="1">
      <c r="B46" s="1970" t="s">
        <v>39</v>
      </c>
      <c r="C46" s="1967"/>
      <c r="D46" s="1967"/>
      <c r="E46" s="1967"/>
      <c r="F46" s="1967"/>
      <c r="G46" s="1967"/>
      <c r="H46" s="1967"/>
      <c r="I46" s="265"/>
      <c r="L46" s="263"/>
      <c r="M46" s="264"/>
    </row>
    <row r="47" spans="2:15" ht="6" customHeight="1">
      <c r="B47" s="271"/>
      <c r="C47" s="254"/>
      <c r="D47" s="254"/>
      <c r="E47" s="272"/>
      <c r="F47" s="272"/>
      <c r="G47" s="272"/>
      <c r="H47" s="254"/>
      <c r="I47" s="265"/>
      <c r="L47" s="263"/>
      <c r="M47" s="264"/>
    </row>
    <row r="48" spans="2:15" ht="4.5" customHeight="1">
      <c r="B48" s="246"/>
      <c r="C48" s="254"/>
      <c r="D48" s="254"/>
      <c r="E48" s="254"/>
      <c r="F48" s="254"/>
      <c r="G48" s="273"/>
      <c r="H48" s="274"/>
      <c r="I48" s="265"/>
      <c r="L48" s="263"/>
      <c r="M48" s="264"/>
    </row>
    <row r="49" spans="2:15">
      <c r="B49" s="246" t="s">
        <v>3</v>
      </c>
      <c r="C49" s="254"/>
      <c r="D49" s="254"/>
      <c r="E49" s="254"/>
      <c r="F49" s="254"/>
      <c r="G49" s="254"/>
      <c r="H49" s="254"/>
      <c r="I49" s="265">
        <f>$H$56</f>
        <v>1048</v>
      </c>
      <c r="L49" s="263"/>
      <c r="M49" s="264"/>
    </row>
    <row r="50" spans="2:15" ht="45" customHeight="1">
      <c r="B50" s="1973" t="s">
        <v>253</v>
      </c>
      <c r="C50" s="1974"/>
      <c r="D50" s="1974"/>
      <c r="E50" s="1974"/>
      <c r="F50" s="1974"/>
      <c r="G50" s="1974"/>
      <c r="H50" s="1974"/>
      <c r="I50" s="265"/>
      <c r="L50" s="263"/>
      <c r="M50" s="264"/>
    </row>
    <row r="51" spans="2:15" ht="12.75" customHeight="1">
      <c r="B51" s="275"/>
      <c r="C51" s="276"/>
      <c r="D51" s="277" t="s">
        <v>212</v>
      </c>
      <c r="E51" s="278" t="s">
        <v>46</v>
      </c>
      <c r="F51" s="278" t="s">
        <v>6</v>
      </c>
      <c r="G51" s="278" t="s">
        <v>47</v>
      </c>
      <c r="H51" s="278" t="s">
        <v>48</v>
      </c>
      <c r="I51" s="265"/>
      <c r="L51" s="263"/>
      <c r="M51" s="264"/>
    </row>
    <row r="52" spans="2:15" ht="12.75" customHeight="1">
      <c r="B52" s="275"/>
      <c r="C52" s="250"/>
      <c r="D52" s="250" t="s">
        <v>213</v>
      </c>
      <c r="E52" s="279" t="s">
        <v>49</v>
      </c>
      <c r="F52" s="280">
        <v>71</v>
      </c>
      <c r="G52" s="250">
        <v>0.5</v>
      </c>
      <c r="H52" s="280">
        <f>F52*G52</f>
        <v>35.5</v>
      </c>
      <c r="I52" s="265"/>
      <c r="L52" s="263"/>
      <c r="M52" s="264"/>
    </row>
    <row r="53" spans="2:15" ht="12.75" customHeight="1">
      <c r="B53" s="275"/>
      <c r="C53" s="250"/>
      <c r="D53" s="250" t="s">
        <v>214</v>
      </c>
      <c r="E53" s="279" t="s">
        <v>49</v>
      </c>
      <c r="F53" s="280">
        <v>87</v>
      </c>
      <c r="G53" s="250">
        <v>4.5</v>
      </c>
      <c r="H53" s="280">
        <f>F53*G53</f>
        <v>391.5</v>
      </c>
      <c r="I53" s="265"/>
      <c r="L53" s="263"/>
      <c r="M53" s="264"/>
    </row>
    <row r="54" spans="2:15" ht="12.75" customHeight="1">
      <c r="B54" s="275"/>
      <c r="C54" s="250"/>
      <c r="D54" s="250" t="s">
        <v>215</v>
      </c>
      <c r="E54" s="279" t="s">
        <v>49</v>
      </c>
      <c r="F54" s="280">
        <v>149</v>
      </c>
      <c r="G54" s="250">
        <v>1.5</v>
      </c>
      <c r="H54" s="280">
        <f>F54*G54</f>
        <v>223.5</v>
      </c>
      <c r="I54" s="265"/>
      <c r="L54" s="263"/>
      <c r="M54" s="264"/>
    </row>
    <row r="55" spans="2:15" ht="12.75" customHeight="1">
      <c r="B55" s="275"/>
      <c r="C55" s="250"/>
      <c r="D55" s="250" t="s">
        <v>216</v>
      </c>
      <c r="E55" s="279" t="s">
        <v>49</v>
      </c>
      <c r="F55" s="280">
        <v>159</v>
      </c>
      <c r="G55" s="250">
        <v>2.5</v>
      </c>
      <c r="H55" s="280">
        <f>F55*G55</f>
        <v>397.5</v>
      </c>
      <c r="I55" s="265"/>
      <c r="L55" s="263"/>
      <c r="M55" s="264"/>
    </row>
    <row r="56" spans="2:15">
      <c r="B56" s="246" t="s">
        <v>4</v>
      </c>
      <c r="C56" s="254"/>
      <c r="D56" s="254"/>
      <c r="E56" s="254"/>
      <c r="F56" s="254"/>
      <c r="G56" s="254">
        <f>SUM(G52:G55)</f>
        <v>9</v>
      </c>
      <c r="H56" s="281">
        <f>SUM(H52:H55)</f>
        <v>1048</v>
      </c>
      <c r="I56" s="282">
        <v>0</v>
      </c>
      <c r="L56" s="263"/>
      <c r="M56" s="264"/>
    </row>
    <row r="57" spans="2:15" ht="12" customHeight="1">
      <c r="B57" s="251" t="s">
        <v>39</v>
      </c>
      <c r="C57" s="254"/>
      <c r="D57" s="254"/>
      <c r="E57" s="254"/>
      <c r="F57" s="254"/>
      <c r="G57" s="254"/>
      <c r="H57" s="254"/>
      <c r="I57" s="248"/>
      <c r="L57" s="263"/>
      <c r="M57" s="264"/>
    </row>
    <row r="58" spans="2:15" ht="5.25" customHeight="1">
      <c r="B58" s="251"/>
      <c r="C58" s="254"/>
      <c r="D58" s="254"/>
      <c r="E58" s="254"/>
      <c r="F58" s="254"/>
      <c r="G58" s="254"/>
      <c r="H58" s="254"/>
      <c r="I58" s="248"/>
      <c r="L58" s="263"/>
      <c r="M58" s="264"/>
    </row>
    <row r="59" spans="2:15">
      <c r="B59" s="246" t="s">
        <v>26</v>
      </c>
      <c r="C59" s="254"/>
      <c r="D59" s="254"/>
      <c r="E59" s="254"/>
      <c r="F59" s="254"/>
      <c r="G59" s="254"/>
      <c r="H59" s="254"/>
      <c r="I59" s="265">
        <v>0</v>
      </c>
      <c r="L59" s="263"/>
      <c r="M59" s="264"/>
    </row>
    <row r="60" spans="2:15" ht="14.25" customHeight="1">
      <c r="B60" s="1970" t="s">
        <v>39</v>
      </c>
      <c r="C60" s="1971"/>
      <c r="D60" s="1971"/>
      <c r="E60" s="1971"/>
      <c r="F60" s="1971"/>
      <c r="G60" s="1971"/>
      <c r="H60" s="1971"/>
      <c r="I60" s="282"/>
      <c r="L60" s="263"/>
      <c r="M60" s="264"/>
    </row>
    <row r="61" spans="2:15" ht="12" customHeight="1">
      <c r="B61" s="1972"/>
      <c r="C61" s="1934"/>
      <c r="D61" s="1934"/>
      <c r="E61" s="1934"/>
      <c r="F61" s="1934"/>
      <c r="G61" s="1934"/>
      <c r="H61" s="254"/>
      <c r="I61" s="282"/>
      <c r="L61" s="263"/>
      <c r="M61" s="264"/>
    </row>
    <row r="62" spans="2:15" ht="9.75" customHeight="1">
      <c r="B62" s="251"/>
      <c r="C62" s="254"/>
      <c r="D62" s="254"/>
      <c r="E62" s="254"/>
      <c r="F62" s="254"/>
      <c r="G62" s="254"/>
      <c r="H62" s="254"/>
      <c r="I62" s="248"/>
      <c r="L62" s="263"/>
      <c r="M62" s="263"/>
    </row>
    <row r="63" spans="2:15">
      <c r="B63" s="246" t="s">
        <v>7</v>
      </c>
      <c r="C63" s="254"/>
      <c r="D63" s="254"/>
      <c r="E63" s="254"/>
      <c r="F63" s="254"/>
      <c r="G63" s="254"/>
      <c r="H63" s="254"/>
      <c r="I63" s="265">
        <v>0</v>
      </c>
      <c r="L63" s="263"/>
      <c r="M63" s="263"/>
      <c r="N63" s="263"/>
      <c r="O63" s="263"/>
    </row>
    <row r="64" spans="2:15" ht="12" customHeight="1">
      <c r="B64" s="251" t="s">
        <v>39</v>
      </c>
      <c r="C64" s="254"/>
      <c r="D64" s="283"/>
      <c r="E64" s="284"/>
      <c r="F64" s="284"/>
      <c r="G64" s="284"/>
      <c r="H64" s="284"/>
      <c r="I64" s="248"/>
      <c r="L64" s="263"/>
      <c r="M64" s="263"/>
      <c r="N64" s="264"/>
      <c r="O64" s="264"/>
    </row>
    <row r="65" spans="2:15" ht="6" customHeight="1">
      <c r="B65" s="251"/>
      <c r="C65" s="254"/>
      <c r="D65" s="254"/>
      <c r="E65" s="254"/>
      <c r="F65" s="254"/>
      <c r="G65" s="254"/>
      <c r="H65" s="254"/>
      <c r="I65" s="248"/>
      <c r="L65" s="263"/>
      <c r="M65" s="263"/>
      <c r="N65" s="285"/>
      <c r="O65" s="285"/>
    </row>
    <row r="66" spans="2:15">
      <c r="B66" s="246" t="s">
        <v>27</v>
      </c>
      <c r="C66" s="254"/>
      <c r="D66" s="254"/>
      <c r="E66" s="254"/>
      <c r="F66" s="254"/>
      <c r="G66" s="254"/>
      <c r="H66" s="254"/>
      <c r="I66" s="265">
        <v>0</v>
      </c>
      <c r="L66" s="263"/>
      <c r="M66" s="263"/>
      <c r="N66" s="264"/>
      <c r="O66" s="264"/>
    </row>
    <row r="67" spans="2:15" ht="13.5" customHeight="1">
      <c r="B67" s="251" t="s">
        <v>39</v>
      </c>
      <c r="C67" s="254"/>
      <c r="D67" s="254"/>
      <c r="E67" s="254"/>
      <c r="F67" s="254"/>
      <c r="G67" s="254"/>
      <c r="H67" s="254"/>
      <c r="I67" s="286"/>
      <c r="L67" s="263"/>
      <c r="M67" s="263"/>
      <c r="N67" s="285"/>
      <c r="O67" s="285"/>
    </row>
    <row r="68" spans="2:15" ht="3.75" customHeight="1">
      <c r="B68" s="251"/>
      <c r="C68" s="254"/>
      <c r="D68" s="254"/>
      <c r="E68" s="254"/>
      <c r="F68" s="254"/>
      <c r="G68" s="254"/>
      <c r="H68" s="254"/>
      <c r="I68" s="248"/>
      <c r="L68" s="263"/>
      <c r="M68" s="263"/>
      <c r="N68" s="264"/>
      <c r="O68" s="264"/>
    </row>
    <row r="69" spans="2:15">
      <c r="B69" s="246" t="s">
        <v>5</v>
      </c>
      <c r="C69" s="254"/>
      <c r="D69" s="254"/>
      <c r="E69" s="254"/>
      <c r="F69" s="254"/>
      <c r="G69" s="254"/>
      <c r="H69" s="254"/>
      <c r="I69" s="265">
        <v>0</v>
      </c>
      <c r="L69" s="263"/>
      <c r="M69" s="263"/>
      <c r="N69" s="264"/>
      <c r="O69" s="264"/>
    </row>
    <row r="70" spans="2:15" ht="11.25" customHeight="1">
      <c r="B70" s="251" t="s">
        <v>39</v>
      </c>
      <c r="C70" s="254"/>
      <c r="D70" s="254"/>
      <c r="E70" s="254"/>
      <c r="F70" s="254"/>
      <c r="G70" s="254"/>
      <c r="H70" s="254"/>
      <c r="I70" s="286"/>
      <c r="L70" s="263"/>
      <c r="M70" s="263"/>
      <c r="N70" s="263"/>
      <c r="O70" s="263"/>
    </row>
    <row r="71" spans="2:15" ht="4.5" customHeight="1">
      <c r="B71" s="251"/>
      <c r="C71" s="254"/>
      <c r="D71" s="254"/>
      <c r="E71" s="254"/>
      <c r="F71" s="254"/>
      <c r="G71" s="254"/>
      <c r="H71" s="254"/>
      <c r="I71" s="248"/>
      <c r="L71" s="263"/>
      <c r="M71" s="263"/>
      <c r="N71" s="263"/>
      <c r="O71" s="263"/>
    </row>
    <row r="72" spans="2:15">
      <c r="B72" s="246" t="s">
        <v>20</v>
      </c>
      <c r="C72" s="254"/>
      <c r="D72" s="254"/>
      <c r="E72" s="254"/>
      <c r="F72" s="254"/>
      <c r="G72" s="254"/>
      <c r="H72" s="254"/>
      <c r="I72" s="265">
        <v>0</v>
      </c>
      <c r="L72" s="263"/>
      <c r="M72" s="263"/>
      <c r="N72" s="264"/>
      <c r="O72" s="264"/>
    </row>
    <row r="73" spans="2:15" ht="12" customHeight="1">
      <c r="B73" s="251" t="s">
        <v>39</v>
      </c>
      <c r="C73" s="254"/>
      <c r="D73" s="254"/>
      <c r="E73" s="254"/>
      <c r="F73" s="254"/>
      <c r="G73" s="254"/>
      <c r="H73" s="254"/>
      <c r="I73" s="265"/>
      <c r="L73" s="263"/>
      <c r="M73" s="263"/>
      <c r="N73" s="264"/>
      <c r="O73" s="264"/>
    </row>
    <row r="74" spans="2:15" ht="6.75" customHeight="1">
      <c r="B74" s="246"/>
      <c r="C74" s="254"/>
      <c r="D74" s="254"/>
      <c r="E74" s="254"/>
      <c r="F74" s="254"/>
      <c r="G74" s="254"/>
      <c r="H74" s="254"/>
      <c r="I74" s="265"/>
      <c r="L74" s="263"/>
      <c r="M74" s="263"/>
      <c r="N74" s="264"/>
      <c r="O74" s="264"/>
    </row>
    <row r="75" spans="2:15" ht="5.25" customHeight="1">
      <c r="B75" s="261"/>
      <c r="C75" s="254"/>
      <c r="D75" s="254"/>
      <c r="E75" s="254"/>
      <c r="F75" s="254"/>
      <c r="G75" s="254"/>
      <c r="H75" s="254"/>
      <c r="I75" s="248"/>
      <c r="L75" s="263"/>
      <c r="M75" s="263"/>
      <c r="N75" s="263"/>
      <c r="O75" s="263"/>
    </row>
    <row r="76" spans="2:15">
      <c r="B76" s="287" t="s">
        <v>11</v>
      </c>
      <c r="C76" s="288"/>
      <c r="D76" s="288"/>
      <c r="E76" s="288"/>
      <c r="F76" s="288"/>
      <c r="G76" s="288"/>
      <c r="H76" s="288"/>
      <c r="I76" s="289">
        <f>+I72+I69+I66+I63+I59+I56+I49+I45+I42</f>
        <v>1048</v>
      </c>
      <c r="L76" s="263"/>
      <c r="M76" s="263"/>
      <c r="N76" s="263"/>
      <c r="O76" s="263"/>
    </row>
    <row r="99" spans="5:5">
      <c r="E99" s="290"/>
    </row>
    <row r="100" spans="5:5">
      <c r="E100" s="290"/>
    </row>
    <row r="101" spans="5:5">
      <c r="E101" s="290"/>
    </row>
    <row r="102" spans="5:5">
      <c r="E102" s="290"/>
    </row>
    <row r="103" spans="5:5">
      <c r="E103" s="290"/>
    </row>
    <row r="104" spans="5:5">
      <c r="E104" s="290"/>
    </row>
    <row r="106" spans="5:5">
      <c r="E106" s="290"/>
    </row>
    <row r="108" spans="5:5">
      <c r="E108" s="291"/>
    </row>
    <row r="110" spans="5:5">
      <c r="E110" s="290"/>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3.xml><?xml version="1.0" encoding="utf-8"?>
<worksheet xmlns="http://schemas.openxmlformats.org/spreadsheetml/2006/main" xmlns:r="http://schemas.openxmlformats.org/officeDocument/2006/relationships">
  <dimension ref="B1:P110"/>
  <sheetViews>
    <sheetView topLeftCell="A6" zoomScaleNormal="100" workbookViewId="0">
      <selection activeCell="D23" sqref="D23"/>
    </sheetView>
  </sheetViews>
  <sheetFormatPr defaultRowHeight="12.75"/>
  <cols>
    <col min="1" max="1" width="2.85546875" style="298" customWidth="1"/>
    <col min="2" max="2" width="11.5703125" style="298" customWidth="1"/>
    <col min="3" max="3" width="18.7109375" style="298" customWidth="1"/>
    <col min="4" max="4" width="23.5703125" style="298" customWidth="1"/>
    <col min="5" max="5" width="20.5703125" style="298" customWidth="1"/>
    <col min="6" max="6" width="10.85546875" style="298" customWidth="1"/>
    <col min="7" max="7" width="10.42578125" style="298" customWidth="1"/>
    <col min="8" max="8" width="9.140625" style="298" bestFit="1" customWidth="1"/>
    <col min="9" max="9" width="9.85546875" style="298" customWidth="1"/>
    <col min="10" max="10" width="2.85546875" style="298" customWidth="1"/>
    <col min="11" max="11" width="8.140625" style="298" customWidth="1"/>
    <col min="12" max="12" width="8.42578125" style="298" customWidth="1"/>
    <col min="13" max="14" width="9.140625" style="298"/>
    <col min="15" max="16" width="9" style="298" bestFit="1" customWidth="1"/>
    <col min="17" max="16384" width="9.140625" style="298"/>
  </cols>
  <sheetData>
    <row r="1" spans="2:10" s="295" customFormat="1">
      <c r="B1" s="294" t="s">
        <v>36</v>
      </c>
      <c r="C1" s="294" t="s">
        <v>37</v>
      </c>
      <c r="D1" s="294" t="s">
        <v>29</v>
      </c>
      <c r="E1" s="294" t="s">
        <v>30</v>
      </c>
    </row>
    <row r="2" spans="2:10" ht="38.25">
      <c r="B2" s="296" t="s">
        <v>42</v>
      </c>
      <c r="C2" s="295">
        <v>124</v>
      </c>
      <c r="D2" s="297" t="s">
        <v>254</v>
      </c>
      <c r="E2" s="297" t="s">
        <v>255</v>
      </c>
    </row>
    <row r="3" spans="2:10" ht="15.75">
      <c r="B3" s="299" t="s">
        <v>17</v>
      </c>
      <c r="E3" s="300"/>
    </row>
    <row r="4" spans="2:10">
      <c r="B4" s="301" t="s">
        <v>1</v>
      </c>
      <c r="C4" s="302" t="s">
        <v>21</v>
      </c>
      <c r="D4" s="303"/>
      <c r="E4" s="304"/>
      <c r="F4" s="303"/>
      <c r="G4" s="305" t="s">
        <v>12</v>
      </c>
      <c r="H4" s="306"/>
      <c r="I4" s="306"/>
      <c r="J4" s="307"/>
    </row>
    <row r="5" spans="2:10" ht="25.5">
      <c r="B5" s="308" t="s">
        <v>13</v>
      </c>
      <c r="C5" s="309" t="s">
        <v>22</v>
      </c>
      <c r="D5" s="309" t="s">
        <v>29</v>
      </c>
      <c r="E5" s="310" t="s">
        <v>30</v>
      </c>
      <c r="F5" s="309" t="s">
        <v>23</v>
      </c>
      <c r="G5" s="311" t="s">
        <v>14</v>
      </c>
      <c r="H5" s="312"/>
      <c r="I5" s="312"/>
      <c r="J5" s="307"/>
    </row>
    <row r="6" spans="2:10" ht="38.25">
      <c r="B6" s="313">
        <v>124</v>
      </c>
      <c r="C6" s="314" t="str">
        <f>+E10</f>
        <v>EQIP</v>
      </c>
      <c r="D6" s="315" t="s">
        <v>254</v>
      </c>
      <c r="E6" s="316" t="s">
        <v>255</v>
      </c>
      <c r="F6" s="314" t="s">
        <v>38</v>
      </c>
      <c r="G6" s="317">
        <f>G23</f>
        <v>1242.375</v>
      </c>
      <c r="H6" s="318"/>
      <c r="I6" s="318"/>
      <c r="J6" s="307"/>
    </row>
    <row r="7" spans="2:10" ht="38.25">
      <c r="B7" s="319">
        <v>124</v>
      </c>
      <c r="C7" s="320" t="s">
        <v>15</v>
      </c>
      <c r="D7" s="321" t="s">
        <v>256</v>
      </c>
      <c r="E7" s="322" t="s">
        <v>257</v>
      </c>
      <c r="F7" s="320" t="s">
        <v>38</v>
      </c>
      <c r="G7" s="323">
        <f>$H$23</f>
        <v>1490.8500000000001</v>
      </c>
      <c r="H7" s="318"/>
      <c r="I7" s="307"/>
      <c r="J7" s="307"/>
    </row>
    <row r="8" spans="2:10" ht="14.25" customHeight="1">
      <c r="B8" s="324"/>
      <c r="C8" s="325"/>
      <c r="D8" s="325"/>
      <c r="G8" s="307"/>
      <c r="H8" s="307"/>
      <c r="I8" s="307"/>
      <c r="J8" s="307"/>
    </row>
    <row r="9" spans="2:10" ht="15.75">
      <c r="B9" s="299" t="s">
        <v>18</v>
      </c>
      <c r="C9" s="325"/>
      <c r="D9" s="325"/>
      <c r="G9" s="307"/>
      <c r="H9" s="307"/>
      <c r="I9" s="307"/>
      <c r="J9" s="307"/>
    </row>
    <row r="10" spans="2:10">
      <c r="B10" s="326"/>
      <c r="C10" s="327"/>
      <c r="D10" s="328"/>
      <c r="E10" s="329" t="s">
        <v>15</v>
      </c>
      <c r="F10" s="329" t="s">
        <v>31</v>
      </c>
      <c r="G10" s="329"/>
      <c r="H10" s="330"/>
    </row>
    <row r="11" spans="2:10">
      <c r="B11" s="331"/>
      <c r="C11" s="332"/>
      <c r="D11" s="333"/>
      <c r="E11" s="334" t="s">
        <v>22</v>
      </c>
      <c r="F11" s="334" t="s">
        <v>22</v>
      </c>
      <c r="G11" s="334" t="str">
        <f>+E10</f>
        <v>EQIP</v>
      </c>
      <c r="H11" s="335" t="str">
        <f>+F10</f>
        <v>EQIP-HU</v>
      </c>
    </row>
    <row r="12" spans="2:10">
      <c r="B12" s="336"/>
      <c r="C12" s="333"/>
      <c r="D12" s="333"/>
      <c r="E12" s="334" t="s">
        <v>12</v>
      </c>
      <c r="F12" s="334" t="s">
        <v>12</v>
      </c>
      <c r="G12" s="334" t="s">
        <v>12</v>
      </c>
      <c r="H12" s="335" t="s">
        <v>12</v>
      </c>
    </row>
    <row r="13" spans="2:10">
      <c r="B13" s="337" t="s">
        <v>16</v>
      </c>
      <c r="C13" s="333"/>
      <c r="D13" s="338" t="s">
        <v>6</v>
      </c>
      <c r="E13" s="339" t="s">
        <v>24</v>
      </c>
      <c r="F13" s="339" t="s">
        <v>24</v>
      </c>
      <c r="G13" s="339" t="s">
        <v>14</v>
      </c>
      <c r="H13" s="340" t="s">
        <v>14</v>
      </c>
    </row>
    <row r="14" spans="2:10">
      <c r="B14" s="331" t="s">
        <v>0</v>
      </c>
      <c r="C14" s="333"/>
      <c r="D14" s="341">
        <v>0</v>
      </c>
      <c r="E14" s="342">
        <v>0</v>
      </c>
      <c r="F14" s="342">
        <v>0</v>
      </c>
      <c r="G14" s="343">
        <f>+$D14*E14</f>
        <v>0</v>
      </c>
      <c r="H14" s="344">
        <f>+$D14*F14</f>
        <v>0</v>
      </c>
    </row>
    <row r="15" spans="2:10">
      <c r="B15" s="331" t="s">
        <v>2</v>
      </c>
      <c r="C15" s="333"/>
      <c r="D15" s="341">
        <v>0</v>
      </c>
      <c r="E15" s="342">
        <v>0</v>
      </c>
      <c r="F15" s="342">
        <v>0</v>
      </c>
      <c r="G15" s="343">
        <f t="shared" ref="G15:H22" si="0">+$D15*E15</f>
        <v>0</v>
      </c>
      <c r="H15" s="344">
        <f t="shared" si="0"/>
        <v>0</v>
      </c>
    </row>
    <row r="16" spans="2:10">
      <c r="B16" s="331" t="s">
        <v>3</v>
      </c>
      <c r="C16" s="333"/>
      <c r="D16" s="341">
        <f>I49</f>
        <v>1656.5</v>
      </c>
      <c r="E16" s="342">
        <v>0.75</v>
      </c>
      <c r="F16" s="342">
        <v>0.9</v>
      </c>
      <c r="G16" s="343">
        <f t="shared" si="0"/>
        <v>1242.375</v>
      </c>
      <c r="H16" s="344">
        <f t="shared" si="0"/>
        <v>1490.8500000000001</v>
      </c>
    </row>
    <row r="17" spans="2:16">
      <c r="B17" s="331" t="s">
        <v>4</v>
      </c>
      <c r="C17" s="333"/>
      <c r="D17" s="341">
        <v>0</v>
      </c>
      <c r="E17" s="342">
        <v>0</v>
      </c>
      <c r="F17" s="342">
        <v>0</v>
      </c>
      <c r="G17" s="343">
        <f t="shared" si="0"/>
        <v>0</v>
      </c>
      <c r="H17" s="344">
        <f t="shared" si="0"/>
        <v>0</v>
      </c>
    </row>
    <row r="18" spans="2:16">
      <c r="B18" s="331" t="s">
        <v>26</v>
      </c>
      <c r="C18" s="333"/>
      <c r="D18" s="341">
        <v>0</v>
      </c>
      <c r="E18" s="342">
        <v>0</v>
      </c>
      <c r="F18" s="342">
        <v>0</v>
      </c>
      <c r="G18" s="343">
        <f t="shared" si="0"/>
        <v>0</v>
      </c>
      <c r="H18" s="344">
        <f t="shared" si="0"/>
        <v>0</v>
      </c>
    </row>
    <row r="19" spans="2:16">
      <c r="B19" s="331" t="s">
        <v>7</v>
      </c>
      <c r="C19" s="333"/>
      <c r="D19" s="341">
        <f>I63</f>
        <v>0</v>
      </c>
      <c r="E19" s="342">
        <v>0.75</v>
      </c>
      <c r="F19" s="342">
        <v>0.9</v>
      </c>
      <c r="G19" s="343">
        <f t="shared" si="0"/>
        <v>0</v>
      </c>
      <c r="H19" s="344">
        <f t="shared" si="0"/>
        <v>0</v>
      </c>
    </row>
    <row r="20" spans="2:16">
      <c r="B20" s="331" t="s">
        <v>27</v>
      </c>
      <c r="C20" s="333"/>
      <c r="D20" s="341">
        <v>0</v>
      </c>
      <c r="E20" s="342">
        <v>0</v>
      </c>
      <c r="F20" s="342">
        <v>0</v>
      </c>
      <c r="G20" s="343">
        <f t="shared" si="0"/>
        <v>0</v>
      </c>
      <c r="H20" s="344">
        <f t="shared" si="0"/>
        <v>0</v>
      </c>
    </row>
    <row r="21" spans="2:16">
      <c r="B21" s="331" t="s">
        <v>5</v>
      </c>
      <c r="C21" s="333"/>
      <c r="D21" s="341">
        <v>0</v>
      </c>
      <c r="E21" s="342">
        <v>0</v>
      </c>
      <c r="F21" s="342">
        <v>0</v>
      </c>
      <c r="G21" s="343">
        <f t="shared" si="0"/>
        <v>0</v>
      </c>
      <c r="H21" s="344">
        <f t="shared" si="0"/>
        <v>0</v>
      </c>
    </row>
    <row r="22" spans="2:16">
      <c r="B22" s="331" t="s">
        <v>20</v>
      </c>
      <c r="C22" s="333"/>
      <c r="D22" s="341">
        <v>0</v>
      </c>
      <c r="E22" s="342">
        <v>0</v>
      </c>
      <c r="F22" s="342">
        <v>0</v>
      </c>
      <c r="G22" s="345">
        <f t="shared" si="0"/>
        <v>0</v>
      </c>
      <c r="H22" s="346">
        <f t="shared" si="0"/>
        <v>0</v>
      </c>
    </row>
    <row r="23" spans="2:16">
      <c r="B23" s="347" t="s">
        <v>19</v>
      </c>
      <c r="C23" s="348"/>
      <c r="D23" s="349">
        <f>SUM(D14:D22)</f>
        <v>1656.5</v>
      </c>
      <c r="E23" s="350"/>
      <c r="F23" s="350"/>
      <c r="G23" s="349">
        <f t="shared" ref="G23:H23" si="1">SUM(G14:G22)</f>
        <v>1242.375</v>
      </c>
      <c r="H23" s="351">
        <f t="shared" si="1"/>
        <v>1490.8500000000001</v>
      </c>
    </row>
    <row r="24" spans="2:16" s="355" customFormat="1" ht="5.25" customHeight="1">
      <c r="B24" s="352"/>
      <c r="C24" s="352"/>
      <c r="D24" s="353"/>
      <c r="E24" s="354"/>
      <c r="F24" s="354"/>
      <c r="G24" s="354"/>
      <c r="H24" s="354"/>
      <c r="I24" s="354"/>
      <c r="J24" s="354"/>
      <c r="K24" s="353"/>
      <c r="L24" s="353"/>
      <c r="M24" s="353"/>
      <c r="N24" s="353"/>
      <c r="O24" s="353"/>
      <c r="P24" s="353"/>
    </row>
    <row r="25" spans="2:16" ht="5.25" customHeight="1"/>
    <row r="26" spans="2:16" ht="15.75">
      <c r="B26" s="356" t="s">
        <v>28</v>
      </c>
      <c r="I26" s="357"/>
    </row>
    <row r="27" spans="2:16">
      <c r="B27" s="358" t="s">
        <v>32</v>
      </c>
      <c r="C27" s="359"/>
      <c r="D27" s="359"/>
      <c r="E27" s="360"/>
      <c r="F27" s="360"/>
      <c r="G27" s="360"/>
      <c r="H27" s="360"/>
      <c r="I27" s="361"/>
    </row>
    <row r="28" spans="2:16" ht="27" customHeight="1">
      <c r="B28" s="362"/>
      <c r="C28" s="363"/>
      <c r="D28" s="1977" t="s">
        <v>258</v>
      </c>
      <c r="E28" s="1978"/>
      <c r="F28" s="1978"/>
      <c r="G28" s="1978"/>
      <c r="H28" s="1978"/>
      <c r="I28" s="364"/>
    </row>
    <row r="29" spans="2:16">
      <c r="B29" s="362"/>
      <c r="C29" s="363"/>
      <c r="D29" s="365"/>
      <c r="E29" s="366"/>
      <c r="F29" s="366"/>
      <c r="G29" s="366"/>
      <c r="H29" s="366"/>
      <c r="I29" s="364"/>
    </row>
    <row r="30" spans="2:16">
      <c r="B30" s="367" t="s">
        <v>41</v>
      </c>
      <c r="C30" s="363"/>
      <c r="D30" s="1975" t="s">
        <v>206</v>
      </c>
      <c r="E30" s="1976"/>
      <c r="F30" s="1976"/>
      <c r="G30" s="1976"/>
      <c r="H30" s="1976"/>
      <c r="I30" s="364"/>
    </row>
    <row r="31" spans="2:16">
      <c r="B31" s="368" t="s">
        <v>40</v>
      </c>
      <c r="C31" s="363"/>
      <c r="D31" s="1975" t="s">
        <v>259</v>
      </c>
      <c r="E31" s="1976"/>
      <c r="F31" s="1976"/>
      <c r="G31" s="1976"/>
      <c r="H31" s="1976"/>
      <c r="I31" s="364"/>
    </row>
    <row r="32" spans="2:16" ht="128.25" customHeight="1">
      <c r="B32" s="368" t="s">
        <v>33</v>
      </c>
      <c r="C32" s="369"/>
      <c r="D32" s="1975" t="s">
        <v>260</v>
      </c>
      <c r="E32" s="1976"/>
      <c r="F32" s="1976"/>
      <c r="G32" s="1976"/>
      <c r="H32" s="1976"/>
      <c r="I32" s="364"/>
    </row>
    <row r="33" spans="2:15" ht="66.75" customHeight="1">
      <c r="B33" s="368" t="s">
        <v>35</v>
      </c>
      <c r="C33" s="369"/>
      <c r="D33" s="1975" t="s">
        <v>261</v>
      </c>
      <c r="E33" s="1976"/>
      <c r="F33" s="1976"/>
      <c r="G33" s="1976"/>
      <c r="H33" s="1976"/>
      <c r="I33" s="364"/>
    </row>
    <row r="34" spans="2:15" ht="36" customHeight="1">
      <c r="B34" s="368" t="s">
        <v>34</v>
      </c>
      <c r="C34" s="369"/>
      <c r="D34" s="1975" t="s">
        <v>262</v>
      </c>
      <c r="E34" s="1976"/>
      <c r="F34" s="1976"/>
      <c r="G34" s="1976"/>
      <c r="H34" s="1976"/>
      <c r="I34" s="364"/>
    </row>
    <row r="35" spans="2:15">
      <c r="B35" s="367"/>
      <c r="C35" s="363"/>
      <c r="D35" s="363"/>
      <c r="E35" s="370"/>
      <c r="F35" s="370"/>
      <c r="G35" s="370"/>
      <c r="H35" s="370"/>
      <c r="I35" s="364"/>
    </row>
    <row r="36" spans="2:15">
      <c r="B36" s="371" t="s">
        <v>25</v>
      </c>
      <c r="C36" s="363"/>
      <c r="D36" s="1979" t="s">
        <v>42</v>
      </c>
      <c r="E36" s="1980"/>
      <c r="F36" s="1980"/>
      <c r="G36" s="1980"/>
      <c r="H36" s="1980"/>
      <c r="I36" s="364"/>
      <c r="J36" s="352"/>
    </row>
    <row r="37" spans="2:15">
      <c r="B37" s="367"/>
      <c r="C37" s="363"/>
      <c r="D37" s="370"/>
      <c r="E37" s="370"/>
      <c r="F37" s="370"/>
      <c r="G37" s="370"/>
      <c r="H37" s="370"/>
      <c r="I37" s="364"/>
    </row>
    <row r="38" spans="2:15">
      <c r="B38" s="371" t="s">
        <v>8</v>
      </c>
      <c r="C38" s="363"/>
      <c r="D38" s="372" t="s">
        <v>38</v>
      </c>
      <c r="E38" s="370"/>
      <c r="F38" s="370"/>
      <c r="G38" s="370"/>
      <c r="H38" s="370"/>
      <c r="I38" s="364"/>
    </row>
    <row r="39" spans="2:15">
      <c r="B39" s="371" t="s">
        <v>9</v>
      </c>
      <c r="C39" s="363"/>
      <c r="D39" s="373">
        <v>1</v>
      </c>
      <c r="E39" s="370"/>
      <c r="F39" s="370"/>
      <c r="G39" s="370"/>
      <c r="H39" s="370"/>
      <c r="I39" s="364"/>
    </row>
    <row r="40" spans="2:15">
      <c r="B40" s="371" t="s">
        <v>10</v>
      </c>
      <c r="C40" s="370"/>
      <c r="D40" s="374">
        <v>0.05</v>
      </c>
      <c r="E40" s="375"/>
      <c r="F40" s="370"/>
      <c r="G40" s="370"/>
      <c r="H40" s="370"/>
      <c r="I40" s="376" t="s">
        <v>6</v>
      </c>
    </row>
    <row r="41" spans="2:15">
      <c r="B41" s="377"/>
      <c r="C41" s="370"/>
      <c r="D41" s="370"/>
      <c r="E41" s="370"/>
      <c r="F41" s="370"/>
      <c r="G41" s="370"/>
      <c r="H41" s="370"/>
      <c r="I41" s="378"/>
      <c r="L41" s="379"/>
      <c r="M41" s="379"/>
      <c r="N41" s="380"/>
      <c r="O41" s="380"/>
    </row>
    <row r="42" spans="2:15">
      <c r="B42" s="362" t="s">
        <v>0</v>
      </c>
      <c r="C42" s="370"/>
      <c r="D42" s="370"/>
      <c r="E42" s="370"/>
      <c r="F42" s="370"/>
      <c r="G42" s="370"/>
      <c r="H42" s="370"/>
      <c r="I42" s="381">
        <v>0</v>
      </c>
      <c r="L42" s="379"/>
      <c r="M42" s="379"/>
      <c r="N42" s="380"/>
      <c r="O42" s="380"/>
    </row>
    <row r="43" spans="2:15" ht="14.25" customHeight="1">
      <c r="B43" s="367" t="s">
        <v>39</v>
      </c>
      <c r="C43" s="370"/>
      <c r="D43" s="382"/>
      <c r="E43" s="370"/>
      <c r="F43" s="370"/>
      <c r="G43" s="370"/>
      <c r="H43" s="370"/>
      <c r="I43" s="381"/>
      <c r="L43" s="379"/>
      <c r="M43" s="380"/>
    </row>
    <row r="44" spans="2:15" ht="6" customHeight="1">
      <c r="B44" s="383"/>
      <c r="C44" s="384"/>
      <c r="D44" s="385"/>
      <c r="E44" s="370"/>
      <c r="F44" s="370"/>
      <c r="G44" s="370"/>
      <c r="H44" s="370"/>
      <c r="I44" s="381"/>
      <c r="L44" s="379"/>
      <c r="M44" s="380"/>
    </row>
    <row r="45" spans="2:15">
      <c r="B45" s="362" t="s">
        <v>2</v>
      </c>
      <c r="C45" s="370"/>
      <c r="D45" s="386"/>
      <c r="E45" s="370"/>
      <c r="F45" s="370"/>
      <c r="G45" s="370"/>
      <c r="H45" s="370"/>
      <c r="I45" s="381">
        <v>0</v>
      </c>
      <c r="L45" s="379"/>
      <c r="M45" s="380"/>
    </row>
    <row r="46" spans="2:15" ht="12.75" customHeight="1">
      <c r="B46" s="1981" t="s">
        <v>39</v>
      </c>
      <c r="C46" s="1978"/>
      <c r="D46" s="1978"/>
      <c r="E46" s="1978"/>
      <c r="F46" s="1978"/>
      <c r="G46" s="1978"/>
      <c r="H46" s="1978"/>
      <c r="I46" s="381"/>
      <c r="L46" s="379"/>
      <c r="M46" s="380"/>
    </row>
    <row r="47" spans="2:15" ht="6" customHeight="1">
      <c r="B47" s="387"/>
      <c r="C47" s="370"/>
      <c r="D47" s="370"/>
      <c r="E47" s="388"/>
      <c r="F47" s="388"/>
      <c r="G47" s="388"/>
      <c r="H47" s="370"/>
      <c r="I47" s="381"/>
      <c r="L47" s="379"/>
      <c r="M47" s="380"/>
    </row>
    <row r="48" spans="2:15" ht="4.5" customHeight="1">
      <c r="B48" s="362"/>
      <c r="C48" s="370"/>
      <c r="D48" s="370"/>
      <c r="E48" s="370"/>
      <c r="F48" s="370"/>
      <c r="G48" s="389"/>
      <c r="H48" s="390"/>
      <c r="I48" s="381"/>
      <c r="L48" s="379"/>
      <c r="M48" s="380"/>
    </row>
    <row r="49" spans="2:15">
      <c r="B49" s="362" t="s">
        <v>3</v>
      </c>
      <c r="C49" s="370"/>
      <c r="D49" s="370"/>
      <c r="E49" s="370"/>
      <c r="F49" s="370"/>
      <c r="G49" s="370"/>
      <c r="H49" s="370"/>
      <c r="I49" s="381">
        <f>$H$56</f>
        <v>1656.5</v>
      </c>
      <c r="L49" s="379"/>
      <c r="M49" s="380"/>
    </row>
    <row r="50" spans="2:15" ht="24.75" customHeight="1">
      <c r="B50" s="1981" t="s">
        <v>211</v>
      </c>
      <c r="C50" s="1978"/>
      <c r="D50" s="1978"/>
      <c r="E50" s="1978"/>
      <c r="F50" s="1978"/>
      <c r="G50" s="1978"/>
      <c r="H50" s="1978"/>
      <c r="I50" s="381"/>
      <c r="L50" s="379"/>
      <c r="M50" s="380"/>
    </row>
    <row r="51" spans="2:15" ht="12.75" customHeight="1">
      <c r="B51" s="391"/>
      <c r="C51" s="392"/>
      <c r="D51" s="393" t="s">
        <v>212</v>
      </c>
      <c r="E51" s="394" t="s">
        <v>46</v>
      </c>
      <c r="F51" s="394" t="s">
        <v>6</v>
      </c>
      <c r="G51" s="394" t="s">
        <v>47</v>
      </c>
      <c r="H51" s="394" t="s">
        <v>48</v>
      </c>
      <c r="I51" s="381"/>
      <c r="L51" s="379"/>
      <c r="M51" s="380"/>
    </row>
    <row r="52" spans="2:15" ht="12.75" customHeight="1">
      <c r="B52" s="391"/>
      <c r="C52" s="366"/>
      <c r="D52" s="366" t="s">
        <v>213</v>
      </c>
      <c r="E52" s="395" t="s">
        <v>49</v>
      </c>
      <c r="F52" s="396">
        <v>71</v>
      </c>
      <c r="G52" s="366">
        <v>0.5</v>
      </c>
      <c r="H52" s="396">
        <f>F52*G52</f>
        <v>35.5</v>
      </c>
      <c r="I52" s="381"/>
      <c r="L52" s="379"/>
      <c r="M52" s="380"/>
    </row>
    <row r="53" spans="2:15" ht="12.75" customHeight="1">
      <c r="B53" s="391"/>
      <c r="C53" s="366"/>
      <c r="D53" s="366" t="s">
        <v>214</v>
      </c>
      <c r="E53" s="395" t="s">
        <v>49</v>
      </c>
      <c r="F53" s="396">
        <v>87</v>
      </c>
      <c r="G53" s="366">
        <v>5.5</v>
      </c>
      <c r="H53" s="396">
        <f>F53*G53</f>
        <v>478.5</v>
      </c>
      <c r="I53" s="381"/>
      <c r="L53" s="379"/>
      <c r="M53" s="380"/>
    </row>
    <row r="54" spans="2:15" ht="12.75" customHeight="1">
      <c r="B54" s="391"/>
      <c r="C54" s="366"/>
      <c r="D54" s="366" t="s">
        <v>215</v>
      </c>
      <c r="E54" s="395" t="s">
        <v>49</v>
      </c>
      <c r="F54" s="396">
        <v>149</v>
      </c>
      <c r="G54" s="366">
        <v>5</v>
      </c>
      <c r="H54" s="396">
        <f>F54*G54</f>
        <v>745</v>
      </c>
      <c r="I54" s="381"/>
      <c r="L54" s="379"/>
      <c r="M54" s="380"/>
    </row>
    <row r="55" spans="2:15" ht="12.75" customHeight="1">
      <c r="B55" s="391"/>
      <c r="C55" s="366"/>
      <c r="D55" s="366" t="s">
        <v>216</v>
      </c>
      <c r="E55" s="395" t="s">
        <v>49</v>
      </c>
      <c r="F55" s="396">
        <v>159</v>
      </c>
      <c r="G55" s="366">
        <v>2.5</v>
      </c>
      <c r="H55" s="396">
        <f>F55*G55</f>
        <v>397.5</v>
      </c>
      <c r="I55" s="381"/>
      <c r="L55" s="379"/>
      <c r="M55" s="380"/>
    </row>
    <row r="56" spans="2:15">
      <c r="B56" s="362" t="s">
        <v>4</v>
      </c>
      <c r="C56" s="370"/>
      <c r="D56" s="370"/>
      <c r="E56" s="370"/>
      <c r="F56" s="370"/>
      <c r="G56" s="370">
        <f>SUM(G52:G55)</f>
        <v>13.5</v>
      </c>
      <c r="H56" s="397">
        <f>SUM(H52:H55)</f>
        <v>1656.5</v>
      </c>
      <c r="I56" s="398">
        <v>0</v>
      </c>
      <c r="L56" s="379"/>
      <c r="M56" s="380"/>
    </row>
    <row r="57" spans="2:15" ht="12" customHeight="1">
      <c r="B57" s="367" t="s">
        <v>39</v>
      </c>
      <c r="C57" s="370"/>
      <c r="D57" s="370"/>
      <c r="E57" s="370"/>
      <c r="F57" s="370"/>
      <c r="G57" s="370"/>
      <c r="H57" s="370"/>
      <c r="I57" s="364"/>
      <c r="L57" s="379"/>
      <c r="M57" s="380"/>
    </row>
    <row r="58" spans="2:15" ht="5.25" customHeight="1">
      <c r="B58" s="367"/>
      <c r="C58" s="370"/>
      <c r="D58" s="370"/>
      <c r="E58" s="370"/>
      <c r="F58" s="370"/>
      <c r="G58" s="370"/>
      <c r="H58" s="370"/>
      <c r="I58" s="364"/>
      <c r="L58" s="379"/>
      <c r="M58" s="380"/>
    </row>
    <row r="59" spans="2:15">
      <c r="B59" s="362" t="s">
        <v>26</v>
      </c>
      <c r="C59" s="370"/>
      <c r="D59" s="370"/>
      <c r="E59" s="370"/>
      <c r="F59" s="370"/>
      <c r="G59" s="370"/>
      <c r="H59" s="370"/>
      <c r="I59" s="381">
        <v>0</v>
      </c>
      <c r="L59" s="379"/>
      <c r="M59" s="380"/>
    </row>
    <row r="60" spans="2:15" ht="14.25" customHeight="1">
      <c r="B60" s="1981" t="s">
        <v>39</v>
      </c>
      <c r="C60" s="1982"/>
      <c r="D60" s="1982"/>
      <c r="E60" s="1982"/>
      <c r="F60" s="1982"/>
      <c r="G60" s="1982"/>
      <c r="H60" s="1982"/>
      <c r="I60" s="398"/>
      <c r="L60" s="379"/>
      <c r="M60" s="380"/>
    </row>
    <row r="61" spans="2:15" ht="12" customHeight="1">
      <c r="B61" s="1983"/>
      <c r="C61" s="1984"/>
      <c r="D61" s="1984"/>
      <c r="E61" s="1984"/>
      <c r="F61" s="1984"/>
      <c r="G61" s="1984"/>
      <c r="H61" s="370"/>
      <c r="I61" s="398"/>
      <c r="L61" s="379"/>
      <c r="M61" s="380"/>
    </row>
    <row r="62" spans="2:15" ht="9.75" customHeight="1">
      <c r="B62" s="367"/>
      <c r="C62" s="370"/>
      <c r="D62" s="370"/>
      <c r="E62" s="370"/>
      <c r="F62" s="370"/>
      <c r="G62" s="370"/>
      <c r="H62" s="370"/>
      <c r="I62" s="364"/>
      <c r="L62" s="379"/>
      <c r="M62" s="379"/>
    </row>
    <row r="63" spans="2:15">
      <c r="B63" s="362" t="s">
        <v>7</v>
      </c>
      <c r="C63" s="370"/>
      <c r="D63" s="370"/>
      <c r="E63" s="370"/>
      <c r="F63" s="370"/>
      <c r="G63" s="370"/>
      <c r="H63" s="370"/>
      <c r="I63" s="381">
        <v>0</v>
      </c>
      <c r="L63" s="379"/>
      <c r="M63" s="379"/>
      <c r="N63" s="379"/>
      <c r="O63" s="379"/>
    </row>
    <row r="64" spans="2:15" ht="12" customHeight="1">
      <c r="B64" s="367" t="s">
        <v>39</v>
      </c>
      <c r="C64" s="370"/>
      <c r="D64" s="399"/>
      <c r="E64" s="400"/>
      <c r="F64" s="400"/>
      <c r="G64" s="400"/>
      <c r="H64" s="400"/>
      <c r="I64" s="364"/>
      <c r="L64" s="379"/>
      <c r="M64" s="379"/>
      <c r="N64" s="380"/>
      <c r="O64" s="380"/>
    </row>
    <row r="65" spans="2:15" ht="6" customHeight="1">
      <c r="B65" s="367"/>
      <c r="C65" s="370"/>
      <c r="D65" s="370"/>
      <c r="E65" s="370"/>
      <c r="F65" s="370"/>
      <c r="G65" s="370"/>
      <c r="H65" s="370"/>
      <c r="I65" s="364"/>
      <c r="L65" s="379"/>
      <c r="M65" s="379"/>
      <c r="N65" s="401"/>
      <c r="O65" s="401"/>
    </row>
    <row r="66" spans="2:15">
      <c r="B66" s="362" t="s">
        <v>27</v>
      </c>
      <c r="C66" s="370"/>
      <c r="D66" s="370"/>
      <c r="E66" s="370"/>
      <c r="F66" s="370"/>
      <c r="G66" s="370"/>
      <c r="H66" s="370"/>
      <c r="I66" s="381">
        <v>0</v>
      </c>
      <c r="L66" s="379"/>
      <c r="M66" s="379"/>
      <c r="N66" s="380"/>
      <c r="O66" s="380"/>
    </row>
    <row r="67" spans="2:15" ht="13.5" customHeight="1">
      <c r="B67" s="367" t="s">
        <v>39</v>
      </c>
      <c r="C67" s="370"/>
      <c r="D67" s="370"/>
      <c r="E67" s="370"/>
      <c r="F67" s="370"/>
      <c r="G67" s="370"/>
      <c r="H67" s="370"/>
      <c r="I67" s="402"/>
      <c r="L67" s="379"/>
      <c r="M67" s="379"/>
      <c r="N67" s="401"/>
      <c r="O67" s="401"/>
    </row>
    <row r="68" spans="2:15" ht="3.75" customHeight="1">
      <c r="B68" s="367"/>
      <c r="C68" s="370"/>
      <c r="D68" s="370"/>
      <c r="E68" s="370"/>
      <c r="F68" s="370"/>
      <c r="G68" s="370"/>
      <c r="H68" s="370"/>
      <c r="I68" s="364"/>
      <c r="L68" s="379"/>
      <c r="M68" s="379"/>
      <c r="N68" s="380"/>
      <c r="O68" s="380"/>
    </row>
    <row r="69" spans="2:15">
      <c r="B69" s="362" t="s">
        <v>5</v>
      </c>
      <c r="C69" s="370"/>
      <c r="D69" s="370"/>
      <c r="E69" s="370"/>
      <c r="F69" s="370"/>
      <c r="G69" s="370"/>
      <c r="H69" s="370"/>
      <c r="I69" s="381">
        <v>0</v>
      </c>
      <c r="L69" s="379"/>
      <c r="M69" s="379"/>
      <c r="N69" s="380"/>
      <c r="O69" s="380"/>
    </row>
    <row r="70" spans="2:15" ht="11.25" customHeight="1">
      <c r="B70" s="367" t="s">
        <v>39</v>
      </c>
      <c r="C70" s="370"/>
      <c r="D70" s="370"/>
      <c r="E70" s="370"/>
      <c r="F70" s="370"/>
      <c r="G70" s="370"/>
      <c r="H70" s="370"/>
      <c r="I70" s="402"/>
      <c r="L70" s="379"/>
      <c r="M70" s="379"/>
      <c r="N70" s="379"/>
      <c r="O70" s="379"/>
    </row>
    <row r="71" spans="2:15" ht="4.5" customHeight="1">
      <c r="B71" s="367"/>
      <c r="C71" s="370"/>
      <c r="D71" s="370"/>
      <c r="E71" s="370"/>
      <c r="F71" s="370"/>
      <c r="G71" s="370"/>
      <c r="H71" s="370"/>
      <c r="I71" s="364"/>
      <c r="L71" s="379"/>
      <c r="M71" s="379"/>
      <c r="N71" s="379"/>
      <c r="O71" s="379"/>
    </row>
    <row r="72" spans="2:15">
      <c r="B72" s="362" t="s">
        <v>20</v>
      </c>
      <c r="C72" s="370"/>
      <c r="D72" s="370"/>
      <c r="E72" s="370"/>
      <c r="F72" s="370"/>
      <c r="G72" s="370"/>
      <c r="H72" s="370"/>
      <c r="I72" s="381">
        <v>0</v>
      </c>
      <c r="L72" s="379"/>
      <c r="M72" s="379"/>
      <c r="N72" s="380"/>
      <c r="O72" s="380"/>
    </row>
    <row r="73" spans="2:15" ht="12" customHeight="1">
      <c r="B73" s="367" t="s">
        <v>39</v>
      </c>
      <c r="C73" s="370"/>
      <c r="D73" s="370"/>
      <c r="E73" s="370"/>
      <c r="F73" s="370"/>
      <c r="G73" s="370"/>
      <c r="H73" s="370"/>
      <c r="I73" s="381"/>
      <c r="L73" s="379"/>
      <c r="M73" s="379"/>
      <c r="N73" s="380"/>
      <c r="O73" s="380"/>
    </row>
    <row r="74" spans="2:15" ht="6.75" customHeight="1">
      <c r="B74" s="362"/>
      <c r="C74" s="370"/>
      <c r="D74" s="370"/>
      <c r="E74" s="370"/>
      <c r="F74" s="370"/>
      <c r="G74" s="370"/>
      <c r="H74" s="370"/>
      <c r="I74" s="381"/>
      <c r="L74" s="379"/>
      <c r="M74" s="379"/>
      <c r="N74" s="380"/>
      <c r="O74" s="380"/>
    </row>
    <row r="75" spans="2:15" ht="5.25" customHeight="1">
      <c r="B75" s="377"/>
      <c r="C75" s="370"/>
      <c r="D75" s="370"/>
      <c r="E75" s="370"/>
      <c r="F75" s="370"/>
      <c r="G75" s="370"/>
      <c r="H75" s="370"/>
      <c r="I75" s="364"/>
      <c r="L75" s="379"/>
      <c r="M75" s="379"/>
      <c r="N75" s="379"/>
      <c r="O75" s="379"/>
    </row>
    <row r="76" spans="2:15">
      <c r="B76" s="403" t="s">
        <v>11</v>
      </c>
      <c r="C76" s="404"/>
      <c r="D76" s="404"/>
      <c r="E76" s="404"/>
      <c r="F76" s="404"/>
      <c r="G76" s="404"/>
      <c r="H76" s="404"/>
      <c r="I76" s="405">
        <f>+I72+I69+I66+I63+I59+I56+I49+I45+I42</f>
        <v>1656.5</v>
      </c>
      <c r="L76" s="379"/>
      <c r="M76" s="379"/>
      <c r="N76" s="379"/>
      <c r="O76" s="379"/>
    </row>
    <row r="99" spans="5:5">
      <c r="E99" s="406"/>
    </row>
    <row r="100" spans="5:5">
      <c r="E100" s="406"/>
    </row>
    <row r="101" spans="5:5">
      <c r="E101" s="406"/>
    </row>
    <row r="102" spans="5:5">
      <c r="E102" s="406"/>
    </row>
    <row r="103" spans="5:5">
      <c r="E103" s="406"/>
    </row>
    <row r="104" spans="5:5">
      <c r="E104" s="406"/>
    </row>
    <row r="106" spans="5:5">
      <c r="E106" s="406"/>
    </row>
    <row r="108" spans="5:5">
      <c r="E108" s="407"/>
    </row>
    <row r="110" spans="5:5">
      <c r="E110" s="406"/>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4.xml><?xml version="1.0" encoding="utf-8"?>
<worksheet xmlns="http://schemas.openxmlformats.org/spreadsheetml/2006/main" xmlns:r="http://schemas.openxmlformats.org/officeDocument/2006/relationships">
  <dimension ref="B1:P110"/>
  <sheetViews>
    <sheetView zoomScaleNormal="100" workbookViewId="0">
      <selection activeCell="D23" sqref="D23"/>
    </sheetView>
  </sheetViews>
  <sheetFormatPr defaultRowHeight="12.75"/>
  <cols>
    <col min="1" max="1" width="2.85546875" style="298" customWidth="1"/>
    <col min="2" max="2" width="11.5703125" style="298" customWidth="1"/>
    <col min="3" max="3" width="18.7109375" style="298" customWidth="1"/>
    <col min="4" max="4" width="23.5703125" style="298" customWidth="1"/>
    <col min="5" max="5" width="20.5703125" style="298" customWidth="1"/>
    <col min="6" max="6" width="10.85546875" style="298" customWidth="1"/>
    <col min="7" max="7" width="10.42578125" style="298" customWidth="1"/>
    <col min="8" max="8" width="9.140625" style="298" bestFit="1" customWidth="1"/>
    <col min="9" max="9" width="9.85546875" style="298" customWidth="1"/>
    <col min="10" max="10" width="2.85546875" style="298" customWidth="1"/>
    <col min="11" max="11" width="8.140625" style="298" customWidth="1"/>
    <col min="12" max="12" width="8.42578125" style="298" customWidth="1"/>
    <col min="13" max="14" width="9.140625" style="298"/>
    <col min="15" max="16" width="9" style="298" bestFit="1" customWidth="1"/>
    <col min="17" max="16384" width="9.140625" style="298"/>
  </cols>
  <sheetData>
    <row r="1" spans="2:10" s="295" customFormat="1">
      <c r="B1" s="294" t="s">
        <v>36</v>
      </c>
      <c r="C1" s="294" t="s">
        <v>37</v>
      </c>
      <c r="D1" s="294" t="s">
        <v>29</v>
      </c>
      <c r="E1" s="294" t="s">
        <v>30</v>
      </c>
    </row>
    <row r="2" spans="2:10" ht="38.25">
      <c r="B2" s="296" t="s">
        <v>42</v>
      </c>
      <c r="C2" s="295">
        <v>124</v>
      </c>
      <c r="D2" s="297" t="s">
        <v>254</v>
      </c>
      <c r="E2" s="297" t="s">
        <v>263</v>
      </c>
    </row>
    <row r="3" spans="2:10" ht="15.75">
      <c r="B3" s="299" t="s">
        <v>17</v>
      </c>
      <c r="E3" s="300"/>
    </row>
    <row r="4" spans="2:10">
      <c r="B4" s="301" t="s">
        <v>1</v>
      </c>
      <c r="C4" s="302" t="s">
        <v>21</v>
      </c>
      <c r="D4" s="303"/>
      <c r="E4" s="304"/>
      <c r="F4" s="303"/>
      <c r="G4" s="305" t="s">
        <v>12</v>
      </c>
      <c r="H4" s="306"/>
      <c r="I4" s="306"/>
      <c r="J4" s="307"/>
    </row>
    <row r="5" spans="2:10" ht="25.5">
      <c r="B5" s="308" t="s">
        <v>13</v>
      </c>
      <c r="C5" s="309" t="s">
        <v>22</v>
      </c>
      <c r="D5" s="309" t="s">
        <v>29</v>
      </c>
      <c r="E5" s="310" t="s">
        <v>30</v>
      </c>
      <c r="F5" s="309" t="s">
        <v>23</v>
      </c>
      <c r="G5" s="311" t="s">
        <v>14</v>
      </c>
      <c r="H5" s="312"/>
      <c r="I5" s="312"/>
      <c r="J5" s="307"/>
    </row>
    <row r="6" spans="2:10" ht="38.25">
      <c r="B6" s="313">
        <v>124</v>
      </c>
      <c r="C6" s="314" t="str">
        <f>+E10</f>
        <v>EQIP</v>
      </c>
      <c r="D6" s="315" t="s">
        <v>254</v>
      </c>
      <c r="E6" s="316" t="s">
        <v>263</v>
      </c>
      <c r="F6" s="314" t="s">
        <v>38</v>
      </c>
      <c r="G6" s="317">
        <f>G23</f>
        <v>1571.25</v>
      </c>
      <c r="H6" s="318"/>
      <c r="I6" s="318"/>
      <c r="J6" s="307"/>
    </row>
    <row r="7" spans="2:10" ht="38.25">
      <c r="B7" s="319">
        <v>124</v>
      </c>
      <c r="C7" s="320" t="s">
        <v>15</v>
      </c>
      <c r="D7" s="321" t="s">
        <v>256</v>
      </c>
      <c r="E7" s="322" t="s">
        <v>264</v>
      </c>
      <c r="F7" s="320" t="s">
        <v>38</v>
      </c>
      <c r="G7" s="323">
        <f>$H$23</f>
        <v>1885.5</v>
      </c>
      <c r="H7" s="318"/>
      <c r="I7" s="307"/>
      <c r="J7" s="307"/>
    </row>
    <row r="8" spans="2:10" ht="14.25" customHeight="1">
      <c r="B8" s="324"/>
      <c r="C8" s="325"/>
      <c r="D8" s="325"/>
      <c r="G8" s="307"/>
      <c r="H8" s="307"/>
      <c r="I8" s="307"/>
      <c r="J8" s="307"/>
    </row>
    <row r="9" spans="2:10" ht="15.75">
      <c r="B9" s="299" t="s">
        <v>18</v>
      </c>
      <c r="C9" s="325"/>
      <c r="D9" s="325"/>
      <c r="G9" s="307"/>
      <c r="H9" s="307"/>
      <c r="I9" s="307"/>
      <c r="J9" s="307"/>
    </row>
    <row r="10" spans="2:10">
      <c r="B10" s="326"/>
      <c r="C10" s="327"/>
      <c r="D10" s="328"/>
      <c r="E10" s="329" t="s">
        <v>15</v>
      </c>
      <c r="F10" s="329" t="s">
        <v>31</v>
      </c>
      <c r="G10" s="329"/>
      <c r="H10" s="330"/>
    </row>
    <row r="11" spans="2:10">
      <c r="B11" s="331"/>
      <c r="C11" s="332"/>
      <c r="D11" s="333"/>
      <c r="E11" s="334" t="s">
        <v>22</v>
      </c>
      <c r="F11" s="334" t="s">
        <v>22</v>
      </c>
      <c r="G11" s="334" t="str">
        <f>+E10</f>
        <v>EQIP</v>
      </c>
      <c r="H11" s="335" t="str">
        <f>+F10</f>
        <v>EQIP-HU</v>
      </c>
    </row>
    <row r="12" spans="2:10">
      <c r="B12" s="336"/>
      <c r="C12" s="333"/>
      <c r="D12" s="333"/>
      <c r="E12" s="334" t="s">
        <v>12</v>
      </c>
      <c r="F12" s="334" t="s">
        <v>12</v>
      </c>
      <c r="G12" s="334" t="s">
        <v>12</v>
      </c>
      <c r="H12" s="335" t="s">
        <v>12</v>
      </c>
    </row>
    <row r="13" spans="2:10">
      <c r="B13" s="337" t="s">
        <v>16</v>
      </c>
      <c r="C13" s="333"/>
      <c r="D13" s="338" t="s">
        <v>6</v>
      </c>
      <c r="E13" s="339" t="s">
        <v>24</v>
      </c>
      <c r="F13" s="339" t="s">
        <v>24</v>
      </c>
      <c r="G13" s="339" t="s">
        <v>14</v>
      </c>
      <c r="H13" s="340" t="s">
        <v>14</v>
      </c>
    </row>
    <row r="14" spans="2:10">
      <c r="B14" s="331" t="s">
        <v>0</v>
      </c>
      <c r="C14" s="333"/>
      <c r="D14" s="341">
        <v>0</v>
      </c>
      <c r="E14" s="342">
        <v>0</v>
      </c>
      <c r="F14" s="342">
        <v>0</v>
      </c>
      <c r="G14" s="343">
        <f>+$D14*E14</f>
        <v>0</v>
      </c>
      <c r="H14" s="344">
        <f>+$D14*F14</f>
        <v>0</v>
      </c>
    </row>
    <row r="15" spans="2:10">
      <c r="B15" s="331" t="s">
        <v>2</v>
      </c>
      <c r="C15" s="333"/>
      <c r="D15" s="341">
        <v>0</v>
      </c>
      <c r="E15" s="342">
        <v>0</v>
      </c>
      <c r="F15" s="342">
        <v>0</v>
      </c>
      <c r="G15" s="343">
        <f t="shared" ref="G15:H22" si="0">+$D15*E15</f>
        <v>0</v>
      </c>
      <c r="H15" s="344">
        <f t="shared" si="0"/>
        <v>0</v>
      </c>
    </row>
    <row r="16" spans="2:10">
      <c r="B16" s="331" t="s">
        <v>3</v>
      </c>
      <c r="C16" s="333"/>
      <c r="D16" s="341">
        <f>I49</f>
        <v>2095</v>
      </c>
      <c r="E16" s="342">
        <v>0.75</v>
      </c>
      <c r="F16" s="342">
        <v>0.9</v>
      </c>
      <c r="G16" s="343">
        <f t="shared" si="0"/>
        <v>1571.25</v>
      </c>
      <c r="H16" s="344">
        <f t="shared" si="0"/>
        <v>1885.5</v>
      </c>
    </row>
    <row r="17" spans="2:16">
      <c r="B17" s="331" t="s">
        <v>4</v>
      </c>
      <c r="C17" s="333"/>
      <c r="D17" s="341">
        <v>0</v>
      </c>
      <c r="E17" s="342">
        <v>0</v>
      </c>
      <c r="F17" s="342">
        <v>0</v>
      </c>
      <c r="G17" s="343">
        <f t="shared" si="0"/>
        <v>0</v>
      </c>
      <c r="H17" s="344">
        <f t="shared" si="0"/>
        <v>0</v>
      </c>
    </row>
    <row r="18" spans="2:16">
      <c r="B18" s="331" t="s">
        <v>26</v>
      </c>
      <c r="C18" s="333"/>
      <c r="D18" s="341">
        <v>0</v>
      </c>
      <c r="E18" s="342">
        <v>0</v>
      </c>
      <c r="F18" s="342">
        <v>0</v>
      </c>
      <c r="G18" s="343">
        <f t="shared" si="0"/>
        <v>0</v>
      </c>
      <c r="H18" s="344">
        <f t="shared" si="0"/>
        <v>0</v>
      </c>
    </row>
    <row r="19" spans="2:16">
      <c r="B19" s="331" t="s">
        <v>7</v>
      </c>
      <c r="C19" s="333"/>
      <c r="D19" s="341">
        <f>I63</f>
        <v>0</v>
      </c>
      <c r="E19" s="342">
        <v>0.75</v>
      </c>
      <c r="F19" s="342">
        <v>0.9</v>
      </c>
      <c r="G19" s="343">
        <f t="shared" si="0"/>
        <v>0</v>
      </c>
      <c r="H19" s="344">
        <f t="shared" si="0"/>
        <v>0</v>
      </c>
    </row>
    <row r="20" spans="2:16">
      <c r="B20" s="331" t="s">
        <v>27</v>
      </c>
      <c r="C20" s="333"/>
      <c r="D20" s="341">
        <v>0</v>
      </c>
      <c r="E20" s="342">
        <v>0</v>
      </c>
      <c r="F20" s="342">
        <v>0</v>
      </c>
      <c r="G20" s="343">
        <f t="shared" si="0"/>
        <v>0</v>
      </c>
      <c r="H20" s="344">
        <f t="shared" si="0"/>
        <v>0</v>
      </c>
    </row>
    <row r="21" spans="2:16">
      <c r="B21" s="331" t="s">
        <v>5</v>
      </c>
      <c r="C21" s="333"/>
      <c r="D21" s="341">
        <v>0</v>
      </c>
      <c r="E21" s="342">
        <v>0</v>
      </c>
      <c r="F21" s="342">
        <v>0</v>
      </c>
      <c r="G21" s="343">
        <f t="shared" si="0"/>
        <v>0</v>
      </c>
      <c r="H21" s="344">
        <f t="shared" si="0"/>
        <v>0</v>
      </c>
    </row>
    <row r="22" spans="2:16">
      <c r="B22" s="331" t="s">
        <v>20</v>
      </c>
      <c r="C22" s="333"/>
      <c r="D22" s="341">
        <v>0</v>
      </c>
      <c r="E22" s="342">
        <v>0</v>
      </c>
      <c r="F22" s="342">
        <v>0</v>
      </c>
      <c r="G22" s="345">
        <f t="shared" si="0"/>
        <v>0</v>
      </c>
      <c r="H22" s="346">
        <f t="shared" si="0"/>
        <v>0</v>
      </c>
    </row>
    <row r="23" spans="2:16">
      <c r="B23" s="347" t="s">
        <v>19</v>
      </c>
      <c r="C23" s="348"/>
      <c r="D23" s="349">
        <f>SUM(D14:D22)</f>
        <v>2095</v>
      </c>
      <c r="E23" s="350"/>
      <c r="F23" s="350"/>
      <c r="G23" s="349">
        <f t="shared" ref="G23:H23" si="1">SUM(G14:G22)</f>
        <v>1571.25</v>
      </c>
      <c r="H23" s="351">
        <f t="shared" si="1"/>
        <v>1885.5</v>
      </c>
    </row>
    <row r="24" spans="2:16" s="355" customFormat="1" ht="5.25" customHeight="1">
      <c r="B24" s="352"/>
      <c r="C24" s="352"/>
      <c r="D24" s="353"/>
      <c r="E24" s="354"/>
      <c r="F24" s="354"/>
      <c r="G24" s="354"/>
      <c r="H24" s="354"/>
      <c r="I24" s="354"/>
      <c r="J24" s="354"/>
      <c r="K24" s="353"/>
      <c r="L24" s="353"/>
      <c r="M24" s="353"/>
      <c r="N24" s="353"/>
      <c r="O24" s="353"/>
      <c r="P24" s="353"/>
    </row>
    <row r="25" spans="2:16" ht="5.25" customHeight="1"/>
    <row r="26" spans="2:16" ht="15.75">
      <c r="B26" s="356" t="s">
        <v>28</v>
      </c>
      <c r="I26" s="357"/>
    </row>
    <row r="27" spans="2:16">
      <c r="B27" s="358" t="s">
        <v>32</v>
      </c>
      <c r="C27" s="359"/>
      <c r="D27" s="359"/>
      <c r="E27" s="360"/>
      <c r="F27" s="360"/>
      <c r="G27" s="360"/>
      <c r="H27" s="360"/>
      <c r="I27" s="361"/>
    </row>
    <row r="28" spans="2:16" ht="27" customHeight="1">
      <c r="B28" s="362"/>
      <c r="C28" s="363"/>
      <c r="D28" s="1977" t="s">
        <v>265</v>
      </c>
      <c r="E28" s="1978"/>
      <c r="F28" s="1978"/>
      <c r="G28" s="1978"/>
      <c r="H28" s="1978"/>
      <c r="I28" s="364"/>
    </row>
    <row r="29" spans="2:16">
      <c r="B29" s="362"/>
      <c r="C29" s="363"/>
      <c r="D29" s="365"/>
      <c r="E29" s="366"/>
      <c r="F29" s="366"/>
      <c r="G29" s="366"/>
      <c r="H29" s="366"/>
      <c r="I29" s="364"/>
    </row>
    <row r="30" spans="2:16">
      <c r="B30" s="367" t="s">
        <v>41</v>
      </c>
      <c r="C30" s="363"/>
      <c r="D30" s="1975" t="s">
        <v>206</v>
      </c>
      <c r="E30" s="1976"/>
      <c r="F30" s="1976"/>
      <c r="G30" s="1976"/>
      <c r="H30" s="1976"/>
      <c r="I30" s="364"/>
    </row>
    <row r="31" spans="2:16">
      <c r="B31" s="368" t="s">
        <v>40</v>
      </c>
      <c r="C31" s="363"/>
      <c r="D31" s="1975" t="s">
        <v>266</v>
      </c>
      <c r="E31" s="1976"/>
      <c r="F31" s="1976"/>
      <c r="G31" s="1976"/>
      <c r="H31" s="1976"/>
      <c r="I31" s="364"/>
    </row>
    <row r="32" spans="2:16" ht="128.25" customHeight="1">
      <c r="B32" s="368" t="s">
        <v>33</v>
      </c>
      <c r="C32" s="369"/>
      <c r="D32" s="1975" t="s">
        <v>267</v>
      </c>
      <c r="E32" s="1976"/>
      <c r="F32" s="1976"/>
      <c r="G32" s="1976"/>
      <c r="H32" s="1976"/>
      <c r="I32" s="364"/>
    </row>
    <row r="33" spans="2:15" ht="66.75" customHeight="1">
      <c r="B33" s="368" t="s">
        <v>35</v>
      </c>
      <c r="C33" s="369"/>
      <c r="D33" s="1975" t="s">
        <v>261</v>
      </c>
      <c r="E33" s="1976"/>
      <c r="F33" s="1976"/>
      <c r="G33" s="1976"/>
      <c r="H33" s="1976"/>
      <c r="I33" s="364"/>
    </row>
    <row r="34" spans="2:15" ht="36" customHeight="1">
      <c r="B34" s="368" t="s">
        <v>34</v>
      </c>
      <c r="C34" s="369"/>
      <c r="D34" s="1975" t="s">
        <v>262</v>
      </c>
      <c r="E34" s="1976"/>
      <c r="F34" s="1976"/>
      <c r="G34" s="1976"/>
      <c r="H34" s="1976"/>
      <c r="I34" s="364"/>
    </row>
    <row r="35" spans="2:15">
      <c r="B35" s="367"/>
      <c r="C35" s="363"/>
      <c r="D35" s="363"/>
      <c r="E35" s="370"/>
      <c r="F35" s="370"/>
      <c r="G35" s="370"/>
      <c r="H35" s="370"/>
      <c r="I35" s="364"/>
    </row>
    <row r="36" spans="2:15">
      <c r="B36" s="371" t="s">
        <v>25</v>
      </c>
      <c r="C36" s="363"/>
      <c r="D36" s="1979" t="s">
        <v>42</v>
      </c>
      <c r="E36" s="1980"/>
      <c r="F36" s="1980"/>
      <c r="G36" s="1980"/>
      <c r="H36" s="1980"/>
      <c r="I36" s="364"/>
      <c r="J36" s="352"/>
    </row>
    <row r="37" spans="2:15">
      <c r="B37" s="367"/>
      <c r="C37" s="363"/>
      <c r="D37" s="370"/>
      <c r="E37" s="370"/>
      <c r="F37" s="370"/>
      <c r="G37" s="370"/>
      <c r="H37" s="370"/>
      <c r="I37" s="364"/>
    </row>
    <row r="38" spans="2:15">
      <c r="B38" s="371" t="s">
        <v>8</v>
      </c>
      <c r="C38" s="363"/>
      <c r="D38" s="372" t="s">
        <v>38</v>
      </c>
      <c r="E38" s="370"/>
      <c r="F38" s="370"/>
      <c r="G38" s="370"/>
      <c r="H38" s="370"/>
      <c r="I38" s="364"/>
    </row>
    <row r="39" spans="2:15">
      <c r="B39" s="371" t="s">
        <v>9</v>
      </c>
      <c r="C39" s="363"/>
      <c r="D39" s="373">
        <v>1</v>
      </c>
      <c r="E39" s="370"/>
      <c r="F39" s="370"/>
      <c r="G39" s="370"/>
      <c r="H39" s="370"/>
      <c r="I39" s="364"/>
    </row>
    <row r="40" spans="2:15">
      <c r="B40" s="371" t="s">
        <v>10</v>
      </c>
      <c r="C40" s="370"/>
      <c r="D40" s="374">
        <v>0.05</v>
      </c>
      <c r="E40" s="375"/>
      <c r="F40" s="370"/>
      <c r="G40" s="370"/>
      <c r="H40" s="370"/>
      <c r="I40" s="376" t="s">
        <v>6</v>
      </c>
    </row>
    <row r="41" spans="2:15">
      <c r="B41" s="377"/>
      <c r="C41" s="370"/>
      <c r="D41" s="370"/>
      <c r="E41" s="370"/>
      <c r="F41" s="370"/>
      <c r="G41" s="370"/>
      <c r="H41" s="370"/>
      <c r="I41" s="378"/>
      <c r="L41" s="379"/>
      <c r="M41" s="379"/>
      <c r="N41" s="380"/>
      <c r="O41" s="380"/>
    </row>
    <row r="42" spans="2:15">
      <c r="B42" s="362" t="s">
        <v>0</v>
      </c>
      <c r="C42" s="370"/>
      <c r="D42" s="370"/>
      <c r="E42" s="370"/>
      <c r="F42" s="370"/>
      <c r="G42" s="370"/>
      <c r="H42" s="370"/>
      <c r="I42" s="381">
        <v>0</v>
      </c>
      <c r="L42" s="379"/>
      <c r="M42" s="379"/>
      <c r="N42" s="380"/>
      <c r="O42" s="380"/>
    </row>
    <row r="43" spans="2:15" ht="14.25" customHeight="1">
      <c r="B43" s="367" t="s">
        <v>39</v>
      </c>
      <c r="C43" s="370"/>
      <c r="D43" s="382"/>
      <c r="E43" s="370"/>
      <c r="F43" s="370"/>
      <c r="G43" s="370"/>
      <c r="H43" s="370"/>
      <c r="I43" s="381"/>
      <c r="L43" s="379"/>
      <c r="M43" s="380"/>
    </row>
    <row r="44" spans="2:15" ht="6" customHeight="1">
      <c r="B44" s="383"/>
      <c r="C44" s="384"/>
      <c r="D44" s="385"/>
      <c r="E44" s="370"/>
      <c r="F44" s="370"/>
      <c r="G44" s="370"/>
      <c r="H44" s="370"/>
      <c r="I44" s="381"/>
      <c r="L44" s="379"/>
      <c r="M44" s="380"/>
    </row>
    <row r="45" spans="2:15">
      <c r="B45" s="362" t="s">
        <v>2</v>
      </c>
      <c r="C45" s="370"/>
      <c r="D45" s="386"/>
      <c r="E45" s="370"/>
      <c r="F45" s="370"/>
      <c r="G45" s="370"/>
      <c r="H45" s="370"/>
      <c r="I45" s="381">
        <v>0</v>
      </c>
      <c r="L45" s="379"/>
      <c r="M45" s="380"/>
    </row>
    <row r="46" spans="2:15" ht="12.75" customHeight="1">
      <c r="B46" s="1981" t="s">
        <v>39</v>
      </c>
      <c r="C46" s="1978"/>
      <c r="D46" s="1978"/>
      <c r="E46" s="1978"/>
      <c r="F46" s="1978"/>
      <c r="G46" s="1978"/>
      <c r="H46" s="1978"/>
      <c r="I46" s="381"/>
      <c r="L46" s="379"/>
      <c r="M46" s="380"/>
    </row>
    <row r="47" spans="2:15" ht="6" customHeight="1">
      <c r="B47" s="387"/>
      <c r="C47" s="370"/>
      <c r="D47" s="370"/>
      <c r="E47" s="388"/>
      <c r="F47" s="388"/>
      <c r="G47" s="388"/>
      <c r="H47" s="370"/>
      <c r="I47" s="381"/>
      <c r="L47" s="379"/>
      <c r="M47" s="380"/>
    </row>
    <row r="48" spans="2:15" ht="4.5" customHeight="1">
      <c r="B48" s="362"/>
      <c r="C48" s="370"/>
      <c r="D48" s="370"/>
      <c r="E48" s="370"/>
      <c r="F48" s="370"/>
      <c r="G48" s="389"/>
      <c r="H48" s="390"/>
      <c r="I48" s="381"/>
      <c r="L48" s="379"/>
      <c r="M48" s="380"/>
    </row>
    <row r="49" spans="2:15">
      <c r="B49" s="362" t="s">
        <v>3</v>
      </c>
      <c r="C49" s="370"/>
      <c r="D49" s="370"/>
      <c r="E49" s="370"/>
      <c r="F49" s="370"/>
      <c r="G49" s="370"/>
      <c r="H49" s="370"/>
      <c r="I49" s="381">
        <f>$H$56</f>
        <v>2095</v>
      </c>
      <c r="L49" s="379"/>
      <c r="M49" s="380"/>
    </row>
    <row r="50" spans="2:15" ht="24.75" customHeight="1">
      <c r="B50" s="1981" t="s">
        <v>211</v>
      </c>
      <c r="C50" s="1978"/>
      <c r="D50" s="1978"/>
      <c r="E50" s="1978"/>
      <c r="F50" s="1978"/>
      <c r="G50" s="1978"/>
      <c r="H50" s="1978"/>
      <c r="I50" s="381"/>
      <c r="L50" s="379"/>
      <c r="M50" s="380"/>
    </row>
    <row r="51" spans="2:15" ht="12.75" customHeight="1">
      <c r="B51" s="391"/>
      <c r="C51" s="392"/>
      <c r="D51" s="393" t="s">
        <v>212</v>
      </c>
      <c r="E51" s="394" t="s">
        <v>46</v>
      </c>
      <c r="F51" s="394" t="s">
        <v>6</v>
      </c>
      <c r="G51" s="394" t="s">
        <v>47</v>
      </c>
      <c r="H51" s="394" t="s">
        <v>48</v>
      </c>
      <c r="I51" s="381"/>
      <c r="L51" s="379"/>
      <c r="M51" s="380"/>
    </row>
    <row r="52" spans="2:15" ht="12.75" customHeight="1">
      <c r="B52" s="391"/>
      <c r="C52" s="366"/>
      <c r="D52" s="366" t="s">
        <v>213</v>
      </c>
      <c r="E52" s="395" t="s">
        <v>49</v>
      </c>
      <c r="F52" s="396">
        <v>71</v>
      </c>
      <c r="G52" s="366">
        <v>0.5</v>
      </c>
      <c r="H52" s="396">
        <f>F52*G52</f>
        <v>35.5</v>
      </c>
      <c r="I52" s="381"/>
      <c r="L52" s="379"/>
      <c r="M52" s="380"/>
    </row>
    <row r="53" spans="2:15" ht="12.75" customHeight="1">
      <c r="B53" s="391"/>
      <c r="C53" s="366"/>
      <c r="D53" s="366" t="s">
        <v>214</v>
      </c>
      <c r="E53" s="395" t="s">
        <v>49</v>
      </c>
      <c r="F53" s="396">
        <v>87</v>
      </c>
      <c r="G53" s="366">
        <v>7</v>
      </c>
      <c r="H53" s="396">
        <f>F53*G53</f>
        <v>609</v>
      </c>
      <c r="I53" s="381"/>
      <c r="L53" s="379"/>
      <c r="M53" s="380"/>
    </row>
    <row r="54" spans="2:15" ht="12.75" customHeight="1">
      <c r="B54" s="391"/>
      <c r="C54" s="366"/>
      <c r="D54" s="366" t="s">
        <v>215</v>
      </c>
      <c r="E54" s="395" t="s">
        <v>49</v>
      </c>
      <c r="F54" s="396">
        <v>149</v>
      </c>
      <c r="G54" s="366">
        <v>6</v>
      </c>
      <c r="H54" s="396">
        <f>F54*G54</f>
        <v>894</v>
      </c>
      <c r="I54" s="381"/>
      <c r="L54" s="379"/>
      <c r="M54" s="380"/>
    </row>
    <row r="55" spans="2:15" ht="12.75" customHeight="1">
      <c r="B55" s="391"/>
      <c r="C55" s="366"/>
      <c r="D55" s="366" t="s">
        <v>216</v>
      </c>
      <c r="E55" s="395" t="s">
        <v>49</v>
      </c>
      <c r="F55" s="396">
        <v>159</v>
      </c>
      <c r="G55" s="366">
        <v>3.5</v>
      </c>
      <c r="H55" s="396">
        <f>F55*G55</f>
        <v>556.5</v>
      </c>
      <c r="I55" s="381"/>
      <c r="L55" s="379"/>
      <c r="M55" s="380"/>
    </row>
    <row r="56" spans="2:15">
      <c r="B56" s="362" t="s">
        <v>4</v>
      </c>
      <c r="C56" s="370"/>
      <c r="D56" s="370"/>
      <c r="E56" s="370"/>
      <c r="F56" s="370"/>
      <c r="G56" s="370">
        <f>SUM(G52:G55)</f>
        <v>17</v>
      </c>
      <c r="H56" s="397">
        <f>SUM(H52:H55)</f>
        <v>2095</v>
      </c>
      <c r="I56" s="398">
        <v>0</v>
      </c>
      <c r="L56" s="379"/>
      <c r="M56" s="380"/>
    </row>
    <row r="57" spans="2:15" ht="12" customHeight="1">
      <c r="B57" s="367" t="s">
        <v>39</v>
      </c>
      <c r="C57" s="370"/>
      <c r="D57" s="370"/>
      <c r="E57" s="370"/>
      <c r="F57" s="370"/>
      <c r="G57" s="370"/>
      <c r="H57" s="370"/>
      <c r="I57" s="364"/>
      <c r="L57" s="379"/>
      <c r="M57" s="380"/>
    </row>
    <row r="58" spans="2:15" ht="5.25" customHeight="1">
      <c r="B58" s="367"/>
      <c r="C58" s="370"/>
      <c r="D58" s="370"/>
      <c r="E58" s="370"/>
      <c r="F58" s="370"/>
      <c r="G58" s="370"/>
      <c r="H58" s="370"/>
      <c r="I58" s="364"/>
      <c r="L58" s="379"/>
      <c r="M58" s="380"/>
    </row>
    <row r="59" spans="2:15">
      <c r="B59" s="362" t="s">
        <v>26</v>
      </c>
      <c r="C59" s="370"/>
      <c r="D59" s="370"/>
      <c r="E59" s="370"/>
      <c r="F59" s="370"/>
      <c r="G59" s="370"/>
      <c r="H59" s="370"/>
      <c r="I59" s="381">
        <v>0</v>
      </c>
      <c r="L59" s="379"/>
      <c r="M59" s="380"/>
    </row>
    <row r="60" spans="2:15" ht="14.25" customHeight="1">
      <c r="B60" s="1981" t="s">
        <v>39</v>
      </c>
      <c r="C60" s="1982"/>
      <c r="D60" s="1982"/>
      <c r="E60" s="1982"/>
      <c r="F60" s="1982"/>
      <c r="G60" s="1982"/>
      <c r="H60" s="1982"/>
      <c r="I60" s="398"/>
      <c r="L60" s="379"/>
      <c r="M60" s="380"/>
    </row>
    <row r="61" spans="2:15" ht="12" customHeight="1">
      <c r="B61" s="1983"/>
      <c r="C61" s="1984"/>
      <c r="D61" s="1984"/>
      <c r="E61" s="1984"/>
      <c r="F61" s="1984"/>
      <c r="G61" s="1984"/>
      <c r="H61" s="370"/>
      <c r="I61" s="398"/>
      <c r="L61" s="379"/>
      <c r="M61" s="380"/>
    </row>
    <row r="62" spans="2:15" ht="9.75" customHeight="1">
      <c r="B62" s="367"/>
      <c r="C62" s="370"/>
      <c r="D62" s="370"/>
      <c r="E62" s="370"/>
      <c r="F62" s="370"/>
      <c r="G62" s="370"/>
      <c r="H62" s="370"/>
      <c r="I62" s="364"/>
      <c r="L62" s="379"/>
      <c r="M62" s="379"/>
    </row>
    <row r="63" spans="2:15">
      <c r="B63" s="362" t="s">
        <v>7</v>
      </c>
      <c r="C63" s="370"/>
      <c r="D63" s="370"/>
      <c r="E63" s="370"/>
      <c r="F63" s="370"/>
      <c r="G63" s="370"/>
      <c r="H63" s="370"/>
      <c r="I63" s="381">
        <v>0</v>
      </c>
      <c r="L63" s="379"/>
      <c r="M63" s="379"/>
      <c r="N63" s="379"/>
      <c r="O63" s="379"/>
    </row>
    <row r="64" spans="2:15" ht="12" customHeight="1">
      <c r="B64" s="367" t="s">
        <v>39</v>
      </c>
      <c r="C64" s="370"/>
      <c r="D64" s="399"/>
      <c r="E64" s="400"/>
      <c r="F64" s="400"/>
      <c r="G64" s="400"/>
      <c r="H64" s="400"/>
      <c r="I64" s="364"/>
      <c r="L64" s="379"/>
      <c r="M64" s="379"/>
      <c r="N64" s="380"/>
      <c r="O64" s="380"/>
    </row>
    <row r="65" spans="2:15" ht="6" customHeight="1">
      <c r="B65" s="367"/>
      <c r="C65" s="370"/>
      <c r="D65" s="370"/>
      <c r="E65" s="370"/>
      <c r="F65" s="370"/>
      <c r="G65" s="370"/>
      <c r="H65" s="370"/>
      <c r="I65" s="364"/>
      <c r="L65" s="379"/>
      <c r="M65" s="379"/>
      <c r="N65" s="401"/>
      <c r="O65" s="401"/>
    </row>
    <row r="66" spans="2:15">
      <c r="B66" s="362" t="s">
        <v>27</v>
      </c>
      <c r="C66" s="370"/>
      <c r="D66" s="370"/>
      <c r="E66" s="370"/>
      <c r="F66" s="370"/>
      <c r="G66" s="370"/>
      <c r="H66" s="370"/>
      <c r="I66" s="381">
        <v>0</v>
      </c>
      <c r="L66" s="379"/>
      <c r="M66" s="379"/>
      <c r="N66" s="380"/>
      <c r="O66" s="380"/>
    </row>
    <row r="67" spans="2:15" ht="13.5" customHeight="1">
      <c r="B67" s="367" t="s">
        <v>39</v>
      </c>
      <c r="C67" s="370"/>
      <c r="D67" s="370"/>
      <c r="E67" s="370"/>
      <c r="F67" s="370"/>
      <c r="G67" s="370"/>
      <c r="H67" s="370"/>
      <c r="I67" s="402"/>
      <c r="L67" s="379"/>
      <c r="M67" s="379"/>
      <c r="N67" s="401"/>
      <c r="O67" s="401"/>
    </row>
    <row r="68" spans="2:15" ht="3.75" customHeight="1">
      <c r="B68" s="367"/>
      <c r="C68" s="370"/>
      <c r="D68" s="370"/>
      <c r="E68" s="370"/>
      <c r="F68" s="370"/>
      <c r="G68" s="370"/>
      <c r="H68" s="370"/>
      <c r="I68" s="364"/>
      <c r="L68" s="379"/>
      <c r="M68" s="379"/>
      <c r="N68" s="380"/>
      <c r="O68" s="380"/>
    </row>
    <row r="69" spans="2:15">
      <c r="B69" s="362" t="s">
        <v>5</v>
      </c>
      <c r="C69" s="370"/>
      <c r="D69" s="370"/>
      <c r="E69" s="370"/>
      <c r="F69" s="370"/>
      <c r="G69" s="370"/>
      <c r="H69" s="370"/>
      <c r="I69" s="381">
        <v>0</v>
      </c>
      <c r="L69" s="379"/>
      <c r="M69" s="379"/>
      <c r="N69" s="380"/>
      <c r="O69" s="380"/>
    </row>
    <row r="70" spans="2:15" ht="11.25" customHeight="1">
      <c r="B70" s="367" t="s">
        <v>39</v>
      </c>
      <c r="C70" s="370"/>
      <c r="D70" s="370"/>
      <c r="E70" s="370"/>
      <c r="F70" s="370"/>
      <c r="G70" s="370"/>
      <c r="H70" s="370"/>
      <c r="I70" s="402"/>
      <c r="L70" s="379"/>
      <c r="M70" s="379"/>
      <c r="N70" s="379"/>
      <c r="O70" s="379"/>
    </row>
    <row r="71" spans="2:15" ht="4.5" customHeight="1">
      <c r="B71" s="367"/>
      <c r="C71" s="370"/>
      <c r="D71" s="370"/>
      <c r="E71" s="370"/>
      <c r="F71" s="370"/>
      <c r="G71" s="370"/>
      <c r="H71" s="370"/>
      <c r="I71" s="364"/>
      <c r="L71" s="379"/>
      <c r="M71" s="379"/>
      <c r="N71" s="379"/>
      <c r="O71" s="379"/>
    </row>
    <row r="72" spans="2:15">
      <c r="B72" s="362" t="s">
        <v>20</v>
      </c>
      <c r="C72" s="370"/>
      <c r="D72" s="370"/>
      <c r="E72" s="370"/>
      <c r="F72" s="370"/>
      <c r="G72" s="370"/>
      <c r="H72" s="370"/>
      <c r="I72" s="381">
        <v>0</v>
      </c>
      <c r="L72" s="379"/>
      <c r="M72" s="379"/>
      <c r="N72" s="380"/>
      <c r="O72" s="380"/>
    </row>
    <row r="73" spans="2:15" ht="12" customHeight="1">
      <c r="B73" s="367" t="s">
        <v>39</v>
      </c>
      <c r="C73" s="370"/>
      <c r="D73" s="370"/>
      <c r="E73" s="370"/>
      <c r="F73" s="370"/>
      <c r="G73" s="370"/>
      <c r="H73" s="370"/>
      <c r="I73" s="381"/>
      <c r="L73" s="379"/>
      <c r="M73" s="379"/>
      <c r="N73" s="380"/>
      <c r="O73" s="380"/>
    </row>
    <row r="74" spans="2:15" ht="6.75" customHeight="1">
      <c r="B74" s="362"/>
      <c r="C74" s="370"/>
      <c r="D74" s="370"/>
      <c r="E74" s="370"/>
      <c r="F74" s="370"/>
      <c r="G74" s="370"/>
      <c r="H74" s="370"/>
      <c r="I74" s="381"/>
      <c r="L74" s="379"/>
      <c r="M74" s="379"/>
      <c r="N74" s="380"/>
      <c r="O74" s="380"/>
    </row>
    <row r="75" spans="2:15" ht="5.25" customHeight="1">
      <c r="B75" s="377"/>
      <c r="C75" s="370"/>
      <c r="D75" s="370"/>
      <c r="E75" s="370"/>
      <c r="F75" s="370"/>
      <c r="G75" s="370"/>
      <c r="H75" s="370"/>
      <c r="I75" s="364"/>
      <c r="L75" s="379"/>
      <c r="M75" s="379"/>
      <c r="N75" s="379"/>
      <c r="O75" s="379"/>
    </row>
    <row r="76" spans="2:15">
      <c r="B76" s="403" t="s">
        <v>11</v>
      </c>
      <c r="C76" s="404"/>
      <c r="D76" s="404"/>
      <c r="E76" s="404"/>
      <c r="F76" s="404"/>
      <c r="G76" s="404"/>
      <c r="H76" s="404"/>
      <c r="I76" s="405">
        <f>+I72+I69+I66+I63+I59+I56+I49+I45+I42</f>
        <v>2095</v>
      </c>
      <c r="L76" s="379"/>
      <c r="M76" s="379"/>
      <c r="N76" s="379"/>
      <c r="O76" s="379"/>
    </row>
    <row r="99" spans="5:5">
      <c r="E99" s="406"/>
    </row>
    <row r="100" spans="5:5">
      <c r="E100" s="406"/>
    </row>
    <row r="101" spans="5:5">
      <c r="E101" s="406"/>
    </row>
    <row r="102" spans="5:5">
      <c r="E102" s="406"/>
    </row>
    <row r="103" spans="5:5">
      <c r="E103" s="406"/>
    </row>
    <row r="104" spans="5:5">
      <c r="E104" s="406"/>
    </row>
    <row r="106" spans="5:5">
      <c r="E106" s="406"/>
    </row>
    <row r="108" spans="5:5">
      <c r="E108" s="407"/>
    </row>
    <row r="110" spans="5:5">
      <c r="E110" s="406"/>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5.xml><?xml version="1.0" encoding="utf-8"?>
<worksheet xmlns="http://schemas.openxmlformats.org/spreadsheetml/2006/main" xmlns:r="http://schemas.openxmlformats.org/officeDocument/2006/relationships">
  <dimension ref="B1:P110"/>
  <sheetViews>
    <sheetView zoomScaleNormal="100" workbookViewId="0">
      <selection activeCell="D23" sqref="D23"/>
    </sheetView>
  </sheetViews>
  <sheetFormatPr defaultRowHeight="12.75"/>
  <cols>
    <col min="1" max="1" width="2.85546875" style="298" customWidth="1"/>
    <col min="2" max="2" width="11.5703125" style="298" customWidth="1"/>
    <col min="3" max="3" width="18.7109375" style="298" customWidth="1"/>
    <col min="4" max="4" width="23.5703125" style="298" customWidth="1"/>
    <col min="5" max="5" width="20.5703125" style="298" customWidth="1"/>
    <col min="6" max="6" width="10.85546875" style="298" customWidth="1"/>
    <col min="7" max="7" width="10.42578125" style="298" customWidth="1"/>
    <col min="8" max="8" width="9.140625" style="298" bestFit="1" customWidth="1"/>
    <col min="9" max="9" width="9.85546875" style="298" customWidth="1"/>
    <col min="10" max="10" width="2.85546875" style="298" customWidth="1"/>
    <col min="11" max="11" width="8.140625" style="298" customWidth="1"/>
    <col min="12" max="12" width="8.42578125" style="298" customWidth="1"/>
    <col min="13" max="14" width="9.140625" style="298"/>
    <col min="15" max="16" width="9" style="298" bestFit="1" customWidth="1"/>
    <col min="17" max="16384" width="9.140625" style="298"/>
  </cols>
  <sheetData>
    <row r="1" spans="2:10" s="295" customFormat="1">
      <c r="B1" s="294" t="s">
        <v>36</v>
      </c>
      <c r="C1" s="294" t="s">
        <v>37</v>
      </c>
      <c r="D1" s="294" t="s">
        <v>29</v>
      </c>
      <c r="E1" s="294" t="s">
        <v>30</v>
      </c>
    </row>
    <row r="2" spans="2:10" ht="38.25">
      <c r="B2" s="296" t="s">
        <v>42</v>
      </c>
      <c r="C2" s="295">
        <v>124</v>
      </c>
      <c r="D2" s="297" t="s">
        <v>254</v>
      </c>
      <c r="E2" s="297" t="s">
        <v>268</v>
      </c>
    </row>
    <row r="3" spans="2:10" ht="15.75">
      <c r="B3" s="299" t="s">
        <v>17</v>
      </c>
      <c r="E3" s="300"/>
    </row>
    <row r="4" spans="2:10">
      <c r="B4" s="301" t="s">
        <v>1</v>
      </c>
      <c r="C4" s="302" t="s">
        <v>21</v>
      </c>
      <c r="D4" s="303"/>
      <c r="E4" s="304"/>
      <c r="F4" s="303"/>
      <c r="G4" s="305" t="s">
        <v>12</v>
      </c>
      <c r="H4" s="306"/>
      <c r="I4" s="306"/>
      <c r="J4" s="307"/>
    </row>
    <row r="5" spans="2:10" ht="25.5">
      <c r="B5" s="308" t="s">
        <v>13</v>
      </c>
      <c r="C5" s="309" t="s">
        <v>22</v>
      </c>
      <c r="D5" s="309" t="s">
        <v>29</v>
      </c>
      <c r="E5" s="310" t="s">
        <v>30</v>
      </c>
      <c r="F5" s="309" t="s">
        <v>23</v>
      </c>
      <c r="G5" s="311" t="s">
        <v>14</v>
      </c>
      <c r="H5" s="312"/>
      <c r="I5" s="312"/>
      <c r="J5" s="307"/>
    </row>
    <row r="6" spans="2:10" ht="38.25">
      <c r="B6" s="313">
        <v>124</v>
      </c>
      <c r="C6" s="314" t="str">
        <f>+E10</f>
        <v>EQIP</v>
      </c>
      <c r="D6" s="315" t="s">
        <v>254</v>
      </c>
      <c r="E6" s="316" t="s">
        <v>269</v>
      </c>
      <c r="F6" s="314" t="s">
        <v>38</v>
      </c>
      <c r="G6" s="317">
        <f>G23</f>
        <v>1930.5</v>
      </c>
      <c r="H6" s="318"/>
      <c r="I6" s="318"/>
      <c r="J6" s="307"/>
    </row>
    <row r="7" spans="2:10" ht="38.25">
      <c r="B7" s="319">
        <v>124</v>
      </c>
      <c r="C7" s="320" t="s">
        <v>15</v>
      </c>
      <c r="D7" s="321" t="s">
        <v>256</v>
      </c>
      <c r="E7" s="322" t="s">
        <v>270</v>
      </c>
      <c r="F7" s="320" t="s">
        <v>38</v>
      </c>
      <c r="G7" s="323">
        <f>$H$23</f>
        <v>2316.6</v>
      </c>
      <c r="H7" s="318"/>
      <c r="I7" s="307"/>
      <c r="J7" s="307"/>
    </row>
    <row r="8" spans="2:10" ht="14.25" customHeight="1">
      <c r="B8" s="324"/>
      <c r="C8" s="325"/>
      <c r="D8" s="325"/>
      <c r="G8" s="307"/>
      <c r="H8" s="307"/>
      <c r="I8" s="307"/>
      <c r="J8" s="307"/>
    </row>
    <row r="9" spans="2:10" ht="15.75">
      <c r="B9" s="299" t="s">
        <v>18</v>
      </c>
      <c r="C9" s="325"/>
      <c r="D9" s="325"/>
      <c r="G9" s="307"/>
      <c r="H9" s="307"/>
      <c r="I9" s="307"/>
      <c r="J9" s="307"/>
    </row>
    <row r="10" spans="2:10">
      <c r="B10" s="326"/>
      <c r="C10" s="327"/>
      <c r="D10" s="328"/>
      <c r="E10" s="329" t="s">
        <v>15</v>
      </c>
      <c r="F10" s="329" t="s">
        <v>31</v>
      </c>
      <c r="G10" s="329"/>
      <c r="H10" s="330"/>
    </row>
    <row r="11" spans="2:10">
      <c r="B11" s="331"/>
      <c r="C11" s="332"/>
      <c r="D11" s="333"/>
      <c r="E11" s="334" t="s">
        <v>22</v>
      </c>
      <c r="F11" s="334" t="s">
        <v>22</v>
      </c>
      <c r="G11" s="334" t="str">
        <f>+E10</f>
        <v>EQIP</v>
      </c>
      <c r="H11" s="335" t="str">
        <f>+F10</f>
        <v>EQIP-HU</v>
      </c>
    </row>
    <row r="12" spans="2:10">
      <c r="B12" s="336"/>
      <c r="C12" s="333"/>
      <c r="D12" s="333"/>
      <c r="E12" s="334" t="s">
        <v>12</v>
      </c>
      <c r="F12" s="334" t="s">
        <v>12</v>
      </c>
      <c r="G12" s="334" t="s">
        <v>12</v>
      </c>
      <c r="H12" s="335" t="s">
        <v>12</v>
      </c>
    </row>
    <row r="13" spans="2:10">
      <c r="B13" s="337" t="s">
        <v>16</v>
      </c>
      <c r="C13" s="333"/>
      <c r="D13" s="338" t="s">
        <v>6</v>
      </c>
      <c r="E13" s="339" t="s">
        <v>24</v>
      </c>
      <c r="F13" s="339" t="s">
        <v>24</v>
      </c>
      <c r="G13" s="339" t="s">
        <v>14</v>
      </c>
      <c r="H13" s="340" t="s">
        <v>14</v>
      </c>
    </row>
    <row r="14" spans="2:10">
      <c r="B14" s="331" t="s">
        <v>0</v>
      </c>
      <c r="C14" s="333"/>
      <c r="D14" s="341">
        <v>0</v>
      </c>
      <c r="E14" s="342">
        <v>0</v>
      </c>
      <c r="F14" s="342">
        <v>0</v>
      </c>
      <c r="G14" s="343">
        <f>+$D14*E14</f>
        <v>0</v>
      </c>
      <c r="H14" s="344">
        <f>+$D14*F14</f>
        <v>0</v>
      </c>
    </row>
    <row r="15" spans="2:10">
      <c r="B15" s="331" t="s">
        <v>2</v>
      </c>
      <c r="C15" s="333"/>
      <c r="D15" s="341">
        <v>0</v>
      </c>
      <c r="E15" s="342">
        <v>0</v>
      </c>
      <c r="F15" s="342">
        <v>0</v>
      </c>
      <c r="G15" s="343">
        <f t="shared" ref="G15:H22" si="0">+$D15*E15</f>
        <v>0</v>
      </c>
      <c r="H15" s="344">
        <f t="shared" si="0"/>
        <v>0</v>
      </c>
    </row>
    <row r="16" spans="2:10">
      <c r="B16" s="331" t="s">
        <v>3</v>
      </c>
      <c r="C16" s="333"/>
      <c r="D16" s="341">
        <f>I49</f>
        <v>2574</v>
      </c>
      <c r="E16" s="342">
        <v>0.75</v>
      </c>
      <c r="F16" s="342">
        <v>0.9</v>
      </c>
      <c r="G16" s="343">
        <f t="shared" si="0"/>
        <v>1930.5</v>
      </c>
      <c r="H16" s="344">
        <f t="shared" si="0"/>
        <v>2316.6</v>
      </c>
    </row>
    <row r="17" spans="2:16">
      <c r="B17" s="331" t="s">
        <v>4</v>
      </c>
      <c r="C17" s="333"/>
      <c r="D17" s="341">
        <v>0</v>
      </c>
      <c r="E17" s="342">
        <v>0</v>
      </c>
      <c r="F17" s="342">
        <v>0</v>
      </c>
      <c r="G17" s="343">
        <f t="shared" si="0"/>
        <v>0</v>
      </c>
      <c r="H17" s="344">
        <f t="shared" si="0"/>
        <v>0</v>
      </c>
    </row>
    <row r="18" spans="2:16">
      <c r="B18" s="331" t="s">
        <v>26</v>
      </c>
      <c r="C18" s="333"/>
      <c r="D18" s="341">
        <v>0</v>
      </c>
      <c r="E18" s="342">
        <v>0</v>
      </c>
      <c r="F18" s="342">
        <v>0</v>
      </c>
      <c r="G18" s="343">
        <f t="shared" si="0"/>
        <v>0</v>
      </c>
      <c r="H18" s="344">
        <f t="shared" si="0"/>
        <v>0</v>
      </c>
    </row>
    <row r="19" spans="2:16">
      <c r="B19" s="331" t="s">
        <v>7</v>
      </c>
      <c r="C19" s="333"/>
      <c r="D19" s="341">
        <f>I63</f>
        <v>0</v>
      </c>
      <c r="E19" s="342">
        <v>0.75</v>
      </c>
      <c r="F19" s="342">
        <v>0.9</v>
      </c>
      <c r="G19" s="343">
        <f t="shared" si="0"/>
        <v>0</v>
      </c>
      <c r="H19" s="344">
        <f t="shared" si="0"/>
        <v>0</v>
      </c>
    </row>
    <row r="20" spans="2:16">
      <c r="B20" s="331" t="s">
        <v>27</v>
      </c>
      <c r="C20" s="333"/>
      <c r="D20" s="341">
        <v>0</v>
      </c>
      <c r="E20" s="342">
        <v>0</v>
      </c>
      <c r="F20" s="342">
        <v>0</v>
      </c>
      <c r="G20" s="343">
        <f t="shared" si="0"/>
        <v>0</v>
      </c>
      <c r="H20" s="344">
        <f t="shared" si="0"/>
        <v>0</v>
      </c>
    </row>
    <row r="21" spans="2:16">
      <c r="B21" s="331" t="s">
        <v>5</v>
      </c>
      <c r="C21" s="333"/>
      <c r="D21" s="341">
        <v>0</v>
      </c>
      <c r="E21" s="342">
        <v>0</v>
      </c>
      <c r="F21" s="342">
        <v>0</v>
      </c>
      <c r="G21" s="343">
        <f t="shared" si="0"/>
        <v>0</v>
      </c>
      <c r="H21" s="344">
        <f t="shared" si="0"/>
        <v>0</v>
      </c>
    </row>
    <row r="22" spans="2:16">
      <c r="B22" s="331" t="s">
        <v>20</v>
      </c>
      <c r="C22" s="333"/>
      <c r="D22" s="341">
        <v>0</v>
      </c>
      <c r="E22" s="342">
        <v>0</v>
      </c>
      <c r="F22" s="342">
        <v>0</v>
      </c>
      <c r="G22" s="345">
        <f t="shared" si="0"/>
        <v>0</v>
      </c>
      <c r="H22" s="346">
        <f t="shared" si="0"/>
        <v>0</v>
      </c>
    </row>
    <row r="23" spans="2:16">
      <c r="B23" s="347" t="s">
        <v>19</v>
      </c>
      <c r="C23" s="348"/>
      <c r="D23" s="349">
        <f>SUM(D14:D22)</f>
        <v>2574</v>
      </c>
      <c r="E23" s="350"/>
      <c r="F23" s="350"/>
      <c r="G23" s="349">
        <f t="shared" ref="G23:H23" si="1">SUM(G14:G22)</f>
        <v>1930.5</v>
      </c>
      <c r="H23" s="351">
        <f t="shared" si="1"/>
        <v>2316.6</v>
      </c>
    </row>
    <row r="24" spans="2:16" s="355" customFormat="1" ht="5.25" customHeight="1">
      <c r="B24" s="352"/>
      <c r="C24" s="352"/>
      <c r="D24" s="353"/>
      <c r="E24" s="354"/>
      <c r="F24" s="354"/>
      <c r="G24" s="354"/>
      <c r="H24" s="354"/>
      <c r="I24" s="354"/>
      <c r="J24" s="354"/>
      <c r="K24" s="353"/>
      <c r="L24" s="353"/>
      <c r="M24" s="353"/>
      <c r="N24" s="353"/>
      <c r="O24" s="353"/>
      <c r="P24" s="353"/>
    </row>
    <row r="25" spans="2:16" ht="5.25" customHeight="1"/>
    <row r="26" spans="2:16" ht="15.75">
      <c r="B26" s="356" t="s">
        <v>28</v>
      </c>
      <c r="I26" s="357"/>
    </row>
    <row r="27" spans="2:16">
      <c r="B27" s="358" t="s">
        <v>32</v>
      </c>
      <c r="C27" s="359"/>
      <c r="D27" s="359"/>
      <c r="E27" s="360"/>
      <c r="F27" s="360"/>
      <c r="G27" s="360"/>
      <c r="H27" s="360"/>
      <c r="I27" s="361"/>
    </row>
    <row r="28" spans="2:16" ht="27" customHeight="1">
      <c r="B28" s="362"/>
      <c r="C28" s="363"/>
      <c r="D28" s="1977" t="s">
        <v>271</v>
      </c>
      <c r="E28" s="1978"/>
      <c r="F28" s="1978"/>
      <c r="G28" s="1978"/>
      <c r="H28" s="1978"/>
      <c r="I28" s="364"/>
    </row>
    <row r="29" spans="2:16">
      <c r="B29" s="362"/>
      <c r="C29" s="363"/>
      <c r="D29" s="365"/>
      <c r="E29" s="366"/>
      <c r="F29" s="366"/>
      <c r="G29" s="366"/>
      <c r="H29" s="366"/>
      <c r="I29" s="364"/>
    </row>
    <row r="30" spans="2:16">
      <c r="B30" s="367" t="s">
        <v>41</v>
      </c>
      <c r="C30" s="363"/>
      <c r="D30" s="1975" t="s">
        <v>206</v>
      </c>
      <c r="E30" s="1976"/>
      <c r="F30" s="1976"/>
      <c r="G30" s="1976"/>
      <c r="H30" s="1976"/>
      <c r="I30" s="364"/>
    </row>
    <row r="31" spans="2:16">
      <c r="B31" s="368" t="s">
        <v>40</v>
      </c>
      <c r="C31" s="363"/>
      <c r="D31" s="1975" t="s">
        <v>272</v>
      </c>
      <c r="E31" s="1976"/>
      <c r="F31" s="1976"/>
      <c r="G31" s="1976"/>
      <c r="H31" s="1976"/>
      <c r="I31" s="364"/>
    </row>
    <row r="32" spans="2:16" ht="128.25" customHeight="1">
      <c r="B32" s="368" t="s">
        <v>33</v>
      </c>
      <c r="C32" s="369"/>
      <c r="D32" s="1975" t="s">
        <v>273</v>
      </c>
      <c r="E32" s="1976"/>
      <c r="F32" s="1976"/>
      <c r="G32" s="1976"/>
      <c r="H32" s="1976"/>
      <c r="I32" s="364"/>
    </row>
    <row r="33" spans="2:15" ht="66.75" customHeight="1">
      <c r="B33" s="368" t="s">
        <v>35</v>
      </c>
      <c r="C33" s="369"/>
      <c r="D33" s="1975" t="s">
        <v>261</v>
      </c>
      <c r="E33" s="1976"/>
      <c r="F33" s="1976"/>
      <c r="G33" s="1976"/>
      <c r="H33" s="1976"/>
      <c r="I33" s="364"/>
    </row>
    <row r="34" spans="2:15" ht="36" customHeight="1">
      <c r="B34" s="368" t="s">
        <v>34</v>
      </c>
      <c r="C34" s="369"/>
      <c r="D34" s="1975" t="s">
        <v>262</v>
      </c>
      <c r="E34" s="1976"/>
      <c r="F34" s="1976"/>
      <c r="G34" s="1976"/>
      <c r="H34" s="1976"/>
      <c r="I34" s="364"/>
    </row>
    <row r="35" spans="2:15">
      <c r="B35" s="367"/>
      <c r="C35" s="363"/>
      <c r="D35" s="363"/>
      <c r="E35" s="370"/>
      <c r="F35" s="370"/>
      <c r="G35" s="370"/>
      <c r="H35" s="370"/>
      <c r="I35" s="364"/>
    </row>
    <row r="36" spans="2:15">
      <c r="B36" s="371" t="s">
        <v>25</v>
      </c>
      <c r="C36" s="363"/>
      <c r="D36" s="1979" t="s">
        <v>42</v>
      </c>
      <c r="E36" s="1980"/>
      <c r="F36" s="1980"/>
      <c r="G36" s="1980"/>
      <c r="H36" s="1980"/>
      <c r="I36" s="364"/>
      <c r="J36" s="352"/>
    </row>
    <row r="37" spans="2:15">
      <c r="B37" s="367"/>
      <c r="C37" s="363"/>
      <c r="D37" s="370"/>
      <c r="E37" s="370"/>
      <c r="F37" s="370"/>
      <c r="G37" s="370"/>
      <c r="H37" s="370"/>
      <c r="I37" s="364"/>
    </row>
    <row r="38" spans="2:15">
      <c r="B38" s="371" t="s">
        <v>8</v>
      </c>
      <c r="C38" s="363"/>
      <c r="D38" s="372" t="s">
        <v>38</v>
      </c>
      <c r="E38" s="370"/>
      <c r="F38" s="370"/>
      <c r="G38" s="370"/>
      <c r="H38" s="370"/>
      <c r="I38" s="364"/>
    </row>
    <row r="39" spans="2:15">
      <c r="B39" s="371" t="s">
        <v>9</v>
      </c>
      <c r="C39" s="363"/>
      <c r="D39" s="373">
        <v>1</v>
      </c>
      <c r="E39" s="370"/>
      <c r="F39" s="370"/>
      <c r="G39" s="370"/>
      <c r="H39" s="370"/>
      <c r="I39" s="364"/>
    </row>
    <row r="40" spans="2:15">
      <c r="B40" s="371" t="s">
        <v>10</v>
      </c>
      <c r="C40" s="370"/>
      <c r="D40" s="374">
        <v>0.05</v>
      </c>
      <c r="E40" s="375"/>
      <c r="F40" s="370"/>
      <c r="G40" s="370"/>
      <c r="H40" s="370"/>
      <c r="I40" s="376" t="s">
        <v>6</v>
      </c>
    </row>
    <row r="41" spans="2:15">
      <c r="B41" s="377"/>
      <c r="C41" s="370"/>
      <c r="D41" s="370"/>
      <c r="E41" s="370"/>
      <c r="F41" s="370"/>
      <c r="G41" s="370"/>
      <c r="H41" s="370"/>
      <c r="I41" s="378"/>
      <c r="L41" s="379"/>
      <c r="M41" s="379"/>
      <c r="N41" s="380"/>
      <c r="O41" s="380"/>
    </row>
    <row r="42" spans="2:15">
      <c r="B42" s="362" t="s">
        <v>0</v>
      </c>
      <c r="C42" s="370"/>
      <c r="D42" s="370"/>
      <c r="E42" s="370"/>
      <c r="F42" s="370"/>
      <c r="G42" s="370"/>
      <c r="H42" s="370"/>
      <c r="I42" s="381">
        <v>0</v>
      </c>
      <c r="L42" s="379"/>
      <c r="M42" s="379"/>
      <c r="N42" s="380"/>
      <c r="O42" s="380"/>
    </row>
    <row r="43" spans="2:15" ht="14.25" customHeight="1">
      <c r="B43" s="367" t="s">
        <v>39</v>
      </c>
      <c r="C43" s="370"/>
      <c r="D43" s="382"/>
      <c r="E43" s="370"/>
      <c r="F43" s="370"/>
      <c r="G43" s="370"/>
      <c r="H43" s="370"/>
      <c r="I43" s="381"/>
      <c r="L43" s="379"/>
      <c r="M43" s="380"/>
    </row>
    <row r="44" spans="2:15" ht="6" customHeight="1">
      <c r="B44" s="383"/>
      <c r="C44" s="384"/>
      <c r="D44" s="385"/>
      <c r="E44" s="370"/>
      <c r="F44" s="370"/>
      <c r="G44" s="370"/>
      <c r="H44" s="370"/>
      <c r="I44" s="381"/>
      <c r="L44" s="379"/>
      <c r="M44" s="380"/>
    </row>
    <row r="45" spans="2:15">
      <c r="B45" s="362" t="s">
        <v>2</v>
      </c>
      <c r="C45" s="370"/>
      <c r="D45" s="386"/>
      <c r="E45" s="370"/>
      <c r="F45" s="370"/>
      <c r="G45" s="370"/>
      <c r="H45" s="370"/>
      <c r="I45" s="381">
        <v>0</v>
      </c>
      <c r="L45" s="379"/>
      <c r="M45" s="380"/>
    </row>
    <row r="46" spans="2:15" ht="12.75" customHeight="1">
      <c r="B46" s="1981" t="s">
        <v>39</v>
      </c>
      <c r="C46" s="1978"/>
      <c r="D46" s="1978"/>
      <c r="E46" s="1978"/>
      <c r="F46" s="1978"/>
      <c r="G46" s="1978"/>
      <c r="H46" s="1978"/>
      <c r="I46" s="381"/>
      <c r="L46" s="379"/>
      <c r="M46" s="380"/>
    </row>
    <row r="47" spans="2:15" ht="6" customHeight="1">
      <c r="B47" s="387"/>
      <c r="C47" s="370"/>
      <c r="D47" s="370"/>
      <c r="E47" s="388"/>
      <c r="F47" s="388"/>
      <c r="G47" s="388"/>
      <c r="H47" s="370"/>
      <c r="I47" s="381"/>
      <c r="L47" s="379"/>
      <c r="M47" s="380"/>
    </row>
    <row r="48" spans="2:15" ht="4.5" customHeight="1">
      <c r="B48" s="362"/>
      <c r="C48" s="370"/>
      <c r="D48" s="370"/>
      <c r="E48" s="370"/>
      <c r="F48" s="370"/>
      <c r="G48" s="389"/>
      <c r="H48" s="390"/>
      <c r="I48" s="381"/>
      <c r="L48" s="379"/>
      <c r="M48" s="380"/>
    </row>
    <row r="49" spans="2:15">
      <c r="B49" s="362" t="s">
        <v>3</v>
      </c>
      <c r="C49" s="370"/>
      <c r="D49" s="370"/>
      <c r="E49" s="370"/>
      <c r="F49" s="370"/>
      <c r="G49" s="370"/>
      <c r="H49" s="370"/>
      <c r="I49" s="381">
        <f>$H$56</f>
        <v>2574</v>
      </c>
      <c r="L49" s="379"/>
      <c r="M49" s="380"/>
    </row>
    <row r="50" spans="2:15" ht="24.75" customHeight="1">
      <c r="B50" s="1981" t="s">
        <v>211</v>
      </c>
      <c r="C50" s="1978"/>
      <c r="D50" s="1978"/>
      <c r="E50" s="1978"/>
      <c r="F50" s="1978"/>
      <c r="G50" s="1978"/>
      <c r="H50" s="1978"/>
      <c r="I50" s="381"/>
      <c r="L50" s="379"/>
      <c r="M50" s="380"/>
    </row>
    <row r="51" spans="2:15" ht="12.75" customHeight="1">
      <c r="B51" s="391"/>
      <c r="C51" s="392"/>
      <c r="D51" s="393" t="s">
        <v>212</v>
      </c>
      <c r="E51" s="394" t="s">
        <v>46</v>
      </c>
      <c r="F51" s="394" t="s">
        <v>6</v>
      </c>
      <c r="G51" s="394" t="s">
        <v>47</v>
      </c>
      <c r="H51" s="394" t="s">
        <v>48</v>
      </c>
      <c r="I51" s="381"/>
      <c r="L51" s="379"/>
      <c r="M51" s="380"/>
    </row>
    <row r="52" spans="2:15" ht="12.75" customHeight="1">
      <c r="B52" s="391"/>
      <c r="C52" s="366"/>
      <c r="D52" s="366" t="s">
        <v>213</v>
      </c>
      <c r="E52" s="395" t="s">
        <v>49</v>
      </c>
      <c r="F52" s="396">
        <v>71</v>
      </c>
      <c r="G52" s="366">
        <v>1</v>
      </c>
      <c r="H52" s="396">
        <f>F52*G52</f>
        <v>71</v>
      </c>
      <c r="I52" s="381"/>
      <c r="L52" s="379"/>
      <c r="M52" s="380"/>
    </row>
    <row r="53" spans="2:15" ht="12.75" customHeight="1">
      <c r="B53" s="391"/>
      <c r="C53" s="366"/>
      <c r="D53" s="366" t="s">
        <v>214</v>
      </c>
      <c r="E53" s="395" t="s">
        <v>49</v>
      </c>
      <c r="F53" s="396">
        <v>87</v>
      </c>
      <c r="G53" s="366">
        <v>8.5</v>
      </c>
      <c r="H53" s="396">
        <f>F53*G53</f>
        <v>739.5</v>
      </c>
      <c r="I53" s="381"/>
      <c r="L53" s="379"/>
      <c r="M53" s="380"/>
    </row>
    <row r="54" spans="2:15" ht="12.75" customHeight="1">
      <c r="B54" s="391"/>
      <c r="C54" s="366"/>
      <c r="D54" s="366" t="s">
        <v>215</v>
      </c>
      <c r="E54" s="395" t="s">
        <v>49</v>
      </c>
      <c r="F54" s="396">
        <v>149</v>
      </c>
      <c r="G54" s="366">
        <v>6.5</v>
      </c>
      <c r="H54" s="396">
        <f>F54*G54</f>
        <v>968.5</v>
      </c>
      <c r="I54" s="381"/>
      <c r="L54" s="379"/>
      <c r="M54" s="380"/>
    </row>
    <row r="55" spans="2:15" ht="12.75" customHeight="1">
      <c r="B55" s="391"/>
      <c r="C55" s="366"/>
      <c r="D55" s="366" t="s">
        <v>216</v>
      </c>
      <c r="E55" s="395" t="s">
        <v>49</v>
      </c>
      <c r="F55" s="396">
        <v>159</v>
      </c>
      <c r="G55" s="366">
        <v>5</v>
      </c>
      <c r="H55" s="396">
        <f>F55*G55</f>
        <v>795</v>
      </c>
      <c r="I55" s="381"/>
      <c r="L55" s="379"/>
      <c r="M55" s="380"/>
    </row>
    <row r="56" spans="2:15">
      <c r="B56" s="362" t="s">
        <v>4</v>
      </c>
      <c r="C56" s="370"/>
      <c r="D56" s="370"/>
      <c r="E56" s="370"/>
      <c r="F56" s="370"/>
      <c r="G56" s="370">
        <f>SUM(G52:G55)</f>
        <v>21</v>
      </c>
      <c r="H56" s="397">
        <f>SUM(H52:H55)</f>
        <v>2574</v>
      </c>
      <c r="I56" s="398">
        <v>0</v>
      </c>
      <c r="L56" s="379"/>
      <c r="M56" s="380"/>
    </row>
    <row r="57" spans="2:15" ht="12" customHeight="1">
      <c r="B57" s="367" t="s">
        <v>39</v>
      </c>
      <c r="C57" s="370"/>
      <c r="D57" s="370"/>
      <c r="E57" s="370"/>
      <c r="F57" s="370"/>
      <c r="G57" s="370"/>
      <c r="H57" s="370"/>
      <c r="I57" s="364"/>
      <c r="L57" s="379"/>
      <c r="M57" s="380"/>
    </row>
    <row r="58" spans="2:15" ht="5.25" customHeight="1">
      <c r="B58" s="367"/>
      <c r="C58" s="370"/>
      <c r="D58" s="370"/>
      <c r="E58" s="370"/>
      <c r="F58" s="370"/>
      <c r="G58" s="370"/>
      <c r="H58" s="370"/>
      <c r="I58" s="364"/>
      <c r="L58" s="379"/>
      <c r="M58" s="380"/>
    </row>
    <row r="59" spans="2:15">
      <c r="B59" s="362" t="s">
        <v>26</v>
      </c>
      <c r="C59" s="370"/>
      <c r="D59" s="370"/>
      <c r="E59" s="370"/>
      <c r="F59" s="370"/>
      <c r="G59" s="370"/>
      <c r="H59" s="370"/>
      <c r="I59" s="381">
        <v>0</v>
      </c>
      <c r="L59" s="379"/>
      <c r="M59" s="380"/>
    </row>
    <row r="60" spans="2:15" ht="14.25" customHeight="1">
      <c r="B60" s="1981" t="s">
        <v>39</v>
      </c>
      <c r="C60" s="1982"/>
      <c r="D60" s="1982"/>
      <c r="E60" s="1982"/>
      <c r="F60" s="1982"/>
      <c r="G60" s="1982"/>
      <c r="H60" s="1982"/>
      <c r="I60" s="398"/>
      <c r="L60" s="379"/>
      <c r="M60" s="380"/>
    </row>
    <row r="61" spans="2:15" ht="12" customHeight="1">
      <c r="B61" s="1983"/>
      <c r="C61" s="1984"/>
      <c r="D61" s="1984"/>
      <c r="E61" s="1984"/>
      <c r="F61" s="1984"/>
      <c r="G61" s="1984"/>
      <c r="H61" s="370"/>
      <c r="I61" s="398"/>
      <c r="L61" s="379"/>
      <c r="M61" s="380"/>
    </row>
    <row r="62" spans="2:15" ht="9.75" customHeight="1">
      <c r="B62" s="367"/>
      <c r="C62" s="370"/>
      <c r="D62" s="370"/>
      <c r="E62" s="370"/>
      <c r="F62" s="370"/>
      <c r="G62" s="370"/>
      <c r="H62" s="370"/>
      <c r="I62" s="364"/>
      <c r="L62" s="379"/>
      <c r="M62" s="379"/>
    </row>
    <row r="63" spans="2:15">
      <c r="B63" s="362" t="s">
        <v>7</v>
      </c>
      <c r="C63" s="370"/>
      <c r="D63" s="370"/>
      <c r="E63" s="370"/>
      <c r="F63" s="370"/>
      <c r="G63" s="370"/>
      <c r="H63" s="370"/>
      <c r="I63" s="381">
        <v>0</v>
      </c>
      <c r="L63" s="379"/>
      <c r="M63" s="379"/>
      <c r="N63" s="379"/>
      <c r="O63" s="379"/>
    </row>
    <row r="64" spans="2:15" ht="12" customHeight="1">
      <c r="B64" s="367" t="s">
        <v>39</v>
      </c>
      <c r="C64" s="370"/>
      <c r="D64" s="399"/>
      <c r="E64" s="400"/>
      <c r="F64" s="400"/>
      <c r="G64" s="400"/>
      <c r="H64" s="400"/>
      <c r="I64" s="364"/>
      <c r="L64" s="379"/>
      <c r="M64" s="379"/>
      <c r="N64" s="380"/>
      <c r="O64" s="380"/>
    </row>
    <row r="65" spans="2:15" ht="6" customHeight="1">
      <c r="B65" s="367"/>
      <c r="C65" s="370"/>
      <c r="D65" s="370"/>
      <c r="E65" s="370"/>
      <c r="F65" s="370"/>
      <c r="G65" s="370"/>
      <c r="H65" s="370"/>
      <c r="I65" s="364"/>
      <c r="L65" s="379"/>
      <c r="M65" s="379"/>
      <c r="N65" s="401"/>
      <c r="O65" s="401"/>
    </row>
    <row r="66" spans="2:15">
      <c r="B66" s="362" t="s">
        <v>27</v>
      </c>
      <c r="C66" s="370"/>
      <c r="D66" s="370"/>
      <c r="E66" s="370"/>
      <c r="F66" s="370"/>
      <c r="G66" s="370"/>
      <c r="H66" s="370"/>
      <c r="I66" s="381">
        <v>0</v>
      </c>
      <c r="L66" s="379"/>
      <c r="M66" s="379"/>
      <c r="N66" s="380"/>
      <c r="O66" s="380"/>
    </row>
    <row r="67" spans="2:15" ht="13.5" customHeight="1">
      <c r="B67" s="367" t="s">
        <v>39</v>
      </c>
      <c r="C67" s="370"/>
      <c r="D67" s="370"/>
      <c r="E67" s="370"/>
      <c r="F67" s="370"/>
      <c r="G67" s="370"/>
      <c r="H67" s="370"/>
      <c r="I67" s="402"/>
      <c r="L67" s="379"/>
      <c r="M67" s="379"/>
      <c r="N67" s="401"/>
      <c r="O67" s="401"/>
    </row>
    <row r="68" spans="2:15" ht="3.75" customHeight="1">
      <c r="B68" s="367"/>
      <c r="C68" s="370"/>
      <c r="D68" s="370"/>
      <c r="E68" s="370"/>
      <c r="F68" s="370"/>
      <c r="G68" s="370"/>
      <c r="H68" s="370"/>
      <c r="I68" s="364"/>
      <c r="L68" s="379"/>
      <c r="M68" s="379"/>
      <c r="N68" s="380"/>
      <c r="O68" s="380"/>
    </row>
    <row r="69" spans="2:15">
      <c r="B69" s="362" t="s">
        <v>5</v>
      </c>
      <c r="C69" s="370"/>
      <c r="D69" s="370"/>
      <c r="E69" s="370"/>
      <c r="F69" s="370"/>
      <c r="G69" s="370"/>
      <c r="H69" s="370"/>
      <c r="I69" s="381">
        <v>0</v>
      </c>
      <c r="L69" s="379"/>
      <c r="M69" s="379"/>
      <c r="N69" s="380"/>
      <c r="O69" s="380"/>
    </row>
    <row r="70" spans="2:15" ht="11.25" customHeight="1">
      <c r="B70" s="367" t="s">
        <v>39</v>
      </c>
      <c r="C70" s="370"/>
      <c r="D70" s="370"/>
      <c r="E70" s="370"/>
      <c r="F70" s="370"/>
      <c r="G70" s="370"/>
      <c r="H70" s="370"/>
      <c r="I70" s="402"/>
      <c r="L70" s="379"/>
      <c r="M70" s="379"/>
      <c r="N70" s="379"/>
      <c r="O70" s="379"/>
    </row>
    <row r="71" spans="2:15" ht="4.5" customHeight="1">
      <c r="B71" s="367"/>
      <c r="C71" s="370"/>
      <c r="D71" s="370"/>
      <c r="E71" s="370"/>
      <c r="F71" s="370"/>
      <c r="G71" s="370"/>
      <c r="H71" s="370"/>
      <c r="I71" s="364"/>
      <c r="L71" s="379"/>
      <c r="M71" s="379"/>
      <c r="N71" s="379"/>
      <c r="O71" s="379"/>
    </row>
    <row r="72" spans="2:15">
      <c r="B72" s="362" t="s">
        <v>20</v>
      </c>
      <c r="C72" s="370"/>
      <c r="D72" s="370"/>
      <c r="E72" s="370"/>
      <c r="F72" s="370"/>
      <c r="G72" s="370"/>
      <c r="H72" s="370"/>
      <c r="I72" s="381">
        <v>0</v>
      </c>
      <c r="L72" s="379"/>
      <c r="M72" s="379"/>
      <c r="N72" s="380"/>
      <c r="O72" s="380"/>
    </row>
    <row r="73" spans="2:15" ht="12" customHeight="1">
      <c r="B73" s="367" t="s">
        <v>39</v>
      </c>
      <c r="C73" s="370"/>
      <c r="D73" s="370"/>
      <c r="E73" s="370"/>
      <c r="F73" s="370"/>
      <c r="G73" s="370"/>
      <c r="H73" s="370"/>
      <c r="I73" s="381"/>
      <c r="L73" s="379"/>
      <c r="M73" s="379"/>
      <c r="N73" s="380"/>
      <c r="O73" s="380"/>
    </row>
    <row r="74" spans="2:15" ht="6.75" customHeight="1">
      <c r="B74" s="362"/>
      <c r="C74" s="370"/>
      <c r="D74" s="370"/>
      <c r="E74" s="370"/>
      <c r="F74" s="370"/>
      <c r="G74" s="370"/>
      <c r="H74" s="370"/>
      <c r="I74" s="381"/>
      <c r="L74" s="379"/>
      <c r="M74" s="379"/>
      <c r="N74" s="380"/>
      <c r="O74" s="380"/>
    </row>
    <row r="75" spans="2:15" ht="5.25" customHeight="1">
      <c r="B75" s="377"/>
      <c r="C75" s="370"/>
      <c r="D75" s="370"/>
      <c r="E75" s="370"/>
      <c r="F75" s="370"/>
      <c r="G75" s="370"/>
      <c r="H75" s="370"/>
      <c r="I75" s="364"/>
      <c r="L75" s="379"/>
      <c r="M75" s="379"/>
      <c r="N75" s="379"/>
      <c r="O75" s="379"/>
    </row>
    <row r="76" spans="2:15">
      <c r="B76" s="403" t="s">
        <v>11</v>
      </c>
      <c r="C76" s="404"/>
      <c r="D76" s="404"/>
      <c r="E76" s="404"/>
      <c r="F76" s="404"/>
      <c r="G76" s="404"/>
      <c r="H76" s="404"/>
      <c r="I76" s="405">
        <f>+I72+I69+I66+I63+I59+I56+I49+I45+I42</f>
        <v>2574</v>
      </c>
      <c r="L76" s="379"/>
      <c r="M76" s="379"/>
      <c r="N76" s="379"/>
      <c r="O76" s="379"/>
    </row>
    <row r="99" spans="5:5">
      <c r="E99" s="406"/>
    </row>
    <row r="100" spans="5:5">
      <c r="E100" s="406"/>
    </row>
    <row r="101" spans="5:5">
      <c r="E101" s="406"/>
    </row>
    <row r="102" spans="5:5">
      <c r="E102" s="406"/>
    </row>
    <row r="103" spans="5:5">
      <c r="E103" s="406"/>
    </row>
    <row r="104" spans="5:5">
      <c r="E104" s="406"/>
    </row>
    <row r="106" spans="5:5">
      <c r="E106" s="406"/>
    </row>
    <row r="108" spans="5:5">
      <c r="E108" s="407"/>
    </row>
    <row r="110" spans="5:5">
      <c r="E110" s="406"/>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6.xml><?xml version="1.0" encoding="utf-8"?>
<worksheet xmlns="http://schemas.openxmlformats.org/spreadsheetml/2006/main" xmlns:r="http://schemas.openxmlformats.org/officeDocument/2006/relationships">
  <dimension ref="B1:P110"/>
  <sheetViews>
    <sheetView zoomScaleNormal="100" workbookViewId="0">
      <selection activeCell="D23" sqref="D23"/>
    </sheetView>
  </sheetViews>
  <sheetFormatPr defaultRowHeight="12.75"/>
  <cols>
    <col min="1" max="1" width="2.85546875" style="298" customWidth="1"/>
    <col min="2" max="2" width="11.5703125" style="298" customWidth="1"/>
    <col min="3" max="3" width="18.7109375" style="298" customWidth="1"/>
    <col min="4" max="4" width="23.5703125" style="298" customWidth="1"/>
    <col min="5" max="5" width="20.5703125" style="298" customWidth="1"/>
    <col min="6" max="6" width="10.85546875" style="298" customWidth="1"/>
    <col min="7" max="7" width="10.42578125" style="298" customWidth="1"/>
    <col min="8" max="8" width="9.140625" style="298" bestFit="1" customWidth="1"/>
    <col min="9" max="9" width="9.85546875" style="298" customWidth="1"/>
    <col min="10" max="10" width="2.85546875" style="298" customWidth="1"/>
    <col min="11" max="11" width="8.140625" style="298" customWidth="1"/>
    <col min="12" max="12" width="8.42578125" style="298" customWidth="1"/>
    <col min="13" max="14" width="9.140625" style="298"/>
    <col min="15" max="16" width="9" style="298" bestFit="1" customWidth="1"/>
    <col min="17" max="16384" width="9.140625" style="298"/>
  </cols>
  <sheetData>
    <row r="1" spans="2:10" s="295" customFormat="1">
      <c r="B1" s="294" t="s">
        <v>36</v>
      </c>
      <c r="C1" s="294" t="s">
        <v>37</v>
      </c>
      <c r="D1" s="294" t="s">
        <v>29</v>
      </c>
      <c r="E1" s="294" t="s">
        <v>30</v>
      </c>
    </row>
    <row r="2" spans="2:10" ht="38.25">
      <c r="B2" s="296" t="s">
        <v>42</v>
      </c>
      <c r="C2" s="295">
        <v>124</v>
      </c>
      <c r="D2" s="297" t="s">
        <v>254</v>
      </c>
      <c r="E2" s="297" t="s">
        <v>274</v>
      </c>
    </row>
    <row r="3" spans="2:10" ht="15.75">
      <c r="B3" s="299" t="s">
        <v>17</v>
      </c>
      <c r="E3" s="300"/>
    </row>
    <row r="4" spans="2:10">
      <c r="B4" s="301" t="s">
        <v>1</v>
      </c>
      <c r="C4" s="302" t="s">
        <v>21</v>
      </c>
      <c r="D4" s="303"/>
      <c r="E4" s="304"/>
      <c r="F4" s="303"/>
      <c r="G4" s="305" t="s">
        <v>12</v>
      </c>
      <c r="H4" s="306"/>
      <c r="I4" s="306"/>
      <c r="J4" s="307"/>
    </row>
    <row r="5" spans="2:10" ht="25.5">
      <c r="B5" s="308" t="s">
        <v>13</v>
      </c>
      <c r="C5" s="309" t="s">
        <v>22</v>
      </c>
      <c r="D5" s="309" t="s">
        <v>29</v>
      </c>
      <c r="E5" s="310" t="s">
        <v>30</v>
      </c>
      <c r="F5" s="309" t="s">
        <v>23</v>
      </c>
      <c r="G5" s="311" t="s">
        <v>14</v>
      </c>
      <c r="H5" s="312"/>
      <c r="I5" s="312"/>
      <c r="J5" s="307"/>
    </row>
    <row r="6" spans="2:10" ht="38.25">
      <c r="B6" s="313">
        <v>124</v>
      </c>
      <c r="C6" s="314" t="str">
        <f>+E10</f>
        <v>EQIP</v>
      </c>
      <c r="D6" s="315" t="s">
        <v>254</v>
      </c>
      <c r="E6" s="316" t="s">
        <v>274</v>
      </c>
      <c r="F6" s="314" t="s">
        <v>38</v>
      </c>
      <c r="G6" s="317">
        <f>G23</f>
        <v>2499.75</v>
      </c>
      <c r="H6" s="318"/>
      <c r="I6" s="318"/>
      <c r="J6" s="307"/>
    </row>
    <row r="7" spans="2:10" ht="38.25">
      <c r="B7" s="319">
        <v>124</v>
      </c>
      <c r="C7" s="320" t="s">
        <v>15</v>
      </c>
      <c r="D7" s="321" t="s">
        <v>256</v>
      </c>
      <c r="E7" s="322" t="s">
        <v>275</v>
      </c>
      <c r="F7" s="320" t="s">
        <v>38</v>
      </c>
      <c r="G7" s="323">
        <f>$H$23</f>
        <v>2999.7000000000003</v>
      </c>
      <c r="H7" s="318"/>
      <c r="I7" s="307"/>
      <c r="J7" s="307"/>
    </row>
    <row r="8" spans="2:10" ht="14.25" customHeight="1">
      <c r="B8" s="324"/>
      <c r="C8" s="325"/>
      <c r="D8" s="325"/>
      <c r="G8" s="307"/>
      <c r="H8" s="307"/>
      <c r="I8" s="307"/>
      <c r="J8" s="307"/>
    </row>
    <row r="9" spans="2:10" ht="15.75">
      <c r="B9" s="299" t="s">
        <v>18</v>
      </c>
      <c r="C9" s="325"/>
      <c r="D9" s="325"/>
      <c r="G9" s="307"/>
      <c r="H9" s="307"/>
      <c r="I9" s="307"/>
      <c r="J9" s="307"/>
    </row>
    <row r="10" spans="2:10">
      <c r="B10" s="326"/>
      <c r="C10" s="327"/>
      <c r="D10" s="328"/>
      <c r="E10" s="329" t="s">
        <v>15</v>
      </c>
      <c r="F10" s="329" t="s">
        <v>31</v>
      </c>
      <c r="G10" s="329"/>
      <c r="H10" s="330"/>
    </row>
    <row r="11" spans="2:10">
      <c r="B11" s="331"/>
      <c r="C11" s="332"/>
      <c r="D11" s="333"/>
      <c r="E11" s="334" t="s">
        <v>22</v>
      </c>
      <c r="F11" s="334" t="s">
        <v>22</v>
      </c>
      <c r="G11" s="334" t="str">
        <f>+E10</f>
        <v>EQIP</v>
      </c>
      <c r="H11" s="335" t="str">
        <f>+F10</f>
        <v>EQIP-HU</v>
      </c>
    </row>
    <row r="12" spans="2:10">
      <c r="B12" s="336"/>
      <c r="C12" s="333"/>
      <c r="D12" s="333"/>
      <c r="E12" s="334" t="s">
        <v>12</v>
      </c>
      <c r="F12" s="334" t="s">
        <v>12</v>
      </c>
      <c r="G12" s="334" t="s">
        <v>12</v>
      </c>
      <c r="H12" s="335" t="s">
        <v>12</v>
      </c>
    </row>
    <row r="13" spans="2:10">
      <c r="B13" s="337" t="s">
        <v>16</v>
      </c>
      <c r="C13" s="333"/>
      <c r="D13" s="338" t="s">
        <v>6</v>
      </c>
      <c r="E13" s="339" t="s">
        <v>24</v>
      </c>
      <c r="F13" s="339" t="s">
        <v>24</v>
      </c>
      <c r="G13" s="339" t="s">
        <v>14</v>
      </c>
      <c r="H13" s="340" t="s">
        <v>14</v>
      </c>
    </row>
    <row r="14" spans="2:10">
      <c r="B14" s="331" t="s">
        <v>0</v>
      </c>
      <c r="C14" s="333"/>
      <c r="D14" s="341">
        <v>0</v>
      </c>
      <c r="E14" s="342">
        <v>0</v>
      </c>
      <c r="F14" s="342">
        <v>0</v>
      </c>
      <c r="G14" s="343">
        <f>+$D14*E14</f>
        <v>0</v>
      </c>
      <c r="H14" s="344">
        <f>+$D14*F14</f>
        <v>0</v>
      </c>
    </row>
    <row r="15" spans="2:10">
      <c r="B15" s="331" t="s">
        <v>2</v>
      </c>
      <c r="C15" s="333"/>
      <c r="D15" s="341">
        <v>0</v>
      </c>
      <c r="E15" s="342">
        <v>0</v>
      </c>
      <c r="F15" s="342">
        <v>0</v>
      </c>
      <c r="G15" s="343">
        <f t="shared" ref="G15:H22" si="0">+$D15*E15</f>
        <v>0</v>
      </c>
      <c r="H15" s="344">
        <f t="shared" si="0"/>
        <v>0</v>
      </c>
    </row>
    <row r="16" spans="2:10">
      <c r="B16" s="331" t="s">
        <v>3</v>
      </c>
      <c r="C16" s="333"/>
      <c r="D16" s="341">
        <f>I49</f>
        <v>3333</v>
      </c>
      <c r="E16" s="342">
        <v>0.75</v>
      </c>
      <c r="F16" s="342">
        <v>0.9</v>
      </c>
      <c r="G16" s="343">
        <f t="shared" si="0"/>
        <v>2499.75</v>
      </c>
      <c r="H16" s="344">
        <f t="shared" si="0"/>
        <v>2999.7000000000003</v>
      </c>
    </row>
    <row r="17" spans="2:16">
      <c r="B17" s="331" t="s">
        <v>4</v>
      </c>
      <c r="C17" s="333"/>
      <c r="D17" s="341">
        <v>0</v>
      </c>
      <c r="E17" s="342">
        <v>0</v>
      </c>
      <c r="F17" s="342">
        <v>0</v>
      </c>
      <c r="G17" s="343">
        <f t="shared" si="0"/>
        <v>0</v>
      </c>
      <c r="H17" s="344">
        <f t="shared" si="0"/>
        <v>0</v>
      </c>
    </row>
    <row r="18" spans="2:16">
      <c r="B18" s="331" t="s">
        <v>26</v>
      </c>
      <c r="C18" s="333"/>
      <c r="D18" s="341">
        <v>0</v>
      </c>
      <c r="E18" s="342">
        <v>0</v>
      </c>
      <c r="F18" s="342">
        <v>0</v>
      </c>
      <c r="G18" s="343">
        <f t="shared" si="0"/>
        <v>0</v>
      </c>
      <c r="H18" s="344">
        <f t="shared" si="0"/>
        <v>0</v>
      </c>
    </row>
    <row r="19" spans="2:16">
      <c r="B19" s="331" t="s">
        <v>7</v>
      </c>
      <c r="C19" s="333"/>
      <c r="D19" s="341">
        <f>I63</f>
        <v>0</v>
      </c>
      <c r="E19" s="342">
        <v>0.75</v>
      </c>
      <c r="F19" s="342">
        <v>0.9</v>
      </c>
      <c r="G19" s="343">
        <f t="shared" si="0"/>
        <v>0</v>
      </c>
      <c r="H19" s="344">
        <f t="shared" si="0"/>
        <v>0</v>
      </c>
    </row>
    <row r="20" spans="2:16">
      <c r="B20" s="331" t="s">
        <v>27</v>
      </c>
      <c r="C20" s="333"/>
      <c r="D20" s="341">
        <v>0</v>
      </c>
      <c r="E20" s="342">
        <v>0</v>
      </c>
      <c r="F20" s="342">
        <v>0</v>
      </c>
      <c r="G20" s="343">
        <f t="shared" si="0"/>
        <v>0</v>
      </c>
      <c r="H20" s="344">
        <f t="shared" si="0"/>
        <v>0</v>
      </c>
    </row>
    <row r="21" spans="2:16">
      <c r="B21" s="331" t="s">
        <v>5</v>
      </c>
      <c r="C21" s="333"/>
      <c r="D21" s="341">
        <v>0</v>
      </c>
      <c r="E21" s="342">
        <v>0</v>
      </c>
      <c r="F21" s="342">
        <v>0</v>
      </c>
      <c r="G21" s="343">
        <f t="shared" si="0"/>
        <v>0</v>
      </c>
      <c r="H21" s="344">
        <f t="shared" si="0"/>
        <v>0</v>
      </c>
    </row>
    <row r="22" spans="2:16">
      <c r="B22" s="331" t="s">
        <v>20</v>
      </c>
      <c r="C22" s="333"/>
      <c r="D22" s="341">
        <v>0</v>
      </c>
      <c r="E22" s="342">
        <v>0</v>
      </c>
      <c r="F22" s="342">
        <v>0</v>
      </c>
      <c r="G22" s="345">
        <f t="shared" si="0"/>
        <v>0</v>
      </c>
      <c r="H22" s="346">
        <f t="shared" si="0"/>
        <v>0</v>
      </c>
    </row>
    <row r="23" spans="2:16">
      <c r="B23" s="347" t="s">
        <v>19</v>
      </c>
      <c r="C23" s="348"/>
      <c r="D23" s="349">
        <f>SUM(D14:D22)</f>
        <v>3333</v>
      </c>
      <c r="E23" s="350"/>
      <c r="F23" s="350"/>
      <c r="G23" s="349">
        <f t="shared" ref="G23:H23" si="1">SUM(G14:G22)</f>
        <v>2499.75</v>
      </c>
      <c r="H23" s="351">
        <f t="shared" si="1"/>
        <v>2999.7000000000003</v>
      </c>
    </row>
    <row r="24" spans="2:16" s="355" customFormat="1" ht="5.25" customHeight="1">
      <c r="B24" s="352"/>
      <c r="C24" s="352"/>
      <c r="D24" s="353"/>
      <c r="E24" s="354"/>
      <c r="F24" s="354"/>
      <c r="G24" s="354"/>
      <c r="H24" s="354"/>
      <c r="I24" s="354"/>
      <c r="J24" s="354"/>
      <c r="K24" s="353"/>
      <c r="L24" s="353"/>
      <c r="M24" s="353"/>
      <c r="N24" s="353"/>
      <c r="O24" s="353"/>
      <c r="P24" s="353"/>
    </row>
    <row r="25" spans="2:16" ht="5.25" customHeight="1"/>
    <row r="26" spans="2:16" ht="15.75">
      <c r="B26" s="356" t="s">
        <v>28</v>
      </c>
      <c r="I26" s="357"/>
    </row>
    <row r="27" spans="2:16">
      <c r="B27" s="358" t="s">
        <v>32</v>
      </c>
      <c r="C27" s="359"/>
      <c r="D27" s="359"/>
      <c r="E27" s="360"/>
      <c r="F27" s="360"/>
      <c r="G27" s="360"/>
      <c r="H27" s="360"/>
      <c r="I27" s="361"/>
    </row>
    <row r="28" spans="2:16" ht="27" customHeight="1">
      <c r="B28" s="362"/>
      <c r="C28" s="363"/>
      <c r="D28" s="1977" t="s">
        <v>276</v>
      </c>
      <c r="E28" s="1978"/>
      <c r="F28" s="1978"/>
      <c r="G28" s="1978"/>
      <c r="H28" s="1978"/>
      <c r="I28" s="364"/>
    </row>
    <row r="29" spans="2:16">
      <c r="B29" s="362"/>
      <c r="C29" s="363"/>
      <c r="D29" s="365"/>
      <c r="E29" s="366"/>
      <c r="F29" s="366"/>
      <c r="G29" s="366"/>
      <c r="H29" s="366"/>
      <c r="I29" s="364"/>
    </row>
    <row r="30" spans="2:16">
      <c r="B30" s="367" t="s">
        <v>41</v>
      </c>
      <c r="C30" s="363"/>
      <c r="D30" s="1975" t="s">
        <v>206</v>
      </c>
      <c r="E30" s="1976"/>
      <c r="F30" s="1976"/>
      <c r="G30" s="1976"/>
      <c r="H30" s="1976"/>
      <c r="I30" s="364"/>
    </row>
    <row r="31" spans="2:16">
      <c r="B31" s="368" t="s">
        <v>40</v>
      </c>
      <c r="C31" s="363"/>
      <c r="D31" s="1975" t="s">
        <v>277</v>
      </c>
      <c r="E31" s="1976"/>
      <c r="F31" s="1976"/>
      <c r="G31" s="1976"/>
      <c r="H31" s="1976"/>
      <c r="I31" s="364"/>
    </row>
    <row r="32" spans="2:16" ht="128.25" customHeight="1">
      <c r="B32" s="368" t="s">
        <v>33</v>
      </c>
      <c r="C32" s="369"/>
      <c r="D32" s="1975" t="s">
        <v>278</v>
      </c>
      <c r="E32" s="1976"/>
      <c r="F32" s="1976"/>
      <c r="G32" s="1976"/>
      <c r="H32" s="1976"/>
      <c r="I32" s="364"/>
    </row>
    <row r="33" spans="2:15" ht="66.75" customHeight="1">
      <c r="B33" s="368" t="s">
        <v>35</v>
      </c>
      <c r="C33" s="369"/>
      <c r="D33" s="1975" t="s">
        <v>261</v>
      </c>
      <c r="E33" s="1976"/>
      <c r="F33" s="1976"/>
      <c r="G33" s="1976"/>
      <c r="H33" s="1976"/>
      <c r="I33" s="364"/>
    </row>
    <row r="34" spans="2:15" ht="36" customHeight="1">
      <c r="B34" s="368" t="s">
        <v>34</v>
      </c>
      <c r="C34" s="369"/>
      <c r="D34" s="1975" t="s">
        <v>262</v>
      </c>
      <c r="E34" s="1976"/>
      <c r="F34" s="1976"/>
      <c r="G34" s="1976"/>
      <c r="H34" s="1976"/>
      <c r="I34" s="364"/>
    </row>
    <row r="35" spans="2:15">
      <c r="B35" s="367"/>
      <c r="C35" s="363"/>
      <c r="D35" s="363"/>
      <c r="E35" s="370"/>
      <c r="F35" s="370"/>
      <c r="G35" s="370"/>
      <c r="H35" s="370"/>
      <c r="I35" s="364"/>
    </row>
    <row r="36" spans="2:15">
      <c r="B36" s="371" t="s">
        <v>25</v>
      </c>
      <c r="C36" s="363"/>
      <c r="D36" s="1979" t="s">
        <v>42</v>
      </c>
      <c r="E36" s="1980"/>
      <c r="F36" s="1980"/>
      <c r="G36" s="1980"/>
      <c r="H36" s="1980"/>
      <c r="I36" s="364"/>
      <c r="J36" s="352"/>
    </row>
    <row r="37" spans="2:15">
      <c r="B37" s="367"/>
      <c r="C37" s="363"/>
      <c r="D37" s="370"/>
      <c r="E37" s="370"/>
      <c r="F37" s="370"/>
      <c r="G37" s="370"/>
      <c r="H37" s="370"/>
      <c r="I37" s="364"/>
    </row>
    <row r="38" spans="2:15">
      <c r="B38" s="371" t="s">
        <v>8</v>
      </c>
      <c r="C38" s="363"/>
      <c r="D38" s="372" t="s">
        <v>38</v>
      </c>
      <c r="E38" s="370"/>
      <c r="F38" s="370"/>
      <c r="G38" s="370"/>
      <c r="H38" s="370"/>
      <c r="I38" s="364"/>
    </row>
    <row r="39" spans="2:15">
      <c r="B39" s="371" t="s">
        <v>9</v>
      </c>
      <c r="C39" s="363"/>
      <c r="D39" s="373">
        <v>1</v>
      </c>
      <c r="E39" s="370"/>
      <c r="F39" s="370"/>
      <c r="G39" s="370"/>
      <c r="H39" s="370"/>
      <c r="I39" s="364"/>
    </row>
    <row r="40" spans="2:15">
      <c r="B40" s="371" t="s">
        <v>10</v>
      </c>
      <c r="C40" s="370"/>
      <c r="D40" s="374">
        <v>0.05</v>
      </c>
      <c r="E40" s="375"/>
      <c r="F40" s="370"/>
      <c r="G40" s="370"/>
      <c r="H40" s="370"/>
      <c r="I40" s="376" t="s">
        <v>6</v>
      </c>
    </row>
    <row r="41" spans="2:15">
      <c r="B41" s="377"/>
      <c r="C41" s="370"/>
      <c r="D41" s="370"/>
      <c r="E41" s="370"/>
      <c r="F41" s="370"/>
      <c r="G41" s="370"/>
      <c r="H41" s="370"/>
      <c r="I41" s="378"/>
      <c r="L41" s="379"/>
      <c r="M41" s="379"/>
      <c r="N41" s="380"/>
      <c r="O41" s="380"/>
    </row>
    <row r="42" spans="2:15">
      <c r="B42" s="362" t="s">
        <v>0</v>
      </c>
      <c r="C42" s="370"/>
      <c r="D42" s="370"/>
      <c r="E42" s="370"/>
      <c r="F42" s="370"/>
      <c r="G42" s="370"/>
      <c r="H42" s="370"/>
      <c r="I42" s="381">
        <v>0</v>
      </c>
      <c r="L42" s="379"/>
      <c r="M42" s="379"/>
      <c r="N42" s="380"/>
      <c r="O42" s="380"/>
    </row>
    <row r="43" spans="2:15" ht="14.25" customHeight="1">
      <c r="B43" s="367" t="s">
        <v>39</v>
      </c>
      <c r="C43" s="370"/>
      <c r="D43" s="382"/>
      <c r="E43" s="370"/>
      <c r="F43" s="370"/>
      <c r="G43" s="370"/>
      <c r="H43" s="370"/>
      <c r="I43" s="381"/>
      <c r="L43" s="379"/>
      <c r="M43" s="380"/>
    </row>
    <row r="44" spans="2:15" ht="6" customHeight="1">
      <c r="B44" s="383"/>
      <c r="C44" s="384"/>
      <c r="D44" s="385"/>
      <c r="E44" s="370"/>
      <c r="F44" s="370"/>
      <c r="G44" s="370"/>
      <c r="H44" s="370"/>
      <c r="I44" s="381"/>
      <c r="L44" s="379"/>
      <c r="M44" s="380"/>
    </row>
    <row r="45" spans="2:15">
      <c r="B45" s="362" t="s">
        <v>2</v>
      </c>
      <c r="C45" s="370"/>
      <c r="D45" s="386"/>
      <c r="E45" s="370"/>
      <c r="F45" s="370"/>
      <c r="G45" s="370"/>
      <c r="H45" s="370"/>
      <c r="I45" s="381">
        <v>0</v>
      </c>
      <c r="L45" s="379"/>
      <c r="M45" s="380"/>
    </row>
    <row r="46" spans="2:15" ht="12.75" customHeight="1">
      <c r="B46" s="1981" t="s">
        <v>39</v>
      </c>
      <c r="C46" s="1978"/>
      <c r="D46" s="1978"/>
      <c r="E46" s="1978"/>
      <c r="F46" s="1978"/>
      <c r="G46" s="1978"/>
      <c r="H46" s="1978"/>
      <c r="I46" s="381"/>
      <c r="L46" s="379"/>
      <c r="M46" s="380"/>
    </row>
    <row r="47" spans="2:15" ht="6" customHeight="1">
      <c r="B47" s="387"/>
      <c r="C47" s="370"/>
      <c r="D47" s="370"/>
      <c r="E47" s="388"/>
      <c r="F47" s="388"/>
      <c r="G47" s="388"/>
      <c r="H47" s="370"/>
      <c r="I47" s="381"/>
      <c r="L47" s="379"/>
      <c r="M47" s="380"/>
    </row>
    <row r="48" spans="2:15" ht="4.5" customHeight="1">
      <c r="B48" s="362"/>
      <c r="C48" s="370"/>
      <c r="D48" s="370"/>
      <c r="E48" s="370"/>
      <c r="F48" s="370"/>
      <c r="G48" s="389"/>
      <c r="H48" s="390"/>
      <c r="I48" s="381"/>
      <c r="L48" s="379"/>
      <c r="M48" s="380"/>
    </row>
    <row r="49" spans="2:15">
      <c r="B49" s="362" t="s">
        <v>3</v>
      </c>
      <c r="C49" s="370"/>
      <c r="D49" s="370"/>
      <c r="E49" s="370"/>
      <c r="F49" s="370"/>
      <c r="G49" s="370"/>
      <c r="H49" s="370"/>
      <c r="I49" s="381">
        <f>$H$56</f>
        <v>3333</v>
      </c>
      <c r="L49" s="379"/>
      <c r="M49" s="380"/>
    </row>
    <row r="50" spans="2:15" ht="24.75" customHeight="1">
      <c r="B50" s="1981" t="s">
        <v>211</v>
      </c>
      <c r="C50" s="1978"/>
      <c r="D50" s="1978"/>
      <c r="E50" s="1978"/>
      <c r="F50" s="1978"/>
      <c r="G50" s="1978"/>
      <c r="H50" s="1978"/>
      <c r="I50" s="381"/>
      <c r="L50" s="379"/>
      <c r="M50" s="380"/>
    </row>
    <row r="51" spans="2:15" ht="12.75" customHeight="1">
      <c r="B51" s="391"/>
      <c r="C51" s="392"/>
      <c r="D51" s="393" t="s">
        <v>212</v>
      </c>
      <c r="E51" s="394" t="s">
        <v>46</v>
      </c>
      <c r="F51" s="394" t="s">
        <v>6</v>
      </c>
      <c r="G51" s="394" t="s">
        <v>47</v>
      </c>
      <c r="H51" s="394" t="s">
        <v>48</v>
      </c>
      <c r="I51" s="381"/>
      <c r="L51" s="379"/>
      <c r="M51" s="380"/>
    </row>
    <row r="52" spans="2:15" ht="12.75" customHeight="1">
      <c r="B52" s="391"/>
      <c r="C52" s="366"/>
      <c r="D52" s="366" t="s">
        <v>213</v>
      </c>
      <c r="E52" s="395" t="s">
        <v>49</v>
      </c>
      <c r="F52" s="396">
        <v>71</v>
      </c>
      <c r="G52" s="366">
        <v>1</v>
      </c>
      <c r="H52" s="396">
        <f>F52*G52</f>
        <v>71</v>
      </c>
      <c r="I52" s="381"/>
      <c r="L52" s="379"/>
      <c r="M52" s="380"/>
    </row>
    <row r="53" spans="2:15" ht="12.75" customHeight="1">
      <c r="B53" s="391"/>
      <c r="C53" s="366"/>
      <c r="D53" s="366" t="s">
        <v>214</v>
      </c>
      <c r="E53" s="395" t="s">
        <v>49</v>
      </c>
      <c r="F53" s="396">
        <v>87</v>
      </c>
      <c r="G53" s="366">
        <v>11</v>
      </c>
      <c r="H53" s="396">
        <f>F53*G53</f>
        <v>957</v>
      </c>
      <c r="I53" s="381"/>
      <c r="L53" s="379"/>
      <c r="M53" s="380"/>
    </row>
    <row r="54" spans="2:15" ht="12.75" customHeight="1">
      <c r="B54" s="391"/>
      <c r="C54" s="366"/>
      <c r="D54" s="366" t="s">
        <v>215</v>
      </c>
      <c r="E54" s="395" t="s">
        <v>49</v>
      </c>
      <c r="F54" s="396">
        <v>149</v>
      </c>
      <c r="G54" s="366">
        <v>8</v>
      </c>
      <c r="H54" s="396">
        <f>F54*G54</f>
        <v>1192</v>
      </c>
      <c r="I54" s="381"/>
      <c r="L54" s="379"/>
      <c r="M54" s="380"/>
    </row>
    <row r="55" spans="2:15" ht="12.75" customHeight="1">
      <c r="B55" s="391"/>
      <c r="C55" s="366"/>
      <c r="D55" s="366" t="s">
        <v>216</v>
      </c>
      <c r="E55" s="395" t="s">
        <v>49</v>
      </c>
      <c r="F55" s="396">
        <v>159</v>
      </c>
      <c r="G55" s="366">
        <v>7</v>
      </c>
      <c r="H55" s="396">
        <f>F55*G55</f>
        <v>1113</v>
      </c>
      <c r="I55" s="381"/>
      <c r="L55" s="379"/>
      <c r="M55" s="380"/>
    </row>
    <row r="56" spans="2:15">
      <c r="B56" s="362" t="s">
        <v>4</v>
      </c>
      <c r="C56" s="370"/>
      <c r="D56" s="370"/>
      <c r="E56" s="370"/>
      <c r="F56" s="370"/>
      <c r="G56" s="370">
        <f>SUM(G52:G55)</f>
        <v>27</v>
      </c>
      <c r="H56" s="397">
        <f>SUM(H52:H55)</f>
        <v>3333</v>
      </c>
      <c r="I56" s="398">
        <v>0</v>
      </c>
      <c r="L56" s="379"/>
      <c r="M56" s="380"/>
    </row>
    <row r="57" spans="2:15" ht="12" customHeight="1">
      <c r="B57" s="367" t="s">
        <v>39</v>
      </c>
      <c r="C57" s="370"/>
      <c r="D57" s="370"/>
      <c r="E57" s="370"/>
      <c r="F57" s="370"/>
      <c r="G57" s="370"/>
      <c r="H57" s="370"/>
      <c r="I57" s="364"/>
      <c r="L57" s="379"/>
      <c r="M57" s="380"/>
    </row>
    <row r="58" spans="2:15" ht="5.25" customHeight="1">
      <c r="B58" s="367"/>
      <c r="C58" s="370"/>
      <c r="D58" s="370"/>
      <c r="E58" s="370"/>
      <c r="F58" s="370"/>
      <c r="G58" s="370"/>
      <c r="H58" s="370"/>
      <c r="I58" s="364"/>
      <c r="L58" s="379"/>
      <c r="M58" s="380"/>
    </row>
    <row r="59" spans="2:15">
      <c r="B59" s="362" t="s">
        <v>26</v>
      </c>
      <c r="C59" s="370"/>
      <c r="D59" s="370"/>
      <c r="E59" s="370"/>
      <c r="F59" s="370"/>
      <c r="G59" s="370"/>
      <c r="H59" s="370"/>
      <c r="I59" s="381">
        <v>0</v>
      </c>
      <c r="L59" s="379"/>
      <c r="M59" s="380"/>
    </row>
    <row r="60" spans="2:15" ht="14.25" customHeight="1">
      <c r="B60" s="1981" t="s">
        <v>39</v>
      </c>
      <c r="C60" s="1982"/>
      <c r="D60" s="1982"/>
      <c r="E60" s="1982"/>
      <c r="F60" s="1982"/>
      <c r="G60" s="1982"/>
      <c r="H60" s="1982"/>
      <c r="I60" s="398"/>
      <c r="L60" s="379"/>
      <c r="M60" s="380"/>
    </row>
    <row r="61" spans="2:15" ht="12" customHeight="1">
      <c r="B61" s="1983"/>
      <c r="C61" s="1984"/>
      <c r="D61" s="1984"/>
      <c r="E61" s="1984"/>
      <c r="F61" s="1984"/>
      <c r="G61" s="1984"/>
      <c r="H61" s="370"/>
      <c r="I61" s="398"/>
      <c r="L61" s="379"/>
      <c r="M61" s="380"/>
    </row>
    <row r="62" spans="2:15" ht="9.75" customHeight="1">
      <c r="B62" s="367"/>
      <c r="C62" s="370"/>
      <c r="D62" s="370"/>
      <c r="E62" s="370"/>
      <c r="F62" s="370"/>
      <c r="G62" s="370"/>
      <c r="H62" s="370"/>
      <c r="I62" s="364"/>
      <c r="L62" s="379"/>
      <c r="M62" s="379"/>
    </row>
    <row r="63" spans="2:15">
      <c r="B63" s="362" t="s">
        <v>7</v>
      </c>
      <c r="C63" s="370"/>
      <c r="D63" s="370"/>
      <c r="E63" s="370"/>
      <c r="F63" s="370"/>
      <c r="G63" s="370"/>
      <c r="H63" s="370"/>
      <c r="I63" s="381">
        <v>0</v>
      </c>
      <c r="L63" s="379"/>
      <c r="M63" s="379"/>
      <c r="N63" s="379"/>
      <c r="O63" s="379"/>
    </row>
    <row r="64" spans="2:15" ht="12" customHeight="1">
      <c r="B64" s="367" t="s">
        <v>39</v>
      </c>
      <c r="C64" s="370"/>
      <c r="D64" s="399"/>
      <c r="E64" s="400"/>
      <c r="F64" s="400"/>
      <c r="G64" s="400"/>
      <c r="H64" s="400"/>
      <c r="I64" s="364"/>
      <c r="L64" s="379"/>
      <c r="M64" s="379"/>
      <c r="N64" s="380"/>
      <c r="O64" s="380"/>
    </row>
    <row r="65" spans="2:15" ht="6" customHeight="1">
      <c r="B65" s="367"/>
      <c r="C65" s="370"/>
      <c r="D65" s="370"/>
      <c r="E65" s="370"/>
      <c r="F65" s="370"/>
      <c r="G65" s="370"/>
      <c r="H65" s="370"/>
      <c r="I65" s="364"/>
      <c r="L65" s="379"/>
      <c r="M65" s="379"/>
      <c r="N65" s="401"/>
      <c r="O65" s="401"/>
    </row>
    <row r="66" spans="2:15">
      <c r="B66" s="362" t="s">
        <v>27</v>
      </c>
      <c r="C66" s="370"/>
      <c r="D66" s="370"/>
      <c r="E66" s="370"/>
      <c r="F66" s="370"/>
      <c r="G66" s="370"/>
      <c r="H66" s="370"/>
      <c r="I66" s="381">
        <v>0</v>
      </c>
      <c r="L66" s="379"/>
      <c r="M66" s="379"/>
      <c r="N66" s="380"/>
      <c r="O66" s="380"/>
    </row>
    <row r="67" spans="2:15" ht="13.5" customHeight="1">
      <c r="B67" s="367" t="s">
        <v>39</v>
      </c>
      <c r="C67" s="370"/>
      <c r="D67" s="370"/>
      <c r="E67" s="370"/>
      <c r="F67" s="370"/>
      <c r="G67" s="370"/>
      <c r="H67" s="370"/>
      <c r="I67" s="402"/>
      <c r="L67" s="379"/>
      <c r="M67" s="379"/>
      <c r="N67" s="401"/>
      <c r="O67" s="401"/>
    </row>
    <row r="68" spans="2:15" ht="3.75" customHeight="1">
      <c r="B68" s="367"/>
      <c r="C68" s="370"/>
      <c r="D68" s="370"/>
      <c r="E68" s="370"/>
      <c r="F68" s="370"/>
      <c r="G68" s="370"/>
      <c r="H68" s="370"/>
      <c r="I68" s="364"/>
      <c r="L68" s="379"/>
      <c r="M68" s="379"/>
      <c r="N68" s="380"/>
      <c r="O68" s="380"/>
    </row>
    <row r="69" spans="2:15">
      <c r="B69" s="362" t="s">
        <v>5</v>
      </c>
      <c r="C69" s="370"/>
      <c r="D69" s="370"/>
      <c r="E69" s="370"/>
      <c r="F69" s="370"/>
      <c r="G69" s="370"/>
      <c r="H69" s="370"/>
      <c r="I69" s="381">
        <v>0</v>
      </c>
      <c r="L69" s="379"/>
      <c r="M69" s="379"/>
      <c r="N69" s="380"/>
      <c r="O69" s="380"/>
    </row>
    <row r="70" spans="2:15" ht="11.25" customHeight="1">
      <c r="B70" s="367" t="s">
        <v>39</v>
      </c>
      <c r="C70" s="370"/>
      <c r="D70" s="370"/>
      <c r="E70" s="370"/>
      <c r="F70" s="370"/>
      <c r="G70" s="370"/>
      <c r="H70" s="370"/>
      <c r="I70" s="402"/>
      <c r="L70" s="379"/>
      <c r="M70" s="379"/>
      <c r="N70" s="379"/>
      <c r="O70" s="379"/>
    </row>
    <row r="71" spans="2:15" ht="4.5" customHeight="1">
      <c r="B71" s="367"/>
      <c r="C71" s="370"/>
      <c r="D71" s="370"/>
      <c r="E71" s="370"/>
      <c r="F71" s="370"/>
      <c r="G71" s="370"/>
      <c r="H71" s="370"/>
      <c r="I71" s="364"/>
      <c r="L71" s="379"/>
      <c r="M71" s="379"/>
      <c r="N71" s="379"/>
      <c r="O71" s="379"/>
    </row>
    <row r="72" spans="2:15">
      <c r="B72" s="362" t="s">
        <v>20</v>
      </c>
      <c r="C72" s="370"/>
      <c r="D72" s="370"/>
      <c r="E72" s="370"/>
      <c r="F72" s="370"/>
      <c r="G72" s="370"/>
      <c r="H72" s="370"/>
      <c r="I72" s="381">
        <v>0</v>
      </c>
      <c r="L72" s="379"/>
      <c r="M72" s="379"/>
      <c r="N72" s="380"/>
      <c r="O72" s="380"/>
    </row>
    <row r="73" spans="2:15" ht="12" customHeight="1">
      <c r="B73" s="367" t="s">
        <v>39</v>
      </c>
      <c r="C73" s="370"/>
      <c r="D73" s="370"/>
      <c r="E73" s="370"/>
      <c r="F73" s="370"/>
      <c r="G73" s="370"/>
      <c r="H73" s="370"/>
      <c r="I73" s="381"/>
      <c r="L73" s="379"/>
      <c r="M73" s="379"/>
      <c r="N73" s="380"/>
      <c r="O73" s="380"/>
    </row>
    <row r="74" spans="2:15" ht="6.75" customHeight="1">
      <c r="B74" s="362"/>
      <c r="C74" s="370"/>
      <c r="D74" s="370"/>
      <c r="E74" s="370"/>
      <c r="F74" s="370"/>
      <c r="G74" s="370"/>
      <c r="H74" s="370"/>
      <c r="I74" s="381"/>
      <c r="L74" s="379"/>
      <c r="M74" s="379"/>
      <c r="N74" s="380"/>
      <c r="O74" s="380"/>
    </row>
    <row r="75" spans="2:15" ht="5.25" customHeight="1">
      <c r="B75" s="377"/>
      <c r="C75" s="370"/>
      <c r="D75" s="370"/>
      <c r="E75" s="370"/>
      <c r="F75" s="370"/>
      <c r="G75" s="370"/>
      <c r="H75" s="370"/>
      <c r="I75" s="364"/>
      <c r="L75" s="379"/>
      <c r="M75" s="379"/>
      <c r="N75" s="379"/>
      <c r="O75" s="379"/>
    </row>
    <row r="76" spans="2:15">
      <c r="B76" s="403" t="s">
        <v>11</v>
      </c>
      <c r="C76" s="404"/>
      <c r="D76" s="404"/>
      <c r="E76" s="404"/>
      <c r="F76" s="404"/>
      <c r="G76" s="404"/>
      <c r="H76" s="404"/>
      <c r="I76" s="405">
        <f>+I72+I69+I66+I63+I59+I56+I49+I45+I42</f>
        <v>3333</v>
      </c>
      <c r="L76" s="379"/>
      <c r="M76" s="379"/>
      <c r="N76" s="379"/>
      <c r="O76" s="379"/>
    </row>
    <row r="99" spans="5:5">
      <c r="E99" s="406"/>
    </row>
    <row r="100" spans="5:5">
      <c r="E100" s="406"/>
    </row>
    <row r="101" spans="5:5">
      <c r="E101" s="406"/>
    </row>
    <row r="102" spans="5:5">
      <c r="E102" s="406"/>
    </row>
    <row r="103" spans="5:5">
      <c r="E103" s="406"/>
    </row>
    <row r="104" spans="5:5">
      <c r="E104" s="406"/>
    </row>
    <row r="106" spans="5:5">
      <c r="E106" s="406"/>
    </row>
    <row r="108" spans="5:5">
      <c r="E108" s="407"/>
    </row>
    <row r="110" spans="5:5">
      <c r="E110" s="406"/>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7.xml><?xml version="1.0" encoding="utf-8"?>
<worksheet xmlns="http://schemas.openxmlformats.org/spreadsheetml/2006/main" xmlns:r="http://schemas.openxmlformats.org/officeDocument/2006/relationships">
  <dimension ref="B1:P110"/>
  <sheetViews>
    <sheetView zoomScaleNormal="100" workbookViewId="0">
      <selection activeCell="D23" sqref="D23"/>
    </sheetView>
  </sheetViews>
  <sheetFormatPr defaultRowHeight="12.75"/>
  <cols>
    <col min="1" max="1" width="2.85546875" style="298" customWidth="1"/>
    <col min="2" max="2" width="11.5703125" style="298" customWidth="1"/>
    <col min="3" max="3" width="18.7109375" style="298" customWidth="1"/>
    <col min="4" max="4" width="23.5703125" style="298" customWidth="1"/>
    <col min="5" max="5" width="20.5703125" style="298" customWidth="1"/>
    <col min="6" max="6" width="10.85546875" style="298" customWidth="1"/>
    <col min="7" max="7" width="10.42578125" style="298" customWidth="1"/>
    <col min="8" max="8" width="9.140625" style="298" bestFit="1" customWidth="1"/>
    <col min="9" max="9" width="9.85546875" style="298" customWidth="1"/>
    <col min="10" max="10" width="2.85546875" style="298" customWidth="1"/>
    <col min="11" max="11" width="8.140625" style="298" customWidth="1"/>
    <col min="12" max="12" width="8.42578125" style="298" customWidth="1"/>
    <col min="13" max="14" width="9.140625" style="298"/>
    <col min="15" max="16" width="9" style="298" bestFit="1" customWidth="1"/>
    <col min="17" max="16384" width="9.140625" style="298"/>
  </cols>
  <sheetData>
    <row r="1" spans="2:10" s="295" customFormat="1">
      <c r="B1" s="294" t="s">
        <v>36</v>
      </c>
      <c r="C1" s="294" t="s">
        <v>37</v>
      </c>
      <c r="D1" s="294" t="s">
        <v>29</v>
      </c>
      <c r="E1" s="294" t="s">
        <v>30</v>
      </c>
    </row>
    <row r="2" spans="2:10" ht="38.25">
      <c r="B2" s="296" t="s">
        <v>42</v>
      </c>
      <c r="C2" s="295">
        <v>124</v>
      </c>
      <c r="D2" s="297" t="s">
        <v>254</v>
      </c>
      <c r="E2" s="297" t="s">
        <v>279</v>
      </c>
    </row>
    <row r="3" spans="2:10" ht="15.75">
      <c r="B3" s="299" t="s">
        <v>17</v>
      </c>
      <c r="E3" s="300"/>
    </row>
    <row r="4" spans="2:10">
      <c r="B4" s="301" t="s">
        <v>1</v>
      </c>
      <c r="C4" s="302" t="s">
        <v>21</v>
      </c>
      <c r="D4" s="303"/>
      <c r="E4" s="304"/>
      <c r="F4" s="303"/>
      <c r="G4" s="305" t="s">
        <v>12</v>
      </c>
      <c r="H4" s="306"/>
      <c r="I4" s="306"/>
      <c r="J4" s="307"/>
    </row>
    <row r="5" spans="2:10" ht="25.5">
      <c r="B5" s="308" t="s">
        <v>13</v>
      </c>
      <c r="C5" s="309" t="s">
        <v>22</v>
      </c>
      <c r="D5" s="309" t="s">
        <v>29</v>
      </c>
      <c r="E5" s="310" t="s">
        <v>30</v>
      </c>
      <c r="F5" s="309" t="s">
        <v>23</v>
      </c>
      <c r="G5" s="311" t="s">
        <v>14</v>
      </c>
      <c r="H5" s="312"/>
      <c r="I5" s="312"/>
      <c r="J5" s="307"/>
    </row>
    <row r="6" spans="2:10" ht="38.25">
      <c r="B6" s="313">
        <v>124</v>
      </c>
      <c r="C6" s="314" t="str">
        <f>+E10</f>
        <v>EQIP</v>
      </c>
      <c r="D6" s="315" t="s">
        <v>254</v>
      </c>
      <c r="E6" s="316" t="s">
        <v>279</v>
      </c>
      <c r="F6" s="314" t="s">
        <v>38</v>
      </c>
      <c r="G6" s="317">
        <f>G23</f>
        <v>1908.375</v>
      </c>
      <c r="H6" s="318"/>
      <c r="I6" s="318"/>
      <c r="J6" s="307"/>
    </row>
    <row r="7" spans="2:10" ht="38.25">
      <c r="B7" s="319">
        <v>124</v>
      </c>
      <c r="C7" s="320" t="s">
        <v>15</v>
      </c>
      <c r="D7" s="321" t="s">
        <v>256</v>
      </c>
      <c r="E7" s="322" t="s">
        <v>280</v>
      </c>
      <c r="F7" s="320" t="s">
        <v>38</v>
      </c>
      <c r="G7" s="323">
        <f>$H$23</f>
        <v>2290.0500000000002</v>
      </c>
      <c r="H7" s="318"/>
      <c r="I7" s="307"/>
      <c r="J7" s="307"/>
    </row>
    <row r="8" spans="2:10" ht="14.25" customHeight="1">
      <c r="B8" s="324"/>
      <c r="C8" s="325"/>
      <c r="D8" s="325"/>
      <c r="G8" s="307"/>
      <c r="H8" s="307"/>
      <c r="I8" s="307"/>
      <c r="J8" s="307"/>
    </row>
    <row r="9" spans="2:10" ht="15.75">
      <c r="B9" s="299" t="s">
        <v>18</v>
      </c>
      <c r="C9" s="325"/>
      <c r="D9" s="325"/>
      <c r="G9" s="307"/>
      <c r="H9" s="307"/>
      <c r="I9" s="307"/>
      <c r="J9" s="307"/>
    </row>
    <row r="10" spans="2:10">
      <c r="B10" s="326"/>
      <c r="C10" s="327"/>
      <c r="D10" s="328"/>
      <c r="E10" s="329" t="s">
        <v>15</v>
      </c>
      <c r="F10" s="329" t="s">
        <v>31</v>
      </c>
      <c r="G10" s="329"/>
      <c r="H10" s="330"/>
    </row>
    <row r="11" spans="2:10">
      <c r="B11" s="331"/>
      <c r="C11" s="332"/>
      <c r="D11" s="333"/>
      <c r="E11" s="334" t="s">
        <v>22</v>
      </c>
      <c r="F11" s="334" t="s">
        <v>22</v>
      </c>
      <c r="G11" s="334" t="str">
        <f>+E10</f>
        <v>EQIP</v>
      </c>
      <c r="H11" s="335" t="str">
        <f>+F10</f>
        <v>EQIP-HU</v>
      </c>
    </row>
    <row r="12" spans="2:10">
      <c r="B12" s="336"/>
      <c r="C12" s="333"/>
      <c r="D12" s="333"/>
      <c r="E12" s="334" t="s">
        <v>12</v>
      </c>
      <c r="F12" s="334" t="s">
        <v>12</v>
      </c>
      <c r="G12" s="334" t="s">
        <v>12</v>
      </c>
      <c r="H12" s="335" t="s">
        <v>12</v>
      </c>
    </row>
    <row r="13" spans="2:10">
      <c r="B13" s="337" t="s">
        <v>16</v>
      </c>
      <c r="C13" s="333"/>
      <c r="D13" s="338" t="s">
        <v>6</v>
      </c>
      <c r="E13" s="339" t="s">
        <v>24</v>
      </c>
      <c r="F13" s="339" t="s">
        <v>24</v>
      </c>
      <c r="G13" s="339" t="s">
        <v>14</v>
      </c>
      <c r="H13" s="340" t="s">
        <v>14</v>
      </c>
    </row>
    <row r="14" spans="2:10">
      <c r="B14" s="331" t="s">
        <v>0</v>
      </c>
      <c r="C14" s="333"/>
      <c r="D14" s="341">
        <v>0</v>
      </c>
      <c r="E14" s="342">
        <v>0</v>
      </c>
      <c r="F14" s="342">
        <v>0</v>
      </c>
      <c r="G14" s="343">
        <f>+$D14*E14</f>
        <v>0</v>
      </c>
      <c r="H14" s="344">
        <f>+$D14*F14</f>
        <v>0</v>
      </c>
    </row>
    <row r="15" spans="2:10">
      <c r="B15" s="331" t="s">
        <v>2</v>
      </c>
      <c r="C15" s="333"/>
      <c r="D15" s="341">
        <v>0</v>
      </c>
      <c r="E15" s="342">
        <v>0</v>
      </c>
      <c r="F15" s="342">
        <v>0</v>
      </c>
      <c r="G15" s="343">
        <f t="shared" ref="G15:H22" si="0">+$D15*E15</f>
        <v>0</v>
      </c>
      <c r="H15" s="344">
        <f t="shared" si="0"/>
        <v>0</v>
      </c>
    </row>
    <row r="16" spans="2:10">
      <c r="B16" s="331" t="s">
        <v>3</v>
      </c>
      <c r="C16" s="333"/>
      <c r="D16" s="341">
        <f>I49</f>
        <v>2544.5</v>
      </c>
      <c r="E16" s="342">
        <v>0.75</v>
      </c>
      <c r="F16" s="342">
        <v>0.9</v>
      </c>
      <c r="G16" s="343">
        <f t="shared" si="0"/>
        <v>1908.375</v>
      </c>
      <c r="H16" s="344">
        <f t="shared" si="0"/>
        <v>2290.0500000000002</v>
      </c>
    </row>
    <row r="17" spans="2:16">
      <c r="B17" s="331" t="s">
        <v>4</v>
      </c>
      <c r="C17" s="333"/>
      <c r="D17" s="341">
        <v>0</v>
      </c>
      <c r="E17" s="342">
        <v>0</v>
      </c>
      <c r="F17" s="342">
        <v>0</v>
      </c>
      <c r="G17" s="343">
        <f t="shared" si="0"/>
        <v>0</v>
      </c>
      <c r="H17" s="344">
        <f t="shared" si="0"/>
        <v>0</v>
      </c>
    </row>
    <row r="18" spans="2:16">
      <c r="B18" s="331" t="s">
        <v>26</v>
      </c>
      <c r="C18" s="333"/>
      <c r="D18" s="341">
        <v>0</v>
      </c>
      <c r="E18" s="342">
        <v>0</v>
      </c>
      <c r="F18" s="342">
        <v>0</v>
      </c>
      <c r="G18" s="343">
        <f t="shared" si="0"/>
        <v>0</v>
      </c>
      <c r="H18" s="344">
        <f t="shared" si="0"/>
        <v>0</v>
      </c>
    </row>
    <row r="19" spans="2:16">
      <c r="B19" s="331" t="s">
        <v>7</v>
      </c>
      <c r="C19" s="333"/>
      <c r="D19" s="341">
        <f>I63</f>
        <v>0</v>
      </c>
      <c r="E19" s="342">
        <v>0.75</v>
      </c>
      <c r="F19" s="342">
        <v>0.9</v>
      </c>
      <c r="G19" s="343">
        <f t="shared" si="0"/>
        <v>0</v>
      </c>
      <c r="H19" s="344">
        <f t="shared" si="0"/>
        <v>0</v>
      </c>
    </row>
    <row r="20" spans="2:16">
      <c r="B20" s="331" t="s">
        <v>27</v>
      </c>
      <c r="C20" s="333"/>
      <c r="D20" s="341">
        <v>0</v>
      </c>
      <c r="E20" s="342">
        <v>0</v>
      </c>
      <c r="F20" s="342">
        <v>0</v>
      </c>
      <c r="G20" s="343">
        <f t="shared" si="0"/>
        <v>0</v>
      </c>
      <c r="H20" s="344">
        <f t="shared" si="0"/>
        <v>0</v>
      </c>
    </row>
    <row r="21" spans="2:16">
      <c r="B21" s="331" t="s">
        <v>5</v>
      </c>
      <c r="C21" s="333"/>
      <c r="D21" s="341">
        <v>0</v>
      </c>
      <c r="E21" s="342">
        <v>0</v>
      </c>
      <c r="F21" s="342">
        <v>0</v>
      </c>
      <c r="G21" s="343">
        <f t="shared" si="0"/>
        <v>0</v>
      </c>
      <c r="H21" s="344">
        <f t="shared" si="0"/>
        <v>0</v>
      </c>
    </row>
    <row r="22" spans="2:16">
      <c r="B22" s="331" t="s">
        <v>20</v>
      </c>
      <c r="C22" s="333"/>
      <c r="D22" s="341">
        <v>0</v>
      </c>
      <c r="E22" s="342">
        <v>0</v>
      </c>
      <c r="F22" s="342">
        <v>0</v>
      </c>
      <c r="G22" s="345">
        <f t="shared" si="0"/>
        <v>0</v>
      </c>
      <c r="H22" s="346">
        <f t="shared" si="0"/>
        <v>0</v>
      </c>
    </row>
    <row r="23" spans="2:16">
      <c r="B23" s="347" t="s">
        <v>19</v>
      </c>
      <c r="C23" s="348"/>
      <c r="D23" s="349">
        <f>SUM(D14:D22)</f>
        <v>2544.5</v>
      </c>
      <c r="E23" s="350"/>
      <c r="F23" s="350"/>
      <c r="G23" s="349">
        <f t="shared" ref="G23:H23" si="1">SUM(G14:G22)</f>
        <v>1908.375</v>
      </c>
      <c r="H23" s="351">
        <f t="shared" si="1"/>
        <v>2290.0500000000002</v>
      </c>
    </row>
    <row r="24" spans="2:16" s="355" customFormat="1" ht="5.25" customHeight="1">
      <c r="B24" s="352"/>
      <c r="C24" s="352"/>
      <c r="D24" s="353"/>
      <c r="E24" s="354"/>
      <c r="F24" s="354"/>
      <c r="G24" s="354"/>
      <c r="H24" s="354"/>
      <c r="I24" s="354"/>
      <c r="J24" s="354"/>
      <c r="K24" s="353"/>
      <c r="L24" s="353"/>
      <c r="M24" s="353"/>
      <c r="N24" s="353"/>
      <c r="O24" s="353"/>
      <c r="P24" s="353"/>
    </row>
    <row r="25" spans="2:16" ht="5.25" customHeight="1"/>
    <row r="26" spans="2:16" ht="15.75">
      <c r="B26" s="356" t="s">
        <v>28</v>
      </c>
      <c r="I26" s="357"/>
    </row>
    <row r="27" spans="2:16">
      <c r="B27" s="358" t="s">
        <v>32</v>
      </c>
      <c r="C27" s="359"/>
      <c r="D27" s="359"/>
      <c r="E27" s="360"/>
      <c r="F27" s="360"/>
      <c r="G27" s="360"/>
      <c r="H27" s="360"/>
      <c r="I27" s="361"/>
    </row>
    <row r="28" spans="2:16" ht="27" customHeight="1">
      <c r="B28" s="362"/>
      <c r="C28" s="363"/>
      <c r="D28" s="1977" t="s">
        <v>281</v>
      </c>
      <c r="E28" s="1978"/>
      <c r="F28" s="1978"/>
      <c r="G28" s="1978"/>
      <c r="H28" s="1978"/>
      <c r="I28" s="364"/>
    </row>
    <row r="29" spans="2:16">
      <c r="B29" s="362"/>
      <c r="C29" s="363"/>
      <c r="D29" s="365"/>
      <c r="E29" s="366"/>
      <c r="F29" s="366"/>
      <c r="G29" s="366"/>
      <c r="H29" s="366"/>
      <c r="I29" s="364"/>
    </row>
    <row r="30" spans="2:16">
      <c r="B30" s="367" t="s">
        <v>41</v>
      </c>
      <c r="C30" s="363"/>
      <c r="D30" s="1975" t="s">
        <v>206</v>
      </c>
      <c r="E30" s="1976"/>
      <c r="F30" s="1976"/>
      <c r="G30" s="1976"/>
      <c r="H30" s="1976"/>
      <c r="I30" s="364"/>
    </row>
    <row r="31" spans="2:16">
      <c r="B31" s="368" t="s">
        <v>40</v>
      </c>
      <c r="C31" s="363"/>
      <c r="D31" s="1975" t="s">
        <v>282</v>
      </c>
      <c r="E31" s="1976"/>
      <c r="F31" s="1976"/>
      <c r="G31" s="1976"/>
      <c r="H31" s="1976"/>
      <c r="I31" s="364"/>
    </row>
    <row r="32" spans="2:16" ht="128.25" customHeight="1">
      <c r="B32" s="368" t="s">
        <v>33</v>
      </c>
      <c r="C32" s="369"/>
      <c r="D32" s="1975" t="s">
        <v>283</v>
      </c>
      <c r="E32" s="1976"/>
      <c r="F32" s="1976"/>
      <c r="G32" s="1976"/>
      <c r="H32" s="1976"/>
      <c r="I32" s="364"/>
    </row>
    <row r="33" spans="2:15" ht="66.75" customHeight="1">
      <c r="B33" s="368" t="s">
        <v>35</v>
      </c>
      <c r="C33" s="369"/>
      <c r="D33" s="1975" t="s">
        <v>261</v>
      </c>
      <c r="E33" s="1976"/>
      <c r="F33" s="1976"/>
      <c r="G33" s="1976"/>
      <c r="H33" s="1976"/>
      <c r="I33" s="364"/>
    </row>
    <row r="34" spans="2:15" ht="36" customHeight="1">
      <c r="B34" s="368" t="s">
        <v>34</v>
      </c>
      <c r="C34" s="369"/>
      <c r="D34" s="1975" t="s">
        <v>262</v>
      </c>
      <c r="E34" s="1976"/>
      <c r="F34" s="1976"/>
      <c r="G34" s="1976"/>
      <c r="H34" s="1976"/>
      <c r="I34" s="364"/>
    </row>
    <row r="35" spans="2:15">
      <c r="B35" s="367"/>
      <c r="C35" s="363"/>
      <c r="D35" s="363"/>
      <c r="E35" s="370"/>
      <c r="F35" s="370"/>
      <c r="G35" s="370"/>
      <c r="H35" s="370"/>
      <c r="I35" s="364"/>
    </row>
    <row r="36" spans="2:15">
      <c r="B36" s="371" t="s">
        <v>25</v>
      </c>
      <c r="C36" s="363"/>
      <c r="D36" s="1979" t="s">
        <v>42</v>
      </c>
      <c r="E36" s="1980"/>
      <c r="F36" s="1980"/>
      <c r="G36" s="1980"/>
      <c r="H36" s="1980"/>
      <c r="I36" s="364"/>
      <c r="J36" s="352"/>
    </row>
    <row r="37" spans="2:15">
      <c r="B37" s="367"/>
      <c r="C37" s="363"/>
      <c r="D37" s="370"/>
      <c r="E37" s="370"/>
      <c r="F37" s="370"/>
      <c r="G37" s="370"/>
      <c r="H37" s="370"/>
      <c r="I37" s="364"/>
    </row>
    <row r="38" spans="2:15">
      <c r="B38" s="371" t="s">
        <v>8</v>
      </c>
      <c r="C38" s="363"/>
      <c r="D38" s="372" t="s">
        <v>38</v>
      </c>
      <c r="E38" s="370"/>
      <c r="F38" s="370"/>
      <c r="G38" s="370"/>
      <c r="H38" s="370"/>
      <c r="I38" s="364"/>
    </row>
    <row r="39" spans="2:15">
      <c r="B39" s="371" t="s">
        <v>9</v>
      </c>
      <c r="C39" s="363"/>
      <c r="D39" s="373">
        <v>1</v>
      </c>
      <c r="E39" s="370"/>
      <c r="F39" s="370"/>
      <c r="G39" s="370"/>
      <c r="H39" s="370"/>
      <c r="I39" s="364"/>
    </row>
    <row r="40" spans="2:15">
      <c r="B40" s="371" t="s">
        <v>10</v>
      </c>
      <c r="C40" s="370"/>
      <c r="D40" s="374">
        <v>0.05</v>
      </c>
      <c r="E40" s="375"/>
      <c r="F40" s="370"/>
      <c r="G40" s="370"/>
      <c r="H40" s="370"/>
      <c r="I40" s="376" t="s">
        <v>6</v>
      </c>
    </row>
    <row r="41" spans="2:15">
      <c r="B41" s="377"/>
      <c r="C41" s="370"/>
      <c r="D41" s="370"/>
      <c r="E41" s="370"/>
      <c r="F41" s="370"/>
      <c r="G41" s="370"/>
      <c r="H41" s="370"/>
      <c r="I41" s="378"/>
      <c r="L41" s="379"/>
      <c r="M41" s="379"/>
      <c r="N41" s="380"/>
      <c r="O41" s="380"/>
    </row>
    <row r="42" spans="2:15">
      <c r="B42" s="362" t="s">
        <v>0</v>
      </c>
      <c r="C42" s="370"/>
      <c r="D42" s="370"/>
      <c r="E42" s="370"/>
      <c r="F42" s="370"/>
      <c r="G42" s="370"/>
      <c r="H42" s="370"/>
      <c r="I42" s="381">
        <v>0</v>
      </c>
      <c r="L42" s="379"/>
      <c r="M42" s="379"/>
      <c r="N42" s="380"/>
      <c r="O42" s="380"/>
    </row>
    <row r="43" spans="2:15" ht="14.25" customHeight="1">
      <c r="B43" s="367" t="s">
        <v>39</v>
      </c>
      <c r="C43" s="370"/>
      <c r="D43" s="382"/>
      <c r="E43" s="370"/>
      <c r="F43" s="370"/>
      <c r="G43" s="370"/>
      <c r="H43" s="370"/>
      <c r="I43" s="381"/>
      <c r="L43" s="379"/>
      <c r="M43" s="380"/>
    </row>
    <row r="44" spans="2:15" ht="6" customHeight="1">
      <c r="B44" s="383"/>
      <c r="C44" s="384"/>
      <c r="D44" s="385"/>
      <c r="E44" s="370"/>
      <c r="F44" s="370"/>
      <c r="G44" s="370"/>
      <c r="H44" s="370"/>
      <c r="I44" s="381"/>
      <c r="L44" s="379"/>
      <c r="M44" s="380"/>
    </row>
    <row r="45" spans="2:15">
      <c r="B45" s="362" t="s">
        <v>2</v>
      </c>
      <c r="C45" s="370"/>
      <c r="D45" s="386"/>
      <c r="E45" s="370"/>
      <c r="F45" s="370"/>
      <c r="G45" s="370"/>
      <c r="H45" s="370"/>
      <c r="I45" s="381">
        <v>0</v>
      </c>
      <c r="L45" s="379"/>
      <c r="M45" s="380"/>
    </row>
    <row r="46" spans="2:15" ht="12.75" customHeight="1">
      <c r="B46" s="1981" t="s">
        <v>39</v>
      </c>
      <c r="C46" s="1978"/>
      <c r="D46" s="1978"/>
      <c r="E46" s="1978"/>
      <c r="F46" s="1978"/>
      <c r="G46" s="1978"/>
      <c r="H46" s="1978"/>
      <c r="I46" s="381"/>
      <c r="L46" s="379"/>
      <c r="M46" s="380"/>
    </row>
    <row r="47" spans="2:15" ht="6" customHeight="1">
      <c r="B47" s="387"/>
      <c r="C47" s="370"/>
      <c r="D47" s="370"/>
      <c r="E47" s="388"/>
      <c r="F47" s="388"/>
      <c r="G47" s="388"/>
      <c r="H47" s="370"/>
      <c r="I47" s="381"/>
      <c r="L47" s="379"/>
      <c r="M47" s="380"/>
    </row>
    <row r="48" spans="2:15" ht="4.5" customHeight="1">
      <c r="B48" s="362"/>
      <c r="C48" s="370"/>
      <c r="D48" s="370"/>
      <c r="E48" s="370"/>
      <c r="F48" s="370"/>
      <c r="G48" s="389"/>
      <c r="H48" s="390"/>
      <c r="I48" s="381"/>
      <c r="L48" s="379"/>
      <c r="M48" s="380"/>
    </row>
    <row r="49" spans="2:15">
      <c r="B49" s="362" t="s">
        <v>3</v>
      </c>
      <c r="C49" s="370"/>
      <c r="D49" s="370"/>
      <c r="E49" s="370"/>
      <c r="F49" s="370"/>
      <c r="G49" s="370"/>
      <c r="H49" s="370"/>
      <c r="I49" s="381">
        <f>$H$56</f>
        <v>2544.5</v>
      </c>
      <c r="L49" s="379"/>
      <c r="M49" s="380"/>
    </row>
    <row r="50" spans="2:15" ht="24.75" customHeight="1">
      <c r="B50" s="1981" t="s">
        <v>211</v>
      </c>
      <c r="C50" s="1978"/>
      <c r="D50" s="1978"/>
      <c r="E50" s="1978"/>
      <c r="F50" s="1978"/>
      <c r="G50" s="1978"/>
      <c r="H50" s="1978"/>
      <c r="I50" s="381"/>
      <c r="L50" s="379"/>
      <c r="M50" s="380"/>
    </row>
    <row r="51" spans="2:15" ht="12.75" customHeight="1">
      <c r="B51" s="391"/>
      <c r="C51" s="392"/>
      <c r="D51" s="393" t="s">
        <v>212</v>
      </c>
      <c r="E51" s="394" t="s">
        <v>46</v>
      </c>
      <c r="F51" s="394" t="s">
        <v>6</v>
      </c>
      <c r="G51" s="394" t="s">
        <v>47</v>
      </c>
      <c r="H51" s="394" t="s">
        <v>48</v>
      </c>
      <c r="I51" s="381"/>
      <c r="L51" s="379"/>
      <c r="M51" s="380"/>
    </row>
    <row r="52" spans="2:15" ht="12.75" customHeight="1">
      <c r="B52" s="391"/>
      <c r="C52" s="366"/>
      <c r="D52" s="366" t="s">
        <v>213</v>
      </c>
      <c r="E52" s="395" t="s">
        <v>49</v>
      </c>
      <c r="F52" s="396">
        <v>71</v>
      </c>
      <c r="G52" s="366">
        <v>0.5</v>
      </c>
      <c r="H52" s="396">
        <f>F52*G52</f>
        <v>35.5</v>
      </c>
      <c r="I52" s="381"/>
      <c r="L52" s="379"/>
      <c r="M52" s="380"/>
    </row>
    <row r="53" spans="2:15" ht="12.75" customHeight="1">
      <c r="B53" s="391"/>
      <c r="C53" s="366"/>
      <c r="D53" s="366" t="s">
        <v>214</v>
      </c>
      <c r="E53" s="395" t="s">
        <v>49</v>
      </c>
      <c r="F53" s="396">
        <v>87</v>
      </c>
      <c r="G53" s="366">
        <v>6</v>
      </c>
      <c r="H53" s="396">
        <f>F53*G53</f>
        <v>522</v>
      </c>
      <c r="I53" s="381"/>
      <c r="L53" s="379"/>
      <c r="M53" s="380"/>
    </row>
    <row r="54" spans="2:15" ht="12.75" customHeight="1">
      <c r="B54" s="391"/>
      <c r="C54" s="366"/>
      <c r="D54" s="366" t="s">
        <v>215</v>
      </c>
      <c r="E54" s="395" t="s">
        <v>49</v>
      </c>
      <c r="F54" s="396">
        <v>149</v>
      </c>
      <c r="G54" s="366">
        <v>8</v>
      </c>
      <c r="H54" s="396">
        <f>F54*G54</f>
        <v>1192</v>
      </c>
      <c r="I54" s="381"/>
      <c r="L54" s="379"/>
      <c r="M54" s="380"/>
    </row>
    <row r="55" spans="2:15" ht="12.75" customHeight="1">
      <c r="B55" s="391"/>
      <c r="C55" s="366"/>
      <c r="D55" s="366" t="s">
        <v>216</v>
      </c>
      <c r="E55" s="395" t="s">
        <v>49</v>
      </c>
      <c r="F55" s="396">
        <v>159</v>
      </c>
      <c r="G55" s="366">
        <v>5</v>
      </c>
      <c r="H55" s="396">
        <f>F55*G55</f>
        <v>795</v>
      </c>
      <c r="I55" s="381"/>
      <c r="L55" s="379"/>
      <c r="M55" s="380"/>
    </row>
    <row r="56" spans="2:15">
      <c r="B56" s="362" t="s">
        <v>4</v>
      </c>
      <c r="C56" s="370"/>
      <c r="D56" s="370"/>
      <c r="E56" s="370"/>
      <c r="F56" s="370"/>
      <c r="G56" s="370">
        <f>SUM(G52:G55)</f>
        <v>19.5</v>
      </c>
      <c r="H56" s="397">
        <f>SUM(H52:H55)</f>
        <v>2544.5</v>
      </c>
      <c r="I56" s="398">
        <v>0</v>
      </c>
      <c r="L56" s="379"/>
      <c r="M56" s="380"/>
    </row>
    <row r="57" spans="2:15" ht="12" customHeight="1">
      <c r="B57" s="367" t="s">
        <v>39</v>
      </c>
      <c r="C57" s="370"/>
      <c r="D57" s="370"/>
      <c r="E57" s="370"/>
      <c r="F57" s="370"/>
      <c r="G57" s="370"/>
      <c r="H57" s="370"/>
      <c r="I57" s="364"/>
      <c r="L57" s="379"/>
      <c r="M57" s="380"/>
    </row>
    <row r="58" spans="2:15" ht="5.25" customHeight="1">
      <c r="B58" s="367"/>
      <c r="C58" s="370"/>
      <c r="D58" s="370"/>
      <c r="E58" s="370"/>
      <c r="F58" s="370"/>
      <c r="G58" s="370"/>
      <c r="H58" s="370"/>
      <c r="I58" s="364"/>
      <c r="L58" s="379"/>
      <c r="M58" s="380"/>
    </row>
    <row r="59" spans="2:15">
      <c r="B59" s="362" t="s">
        <v>26</v>
      </c>
      <c r="C59" s="370"/>
      <c r="D59" s="370"/>
      <c r="E59" s="370"/>
      <c r="F59" s="370"/>
      <c r="G59" s="370"/>
      <c r="H59" s="370"/>
      <c r="I59" s="381">
        <v>0</v>
      </c>
      <c r="L59" s="379"/>
      <c r="M59" s="380"/>
    </row>
    <row r="60" spans="2:15" ht="14.25" customHeight="1">
      <c r="B60" s="1981" t="s">
        <v>39</v>
      </c>
      <c r="C60" s="1982"/>
      <c r="D60" s="1982"/>
      <c r="E60" s="1982"/>
      <c r="F60" s="1982"/>
      <c r="G60" s="1982"/>
      <c r="H60" s="1982"/>
      <c r="I60" s="398"/>
      <c r="L60" s="379"/>
      <c r="M60" s="380"/>
    </row>
    <row r="61" spans="2:15" ht="12" customHeight="1">
      <c r="B61" s="1983"/>
      <c r="C61" s="1984"/>
      <c r="D61" s="1984"/>
      <c r="E61" s="1984"/>
      <c r="F61" s="1984"/>
      <c r="G61" s="1984"/>
      <c r="H61" s="370"/>
      <c r="I61" s="398"/>
      <c r="L61" s="379"/>
      <c r="M61" s="380"/>
    </row>
    <row r="62" spans="2:15" ht="9.75" customHeight="1">
      <c r="B62" s="367"/>
      <c r="C62" s="370"/>
      <c r="D62" s="370"/>
      <c r="E62" s="370"/>
      <c r="F62" s="370"/>
      <c r="G62" s="370"/>
      <c r="H62" s="370"/>
      <c r="I62" s="364"/>
      <c r="L62" s="379"/>
      <c r="M62" s="379"/>
    </row>
    <row r="63" spans="2:15">
      <c r="B63" s="362" t="s">
        <v>7</v>
      </c>
      <c r="C63" s="370"/>
      <c r="D63" s="370"/>
      <c r="E63" s="370"/>
      <c r="F63" s="370"/>
      <c r="G63" s="370"/>
      <c r="H63" s="370"/>
      <c r="I63" s="381">
        <v>0</v>
      </c>
      <c r="L63" s="379"/>
      <c r="M63" s="379"/>
      <c r="N63" s="379"/>
      <c r="O63" s="379"/>
    </row>
    <row r="64" spans="2:15" ht="12" customHeight="1">
      <c r="B64" s="367" t="s">
        <v>39</v>
      </c>
      <c r="C64" s="370"/>
      <c r="D64" s="399"/>
      <c r="E64" s="400"/>
      <c r="F64" s="400"/>
      <c r="G64" s="400"/>
      <c r="H64" s="400"/>
      <c r="I64" s="364"/>
      <c r="L64" s="379"/>
      <c r="M64" s="379"/>
      <c r="N64" s="380"/>
      <c r="O64" s="380"/>
    </row>
    <row r="65" spans="2:15" ht="6" customHeight="1">
      <c r="B65" s="367"/>
      <c r="C65" s="370"/>
      <c r="D65" s="370"/>
      <c r="E65" s="370"/>
      <c r="F65" s="370"/>
      <c r="G65" s="370"/>
      <c r="H65" s="370"/>
      <c r="I65" s="364"/>
      <c r="L65" s="379"/>
      <c r="M65" s="379"/>
      <c r="N65" s="401"/>
      <c r="O65" s="401"/>
    </row>
    <row r="66" spans="2:15">
      <c r="B66" s="362" t="s">
        <v>27</v>
      </c>
      <c r="C66" s="370"/>
      <c r="D66" s="370"/>
      <c r="E66" s="370"/>
      <c r="F66" s="370"/>
      <c r="G66" s="370"/>
      <c r="H66" s="370"/>
      <c r="I66" s="381">
        <v>0</v>
      </c>
      <c r="L66" s="379"/>
      <c r="M66" s="379"/>
      <c r="N66" s="380"/>
      <c r="O66" s="380"/>
    </row>
    <row r="67" spans="2:15" ht="13.5" customHeight="1">
      <c r="B67" s="367" t="s">
        <v>39</v>
      </c>
      <c r="C67" s="370"/>
      <c r="D67" s="370"/>
      <c r="E67" s="370"/>
      <c r="F67" s="370"/>
      <c r="G67" s="370"/>
      <c r="H67" s="370"/>
      <c r="I67" s="402"/>
      <c r="L67" s="379"/>
      <c r="M67" s="379"/>
      <c r="N67" s="401"/>
      <c r="O67" s="401"/>
    </row>
    <row r="68" spans="2:15" ht="3.75" customHeight="1">
      <c r="B68" s="367"/>
      <c r="C68" s="370"/>
      <c r="D68" s="370"/>
      <c r="E68" s="370"/>
      <c r="F68" s="370"/>
      <c r="G68" s="370"/>
      <c r="H68" s="370"/>
      <c r="I68" s="364"/>
      <c r="L68" s="379"/>
      <c r="M68" s="379"/>
      <c r="N68" s="380"/>
      <c r="O68" s="380"/>
    </row>
    <row r="69" spans="2:15">
      <c r="B69" s="362" t="s">
        <v>5</v>
      </c>
      <c r="C69" s="370"/>
      <c r="D69" s="370"/>
      <c r="E69" s="370"/>
      <c r="F69" s="370"/>
      <c r="G69" s="370"/>
      <c r="H69" s="370"/>
      <c r="I69" s="381">
        <v>0</v>
      </c>
      <c r="L69" s="379"/>
      <c r="M69" s="379"/>
      <c r="N69" s="380"/>
      <c r="O69" s="380"/>
    </row>
    <row r="70" spans="2:15" ht="11.25" customHeight="1">
      <c r="B70" s="367" t="s">
        <v>39</v>
      </c>
      <c r="C70" s="370"/>
      <c r="D70" s="370"/>
      <c r="E70" s="370"/>
      <c r="F70" s="370"/>
      <c r="G70" s="370"/>
      <c r="H70" s="370"/>
      <c r="I70" s="402"/>
      <c r="L70" s="379"/>
      <c r="M70" s="379"/>
      <c r="N70" s="379"/>
      <c r="O70" s="379"/>
    </row>
    <row r="71" spans="2:15" ht="4.5" customHeight="1">
      <c r="B71" s="367"/>
      <c r="C71" s="370"/>
      <c r="D71" s="370"/>
      <c r="E71" s="370"/>
      <c r="F71" s="370"/>
      <c r="G71" s="370"/>
      <c r="H71" s="370"/>
      <c r="I71" s="364"/>
      <c r="L71" s="379"/>
      <c r="M71" s="379"/>
      <c r="N71" s="379"/>
      <c r="O71" s="379"/>
    </row>
    <row r="72" spans="2:15">
      <c r="B72" s="362" t="s">
        <v>20</v>
      </c>
      <c r="C72" s="370"/>
      <c r="D72" s="370"/>
      <c r="E72" s="370"/>
      <c r="F72" s="370"/>
      <c r="G72" s="370"/>
      <c r="H72" s="370"/>
      <c r="I72" s="381">
        <v>0</v>
      </c>
      <c r="L72" s="379"/>
      <c r="M72" s="379"/>
      <c r="N72" s="380"/>
      <c r="O72" s="380"/>
    </row>
    <row r="73" spans="2:15" ht="12" customHeight="1">
      <c r="B73" s="367" t="s">
        <v>39</v>
      </c>
      <c r="C73" s="370"/>
      <c r="D73" s="370"/>
      <c r="E73" s="370"/>
      <c r="F73" s="370"/>
      <c r="G73" s="370"/>
      <c r="H73" s="370"/>
      <c r="I73" s="381"/>
      <c r="L73" s="379"/>
      <c r="M73" s="379"/>
      <c r="N73" s="380"/>
      <c r="O73" s="380"/>
    </row>
    <row r="74" spans="2:15" ht="6.75" customHeight="1">
      <c r="B74" s="362"/>
      <c r="C74" s="370"/>
      <c r="D74" s="370"/>
      <c r="E74" s="370"/>
      <c r="F74" s="370"/>
      <c r="G74" s="370"/>
      <c r="H74" s="370"/>
      <c r="I74" s="381"/>
      <c r="L74" s="379"/>
      <c r="M74" s="379"/>
      <c r="N74" s="380"/>
      <c r="O74" s="380"/>
    </row>
    <row r="75" spans="2:15" ht="5.25" customHeight="1">
      <c r="B75" s="377"/>
      <c r="C75" s="370"/>
      <c r="D75" s="370"/>
      <c r="E75" s="370"/>
      <c r="F75" s="370"/>
      <c r="G75" s="370"/>
      <c r="H75" s="370"/>
      <c r="I75" s="364"/>
      <c r="L75" s="379"/>
      <c r="M75" s="379"/>
      <c r="N75" s="379"/>
      <c r="O75" s="379"/>
    </row>
    <row r="76" spans="2:15">
      <c r="B76" s="403" t="s">
        <v>11</v>
      </c>
      <c r="C76" s="404"/>
      <c r="D76" s="404"/>
      <c r="E76" s="404"/>
      <c r="F76" s="404"/>
      <c r="G76" s="404"/>
      <c r="H76" s="404"/>
      <c r="I76" s="405">
        <f>+I72+I69+I66+I63+I59+I56+I49+I45+I42</f>
        <v>2544.5</v>
      </c>
      <c r="L76" s="379"/>
      <c r="M76" s="379"/>
      <c r="N76" s="379"/>
      <c r="O76" s="379"/>
    </row>
    <row r="99" spans="5:5">
      <c r="E99" s="406"/>
    </row>
    <row r="100" spans="5:5">
      <c r="E100" s="406"/>
    </row>
    <row r="101" spans="5:5">
      <c r="E101" s="406"/>
    </row>
    <row r="102" spans="5:5">
      <c r="E102" s="406"/>
    </row>
    <row r="103" spans="5:5">
      <c r="E103" s="406"/>
    </row>
    <row r="104" spans="5:5">
      <c r="E104" s="406"/>
    </row>
    <row r="106" spans="5:5">
      <c r="E106" s="406"/>
    </row>
    <row r="108" spans="5:5">
      <c r="E108" s="407"/>
    </row>
    <row r="110" spans="5:5">
      <c r="E110" s="406"/>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8.xml><?xml version="1.0" encoding="utf-8"?>
<worksheet xmlns="http://schemas.openxmlformats.org/spreadsheetml/2006/main" xmlns:r="http://schemas.openxmlformats.org/officeDocument/2006/relationships">
  <dimension ref="B1:P110"/>
  <sheetViews>
    <sheetView zoomScaleNormal="100" workbookViewId="0">
      <selection activeCell="D23" sqref="D23"/>
    </sheetView>
  </sheetViews>
  <sheetFormatPr defaultRowHeight="12.75"/>
  <cols>
    <col min="1" max="1" width="2.85546875" style="298" customWidth="1"/>
    <col min="2" max="2" width="11.5703125" style="298" customWidth="1"/>
    <col min="3" max="3" width="18.7109375" style="298" customWidth="1"/>
    <col min="4" max="4" width="23.5703125" style="298" customWidth="1"/>
    <col min="5" max="5" width="20.5703125" style="298" customWidth="1"/>
    <col min="6" max="6" width="10.85546875" style="298" customWidth="1"/>
    <col min="7" max="7" width="10.42578125" style="298" customWidth="1"/>
    <col min="8" max="8" width="9.140625" style="298" bestFit="1" customWidth="1"/>
    <col min="9" max="9" width="9.85546875" style="298" customWidth="1"/>
    <col min="10" max="10" width="2.85546875" style="298" customWidth="1"/>
    <col min="11" max="11" width="8.140625" style="298" customWidth="1"/>
    <col min="12" max="12" width="8.42578125" style="298" customWidth="1"/>
    <col min="13" max="14" width="9.140625" style="298"/>
    <col min="15" max="16" width="9" style="298" bestFit="1" customWidth="1"/>
    <col min="17" max="16384" width="9.140625" style="298"/>
  </cols>
  <sheetData>
    <row r="1" spans="2:10" s="295" customFormat="1">
      <c r="B1" s="294" t="s">
        <v>36</v>
      </c>
      <c r="C1" s="294" t="s">
        <v>37</v>
      </c>
      <c r="D1" s="294" t="s">
        <v>29</v>
      </c>
      <c r="E1" s="294" t="s">
        <v>30</v>
      </c>
    </row>
    <row r="2" spans="2:10" ht="38.25">
      <c r="B2" s="296" t="s">
        <v>42</v>
      </c>
      <c r="C2" s="295">
        <v>124</v>
      </c>
      <c r="D2" s="297" t="s">
        <v>254</v>
      </c>
      <c r="E2" s="297" t="s">
        <v>284</v>
      </c>
    </row>
    <row r="3" spans="2:10" ht="15.75">
      <c r="B3" s="299" t="s">
        <v>17</v>
      </c>
      <c r="E3" s="300"/>
    </row>
    <row r="4" spans="2:10">
      <c r="B4" s="301" t="s">
        <v>1</v>
      </c>
      <c r="C4" s="302" t="s">
        <v>21</v>
      </c>
      <c r="D4" s="303"/>
      <c r="E4" s="304"/>
      <c r="F4" s="303"/>
      <c r="G4" s="305" t="s">
        <v>12</v>
      </c>
      <c r="H4" s="306"/>
      <c r="I4" s="306"/>
      <c r="J4" s="307"/>
    </row>
    <row r="5" spans="2:10" ht="25.5">
      <c r="B5" s="308" t="s">
        <v>13</v>
      </c>
      <c r="C5" s="309" t="s">
        <v>22</v>
      </c>
      <c r="D5" s="309" t="s">
        <v>29</v>
      </c>
      <c r="E5" s="310" t="s">
        <v>30</v>
      </c>
      <c r="F5" s="309" t="s">
        <v>23</v>
      </c>
      <c r="G5" s="311" t="s">
        <v>14</v>
      </c>
      <c r="H5" s="312"/>
      <c r="I5" s="312"/>
      <c r="J5" s="307"/>
    </row>
    <row r="6" spans="2:10" ht="38.25">
      <c r="B6" s="313">
        <v>124</v>
      </c>
      <c r="C6" s="314" t="str">
        <f>+E10</f>
        <v>EQIP</v>
      </c>
      <c r="D6" s="315" t="s">
        <v>254</v>
      </c>
      <c r="E6" s="316" t="s">
        <v>284</v>
      </c>
      <c r="F6" s="314" t="s">
        <v>38</v>
      </c>
      <c r="G6" s="317">
        <f>G23</f>
        <v>2552.625</v>
      </c>
      <c r="H6" s="318"/>
      <c r="I6" s="318"/>
      <c r="J6" s="307"/>
    </row>
    <row r="7" spans="2:10" ht="38.25">
      <c r="B7" s="319">
        <v>124</v>
      </c>
      <c r="C7" s="320" t="s">
        <v>15</v>
      </c>
      <c r="D7" s="321" t="s">
        <v>256</v>
      </c>
      <c r="E7" s="322" t="s">
        <v>285</v>
      </c>
      <c r="F7" s="320" t="s">
        <v>38</v>
      </c>
      <c r="G7" s="323">
        <f>$H$23</f>
        <v>3063.15</v>
      </c>
      <c r="H7" s="318"/>
      <c r="I7" s="307"/>
      <c r="J7" s="307"/>
    </row>
    <row r="8" spans="2:10" ht="14.25" customHeight="1">
      <c r="B8" s="324"/>
      <c r="C8" s="325"/>
      <c r="D8" s="325"/>
      <c r="G8" s="307"/>
      <c r="H8" s="307"/>
      <c r="I8" s="307"/>
      <c r="J8" s="307"/>
    </row>
    <row r="9" spans="2:10" ht="15.75">
      <c r="B9" s="299" t="s">
        <v>18</v>
      </c>
      <c r="C9" s="325"/>
      <c r="D9" s="325"/>
      <c r="G9" s="307"/>
      <c r="H9" s="307"/>
      <c r="I9" s="307"/>
      <c r="J9" s="307"/>
    </row>
    <row r="10" spans="2:10">
      <c r="B10" s="326"/>
      <c r="C10" s="327"/>
      <c r="D10" s="328"/>
      <c r="E10" s="329" t="s">
        <v>15</v>
      </c>
      <c r="F10" s="329" t="s">
        <v>31</v>
      </c>
      <c r="G10" s="329"/>
      <c r="H10" s="330"/>
    </row>
    <row r="11" spans="2:10">
      <c r="B11" s="331"/>
      <c r="C11" s="332"/>
      <c r="D11" s="333"/>
      <c r="E11" s="334" t="s">
        <v>22</v>
      </c>
      <c r="F11" s="334" t="s">
        <v>22</v>
      </c>
      <c r="G11" s="334" t="str">
        <f>+E10</f>
        <v>EQIP</v>
      </c>
      <c r="H11" s="335" t="str">
        <f>+F10</f>
        <v>EQIP-HU</v>
      </c>
    </row>
    <row r="12" spans="2:10">
      <c r="B12" s="336"/>
      <c r="C12" s="333"/>
      <c r="D12" s="333"/>
      <c r="E12" s="334" t="s">
        <v>12</v>
      </c>
      <c r="F12" s="334" t="s">
        <v>12</v>
      </c>
      <c r="G12" s="334" t="s">
        <v>12</v>
      </c>
      <c r="H12" s="335" t="s">
        <v>12</v>
      </c>
    </row>
    <row r="13" spans="2:10">
      <c r="B13" s="337" t="s">
        <v>16</v>
      </c>
      <c r="C13" s="333"/>
      <c r="D13" s="338" t="s">
        <v>6</v>
      </c>
      <c r="E13" s="339" t="s">
        <v>24</v>
      </c>
      <c r="F13" s="339" t="s">
        <v>24</v>
      </c>
      <c r="G13" s="339" t="s">
        <v>14</v>
      </c>
      <c r="H13" s="340" t="s">
        <v>14</v>
      </c>
    </row>
    <row r="14" spans="2:10">
      <c r="B14" s="331" t="s">
        <v>0</v>
      </c>
      <c r="C14" s="333"/>
      <c r="D14" s="341">
        <v>0</v>
      </c>
      <c r="E14" s="342">
        <v>0</v>
      </c>
      <c r="F14" s="342">
        <v>0</v>
      </c>
      <c r="G14" s="343">
        <f>+$D14*E14</f>
        <v>0</v>
      </c>
      <c r="H14" s="344">
        <f>+$D14*F14</f>
        <v>0</v>
      </c>
    </row>
    <row r="15" spans="2:10">
      <c r="B15" s="331" t="s">
        <v>2</v>
      </c>
      <c r="C15" s="333"/>
      <c r="D15" s="341">
        <v>0</v>
      </c>
      <c r="E15" s="342">
        <v>0</v>
      </c>
      <c r="F15" s="342">
        <v>0</v>
      </c>
      <c r="G15" s="343">
        <f t="shared" ref="G15:H22" si="0">+$D15*E15</f>
        <v>0</v>
      </c>
      <c r="H15" s="344">
        <f t="shared" si="0"/>
        <v>0</v>
      </c>
    </row>
    <row r="16" spans="2:10">
      <c r="B16" s="331" t="s">
        <v>3</v>
      </c>
      <c r="C16" s="333"/>
      <c r="D16" s="341">
        <f>I49</f>
        <v>3403.5</v>
      </c>
      <c r="E16" s="342">
        <v>0.75</v>
      </c>
      <c r="F16" s="342">
        <v>0.9</v>
      </c>
      <c r="G16" s="343">
        <f t="shared" si="0"/>
        <v>2552.625</v>
      </c>
      <c r="H16" s="344">
        <f t="shared" si="0"/>
        <v>3063.15</v>
      </c>
    </row>
    <row r="17" spans="2:16">
      <c r="B17" s="331" t="s">
        <v>4</v>
      </c>
      <c r="C17" s="333"/>
      <c r="D17" s="341">
        <v>0</v>
      </c>
      <c r="E17" s="342">
        <v>0</v>
      </c>
      <c r="F17" s="342">
        <v>0</v>
      </c>
      <c r="G17" s="343">
        <f t="shared" si="0"/>
        <v>0</v>
      </c>
      <c r="H17" s="344">
        <f t="shared" si="0"/>
        <v>0</v>
      </c>
    </row>
    <row r="18" spans="2:16">
      <c r="B18" s="331" t="s">
        <v>26</v>
      </c>
      <c r="C18" s="333"/>
      <c r="D18" s="341">
        <v>0</v>
      </c>
      <c r="E18" s="342">
        <v>0</v>
      </c>
      <c r="F18" s="342">
        <v>0</v>
      </c>
      <c r="G18" s="343">
        <f t="shared" si="0"/>
        <v>0</v>
      </c>
      <c r="H18" s="344">
        <f t="shared" si="0"/>
        <v>0</v>
      </c>
    </row>
    <row r="19" spans="2:16">
      <c r="B19" s="331" t="s">
        <v>7</v>
      </c>
      <c r="C19" s="333"/>
      <c r="D19" s="341">
        <f>I63</f>
        <v>0</v>
      </c>
      <c r="E19" s="342">
        <v>0.75</v>
      </c>
      <c r="F19" s="342">
        <v>0.9</v>
      </c>
      <c r="G19" s="343">
        <f t="shared" si="0"/>
        <v>0</v>
      </c>
      <c r="H19" s="344">
        <f t="shared" si="0"/>
        <v>0</v>
      </c>
    </row>
    <row r="20" spans="2:16">
      <c r="B20" s="331" t="s">
        <v>27</v>
      </c>
      <c r="C20" s="333"/>
      <c r="D20" s="341">
        <v>0</v>
      </c>
      <c r="E20" s="342">
        <v>0</v>
      </c>
      <c r="F20" s="342">
        <v>0</v>
      </c>
      <c r="G20" s="343">
        <f t="shared" si="0"/>
        <v>0</v>
      </c>
      <c r="H20" s="344">
        <f t="shared" si="0"/>
        <v>0</v>
      </c>
    </row>
    <row r="21" spans="2:16">
      <c r="B21" s="331" t="s">
        <v>5</v>
      </c>
      <c r="C21" s="333"/>
      <c r="D21" s="341">
        <v>0</v>
      </c>
      <c r="E21" s="342">
        <v>0</v>
      </c>
      <c r="F21" s="342">
        <v>0</v>
      </c>
      <c r="G21" s="343">
        <f t="shared" si="0"/>
        <v>0</v>
      </c>
      <c r="H21" s="344">
        <f t="shared" si="0"/>
        <v>0</v>
      </c>
    </row>
    <row r="22" spans="2:16">
      <c r="B22" s="331" t="s">
        <v>20</v>
      </c>
      <c r="C22" s="333"/>
      <c r="D22" s="341">
        <v>0</v>
      </c>
      <c r="E22" s="342">
        <v>0</v>
      </c>
      <c r="F22" s="342">
        <v>0</v>
      </c>
      <c r="G22" s="345">
        <f t="shared" si="0"/>
        <v>0</v>
      </c>
      <c r="H22" s="346">
        <f t="shared" si="0"/>
        <v>0</v>
      </c>
    </row>
    <row r="23" spans="2:16">
      <c r="B23" s="347" t="s">
        <v>19</v>
      </c>
      <c r="C23" s="348"/>
      <c r="D23" s="349">
        <f>SUM(D14:D22)</f>
        <v>3403.5</v>
      </c>
      <c r="E23" s="350"/>
      <c r="F23" s="350"/>
      <c r="G23" s="349">
        <f t="shared" ref="G23:H23" si="1">SUM(G14:G22)</f>
        <v>2552.625</v>
      </c>
      <c r="H23" s="351">
        <f t="shared" si="1"/>
        <v>3063.15</v>
      </c>
    </row>
    <row r="24" spans="2:16" s="355" customFormat="1" ht="5.25" customHeight="1">
      <c r="B24" s="352"/>
      <c r="C24" s="352"/>
      <c r="D24" s="353"/>
      <c r="E24" s="354"/>
      <c r="F24" s="354"/>
      <c r="G24" s="354"/>
      <c r="H24" s="354"/>
      <c r="I24" s="354"/>
      <c r="J24" s="354"/>
      <c r="K24" s="353"/>
      <c r="L24" s="353"/>
      <c r="M24" s="353"/>
      <c r="N24" s="353"/>
      <c r="O24" s="353"/>
      <c r="P24" s="353"/>
    </row>
    <row r="25" spans="2:16" ht="5.25" customHeight="1"/>
    <row r="26" spans="2:16" ht="15.75">
      <c r="B26" s="356" t="s">
        <v>28</v>
      </c>
      <c r="I26" s="357"/>
    </row>
    <row r="27" spans="2:16">
      <c r="B27" s="358" t="s">
        <v>32</v>
      </c>
      <c r="C27" s="359"/>
      <c r="D27" s="359"/>
      <c r="E27" s="360"/>
      <c r="F27" s="360"/>
      <c r="G27" s="360"/>
      <c r="H27" s="360"/>
      <c r="I27" s="361"/>
    </row>
    <row r="28" spans="2:16" ht="27" customHeight="1">
      <c r="B28" s="362"/>
      <c r="C28" s="363"/>
      <c r="D28" s="1977" t="s">
        <v>286</v>
      </c>
      <c r="E28" s="1978"/>
      <c r="F28" s="1978"/>
      <c r="G28" s="1978"/>
      <c r="H28" s="1978"/>
      <c r="I28" s="364"/>
    </row>
    <row r="29" spans="2:16">
      <c r="B29" s="362"/>
      <c r="C29" s="363"/>
      <c r="D29" s="365"/>
      <c r="E29" s="366"/>
      <c r="F29" s="366"/>
      <c r="G29" s="366"/>
      <c r="H29" s="366"/>
      <c r="I29" s="364"/>
    </row>
    <row r="30" spans="2:16">
      <c r="B30" s="367" t="s">
        <v>41</v>
      </c>
      <c r="C30" s="363"/>
      <c r="D30" s="1975" t="s">
        <v>206</v>
      </c>
      <c r="E30" s="1976"/>
      <c r="F30" s="1976"/>
      <c r="G30" s="1976"/>
      <c r="H30" s="1976"/>
      <c r="I30" s="364"/>
    </row>
    <row r="31" spans="2:16">
      <c r="B31" s="368" t="s">
        <v>40</v>
      </c>
      <c r="C31" s="363"/>
      <c r="D31" s="1975" t="s">
        <v>287</v>
      </c>
      <c r="E31" s="1976"/>
      <c r="F31" s="1976"/>
      <c r="G31" s="1976"/>
      <c r="H31" s="1976"/>
      <c r="I31" s="364"/>
    </row>
    <row r="32" spans="2:16" ht="128.25" customHeight="1">
      <c r="B32" s="368" t="s">
        <v>33</v>
      </c>
      <c r="C32" s="369"/>
      <c r="D32" s="1975" t="s">
        <v>288</v>
      </c>
      <c r="E32" s="1976"/>
      <c r="F32" s="1976"/>
      <c r="G32" s="1976"/>
      <c r="H32" s="1976"/>
      <c r="I32" s="364"/>
    </row>
    <row r="33" spans="2:15" ht="66.75" customHeight="1">
      <c r="B33" s="368" t="s">
        <v>35</v>
      </c>
      <c r="C33" s="369"/>
      <c r="D33" s="1975" t="s">
        <v>261</v>
      </c>
      <c r="E33" s="1976"/>
      <c r="F33" s="1976"/>
      <c r="G33" s="1976"/>
      <c r="H33" s="1976"/>
      <c r="I33" s="364"/>
    </row>
    <row r="34" spans="2:15" ht="36" customHeight="1">
      <c r="B34" s="368" t="s">
        <v>34</v>
      </c>
      <c r="C34" s="369"/>
      <c r="D34" s="1975" t="s">
        <v>262</v>
      </c>
      <c r="E34" s="1976"/>
      <c r="F34" s="1976"/>
      <c r="G34" s="1976"/>
      <c r="H34" s="1976"/>
      <c r="I34" s="364"/>
    </row>
    <row r="35" spans="2:15">
      <c r="B35" s="367"/>
      <c r="C35" s="363"/>
      <c r="D35" s="363"/>
      <c r="E35" s="370"/>
      <c r="F35" s="370"/>
      <c r="G35" s="370"/>
      <c r="H35" s="370"/>
      <c r="I35" s="364"/>
    </row>
    <row r="36" spans="2:15">
      <c r="B36" s="371" t="s">
        <v>25</v>
      </c>
      <c r="C36" s="363"/>
      <c r="D36" s="1979" t="s">
        <v>42</v>
      </c>
      <c r="E36" s="1980"/>
      <c r="F36" s="1980"/>
      <c r="G36" s="1980"/>
      <c r="H36" s="1980"/>
      <c r="I36" s="364"/>
      <c r="J36" s="352"/>
    </row>
    <row r="37" spans="2:15">
      <c r="B37" s="367"/>
      <c r="C37" s="363"/>
      <c r="D37" s="370"/>
      <c r="E37" s="370"/>
      <c r="F37" s="370"/>
      <c r="G37" s="370"/>
      <c r="H37" s="370"/>
      <c r="I37" s="364"/>
    </row>
    <row r="38" spans="2:15">
      <c r="B38" s="371" t="s">
        <v>8</v>
      </c>
      <c r="C38" s="363"/>
      <c r="D38" s="372" t="s">
        <v>38</v>
      </c>
      <c r="E38" s="370"/>
      <c r="F38" s="370"/>
      <c r="G38" s="370"/>
      <c r="H38" s="370"/>
      <c r="I38" s="364"/>
    </row>
    <row r="39" spans="2:15">
      <c r="B39" s="371" t="s">
        <v>9</v>
      </c>
      <c r="C39" s="363"/>
      <c r="D39" s="373">
        <v>1</v>
      </c>
      <c r="E39" s="370"/>
      <c r="F39" s="370"/>
      <c r="G39" s="370"/>
      <c r="H39" s="370"/>
      <c r="I39" s="364"/>
    </row>
    <row r="40" spans="2:15">
      <c r="B40" s="371" t="s">
        <v>10</v>
      </c>
      <c r="C40" s="370"/>
      <c r="D40" s="374">
        <v>0.05</v>
      </c>
      <c r="E40" s="375"/>
      <c r="F40" s="370"/>
      <c r="G40" s="370"/>
      <c r="H40" s="370"/>
      <c r="I40" s="376" t="s">
        <v>6</v>
      </c>
    </row>
    <row r="41" spans="2:15">
      <c r="B41" s="377"/>
      <c r="C41" s="370"/>
      <c r="D41" s="370"/>
      <c r="E41" s="370"/>
      <c r="F41" s="370"/>
      <c r="G41" s="370"/>
      <c r="H41" s="370"/>
      <c r="I41" s="378"/>
      <c r="L41" s="379"/>
      <c r="M41" s="379"/>
      <c r="N41" s="380"/>
      <c r="O41" s="380"/>
    </row>
    <row r="42" spans="2:15">
      <c r="B42" s="362" t="s">
        <v>0</v>
      </c>
      <c r="C42" s="370"/>
      <c r="D42" s="370"/>
      <c r="E42" s="370"/>
      <c r="F42" s="370"/>
      <c r="G42" s="370"/>
      <c r="H42" s="370"/>
      <c r="I42" s="381">
        <v>0</v>
      </c>
      <c r="L42" s="379"/>
      <c r="M42" s="379"/>
      <c r="N42" s="380"/>
      <c r="O42" s="380"/>
    </row>
    <row r="43" spans="2:15" ht="14.25" customHeight="1">
      <c r="B43" s="367" t="s">
        <v>39</v>
      </c>
      <c r="C43" s="370"/>
      <c r="D43" s="382"/>
      <c r="E43" s="370"/>
      <c r="F43" s="370"/>
      <c r="G43" s="370"/>
      <c r="H43" s="370"/>
      <c r="I43" s="381"/>
      <c r="L43" s="379"/>
      <c r="M43" s="380"/>
    </row>
    <row r="44" spans="2:15" ht="6" customHeight="1">
      <c r="B44" s="383"/>
      <c r="C44" s="384"/>
      <c r="D44" s="385"/>
      <c r="E44" s="370"/>
      <c r="F44" s="370"/>
      <c r="G44" s="370"/>
      <c r="H44" s="370"/>
      <c r="I44" s="381"/>
      <c r="L44" s="379"/>
      <c r="M44" s="380"/>
    </row>
    <row r="45" spans="2:15">
      <c r="B45" s="362" t="s">
        <v>2</v>
      </c>
      <c r="C45" s="370"/>
      <c r="D45" s="386"/>
      <c r="E45" s="370"/>
      <c r="F45" s="370"/>
      <c r="G45" s="370"/>
      <c r="H45" s="370"/>
      <c r="I45" s="381">
        <v>0</v>
      </c>
      <c r="L45" s="379"/>
      <c r="M45" s="380"/>
    </row>
    <row r="46" spans="2:15" ht="12.75" customHeight="1">
      <c r="B46" s="1981" t="s">
        <v>39</v>
      </c>
      <c r="C46" s="1978"/>
      <c r="D46" s="1978"/>
      <c r="E46" s="1978"/>
      <c r="F46" s="1978"/>
      <c r="G46" s="1978"/>
      <c r="H46" s="1978"/>
      <c r="I46" s="381"/>
      <c r="L46" s="379"/>
      <c r="M46" s="380"/>
    </row>
    <row r="47" spans="2:15" ht="6" customHeight="1">
      <c r="B47" s="387"/>
      <c r="C47" s="370"/>
      <c r="D47" s="370"/>
      <c r="E47" s="388"/>
      <c r="F47" s="388"/>
      <c r="G47" s="388"/>
      <c r="H47" s="370"/>
      <c r="I47" s="381"/>
      <c r="L47" s="379"/>
      <c r="M47" s="380"/>
    </row>
    <row r="48" spans="2:15" ht="4.5" customHeight="1">
      <c r="B48" s="362"/>
      <c r="C48" s="370"/>
      <c r="D48" s="370"/>
      <c r="E48" s="370"/>
      <c r="F48" s="370"/>
      <c r="G48" s="389"/>
      <c r="H48" s="390"/>
      <c r="I48" s="381"/>
      <c r="L48" s="379"/>
      <c r="M48" s="380"/>
    </row>
    <row r="49" spans="2:15">
      <c r="B49" s="362" t="s">
        <v>3</v>
      </c>
      <c r="C49" s="370"/>
      <c r="D49" s="370"/>
      <c r="E49" s="370"/>
      <c r="F49" s="370"/>
      <c r="G49" s="370"/>
      <c r="H49" s="370"/>
      <c r="I49" s="381">
        <f>$H$56</f>
        <v>3403.5</v>
      </c>
      <c r="L49" s="379"/>
      <c r="M49" s="380"/>
    </row>
    <row r="50" spans="2:15" ht="24.75" customHeight="1">
      <c r="B50" s="1981" t="s">
        <v>211</v>
      </c>
      <c r="C50" s="1978"/>
      <c r="D50" s="1978"/>
      <c r="E50" s="1978"/>
      <c r="F50" s="1978"/>
      <c r="G50" s="1978"/>
      <c r="H50" s="1978"/>
      <c r="I50" s="381"/>
      <c r="L50" s="379"/>
      <c r="M50" s="380"/>
    </row>
    <row r="51" spans="2:15" ht="12.75" customHeight="1">
      <c r="B51" s="391"/>
      <c r="C51" s="392"/>
      <c r="D51" s="393" t="s">
        <v>212</v>
      </c>
      <c r="E51" s="394" t="s">
        <v>46</v>
      </c>
      <c r="F51" s="394" t="s">
        <v>6</v>
      </c>
      <c r="G51" s="394" t="s">
        <v>47</v>
      </c>
      <c r="H51" s="394" t="s">
        <v>48</v>
      </c>
      <c r="I51" s="381"/>
      <c r="L51" s="379"/>
      <c r="M51" s="380"/>
    </row>
    <row r="52" spans="2:15" ht="12.75" customHeight="1">
      <c r="B52" s="391"/>
      <c r="C52" s="366"/>
      <c r="D52" s="366" t="s">
        <v>213</v>
      </c>
      <c r="E52" s="395" t="s">
        <v>49</v>
      </c>
      <c r="F52" s="396">
        <v>71</v>
      </c>
      <c r="G52" s="366">
        <v>1</v>
      </c>
      <c r="H52" s="396">
        <f>F52*G52</f>
        <v>71</v>
      </c>
      <c r="I52" s="381"/>
      <c r="L52" s="379"/>
      <c r="M52" s="380"/>
    </row>
    <row r="53" spans="2:15" ht="12.75" customHeight="1">
      <c r="B53" s="391"/>
      <c r="C53" s="366"/>
      <c r="D53" s="366" t="s">
        <v>214</v>
      </c>
      <c r="E53" s="395" t="s">
        <v>49</v>
      </c>
      <c r="F53" s="396">
        <v>87</v>
      </c>
      <c r="G53" s="366">
        <v>8.5</v>
      </c>
      <c r="H53" s="396">
        <f>F53*G53</f>
        <v>739.5</v>
      </c>
      <c r="I53" s="381"/>
      <c r="L53" s="379"/>
      <c r="M53" s="380"/>
    </row>
    <row r="54" spans="2:15" ht="12.75" customHeight="1">
      <c r="B54" s="391"/>
      <c r="C54" s="366"/>
      <c r="D54" s="366" t="s">
        <v>215</v>
      </c>
      <c r="E54" s="395" t="s">
        <v>49</v>
      </c>
      <c r="F54" s="396">
        <v>149</v>
      </c>
      <c r="G54" s="366">
        <v>11</v>
      </c>
      <c r="H54" s="396">
        <f>F54*G54</f>
        <v>1639</v>
      </c>
      <c r="I54" s="381"/>
      <c r="L54" s="379"/>
      <c r="M54" s="380"/>
    </row>
    <row r="55" spans="2:15" ht="12.75" customHeight="1">
      <c r="B55" s="391"/>
      <c r="C55" s="366"/>
      <c r="D55" s="366" t="s">
        <v>216</v>
      </c>
      <c r="E55" s="395" t="s">
        <v>49</v>
      </c>
      <c r="F55" s="396">
        <v>159</v>
      </c>
      <c r="G55" s="366">
        <v>6</v>
      </c>
      <c r="H55" s="396">
        <f>F55*G55</f>
        <v>954</v>
      </c>
      <c r="I55" s="381"/>
      <c r="L55" s="379"/>
      <c r="M55" s="380"/>
    </row>
    <row r="56" spans="2:15">
      <c r="B56" s="362" t="s">
        <v>4</v>
      </c>
      <c r="C56" s="370"/>
      <c r="D56" s="370"/>
      <c r="E56" s="370"/>
      <c r="F56" s="370"/>
      <c r="G56" s="370">
        <f>SUM(G52:G55)</f>
        <v>26.5</v>
      </c>
      <c r="H56" s="397">
        <f>SUM(H52:H55)</f>
        <v>3403.5</v>
      </c>
      <c r="I56" s="398">
        <v>0</v>
      </c>
      <c r="L56" s="379"/>
      <c r="M56" s="380"/>
    </row>
    <row r="57" spans="2:15" ht="12" customHeight="1">
      <c r="B57" s="367" t="s">
        <v>39</v>
      </c>
      <c r="C57" s="370"/>
      <c r="D57" s="370"/>
      <c r="E57" s="370"/>
      <c r="F57" s="370"/>
      <c r="G57" s="370"/>
      <c r="H57" s="370"/>
      <c r="I57" s="364"/>
      <c r="L57" s="379"/>
      <c r="M57" s="380"/>
    </row>
    <row r="58" spans="2:15" ht="5.25" customHeight="1">
      <c r="B58" s="367"/>
      <c r="C58" s="370"/>
      <c r="D58" s="370"/>
      <c r="E58" s="370"/>
      <c r="F58" s="370"/>
      <c r="G58" s="370"/>
      <c r="H58" s="370"/>
      <c r="I58" s="364"/>
      <c r="L58" s="379"/>
      <c r="M58" s="380"/>
    </row>
    <row r="59" spans="2:15">
      <c r="B59" s="362" t="s">
        <v>26</v>
      </c>
      <c r="C59" s="370"/>
      <c r="D59" s="370"/>
      <c r="E59" s="370"/>
      <c r="F59" s="370"/>
      <c r="G59" s="370"/>
      <c r="H59" s="370"/>
      <c r="I59" s="381">
        <v>0</v>
      </c>
      <c r="L59" s="379"/>
      <c r="M59" s="380"/>
    </row>
    <row r="60" spans="2:15" ht="14.25" customHeight="1">
      <c r="B60" s="1981" t="s">
        <v>39</v>
      </c>
      <c r="C60" s="1982"/>
      <c r="D60" s="1982"/>
      <c r="E60" s="1982"/>
      <c r="F60" s="1982"/>
      <c r="G60" s="1982"/>
      <c r="H60" s="1982"/>
      <c r="I60" s="398"/>
      <c r="L60" s="379"/>
      <c r="M60" s="380"/>
    </row>
    <row r="61" spans="2:15" ht="12" customHeight="1">
      <c r="B61" s="1983"/>
      <c r="C61" s="1984"/>
      <c r="D61" s="1984"/>
      <c r="E61" s="1984"/>
      <c r="F61" s="1984"/>
      <c r="G61" s="1984"/>
      <c r="H61" s="370"/>
      <c r="I61" s="398"/>
      <c r="L61" s="379"/>
      <c r="M61" s="380"/>
    </row>
    <row r="62" spans="2:15" ht="9.75" customHeight="1">
      <c r="B62" s="367"/>
      <c r="C62" s="370"/>
      <c r="D62" s="370"/>
      <c r="E62" s="370"/>
      <c r="F62" s="370"/>
      <c r="G62" s="370"/>
      <c r="H62" s="370"/>
      <c r="I62" s="364"/>
      <c r="L62" s="379"/>
      <c r="M62" s="379"/>
    </row>
    <row r="63" spans="2:15">
      <c r="B63" s="362" t="s">
        <v>7</v>
      </c>
      <c r="C63" s="370"/>
      <c r="D63" s="370"/>
      <c r="E63" s="370"/>
      <c r="F63" s="370"/>
      <c r="G63" s="370"/>
      <c r="H63" s="370"/>
      <c r="I63" s="381">
        <v>0</v>
      </c>
      <c r="L63" s="379"/>
      <c r="M63" s="379"/>
      <c r="N63" s="379"/>
      <c r="O63" s="379"/>
    </row>
    <row r="64" spans="2:15" ht="12" customHeight="1">
      <c r="B64" s="367" t="s">
        <v>39</v>
      </c>
      <c r="C64" s="370"/>
      <c r="D64" s="399"/>
      <c r="E64" s="400"/>
      <c r="F64" s="400"/>
      <c r="G64" s="400"/>
      <c r="H64" s="400"/>
      <c r="I64" s="364"/>
      <c r="L64" s="379"/>
      <c r="M64" s="379"/>
      <c r="N64" s="380"/>
      <c r="O64" s="380"/>
    </row>
    <row r="65" spans="2:15" ht="6" customHeight="1">
      <c r="B65" s="367"/>
      <c r="C65" s="370"/>
      <c r="D65" s="370"/>
      <c r="E65" s="370"/>
      <c r="F65" s="370"/>
      <c r="G65" s="370"/>
      <c r="H65" s="370"/>
      <c r="I65" s="364"/>
      <c r="L65" s="379"/>
      <c r="M65" s="379"/>
      <c r="N65" s="401"/>
      <c r="O65" s="401"/>
    </row>
    <row r="66" spans="2:15">
      <c r="B66" s="362" t="s">
        <v>27</v>
      </c>
      <c r="C66" s="370"/>
      <c r="D66" s="370"/>
      <c r="E66" s="370"/>
      <c r="F66" s="370"/>
      <c r="G66" s="370"/>
      <c r="H66" s="370"/>
      <c r="I66" s="381">
        <v>0</v>
      </c>
      <c r="L66" s="379"/>
      <c r="M66" s="379"/>
      <c r="N66" s="380"/>
      <c r="O66" s="380"/>
    </row>
    <row r="67" spans="2:15" ht="13.5" customHeight="1">
      <c r="B67" s="367" t="s">
        <v>39</v>
      </c>
      <c r="C67" s="370"/>
      <c r="D67" s="370"/>
      <c r="E67" s="370"/>
      <c r="F67" s="370"/>
      <c r="G67" s="370"/>
      <c r="H67" s="370"/>
      <c r="I67" s="402"/>
      <c r="L67" s="379"/>
      <c r="M67" s="379"/>
      <c r="N67" s="401"/>
      <c r="O67" s="401"/>
    </row>
    <row r="68" spans="2:15" ht="3.75" customHeight="1">
      <c r="B68" s="367"/>
      <c r="C68" s="370"/>
      <c r="D68" s="370"/>
      <c r="E68" s="370"/>
      <c r="F68" s="370"/>
      <c r="G68" s="370"/>
      <c r="H68" s="370"/>
      <c r="I68" s="364"/>
      <c r="L68" s="379"/>
      <c r="M68" s="379"/>
      <c r="N68" s="380"/>
      <c r="O68" s="380"/>
    </row>
    <row r="69" spans="2:15">
      <c r="B69" s="362" t="s">
        <v>5</v>
      </c>
      <c r="C69" s="370"/>
      <c r="D69" s="370"/>
      <c r="E69" s="370"/>
      <c r="F69" s="370"/>
      <c r="G69" s="370"/>
      <c r="H69" s="370"/>
      <c r="I69" s="381">
        <v>0</v>
      </c>
      <c r="L69" s="379"/>
      <c r="M69" s="379"/>
      <c r="N69" s="380"/>
      <c r="O69" s="380"/>
    </row>
    <row r="70" spans="2:15" ht="11.25" customHeight="1">
      <c r="B70" s="367" t="s">
        <v>39</v>
      </c>
      <c r="C70" s="370"/>
      <c r="D70" s="370"/>
      <c r="E70" s="370"/>
      <c r="F70" s="370"/>
      <c r="G70" s="370"/>
      <c r="H70" s="370"/>
      <c r="I70" s="402"/>
      <c r="L70" s="379"/>
      <c r="M70" s="379"/>
      <c r="N70" s="379"/>
      <c r="O70" s="379"/>
    </row>
    <row r="71" spans="2:15" ht="4.5" customHeight="1">
      <c r="B71" s="367"/>
      <c r="C71" s="370"/>
      <c r="D71" s="370"/>
      <c r="E71" s="370"/>
      <c r="F71" s="370"/>
      <c r="G71" s="370"/>
      <c r="H71" s="370"/>
      <c r="I71" s="364"/>
      <c r="L71" s="379"/>
      <c r="M71" s="379"/>
      <c r="N71" s="379"/>
      <c r="O71" s="379"/>
    </row>
    <row r="72" spans="2:15">
      <c r="B72" s="362" t="s">
        <v>20</v>
      </c>
      <c r="C72" s="370"/>
      <c r="D72" s="370"/>
      <c r="E72" s="370"/>
      <c r="F72" s="370"/>
      <c r="G72" s="370"/>
      <c r="H72" s="370"/>
      <c r="I72" s="381">
        <v>0</v>
      </c>
      <c r="L72" s="379"/>
      <c r="M72" s="379"/>
      <c r="N72" s="380"/>
      <c r="O72" s="380"/>
    </row>
    <row r="73" spans="2:15" ht="12" customHeight="1">
      <c r="B73" s="367" t="s">
        <v>39</v>
      </c>
      <c r="C73" s="370"/>
      <c r="D73" s="370"/>
      <c r="E73" s="370"/>
      <c r="F73" s="370"/>
      <c r="G73" s="370"/>
      <c r="H73" s="370"/>
      <c r="I73" s="381"/>
      <c r="L73" s="379"/>
      <c r="M73" s="379"/>
      <c r="N73" s="380"/>
      <c r="O73" s="380"/>
    </row>
    <row r="74" spans="2:15" ht="6.75" customHeight="1">
      <c r="B74" s="362"/>
      <c r="C74" s="370"/>
      <c r="D74" s="370"/>
      <c r="E74" s="370"/>
      <c r="F74" s="370"/>
      <c r="G74" s="370"/>
      <c r="H74" s="370"/>
      <c r="I74" s="381"/>
      <c r="L74" s="379"/>
      <c r="M74" s="379"/>
      <c r="N74" s="380"/>
      <c r="O74" s="380"/>
    </row>
    <row r="75" spans="2:15" ht="5.25" customHeight="1">
      <c r="B75" s="377"/>
      <c r="C75" s="370"/>
      <c r="D75" s="370"/>
      <c r="E75" s="370"/>
      <c r="F75" s="370"/>
      <c r="G75" s="370"/>
      <c r="H75" s="370"/>
      <c r="I75" s="364"/>
      <c r="L75" s="379"/>
      <c r="M75" s="379"/>
      <c r="N75" s="379"/>
      <c r="O75" s="379"/>
    </row>
    <row r="76" spans="2:15">
      <c r="B76" s="403" t="s">
        <v>11</v>
      </c>
      <c r="C76" s="404"/>
      <c r="D76" s="404"/>
      <c r="E76" s="404"/>
      <c r="F76" s="404"/>
      <c r="G76" s="404"/>
      <c r="H76" s="404"/>
      <c r="I76" s="405">
        <f>+I72+I69+I66+I63+I59+I56+I49+I45+I42</f>
        <v>3403.5</v>
      </c>
      <c r="L76" s="379"/>
      <c r="M76" s="379"/>
      <c r="N76" s="379"/>
      <c r="O76" s="379"/>
    </row>
    <row r="99" spans="5:5">
      <c r="E99" s="406"/>
    </row>
    <row r="100" spans="5:5">
      <c r="E100" s="406"/>
    </row>
    <row r="101" spans="5:5">
      <c r="E101" s="406"/>
    </row>
    <row r="102" spans="5:5">
      <c r="E102" s="406"/>
    </row>
    <row r="103" spans="5:5">
      <c r="E103" s="406"/>
    </row>
    <row r="104" spans="5:5">
      <c r="E104" s="406"/>
    </row>
    <row r="106" spans="5:5">
      <c r="E106" s="406"/>
    </row>
    <row r="108" spans="5:5">
      <c r="E108" s="407"/>
    </row>
    <row r="110" spans="5:5">
      <c r="E110" s="406"/>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39.xml><?xml version="1.0" encoding="utf-8"?>
<worksheet xmlns="http://schemas.openxmlformats.org/spreadsheetml/2006/main" xmlns:r="http://schemas.openxmlformats.org/officeDocument/2006/relationships">
  <dimension ref="B1:P110"/>
  <sheetViews>
    <sheetView zoomScaleNormal="100" workbookViewId="0">
      <selection activeCell="D23" sqref="D23"/>
    </sheetView>
  </sheetViews>
  <sheetFormatPr defaultRowHeight="12.75"/>
  <cols>
    <col min="1" max="1" width="2.85546875" style="298" customWidth="1"/>
    <col min="2" max="2" width="11.5703125" style="298" customWidth="1"/>
    <col min="3" max="3" width="18.7109375" style="298" customWidth="1"/>
    <col min="4" max="4" width="23.5703125" style="298" customWidth="1"/>
    <col min="5" max="5" width="20.5703125" style="298" customWidth="1"/>
    <col min="6" max="6" width="10.85546875" style="298" customWidth="1"/>
    <col min="7" max="7" width="10.42578125" style="298" customWidth="1"/>
    <col min="8" max="8" width="9.140625" style="298" bestFit="1" customWidth="1"/>
    <col min="9" max="9" width="9.85546875" style="298" customWidth="1"/>
    <col min="10" max="10" width="2.85546875" style="298" customWidth="1"/>
    <col min="11" max="11" width="8.140625" style="298" customWidth="1"/>
    <col min="12" max="12" width="8.42578125" style="298" customWidth="1"/>
    <col min="13" max="14" width="9.140625" style="298"/>
    <col min="15" max="16" width="9" style="298" bestFit="1" customWidth="1"/>
    <col min="17" max="16384" width="9.140625" style="298"/>
  </cols>
  <sheetData>
    <row r="1" spans="2:10" s="295" customFormat="1">
      <c r="B1" s="294" t="s">
        <v>36</v>
      </c>
      <c r="C1" s="294" t="s">
        <v>37</v>
      </c>
      <c r="D1" s="294" t="s">
        <v>29</v>
      </c>
      <c r="E1" s="294" t="s">
        <v>30</v>
      </c>
    </row>
    <row r="2" spans="2:10" ht="38.25">
      <c r="B2" s="296" t="s">
        <v>42</v>
      </c>
      <c r="C2" s="295">
        <v>124</v>
      </c>
      <c r="D2" s="297" t="s">
        <v>254</v>
      </c>
      <c r="E2" s="297" t="s">
        <v>289</v>
      </c>
    </row>
    <row r="3" spans="2:10" ht="15.75">
      <c r="B3" s="299" t="s">
        <v>17</v>
      </c>
      <c r="E3" s="300"/>
    </row>
    <row r="4" spans="2:10">
      <c r="B4" s="301" t="s">
        <v>1</v>
      </c>
      <c r="C4" s="302" t="s">
        <v>21</v>
      </c>
      <c r="D4" s="303"/>
      <c r="E4" s="304"/>
      <c r="F4" s="303"/>
      <c r="G4" s="305" t="s">
        <v>12</v>
      </c>
      <c r="H4" s="306"/>
      <c r="I4" s="306"/>
      <c r="J4" s="307"/>
    </row>
    <row r="5" spans="2:10" ht="25.5">
      <c r="B5" s="308" t="s">
        <v>13</v>
      </c>
      <c r="C5" s="309" t="s">
        <v>22</v>
      </c>
      <c r="D5" s="309" t="s">
        <v>29</v>
      </c>
      <c r="E5" s="310" t="s">
        <v>30</v>
      </c>
      <c r="F5" s="309" t="s">
        <v>23</v>
      </c>
      <c r="G5" s="311" t="s">
        <v>14</v>
      </c>
      <c r="H5" s="312"/>
      <c r="I5" s="312"/>
      <c r="J5" s="307"/>
    </row>
    <row r="6" spans="2:10" ht="38.25">
      <c r="B6" s="313">
        <v>124</v>
      </c>
      <c r="C6" s="314" t="str">
        <f>+E10</f>
        <v>EQIP</v>
      </c>
      <c r="D6" s="315" t="s">
        <v>254</v>
      </c>
      <c r="E6" s="316" t="s">
        <v>289</v>
      </c>
      <c r="F6" s="314" t="s">
        <v>38</v>
      </c>
      <c r="G6" s="317">
        <f>G23</f>
        <v>3306.375</v>
      </c>
      <c r="H6" s="318"/>
      <c r="I6" s="318"/>
      <c r="J6" s="307"/>
    </row>
    <row r="7" spans="2:10" ht="38.25">
      <c r="B7" s="319">
        <v>124</v>
      </c>
      <c r="C7" s="320" t="s">
        <v>15</v>
      </c>
      <c r="D7" s="321" t="s">
        <v>256</v>
      </c>
      <c r="E7" s="322" t="s">
        <v>290</v>
      </c>
      <c r="F7" s="320" t="s">
        <v>38</v>
      </c>
      <c r="G7" s="323">
        <f>$H$23</f>
        <v>3967.65</v>
      </c>
      <c r="H7" s="318"/>
      <c r="I7" s="307"/>
      <c r="J7" s="307"/>
    </row>
    <row r="8" spans="2:10" ht="14.25" customHeight="1">
      <c r="B8" s="324"/>
      <c r="C8" s="325"/>
      <c r="D8" s="325"/>
      <c r="G8" s="307"/>
      <c r="H8" s="307"/>
      <c r="I8" s="307"/>
      <c r="J8" s="307"/>
    </row>
    <row r="9" spans="2:10" ht="15.75">
      <c r="B9" s="299" t="s">
        <v>18</v>
      </c>
      <c r="C9" s="325"/>
      <c r="D9" s="325"/>
      <c r="G9" s="307"/>
      <c r="H9" s="307"/>
      <c r="I9" s="307"/>
      <c r="J9" s="307"/>
    </row>
    <row r="10" spans="2:10">
      <c r="B10" s="326"/>
      <c r="C10" s="327"/>
      <c r="D10" s="328"/>
      <c r="E10" s="329" t="s">
        <v>15</v>
      </c>
      <c r="F10" s="329" t="s">
        <v>31</v>
      </c>
      <c r="G10" s="329"/>
      <c r="H10" s="330"/>
    </row>
    <row r="11" spans="2:10">
      <c r="B11" s="331"/>
      <c r="C11" s="332"/>
      <c r="D11" s="333"/>
      <c r="E11" s="334" t="s">
        <v>22</v>
      </c>
      <c r="F11" s="334" t="s">
        <v>22</v>
      </c>
      <c r="G11" s="334" t="str">
        <f>+E10</f>
        <v>EQIP</v>
      </c>
      <c r="H11" s="335" t="str">
        <f>+F10</f>
        <v>EQIP-HU</v>
      </c>
    </row>
    <row r="12" spans="2:10">
      <c r="B12" s="336"/>
      <c r="C12" s="333"/>
      <c r="D12" s="333"/>
      <c r="E12" s="334" t="s">
        <v>12</v>
      </c>
      <c r="F12" s="334" t="s">
        <v>12</v>
      </c>
      <c r="G12" s="334" t="s">
        <v>12</v>
      </c>
      <c r="H12" s="335" t="s">
        <v>12</v>
      </c>
    </row>
    <row r="13" spans="2:10">
      <c r="B13" s="337" t="s">
        <v>16</v>
      </c>
      <c r="C13" s="333"/>
      <c r="D13" s="338" t="s">
        <v>6</v>
      </c>
      <c r="E13" s="339" t="s">
        <v>24</v>
      </c>
      <c r="F13" s="339" t="s">
        <v>24</v>
      </c>
      <c r="G13" s="339" t="s">
        <v>14</v>
      </c>
      <c r="H13" s="340" t="s">
        <v>14</v>
      </c>
    </row>
    <row r="14" spans="2:10">
      <c r="B14" s="331" t="s">
        <v>0</v>
      </c>
      <c r="C14" s="333"/>
      <c r="D14" s="341">
        <v>0</v>
      </c>
      <c r="E14" s="342">
        <v>0</v>
      </c>
      <c r="F14" s="342">
        <v>0</v>
      </c>
      <c r="G14" s="343">
        <f>+$D14*E14</f>
        <v>0</v>
      </c>
      <c r="H14" s="344">
        <f>+$D14*F14</f>
        <v>0</v>
      </c>
    </row>
    <row r="15" spans="2:10">
      <c r="B15" s="331" t="s">
        <v>2</v>
      </c>
      <c r="C15" s="333"/>
      <c r="D15" s="341">
        <v>0</v>
      </c>
      <c r="E15" s="342">
        <v>0</v>
      </c>
      <c r="F15" s="342">
        <v>0</v>
      </c>
      <c r="G15" s="343">
        <f t="shared" ref="G15:H22" si="0">+$D15*E15</f>
        <v>0</v>
      </c>
      <c r="H15" s="344">
        <f t="shared" si="0"/>
        <v>0</v>
      </c>
    </row>
    <row r="16" spans="2:10">
      <c r="B16" s="331" t="s">
        <v>3</v>
      </c>
      <c r="C16" s="333"/>
      <c r="D16" s="341">
        <f>I49</f>
        <v>4408.5</v>
      </c>
      <c r="E16" s="342">
        <v>0.75</v>
      </c>
      <c r="F16" s="342">
        <v>0.9</v>
      </c>
      <c r="G16" s="343">
        <f t="shared" si="0"/>
        <v>3306.375</v>
      </c>
      <c r="H16" s="344">
        <f t="shared" si="0"/>
        <v>3967.65</v>
      </c>
    </row>
    <row r="17" spans="2:16">
      <c r="B17" s="331" t="s">
        <v>4</v>
      </c>
      <c r="C17" s="333"/>
      <c r="D17" s="341">
        <v>0</v>
      </c>
      <c r="E17" s="342">
        <v>0</v>
      </c>
      <c r="F17" s="342">
        <v>0</v>
      </c>
      <c r="G17" s="343">
        <f t="shared" si="0"/>
        <v>0</v>
      </c>
      <c r="H17" s="344">
        <f t="shared" si="0"/>
        <v>0</v>
      </c>
    </row>
    <row r="18" spans="2:16">
      <c r="B18" s="331" t="s">
        <v>26</v>
      </c>
      <c r="C18" s="333"/>
      <c r="D18" s="341">
        <v>0</v>
      </c>
      <c r="E18" s="342">
        <v>0</v>
      </c>
      <c r="F18" s="342">
        <v>0</v>
      </c>
      <c r="G18" s="343">
        <f t="shared" si="0"/>
        <v>0</v>
      </c>
      <c r="H18" s="344">
        <f t="shared" si="0"/>
        <v>0</v>
      </c>
    </row>
    <row r="19" spans="2:16">
      <c r="B19" s="331" t="s">
        <v>7</v>
      </c>
      <c r="C19" s="333"/>
      <c r="D19" s="341">
        <f>I63</f>
        <v>0</v>
      </c>
      <c r="E19" s="342">
        <v>0.75</v>
      </c>
      <c r="F19" s="342">
        <v>0.9</v>
      </c>
      <c r="G19" s="343">
        <f t="shared" si="0"/>
        <v>0</v>
      </c>
      <c r="H19" s="344">
        <f t="shared" si="0"/>
        <v>0</v>
      </c>
    </row>
    <row r="20" spans="2:16">
      <c r="B20" s="331" t="s">
        <v>27</v>
      </c>
      <c r="C20" s="333"/>
      <c r="D20" s="341">
        <v>0</v>
      </c>
      <c r="E20" s="342">
        <v>0</v>
      </c>
      <c r="F20" s="342">
        <v>0</v>
      </c>
      <c r="G20" s="343">
        <f t="shared" si="0"/>
        <v>0</v>
      </c>
      <c r="H20" s="344">
        <f t="shared" si="0"/>
        <v>0</v>
      </c>
    </row>
    <row r="21" spans="2:16">
      <c r="B21" s="331" t="s">
        <v>5</v>
      </c>
      <c r="C21" s="333"/>
      <c r="D21" s="341">
        <v>0</v>
      </c>
      <c r="E21" s="342">
        <v>0</v>
      </c>
      <c r="F21" s="342">
        <v>0</v>
      </c>
      <c r="G21" s="343">
        <f t="shared" si="0"/>
        <v>0</v>
      </c>
      <c r="H21" s="344">
        <f t="shared" si="0"/>
        <v>0</v>
      </c>
    </row>
    <row r="22" spans="2:16">
      <c r="B22" s="331" t="s">
        <v>20</v>
      </c>
      <c r="C22" s="333"/>
      <c r="D22" s="341">
        <v>0</v>
      </c>
      <c r="E22" s="342">
        <v>0</v>
      </c>
      <c r="F22" s="342">
        <v>0</v>
      </c>
      <c r="G22" s="345">
        <f t="shared" si="0"/>
        <v>0</v>
      </c>
      <c r="H22" s="346">
        <f t="shared" si="0"/>
        <v>0</v>
      </c>
    </row>
    <row r="23" spans="2:16">
      <c r="B23" s="347" t="s">
        <v>19</v>
      </c>
      <c r="C23" s="348"/>
      <c r="D23" s="349">
        <f>SUM(D14:D22)</f>
        <v>4408.5</v>
      </c>
      <c r="E23" s="350"/>
      <c r="F23" s="350"/>
      <c r="G23" s="349">
        <f t="shared" ref="G23:H23" si="1">SUM(G14:G22)</f>
        <v>3306.375</v>
      </c>
      <c r="H23" s="351">
        <f t="shared" si="1"/>
        <v>3967.65</v>
      </c>
    </row>
    <row r="24" spans="2:16" s="355" customFormat="1" ht="5.25" customHeight="1">
      <c r="B24" s="352"/>
      <c r="C24" s="352"/>
      <c r="D24" s="353"/>
      <c r="E24" s="354"/>
      <c r="F24" s="354"/>
      <c r="G24" s="354"/>
      <c r="H24" s="354"/>
      <c r="I24" s="354"/>
      <c r="J24" s="354"/>
      <c r="K24" s="353"/>
      <c r="L24" s="353"/>
      <c r="M24" s="353"/>
      <c r="N24" s="353"/>
      <c r="O24" s="353"/>
      <c r="P24" s="353"/>
    </row>
    <row r="25" spans="2:16" ht="5.25" customHeight="1"/>
    <row r="26" spans="2:16" ht="15.75">
      <c r="B26" s="356" t="s">
        <v>28</v>
      </c>
      <c r="I26" s="357"/>
    </row>
    <row r="27" spans="2:16">
      <c r="B27" s="358" t="s">
        <v>32</v>
      </c>
      <c r="C27" s="359"/>
      <c r="D27" s="359"/>
      <c r="E27" s="360"/>
      <c r="F27" s="360"/>
      <c r="G27" s="360"/>
      <c r="H27" s="360"/>
      <c r="I27" s="361"/>
    </row>
    <row r="28" spans="2:16" ht="27" customHeight="1">
      <c r="B28" s="362"/>
      <c r="C28" s="363"/>
      <c r="D28" s="1977" t="s">
        <v>291</v>
      </c>
      <c r="E28" s="1978"/>
      <c r="F28" s="1978"/>
      <c r="G28" s="1978"/>
      <c r="H28" s="1978"/>
      <c r="I28" s="364"/>
    </row>
    <row r="29" spans="2:16">
      <c r="B29" s="362"/>
      <c r="C29" s="363"/>
      <c r="D29" s="365"/>
      <c r="E29" s="366"/>
      <c r="F29" s="366"/>
      <c r="G29" s="366"/>
      <c r="H29" s="366"/>
      <c r="I29" s="364"/>
    </row>
    <row r="30" spans="2:16">
      <c r="B30" s="367" t="s">
        <v>41</v>
      </c>
      <c r="C30" s="363"/>
      <c r="D30" s="1975" t="s">
        <v>206</v>
      </c>
      <c r="E30" s="1976"/>
      <c r="F30" s="1976"/>
      <c r="G30" s="1976"/>
      <c r="H30" s="1976"/>
      <c r="I30" s="364"/>
    </row>
    <row r="31" spans="2:16">
      <c r="B31" s="368" t="s">
        <v>40</v>
      </c>
      <c r="C31" s="363"/>
      <c r="D31" s="1975" t="s">
        <v>292</v>
      </c>
      <c r="E31" s="1976"/>
      <c r="F31" s="1976"/>
      <c r="G31" s="1976"/>
      <c r="H31" s="1976"/>
      <c r="I31" s="364"/>
    </row>
    <row r="32" spans="2:16" ht="128.25" customHeight="1">
      <c r="B32" s="368" t="s">
        <v>33</v>
      </c>
      <c r="C32" s="369"/>
      <c r="D32" s="1975" t="s">
        <v>293</v>
      </c>
      <c r="E32" s="1976"/>
      <c r="F32" s="1976"/>
      <c r="G32" s="1976"/>
      <c r="H32" s="1976"/>
      <c r="I32" s="364"/>
    </row>
    <row r="33" spans="2:15" ht="66.75" customHeight="1">
      <c r="B33" s="368" t="s">
        <v>35</v>
      </c>
      <c r="C33" s="369"/>
      <c r="D33" s="1975" t="s">
        <v>261</v>
      </c>
      <c r="E33" s="1976"/>
      <c r="F33" s="1976"/>
      <c r="G33" s="1976"/>
      <c r="H33" s="1976"/>
      <c r="I33" s="364"/>
    </row>
    <row r="34" spans="2:15" ht="36" customHeight="1">
      <c r="B34" s="368" t="s">
        <v>34</v>
      </c>
      <c r="C34" s="369"/>
      <c r="D34" s="1975" t="s">
        <v>262</v>
      </c>
      <c r="E34" s="1976"/>
      <c r="F34" s="1976"/>
      <c r="G34" s="1976"/>
      <c r="H34" s="1976"/>
      <c r="I34" s="364"/>
    </row>
    <row r="35" spans="2:15">
      <c r="B35" s="367"/>
      <c r="C35" s="363"/>
      <c r="D35" s="363"/>
      <c r="E35" s="370"/>
      <c r="F35" s="370"/>
      <c r="G35" s="370"/>
      <c r="H35" s="370"/>
      <c r="I35" s="364"/>
    </row>
    <row r="36" spans="2:15">
      <c r="B36" s="371" t="s">
        <v>25</v>
      </c>
      <c r="C36" s="363"/>
      <c r="D36" s="1979" t="s">
        <v>42</v>
      </c>
      <c r="E36" s="1980"/>
      <c r="F36" s="1980"/>
      <c r="G36" s="1980"/>
      <c r="H36" s="1980"/>
      <c r="I36" s="364"/>
      <c r="J36" s="352"/>
    </row>
    <row r="37" spans="2:15">
      <c r="B37" s="367"/>
      <c r="C37" s="363"/>
      <c r="D37" s="370"/>
      <c r="E37" s="370"/>
      <c r="F37" s="370"/>
      <c r="G37" s="370"/>
      <c r="H37" s="370"/>
      <c r="I37" s="364"/>
    </row>
    <row r="38" spans="2:15">
      <c r="B38" s="371" t="s">
        <v>8</v>
      </c>
      <c r="C38" s="363"/>
      <c r="D38" s="372" t="s">
        <v>38</v>
      </c>
      <c r="E38" s="370"/>
      <c r="F38" s="370"/>
      <c r="G38" s="370"/>
      <c r="H38" s="370"/>
      <c r="I38" s="364"/>
    </row>
    <row r="39" spans="2:15">
      <c r="B39" s="371" t="s">
        <v>9</v>
      </c>
      <c r="C39" s="363"/>
      <c r="D39" s="373">
        <v>1</v>
      </c>
      <c r="E39" s="370"/>
      <c r="F39" s="370"/>
      <c r="G39" s="370"/>
      <c r="H39" s="370"/>
      <c r="I39" s="364"/>
    </row>
    <row r="40" spans="2:15">
      <c r="B40" s="371" t="s">
        <v>10</v>
      </c>
      <c r="C40" s="370"/>
      <c r="D40" s="374">
        <v>0.05</v>
      </c>
      <c r="E40" s="375"/>
      <c r="F40" s="370"/>
      <c r="G40" s="370"/>
      <c r="H40" s="370"/>
      <c r="I40" s="376" t="s">
        <v>6</v>
      </c>
    </row>
    <row r="41" spans="2:15">
      <c r="B41" s="377"/>
      <c r="C41" s="370"/>
      <c r="D41" s="370"/>
      <c r="E41" s="370"/>
      <c r="F41" s="370"/>
      <c r="G41" s="370"/>
      <c r="H41" s="370"/>
      <c r="I41" s="378"/>
      <c r="L41" s="379"/>
      <c r="M41" s="379"/>
      <c r="N41" s="380"/>
      <c r="O41" s="380"/>
    </row>
    <row r="42" spans="2:15">
      <c r="B42" s="362" t="s">
        <v>0</v>
      </c>
      <c r="C42" s="370"/>
      <c r="D42" s="370"/>
      <c r="E42" s="370"/>
      <c r="F42" s="370"/>
      <c r="G42" s="370"/>
      <c r="H42" s="370"/>
      <c r="I42" s="381">
        <v>0</v>
      </c>
      <c r="L42" s="379"/>
      <c r="M42" s="379"/>
      <c r="N42" s="380"/>
      <c r="O42" s="380"/>
    </row>
    <row r="43" spans="2:15" ht="14.25" customHeight="1">
      <c r="B43" s="367" t="s">
        <v>39</v>
      </c>
      <c r="C43" s="370"/>
      <c r="D43" s="382"/>
      <c r="E43" s="370"/>
      <c r="F43" s="370"/>
      <c r="G43" s="370"/>
      <c r="H43" s="370"/>
      <c r="I43" s="381"/>
      <c r="L43" s="379"/>
      <c r="M43" s="380"/>
    </row>
    <row r="44" spans="2:15" ht="6" customHeight="1">
      <c r="B44" s="383"/>
      <c r="C44" s="384"/>
      <c r="D44" s="385"/>
      <c r="E44" s="370"/>
      <c r="F44" s="370"/>
      <c r="G44" s="370"/>
      <c r="H44" s="370"/>
      <c r="I44" s="381"/>
      <c r="L44" s="379"/>
      <c r="M44" s="380"/>
    </row>
    <row r="45" spans="2:15">
      <c r="B45" s="362" t="s">
        <v>2</v>
      </c>
      <c r="C45" s="370"/>
      <c r="D45" s="386"/>
      <c r="E45" s="370"/>
      <c r="F45" s="370"/>
      <c r="G45" s="370"/>
      <c r="H45" s="370"/>
      <c r="I45" s="381">
        <v>0</v>
      </c>
      <c r="L45" s="379"/>
      <c r="M45" s="380"/>
    </row>
    <row r="46" spans="2:15" ht="12.75" customHeight="1">
      <c r="B46" s="1981" t="s">
        <v>39</v>
      </c>
      <c r="C46" s="1978"/>
      <c r="D46" s="1978"/>
      <c r="E46" s="1978"/>
      <c r="F46" s="1978"/>
      <c r="G46" s="1978"/>
      <c r="H46" s="1978"/>
      <c r="I46" s="381"/>
      <c r="L46" s="379"/>
      <c r="M46" s="380"/>
    </row>
    <row r="47" spans="2:15" ht="6" customHeight="1">
      <c r="B47" s="387"/>
      <c r="C47" s="370"/>
      <c r="D47" s="370"/>
      <c r="E47" s="388"/>
      <c r="F47" s="388"/>
      <c r="G47" s="388"/>
      <c r="H47" s="370"/>
      <c r="I47" s="381"/>
      <c r="L47" s="379"/>
      <c r="M47" s="380"/>
    </row>
    <row r="48" spans="2:15" ht="4.5" customHeight="1">
      <c r="B48" s="362"/>
      <c r="C48" s="370"/>
      <c r="D48" s="370"/>
      <c r="E48" s="370"/>
      <c r="F48" s="370"/>
      <c r="G48" s="389"/>
      <c r="H48" s="390"/>
      <c r="I48" s="381"/>
      <c r="L48" s="379"/>
      <c r="M48" s="380"/>
    </row>
    <row r="49" spans="2:15">
      <c r="B49" s="362" t="s">
        <v>3</v>
      </c>
      <c r="C49" s="370"/>
      <c r="D49" s="370"/>
      <c r="E49" s="370"/>
      <c r="F49" s="370"/>
      <c r="G49" s="370"/>
      <c r="H49" s="370"/>
      <c r="I49" s="381">
        <f>$H$56</f>
        <v>4408.5</v>
      </c>
      <c r="L49" s="379"/>
      <c r="M49" s="380"/>
    </row>
    <row r="50" spans="2:15" ht="24.75" customHeight="1">
      <c r="B50" s="1981" t="s">
        <v>211</v>
      </c>
      <c r="C50" s="1978"/>
      <c r="D50" s="1978"/>
      <c r="E50" s="1978"/>
      <c r="F50" s="1978"/>
      <c r="G50" s="1978"/>
      <c r="H50" s="1978"/>
      <c r="I50" s="381"/>
      <c r="L50" s="379"/>
      <c r="M50" s="380"/>
    </row>
    <row r="51" spans="2:15" ht="12.75" customHeight="1">
      <c r="B51" s="391"/>
      <c r="C51" s="392"/>
      <c r="D51" s="393" t="s">
        <v>212</v>
      </c>
      <c r="E51" s="394" t="s">
        <v>46</v>
      </c>
      <c r="F51" s="394" t="s">
        <v>6</v>
      </c>
      <c r="G51" s="394" t="s">
        <v>47</v>
      </c>
      <c r="H51" s="394" t="s">
        <v>48</v>
      </c>
      <c r="I51" s="381"/>
      <c r="L51" s="379"/>
      <c r="M51" s="380"/>
    </row>
    <row r="52" spans="2:15" ht="12.75" customHeight="1">
      <c r="B52" s="391"/>
      <c r="C52" s="366"/>
      <c r="D52" s="366" t="s">
        <v>213</v>
      </c>
      <c r="E52" s="395" t="s">
        <v>49</v>
      </c>
      <c r="F52" s="396">
        <v>71</v>
      </c>
      <c r="G52" s="366">
        <v>1</v>
      </c>
      <c r="H52" s="396">
        <f>F52*G52</f>
        <v>71</v>
      </c>
      <c r="I52" s="381"/>
      <c r="L52" s="379"/>
      <c r="M52" s="380"/>
    </row>
    <row r="53" spans="2:15" ht="12.75" customHeight="1">
      <c r="B53" s="391"/>
      <c r="C53" s="366"/>
      <c r="D53" s="366" t="s">
        <v>214</v>
      </c>
      <c r="E53" s="395" t="s">
        <v>49</v>
      </c>
      <c r="F53" s="396">
        <v>87</v>
      </c>
      <c r="G53" s="366">
        <v>12</v>
      </c>
      <c r="H53" s="396">
        <f>F53*G53</f>
        <v>1044</v>
      </c>
      <c r="I53" s="381"/>
      <c r="L53" s="379"/>
      <c r="M53" s="380"/>
    </row>
    <row r="54" spans="2:15" ht="12.75" customHeight="1">
      <c r="B54" s="391"/>
      <c r="C54" s="366"/>
      <c r="D54" s="366" t="s">
        <v>215</v>
      </c>
      <c r="E54" s="395" t="s">
        <v>49</v>
      </c>
      <c r="F54" s="396">
        <v>149</v>
      </c>
      <c r="G54" s="366">
        <v>12.5</v>
      </c>
      <c r="H54" s="396">
        <f>F54*G54</f>
        <v>1862.5</v>
      </c>
      <c r="I54" s="381"/>
      <c r="L54" s="379"/>
      <c r="M54" s="380"/>
    </row>
    <row r="55" spans="2:15" ht="12.75" customHeight="1">
      <c r="B55" s="391"/>
      <c r="C55" s="366"/>
      <c r="D55" s="366" t="s">
        <v>216</v>
      </c>
      <c r="E55" s="395" t="s">
        <v>49</v>
      </c>
      <c r="F55" s="396">
        <v>159</v>
      </c>
      <c r="G55" s="366">
        <v>9</v>
      </c>
      <c r="H55" s="396">
        <f>F55*G55</f>
        <v>1431</v>
      </c>
      <c r="I55" s="381"/>
      <c r="L55" s="379"/>
      <c r="M55" s="380"/>
    </row>
    <row r="56" spans="2:15">
      <c r="B56" s="362" t="s">
        <v>4</v>
      </c>
      <c r="C56" s="370"/>
      <c r="D56" s="370"/>
      <c r="E56" s="370"/>
      <c r="F56" s="370"/>
      <c r="G56" s="370">
        <f>SUM(G52:G55)</f>
        <v>34.5</v>
      </c>
      <c r="H56" s="397">
        <f>SUM(H52:H55)</f>
        <v>4408.5</v>
      </c>
      <c r="I56" s="398">
        <v>0</v>
      </c>
      <c r="L56" s="379"/>
      <c r="M56" s="380"/>
    </row>
    <row r="57" spans="2:15" ht="12" customHeight="1">
      <c r="B57" s="367" t="s">
        <v>39</v>
      </c>
      <c r="C57" s="370"/>
      <c r="D57" s="370"/>
      <c r="E57" s="370"/>
      <c r="F57" s="370"/>
      <c r="G57" s="370"/>
      <c r="H57" s="370"/>
      <c r="I57" s="364"/>
      <c r="L57" s="379"/>
      <c r="M57" s="380"/>
    </row>
    <row r="58" spans="2:15" ht="5.25" customHeight="1">
      <c r="B58" s="367"/>
      <c r="C58" s="370"/>
      <c r="D58" s="370"/>
      <c r="E58" s="370"/>
      <c r="F58" s="370"/>
      <c r="G58" s="370"/>
      <c r="H58" s="370"/>
      <c r="I58" s="364"/>
      <c r="L58" s="379"/>
      <c r="M58" s="380"/>
    </row>
    <row r="59" spans="2:15">
      <c r="B59" s="362" t="s">
        <v>26</v>
      </c>
      <c r="C59" s="370"/>
      <c r="D59" s="370"/>
      <c r="E59" s="370"/>
      <c r="F59" s="370"/>
      <c r="G59" s="370"/>
      <c r="H59" s="370"/>
      <c r="I59" s="381">
        <v>0</v>
      </c>
      <c r="L59" s="379"/>
      <c r="M59" s="380"/>
    </row>
    <row r="60" spans="2:15" ht="14.25" customHeight="1">
      <c r="B60" s="1981" t="s">
        <v>39</v>
      </c>
      <c r="C60" s="1982"/>
      <c r="D60" s="1982"/>
      <c r="E60" s="1982"/>
      <c r="F60" s="1982"/>
      <c r="G60" s="1982"/>
      <c r="H60" s="1982"/>
      <c r="I60" s="398"/>
      <c r="L60" s="379"/>
      <c r="M60" s="380"/>
    </row>
    <row r="61" spans="2:15" ht="12" customHeight="1">
      <c r="B61" s="1983"/>
      <c r="C61" s="1984"/>
      <c r="D61" s="1984"/>
      <c r="E61" s="1984"/>
      <c r="F61" s="1984"/>
      <c r="G61" s="1984"/>
      <c r="H61" s="370"/>
      <c r="I61" s="398"/>
      <c r="L61" s="379"/>
      <c r="M61" s="380"/>
    </row>
    <row r="62" spans="2:15" ht="9.75" customHeight="1">
      <c r="B62" s="367"/>
      <c r="C62" s="370"/>
      <c r="D62" s="370"/>
      <c r="E62" s="370"/>
      <c r="F62" s="370"/>
      <c r="G62" s="370"/>
      <c r="H62" s="370"/>
      <c r="I62" s="364"/>
      <c r="L62" s="379"/>
      <c r="M62" s="379"/>
    </row>
    <row r="63" spans="2:15">
      <c r="B63" s="362" t="s">
        <v>7</v>
      </c>
      <c r="C63" s="370"/>
      <c r="D63" s="370"/>
      <c r="E63" s="370"/>
      <c r="F63" s="370"/>
      <c r="G63" s="370"/>
      <c r="H63" s="370"/>
      <c r="I63" s="381">
        <v>0</v>
      </c>
      <c r="L63" s="379"/>
      <c r="M63" s="379"/>
      <c r="N63" s="379"/>
      <c r="O63" s="379"/>
    </row>
    <row r="64" spans="2:15" ht="12" customHeight="1">
      <c r="B64" s="367" t="s">
        <v>39</v>
      </c>
      <c r="C64" s="370"/>
      <c r="D64" s="399"/>
      <c r="E64" s="400"/>
      <c r="F64" s="400"/>
      <c r="G64" s="400"/>
      <c r="H64" s="400"/>
      <c r="I64" s="364"/>
      <c r="L64" s="379"/>
      <c r="M64" s="379"/>
      <c r="N64" s="380"/>
      <c r="O64" s="380"/>
    </row>
    <row r="65" spans="2:15" ht="6" customHeight="1">
      <c r="B65" s="367"/>
      <c r="C65" s="370"/>
      <c r="D65" s="370"/>
      <c r="E65" s="370"/>
      <c r="F65" s="370"/>
      <c r="G65" s="370"/>
      <c r="H65" s="370"/>
      <c r="I65" s="364"/>
      <c r="L65" s="379"/>
      <c r="M65" s="379"/>
      <c r="N65" s="401"/>
      <c r="O65" s="401"/>
    </row>
    <row r="66" spans="2:15">
      <c r="B66" s="362" t="s">
        <v>27</v>
      </c>
      <c r="C66" s="370"/>
      <c r="D66" s="370"/>
      <c r="E66" s="370"/>
      <c r="F66" s="370"/>
      <c r="G66" s="370"/>
      <c r="H66" s="370"/>
      <c r="I66" s="381">
        <v>0</v>
      </c>
      <c r="L66" s="379"/>
      <c r="M66" s="379"/>
      <c r="N66" s="380"/>
      <c r="O66" s="380"/>
    </row>
    <row r="67" spans="2:15" ht="13.5" customHeight="1">
      <c r="B67" s="367" t="s">
        <v>39</v>
      </c>
      <c r="C67" s="370"/>
      <c r="D67" s="370"/>
      <c r="E67" s="370"/>
      <c r="F67" s="370"/>
      <c r="G67" s="370"/>
      <c r="H67" s="370"/>
      <c r="I67" s="402"/>
      <c r="L67" s="379"/>
      <c r="M67" s="379"/>
      <c r="N67" s="401"/>
      <c r="O67" s="401"/>
    </row>
    <row r="68" spans="2:15" ht="3.75" customHeight="1">
      <c r="B68" s="367"/>
      <c r="C68" s="370"/>
      <c r="D68" s="370"/>
      <c r="E68" s="370"/>
      <c r="F68" s="370"/>
      <c r="G68" s="370"/>
      <c r="H68" s="370"/>
      <c r="I68" s="364"/>
      <c r="L68" s="379"/>
      <c r="M68" s="379"/>
      <c r="N68" s="380"/>
      <c r="O68" s="380"/>
    </row>
    <row r="69" spans="2:15">
      <c r="B69" s="362" t="s">
        <v>5</v>
      </c>
      <c r="C69" s="370"/>
      <c r="D69" s="370"/>
      <c r="E69" s="370"/>
      <c r="F69" s="370"/>
      <c r="G69" s="370"/>
      <c r="H69" s="370"/>
      <c r="I69" s="381">
        <v>0</v>
      </c>
      <c r="L69" s="379"/>
      <c r="M69" s="379"/>
      <c r="N69" s="380"/>
      <c r="O69" s="380"/>
    </row>
    <row r="70" spans="2:15" ht="11.25" customHeight="1">
      <c r="B70" s="367" t="s">
        <v>39</v>
      </c>
      <c r="C70" s="370"/>
      <c r="D70" s="370"/>
      <c r="E70" s="370"/>
      <c r="F70" s="370"/>
      <c r="G70" s="370"/>
      <c r="H70" s="370"/>
      <c r="I70" s="402"/>
      <c r="L70" s="379"/>
      <c r="M70" s="379"/>
      <c r="N70" s="379"/>
      <c r="O70" s="379"/>
    </row>
    <row r="71" spans="2:15" ht="4.5" customHeight="1">
      <c r="B71" s="367"/>
      <c r="C71" s="370"/>
      <c r="D71" s="370"/>
      <c r="E71" s="370"/>
      <c r="F71" s="370"/>
      <c r="G71" s="370"/>
      <c r="H71" s="370"/>
      <c r="I71" s="364"/>
      <c r="L71" s="379"/>
      <c r="M71" s="379"/>
      <c r="N71" s="379"/>
      <c r="O71" s="379"/>
    </row>
    <row r="72" spans="2:15">
      <c r="B72" s="362" t="s">
        <v>20</v>
      </c>
      <c r="C72" s="370"/>
      <c r="D72" s="370"/>
      <c r="E72" s="370"/>
      <c r="F72" s="370"/>
      <c r="G72" s="370"/>
      <c r="H72" s="370"/>
      <c r="I72" s="381">
        <v>0</v>
      </c>
      <c r="L72" s="379"/>
      <c r="M72" s="379"/>
      <c r="N72" s="380"/>
      <c r="O72" s="380"/>
    </row>
    <row r="73" spans="2:15" ht="12" customHeight="1">
      <c r="B73" s="367" t="s">
        <v>39</v>
      </c>
      <c r="C73" s="370"/>
      <c r="D73" s="370"/>
      <c r="E73" s="370"/>
      <c r="F73" s="370"/>
      <c r="G73" s="370"/>
      <c r="H73" s="370"/>
      <c r="I73" s="381"/>
      <c r="L73" s="379"/>
      <c r="M73" s="379"/>
      <c r="N73" s="380"/>
      <c r="O73" s="380"/>
    </row>
    <row r="74" spans="2:15" ht="6.75" customHeight="1">
      <c r="B74" s="362"/>
      <c r="C74" s="370"/>
      <c r="D74" s="370"/>
      <c r="E74" s="370"/>
      <c r="F74" s="370"/>
      <c r="G74" s="370"/>
      <c r="H74" s="370"/>
      <c r="I74" s="381"/>
      <c r="L74" s="379"/>
      <c r="M74" s="379"/>
      <c r="N74" s="380"/>
      <c r="O74" s="380"/>
    </row>
    <row r="75" spans="2:15" ht="5.25" customHeight="1">
      <c r="B75" s="377"/>
      <c r="C75" s="370"/>
      <c r="D75" s="370"/>
      <c r="E75" s="370"/>
      <c r="F75" s="370"/>
      <c r="G75" s="370"/>
      <c r="H75" s="370"/>
      <c r="I75" s="364"/>
      <c r="L75" s="379"/>
      <c r="M75" s="379"/>
      <c r="N75" s="379"/>
      <c r="O75" s="379"/>
    </row>
    <row r="76" spans="2:15">
      <c r="B76" s="403" t="s">
        <v>11</v>
      </c>
      <c r="C76" s="404"/>
      <c r="D76" s="404"/>
      <c r="E76" s="404"/>
      <c r="F76" s="404"/>
      <c r="G76" s="404"/>
      <c r="H76" s="404"/>
      <c r="I76" s="405">
        <f>+I72+I69+I66+I63+I59+I56+I49+I45+I42</f>
        <v>4408.5</v>
      </c>
      <c r="L76" s="379"/>
      <c r="M76" s="379"/>
      <c r="N76" s="379"/>
      <c r="O76" s="379"/>
    </row>
    <row r="99" spans="5:5">
      <c r="E99" s="406"/>
    </row>
    <row r="100" spans="5:5">
      <c r="E100" s="406"/>
    </row>
    <row r="101" spans="5:5">
      <c r="E101" s="406"/>
    </row>
    <row r="102" spans="5:5">
      <c r="E102" s="406"/>
    </row>
    <row r="103" spans="5:5">
      <c r="E103" s="406"/>
    </row>
    <row r="104" spans="5:5">
      <c r="E104" s="406"/>
    </row>
    <row r="106" spans="5:5">
      <c r="E106" s="406"/>
    </row>
    <row r="108" spans="5:5">
      <c r="E108" s="407"/>
    </row>
    <row r="110" spans="5:5">
      <c r="E110" s="406"/>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4.xml><?xml version="1.0" encoding="utf-8"?>
<worksheet xmlns="http://schemas.openxmlformats.org/spreadsheetml/2006/main" xmlns:r="http://schemas.openxmlformats.org/officeDocument/2006/relationships">
  <dimension ref="A1:L55"/>
  <sheetViews>
    <sheetView view="pageBreakPreview" topLeftCell="A22" zoomScaleNormal="100" workbookViewId="0">
      <selection activeCell="D42" sqref="D42"/>
    </sheetView>
  </sheetViews>
  <sheetFormatPr defaultRowHeight="12.75"/>
  <cols>
    <col min="2" max="2" width="20.85546875" customWidth="1"/>
    <col min="3" max="3" width="26.5703125" bestFit="1" customWidth="1"/>
    <col min="4" max="4" width="21.28515625" customWidth="1"/>
    <col min="5" max="5" width="15.28515625" customWidth="1"/>
    <col min="6" max="6" width="10.28515625" customWidth="1"/>
    <col min="7" max="7" width="13" customWidth="1"/>
    <col min="8" max="8" width="10.140625" customWidth="1"/>
    <col min="9" max="9" width="11" customWidth="1"/>
    <col min="10" max="10" width="11.28515625" customWidth="1"/>
    <col min="11" max="11" width="9.85546875" customWidth="1"/>
  </cols>
  <sheetData>
    <row r="1" spans="1:12">
      <c r="A1" s="2"/>
      <c r="B1" s="2"/>
      <c r="C1" s="2"/>
      <c r="D1" s="2"/>
      <c r="E1" s="2"/>
      <c r="F1" s="2"/>
      <c r="G1" s="2"/>
      <c r="H1" s="2"/>
      <c r="I1" s="2"/>
      <c r="J1" s="2"/>
      <c r="K1" s="2"/>
    </row>
    <row r="2" spans="1:12" ht="15.75">
      <c r="A2" s="118" t="s">
        <v>17</v>
      </c>
      <c r="B2" s="119"/>
      <c r="C2" s="119"/>
      <c r="D2" s="119"/>
      <c r="E2" s="119"/>
      <c r="F2" s="119"/>
      <c r="G2" s="2"/>
      <c r="H2" s="2"/>
      <c r="I2" s="2"/>
      <c r="J2" s="2"/>
      <c r="K2" s="2"/>
    </row>
    <row r="3" spans="1:12" ht="25.5">
      <c r="A3" s="120" t="s">
        <v>37</v>
      </c>
      <c r="B3" s="121" t="s">
        <v>75</v>
      </c>
      <c r="C3" s="122" t="s">
        <v>29</v>
      </c>
      <c r="D3" s="122" t="s">
        <v>30</v>
      </c>
      <c r="E3" s="121" t="s">
        <v>23</v>
      </c>
      <c r="F3" s="123" t="s">
        <v>76</v>
      </c>
      <c r="G3" s="124" t="s">
        <v>77</v>
      </c>
      <c r="K3" s="2"/>
    </row>
    <row r="4" spans="1:12" ht="25.5">
      <c r="A4" s="54">
        <v>102</v>
      </c>
      <c r="B4" s="7" t="s">
        <v>78</v>
      </c>
      <c r="C4" s="125" t="s">
        <v>79</v>
      </c>
      <c r="D4" s="110" t="s">
        <v>109</v>
      </c>
      <c r="E4" s="7" t="s">
        <v>81</v>
      </c>
      <c r="F4" s="85">
        <f>+F21</f>
        <v>3366.75</v>
      </c>
      <c r="G4" s="126" t="str">
        <f>+C26</f>
        <v>Statewide</v>
      </c>
      <c r="K4" s="2"/>
    </row>
    <row r="5" spans="1:12" ht="25.5">
      <c r="A5" s="8">
        <v>102</v>
      </c>
      <c r="B5" s="10" t="s">
        <v>78</v>
      </c>
      <c r="C5" s="127" t="s">
        <v>79</v>
      </c>
      <c r="D5" s="111" t="s">
        <v>110</v>
      </c>
      <c r="E5" s="10" t="s">
        <v>81</v>
      </c>
      <c r="F5" s="86">
        <f>G21</f>
        <v>4040.1</v>
      </c>
      <c r="G5" s="2" t="str">
        <f>+C26</f>
        <v>Statewide</v>
      </c>
      <c r="K5" s="2"/>
    </row>
    <row r="6" spans="1:12">
      <c r="A6" s="4"/>
      <c r="B6" s="3"/>
      <c r="C6" s="3"/>
      <c r="D6" s="2"/>
      <c r="E6" s="2"/>
      <c r="K6" s="2"/>
    </row>
    <row r="7" spans="1:12" ht="15.75">
      <c r="A7" s="1" t="s">
        <v>18</v>
      </c>
      <c r="B7" s="3"/>
      <c r="C7" s="3"/>
      <c r="D7" s="2"/>
      <c r="E7" s="2"/>
      <c r="I7" s="81"/>
      <c r="J7" s="81"/>
      <c r="K7" s="49"/>
      <c r="L7" s="81"/>
    </row>
    <row r="8" spans="1:12">
      <c r="A8" s="128"/>
      <c r="B8" s="11"/>
      <c r="C8" s="12"/>
      <c r="D8" s="13" t="s">
        <v>83</v>
      </c>
      <c r="E8" s="13" t="s">
        <v>84</v>
      </c>
      <c r="F8" s="13" t="s">
        <v>85</v>
      </c>
      <c r="G8" s="14" t="s">
        <v>15</v>
      </c>
      <c r="H8" s="87"/>
      <c r="I8" s="87"/>
      <c r="J8" s="81"/>
    </row>
    <row r="9" spans="1:12">
      <c r="A9" s="15"/>
      <c r="B9" s="67"/>
      <c r="C9" s="16"/>
      <c r="D9" s="17" t="s">
        <v>22</v>
      </c>
      <c r="E9" s="17" t="s">
        <v>22</v>
      </c>
      <c r="F9" s="17" t="s">
        <v>86</v>
      </c>
      <c r="G9" s="18" t="s">
        <v>87</v>
      </c>
      <c r="H9" s="87"/>
      <c r="I9" s="87"/>
      <c r="J9" s="81"/>
    </row>
    <row r="10" spans="1:12">
      <c r="A10" s="19"/>
      <c r="B10" s="16"/>
      <c r="C10" s="16"/>
      <c r="D10" s="17" t="s">
        <v>12</v>
      </c>
      <c r="E10" s="17" t="s">
        <v>12</v>
      </c>
      <c r="F10" s="17" t="s">
        <v>12</v>
      </c>
      <c r="G10" s="18" t="s">
        <v>12</v>
      </c>
      <c r="H10" s="87"/>
      <c r="I10" s="87"/>
      <c r="J10" s="81"/>
    </row>
    <row r="11" spans="1:12">
      <c r="A11" s="129" t="s">
        <v>16</v>
      </c>
      <c r="B11" s="16"/>
      <c r="C11" s="22" t="s">
        <v>6</v>
      </c>
      <c r="D11" s="22" t="s">
        <v>24</v>
      </c>
      <c r="E11" s="22" t="s">
        <v>24</v>
      </c>
      <c r="F11" s="22" t="s">
        <v>14</v>
      </c>
      <c r="G11" s="23" t="s">
        <v>14</v>
      </c>
      <c r="H11" s="88"/>
      <c r="I11" s="88"/>
      <c r="J11" s="81"/>
    </row>
    <row r="12" spans="1:12">
      <c r="A12" s="15" t="s">
        <v>0</v>
      </c>
      <c r="B12" s="16"/>
      <c r="C12" s="24">
        <f>+I34/C29</f>
        <v>289</v>
      </c>
      <c r="D12" s="130">
        <v>0.75</v>
      </c>
      <c r="E12" s="130">
        <v>0.9</v>
      </c>
      <c r="F12" s="73">
        <f t="shared" ref="F12:G20" si="0">+$C12*D12</f>
        <v>216.75</v>
      </c>
      <c r="G12" s="74">
        <f t="shared" si="0"/>
        <v>260.10000000000002</v>
      </c>
      <c r="H12" s="131"/>
      <c r="I12" s="132"/>
      <c r="J12" s="81"/>
    </row>
    <row r="13" spans="1:12">
      <c r="A13" s="15" t="s">
        <v>2</v>
      </c>
      <c r="B13" s="16"/>
      <c r="C13" s="24">
        <f>+I38/C29</f>
        <v>0</v>
      </c>
      <c r="D13" s="130">
        <v>0.75</v>
      </c>
      <c r="E13" s="130">
        <v>0.9</v>
      </c>
      <c r="F13" s="73">
        <f t="shared" si="0"/>
        <v>0</v>
      </c>
      <c r="G13" s="74">
        <f t="shared" si="0"/>
        <v>0</v>
      </c>
      <c r="H13" s="131"/>
      <c r="I13" s="132"/>
      <c r="J13" s="81"/>
    </row>
    <row r="14" spans="1:12">
      <c r="A14" s="15" t="s">
        <v>3</v>
      </c>
      <c r="B14" s="16"/>
      <c r="C14" s="24">
        <f>+I40/C29</f>
        <v>4000</v>
      </c>
      <c r="D14" s="130">
        <v>0.75</v>
      </c>
      <c r="E14" s="130">
        <v>0.9</v>
      </c>
      <c r="F14" s="73">
        <f t="shared" si="0"/>
        <v>3000</v>
      </c>
      <c r="G14" s="74">
        <f t="shared" si="0"/>
        <v>3600</v>
      </c>
      <c r="H14" s="131"/>
      <c r="I14" s="132"/>
      <c r="J14" s="81"/>
    </row>
    <row r="15" spans="1:12">
      <c r="A15" s="15" t="s">
        <v>4</v>
      </c>
      <c r="B15" s="16"/>
      <c r="C15" s="24">
        <f>+I43/C29</f>
        <v>200</v>
      </c>
      <c r="D15" s="130">
        <v>0.75</v>
      </c>
      <c r="E15" s="130">
        <v>0.9</v>
      </c>
      <c r="F15" s="73">
        <f t="shared" si="0"/>
        <v>150</v>
      </c>
      <c r="G15" s="74">
        <f t="shared" si="0"/>
        <v>180</v>
      </c>
      <c r="H15" s="131"/>
      <c r="I15" s="132"/>
      <c r="J15" s="81"/>
    </row>
    <row r="16" spans="1:12">
      <c r="A16" s="15" t="s">
        <v>26</v>
      </c>
      <c r="B16" s="16"/>
      <c r="C16" s="24">
        <f>+I45/C29</f>
        <v>0</v>
      </c>
      <c r="D16" s="130">
        <v>0</v>
      </c>
      <c r="E16" s="130">
        <v>0</v>
      </c>
      <c r="F16" s="73">
        <f t="shared" si="0"/>
        <v>0</v>
      </c>
      <c r="G16" s="74">
        <f t="shared" si="0"/>
        <v>0</v>
      </c>
      <c r="H16" s="131"/>
      <c r="I16" s="132"/>
      <c r="J16" s="81"/>
    </row>
    <row r="17" spans="1:12">
      <c r="A17" s="15" t="s">
        <v>7</v>
      </c>
      <c r="B17" s="16"/>
      <c r="C17" s="24">
        <f>+I47/C29</f>
        <v>0</v>
      </c>
      <c r="D17" s="130">
        <v>0</v>
      </c>
      <c r="E17" s="130">
        <v>0</v>
      </c>
      <c r="F17" s="73">
        <f t="shared" si="0"/>
        <v>0</v>
      </c>
      <c r="G17" s="74">
        <f t="shared" si="0"/>
        <v>0</v>
      </c>
      <c r="H17" s="131"/>
      <c r="I17" s="132"/>
      <c r="J17" s="81"/>
    </row>
    <row r="18" spans="1:12">
      <c r="A18" s="15" t="s">
        <v>27</v>
      </c>
      <c r="B18" s="16"/>
      <c r="C18" s="24">
        <f>+I49/C29</f>
        <v>0</v>
      </c>
      <c r="D18" s="130">
        <v>0</v>
      </c>
      <c r="E18" s="130">
        <v>0</v>
      </c>
      <c r="F18" s="73">
        <f t="shared" si="0"/>
        <v>0</v>
      </c>
      <c r="G18" s="74">
        <f t="shared" si="0"/>
        <v>0</v>
      </c>
      <c r="H18" s="131"/>
      <c r="I18" s="132"/>
      <c r="J18" s="81"/>
    </row>
    <row r="19" spans="1:12">
      <c r="A19" s="15" t="s">
        <v>5</v>
      </c>
      <c r="B19" s="16"/>
      <c r="C19" s="24">
        <f>+I51/C29</f>
        <v>0</v>
      </c>
      <c r="D19" s="130">
        <v>0</v>
      </c>
      <c r="E19" s="130">
        <v>0</v>
      </c>
      <c r="F19" s="73">
        <f t="shared" si="0"/>
        <v>0</v>
      </c>
      <c r="G19" s="74">
        <f t="shared" si="0"/>
        <v>0</v>
      </c>
      <c r="H19" s="131"/>
      <c r="I19" s="132"/>
      <c r="J19" s="81"/>
    </row>
    <row r="20" spans="1:12">
      <c r="A20" s="15" t="s">
        <v>88</v>
      </c>
      <c r="B20" s="16"/>
      <c r="C20" s="75">
        <f>+I53/C29</f>
        <v>0</v>
      </c>
      <c r="D20" s="130">
        <v>0</v>
      </c>
      <c r="E20" s="130">
        <v>0</v>
      </c>
      <c r="F20" s="133">
        <f t="shared" si="0"/>
        <v>0</v>
      </c>
      <c r="G20" s="134">
        <f t="shared" si="0"/>
        <v>0</v>
      </c>
      <c r="H20" s="135"/>
      <c r="I20" s="136"/>
      <c r="J20" s="81"/>
    </row>
    <row r="21" spans="1:12">
      <c r="A21" s="137" t="s">
        <v>19</v>
      </c>
      <c r="B21" s="27"/>
      <c r="C21" s="51">
        <f>SUM(C12:C20)</f>
        <v>4489</v>
      </c>
      <c r="D21" s="28"/>
      <c r="E21" s="28"/>
      <c r="F21" s="138">
        <f>SUM(F12:F20)</f>
        <v>3366.75</v>
      </c>
      <c r="G21" s="139">
        <f>SUM(G12:G20)</f>
        <v>4040.1</v>
      </c>
      <c r="H21" s="132"/>
      <c r="I21" s="132"/>
      <c r="J21" s="81"/>
    </row>
    <row r="22" spans="1:12">
      <c r="A22" s="2"/>
      <c r="B22" s="2"/>
      <c r="C22" s="2"/>
      <c r="D22" s="2"/>
      <c r="E22" s="2"/>
      <c r="F22" s="2"/>
      <c r="G22" s="2"/>
      <c r="H22" s="2"/>
      <c r="I22" s="49"/>
      <c r="J22" s="49"/>
      <c r="K22" s="49"/>
      <c r="L22" s="81"/>
    </row>
    <row r="23" spans="1:12" ht="15.75">
      <c r="A23" s="50" t="s">
        <v>28</v>
      </c>
      <c r="B23" s="2"/>
      <c r="C23" s="2"/>
      <c r="D23" s="2"/>
      <c r="E23" s="2"/>
      <c r="F23" s="2"/>
      <c r="G23" s="2"/>
      <c r="H23" s="2"/>
      <c r="I23" s="140"/>
      <c r="J23" s="2"/>
      <c r="K23" s="2"/>
    </row>
    <row r="24" spans="1:12">
      <c r="A24" s="29" t="s">
        <v>89</v>
      </c>
      <c r="B24" s="30"/>
      <c r="C24" s="30"/>
      <c r="D24" s="31"/>
      <c r="E24" s="31"/>
      <c r="F24" s="31"/>
      <c r="G24" s="31"/>
      <c r="H24" s="31"/>
      <c r="I24" s="32"/>
      <c r="J24" s="2"/>
      <c r="K24" s="2"/>
    </row>
    <row r="25" spans="1:12">
      <c r="A25" s="1943" t="s">
        <v>111</v>
      </c>
      <c r="B25" s="1952"/>
      <c r="C25" s="1952"/>
      <c r="D25" s="1952"/>
      <c r="E25" s="1952"/>
      <c r="F25" s="1952"/>
      <c r="G25" s="1952"/>
      <c r="H25" s="1952"/>
      <c r="I25" s="1945"/>
      <c r="J25" s="141"/>
      <c r="K25" s="2"/>
    </row>
    <row r="26" spans="1:12">
      <c r="A26" s="38" t="s">
        <v>25</v>
      </c>
      <c r="B26" s="34"/>
      <c r="C26" s="39" t="s">
        <v>91</v>
      </c>
      <c r="D26" s="35"/>
      <c r="E26" s="35"/>
      <c r="F26" s="35"/>
      <c r="G26" s="35"/>
      <c r="H26" s="35"/>
      <c r="I26" s="36"/>
      <c r="J26" s="49"/>
      <c r="K26" s="2"/>
    </row>
    <row r="27" spans="1:12">
      <c r="A27" s="142"/>
      <c r="B27" s="158"/>
      <c r="C27" s="158"/>
      <c r="D27" s="35"/>
      <c r="E27" s="35"/>
      <c r="F27" s="35"/>
      <c r="G27" s="35"/>
      <c r="H27" s="35"/>
      <c r="I27" s="36"/>
      <c r="J27" s="2"/>
      <c r="K27" s="2"/>
    </row>
    <row r="28" spans="1:12">
      <c r="A28" s="38" t="s">
        <v>8</v>
      </c>
      <c r="B28" s="34"/>
      <c r="C28" s="39" t="s">
        <v>81</v>
      </c>
      <c r="D28" s="35"/>
      <c r="E28" s="35"/>
      <c r="F28" s="35"/>
      <c r="G28" s="35"/>
      <c r="H28" s="35"/>
      <c r="I28" s="36"/>
      <c r="J28" s="2"/>
      <c r="K28" s="2"/>
    </row>
    <row r="29" spans="1:12">
      <c r="A29" s="38" t="s">
        <v>92</v>
      </c>
      <c r="B29" s="34"/>
      <c r="C29" s="144">
        <v>1</v>
      </c>
      <c r="D29" s="6"/>
      <c r="E29" s="145"/>
      <c r="F29" s="145"/>
      <c r="G29" s="145"/>
      <c r="H29" s="145"/>
      <c r="I29" s="146"/>
      <c r="J29" s="2"/>
      <c r="K29" s="2"/>
    </row>
    <row r="30" spans="1:12">
      <c r="A30" s="38" t="s">
        <v>9</v>
      </c>
      <c r="B30" s="34"/>
      <c r="C30" s="92">
        <v>1</v>
      </c>
      <c r="D30" s="6"/>
      <c r="E30" s="35"/>
      <c r="F30" s="35"/>
      <c r="G30" s="35"/>
      <c r="H30" s="35"/>
      <c r="I30" s="36"/>
      <c r="J30" s="2"/>
      <c r="K30" s="2"/>
    </row>
    <row r="31" spans="1:12">
      <c r="A31" s="38" t="s">
        <v>10</v>
      </c>
      <c r="B31" s="35"/>
      <c r="C31" s="93">
        <v>0.05</v>
      </c>
      <c r="D31" s="6"/>
      <c r="E31" s="35"/>
      <c r="F31" s="35"/>
      <c r="G31" s="35"/>
      <c r="H31" s="35"/>
      <c r="I31" s="147" t="s">
        <v>6</v>
      </c>
      <c r="J31" s="2"/>
      <c r="K31" s="2"/>
    </row>
    <row r="32" spans="1:12">
      <c r="A32" s="38" t="s">
        <v>93</v>
      </c>
      <c r="B32" s="35"/>
      <c r="C32" s="148">
        <f>SUM(I34,I38,I40,I43,I45,I46,I46,I47,I49,I51,I53)/C29</f>
        <v>4489</v>
      </c>
      <c r="D32" s="6"/>
      <c r="E32" s="35"/>
      <c r="F32" s="35"/>
      <c r="G32" s="35"/>
      <c r="H32" s="35"/>
      <c r="I32" s="147"/>
      <c r="J32" s="2"/>
      <c r="K32" s="2"/>
    </row>
    <row r="33" spans="1:11">
      <c r="A33" s="40"/>
      <c r="B33" s="35"/>
      <c r="C33" s="35"/>
      <c r="D33" s="41"/>
      <c r="E33" s="35"/>
      <c r="F33" s="35"/>
      <c r="G33" s="35"/>
      <c r="H33" s="35"/>
      <c r="I33" s="149"/>
      <c r="J33" s="2"/>
      <c r="K33" s="2"/>
    </row>
    <row r="34" spans="1:11">
      <c r="A34" s="42" t="s">
        <v>0</v>
      </c>
      <c r="B34" s="35"/>
      <c r="C34" s="35"/>
      <c r="D34" s="41"/>
      <c r="E34" s="35"/>
      <c r="F34" s="35"/>
      <c r="G34" s="35"/>
      <c r="H34" s="35"/>
      <c r="I34" s="46">
        <f>SUM(F36:F37)</f>
        <v>289</v>
      </c>
      <c r="J34" s="2"/>
      <c r="K34" s="2"/>
    </row>
    <row r="35" spans="1:11">
      <c r="A35" s="40" t="s">
        <v>94</v>
      </c>
      <c r="B35" s="35"/>
      <c r="C35" s="92"/>
      <c r="D35" s="41"/>
      <c r="E35" s="35"/>
      <c r="F35" s="35"/>
      <c r="G35" s="35"/>
      <c r="H35" s="35"/>
      <c r="I35" s="47"/>
      <c r="J35" s="2"/>
      <c r="K35" s="2"/>
    </row>
    <row r="36" spans="1:11">
      <c r="A36" s="1946" t="s">
        <v>95</v>
      </c>
      <c r="B36" s="1947"/>
      <c r="C36" s="150" t="s">
        <v>96</v>
      </c>
      <c r="D36" s="151">
        <v>17</v>
      </c>
      <c r="E36" s="152">
        <v>2</v>
      </c>
      <c r="F36" s="153">
        <f>D36*E36</f>
        <v>34</v>
      </c>
      <c r="G36" s="35"/>
      <c r="H36" s="35"/>
      <c r="I36" s="47"/>
      <c r="J36" s="2"/>
      <c r="K36" s="2"/>
    </row>
    <row r="37" spans="1:11">
      <c r="A37" s="1946" t="s">
        <v>97</v>
      </c>
      <c r="B37" s="1947"/>
      <c r="C37" s="150" t="s">
        <v>96</v>
      </c>
      <c r="D37" s="151">
        <v>17</v>
      </c>
      <c r="E37" s="152">
        <v>15</v>
      </c>
      <c r="F37" s="153">
        <f>D37*E37</f>
        <v>255</v>
      </c>
      <c r="G37" s="35"/>
      <c r="H37" s="35"/>
      <c r="I37" s="47"/>
      <c r="J37" s="2"/>
      <c r="K37" s="2"/>
    </row>
    <row r="38" spans="1:11">
      <c r="A38" s="42" t="s">
        <v>2</v>
      </c>
      <c r="B38" s="35"/>
      <c r="C38" s="35"/>
      <c r="D38" s="35"/>
      <c r="E38" s="35"/>
      <c r="F38" s="35"/>
      <c r="G38" s="35"/>
      <c r="H38" s="35"/>
      <c r="I38" s="46">
        <f>SUM(F39)</f>
        <v>0</v>
      </c>
      <c r="J38" s="2"/>
      <c r="K38" s="2"/>
    </row>
    <row r="39" spans="1:11">
      <c r="A39" s="40" t="s">
        <v>98</v>
      </c>
      <c r="B39" s="35"/>
      <c r="C39" s="35"/>
      <c r="D39" s="35"/>
      <c r="E39" s="35"/>
      <c r="F39" s="35"/>
      <c r="G39" s="35"/>
      <c r="H39" s="35"/>
      <c r="I39" s="36"/>
      <c r="J39" s="2"/>
      <c r="K39" s="2"/>
    </row>
    <row r="40" spans="1:11">
      <c r="A40" s="42" t="s">
        <v>3</v>
      </c>
      <c r="B40" s="35"/>
      <c r="C40" s="35"/>
      <c r="D40" s="35"/>
      <c r="E40" s="35"/>
      <c r="F40" s="35"/>
      <c r="G40" s="35"/>
      <c r="H40" s="35"/>
      <c r="I40" s="46">
        <f>SUM(F42)</f>
        <v>4000</v>
      </c>
      <c r="J40" s="2"/>
      <c r="K40" s="2"/>
    </row>
    <row r="41" spans="1:11">
      <c r="A41" s="40" t="s">
        <v>99</v>
      </c>
      <c r="B41" s="35"/>
      <c r="C41" s="35"/>
      <c r="D41" s="35"/>
      <c r="E41" s="35"/>
      <c r="F41" s="35"/>
      <c r="G41" s="35"/>
      <c r="H41" s="35"/>
      <c r="I41" s="46"/>
      <c r="J41" s="2"/>
      <c r="K41" s="2"/>
    </row>
    <row r="42" spans="1:11" ht="25.5" customHeight="1">
      <c r="A42" s="1948" t="s">
        <v>112</v>
      </c>
      <c r="B42" s="1949"/>
      <c r="C42" s="150" t="s">
        <v>101</v>
      </c>
      <c r="D42" s="154">
        <v>4000</v>
      </c>
      <c r="E42" s="155">
        <v>1</v>
      </c>
      <c r="F42" s="156">
        <f>D42*E42</f>
        <v>4000</v>
      </c>
      <c r="G42" s="35"/>
      <c r="H42" s="35"/>
      <c r="I42" s="46"/>
      <c r="J42" s="2"/>
      <c r="K42" s="2"/>
    </row>
    <row r="43" spans="1:11">
      <c r="A43" s="42" t="s">
        <v>4</v>
      </c>
      <c r="B43" s="35"/>
      <c r="C43" s="35"/>
      <c r="D43" s="35"/>
      <c r="E43" s="35"/>
      <c r="F43" s="35"/>
      <c r="G43" s="35"/>
      <c r="H43" s="35"/>
      <c r="I43" s="48">
        <v>200</v>
      </c>
      <c r="J43" s="2"/>
      <c r="K43" s="2"/>
    </row>
    <row r="44" spans="1:11">
      <c r="A44" s="1950" t="s">
        <v>102</v>
      </c>
      <c r="B44" s="1951"/>
      <c r="C44" s="150" t="s">
        <v>103</v>
      </c>
      <c r="D44" s="157">
        <v>0.02</v>
      </c>
      <c r="E44" s="153">
        <f>SUM(I34,I38,I40)</f>
        <v>4289</v>
      </c>
      <c r="F44" s="153">
        <f>D44*E44</f>
        <v>85.78</v>
      </c>
      <c r="G44" s="143"/>
      <c r="H44" s="35"/>
      <c r="I44" s="48"/>
      <c r="J44" s="2"/>
      <c r="K44" s="2"/>
    </row>
    <row r="45" spans="1:11">
      <c r="A45" s="42" t="s">
        <v>26</v>
      </c>
      <c r="B45" s="35"/>
      <c r="C45" s="35"/>
      <c r="D45" s="35"/>
      <c r="E45" s="35"/>
      <c r="F45" s="35"/>
      <c r="G45" s="35"/>
      <c r="H45" s="35"/>
      <c r="I45" s="48">
        <f>F46</f>
        <v>0</v>
      </c>
      <c r="J45" s="2"/>
      <c r="K45" s="2"/>
    </row>
    <row r="46" spans="1:11">
      <c r="A46" s="37" t="s">
        <v>104</v>
      </c>
      <c r="B46" s="35"/>
      <c r="C46" s="35"/>
      <c r="D46" s="35"/>
      <c r="E46" s="35"/>
      <c r="F46" s="35"/>
      <c r="G46" s="35"/>
      <c r="H46" s="35"/>
      <c r="I46" s="48"/>
      <c r="J46" s="2"/>
      <c r="K46" s="2"/>
    </row>
    <row r="47" spans="1:11">
      <c r="A47" s="42" t="s">
        <v>7</v>
      </c>
      <c r="B47" s="35"/>
      <c r="C47" s="35"/>
      <c r="D47" s="35"/>
      <c r="E47" s="35"/>
      <c r="F47" s="35"/>
      <c r="G47" s="35"/>
      <c r="H47" s="35"/>
      <c r="I47" s="48">
        <f>F48</f>
        <v>0</v>
      </c>
      <c r="J47" s="2"/>
      <c r="K47" s="2"/>
    </row>
    <row r="48" spans="1:11">
      <c r="A48" s="37" t="s">
        <v>104</v>
      </c>
      <c r="B48" s="35"/>
      <c r="C48" s="35"/>
      <c r="D48" s="35"/>
      <c r="E48" s="35"/>
      <c r="F48" s="35"/>
      <c r="G48" s="35"/>
      <c r="H48" s="35"/>
      <c r="I48" s="48"/>
      <c r="J48" s="2"/>
      <c r="K48" s="2"/>
    </row>
    <row r="49" spans="1:11">
      <c r="A49" s="42" t="s">
        <v>27</v>
      </c>
      <c r="B49" s="35"/>
      <c r="C49" s="35"/>
      <c r="D49" s="35"/>
      <c r="E49" s="35"/>
      <c r="F49" s="35"/>
      <c r="G49" s="35"/>
      <c r="H49" s="35"/>
      <c r="I49" s="48">
        <f>F50</f>
        <v>0</v>
      </c>
      <c r="J49" s="2"/>
      <c r="K49" s="2"/>
    </row>
    <row r="50" spans="1:11">
      <c r="A50" s="37" t="s">
        <v>104</v>
      </c>
      <c r="B50" s="35"/>
      <c r="C50" s="35"/>
      <c r="D50" s="35"/>
      <c r="E50" s="35"/>
      <c r="F50" s="35"/>
      <c r="G50" s="35"/>
      <c r="H50" s="35"/>
      <c r="I50" s="48"/>
      <c r="J50" s="2"/>
      <c r="K50" s="2"/>
    </row>
    <row r="51" spans="1:11">
      <c r="A51" s="42" t="s">
        <v>5</v>
      </c>
      <c r="B51" s="35"/>
      <c r="C51" s="35"/>
      <c r="D51" s="35"/>
      <c r="E51" s="35"/>
      <c r="F51" s="35"/>
      <c r="G51" s="35"/>
      <c r="H51" s="35"/>
      <c r="I51" s="48">
        <f>F52</f>
        <v>0</v>
      </c>
      <c r="J51" s="2"/>
      <c r="K51" s="2"/>
    </row>
    <row r="52" spans="1:11">
      <c r="A52" s="37" t="s">
        <v>104</v>
      </c>
      <c r="B52" s="35"/>
      <c r="C52" s="35"/>
      <c r="D52" s="35"/>
      <c r="E52" s="35"/>
      <c r="F52" s="35"/>
      <c r="G52" s="35"/>
      <c r="H52" s="35"/>
      <c r="I52" s="48"/>
      <c r="J52" s="2"/>
      <c r="K52" s="2"/>
    </row>
    <row r="53" spans="1:11">
      <c r="A53" s="42" t="s">
        <v>20</v>
      </c>
      <c r="B53" s="35"/>
      <c r="C53" s="35"/>
      <c r="D53" s="35"/>
      <c r="E53" s="35"/>
      <c r="F53" s="35"/>
      <c r="G53" s="35"/>
      <c r="H53" s="35"/>
      <c r="I53" s="48">
        <f>F54</f>
        <v>0</v>
      </c>
      <c r="J53" s="2"/>
      <c r="K53" s="2"/>
    </row>
    <row r="54" spans="1:11">
      <c r="A54" s="37" t="s">
        <v>104</v>
      </c>
      <c r="B54" s="35"/>
      <c r="C54" s="35"/>
      <c r="D54" s="35"/>
      <c r="E54" s="35"/>
      <c r="F54" s="35"/>
      <c r="G54" s="35"/>
      <c r="H54" s="35"/>
      <c r="I54" s="36"/>
      <c r="J54" s="2"/>
      <c r="K54" s="2"/>
    </row>
    <row r="55" spans="1:11">
      <c r="A55" s="43" t="s">
        <v>11</v>
      </c>
      <c r="B55" s="44"/>
      <c r="C55" s="44"/>
      <c r="D55" s="44"/>
      <c r="E55" s="44"/>
      <c r="F55" s="44"/>
      <c r="G55" s="44"/>
      <c r="H55" s="44"/>
      <c r="I55" s="52">
        <f>+I53+I51+I49+I47+I45+I43+I40+I38+I34</f>
        <v>4489</v>
      </c>
      <c r="J55" s="2"/>
      <c r="K55" s="2"/>
    </row>
  </sheetData>
  <mergeCells count="5">
    <mergeCell ref="A25:I25"/>
    <mergeCell ref="A36:B36"/>
    <mergeCell ref="A37:B37"/>
    <mergeCell ref="A42:B42"/>
    <mergeCell ref="A44:B44"/>
  </mergeCells>
  <pageMargins left="0.75" right="0" top="0.25" bottom="0.25" header="0.25" footer="0.17"/>
  <pageSetup scale="75" orientation="landscape" horizontalDpi="300" verticalDpi="300" r:id="rId1"/>
  <headerFooter alignWithMargins="0">
    <oddHeader>&amp;CP 102 Comprehensive Nutrient Management Plan
Large Poultry</oddHeader>
  </headerFooter>
  <colBreaks count="1" manualBreakCount="1">
    <brk id="9" max="1048575" man="1"/>
  </colBreaks>
</worksheet>
</file>

<file path=xl/worksheets/sheet40.xml><?xml version="1.0" encoding="utf-8"?>
<worksheet xmlns="http://schemas.openxmlformats.org/spreadsheetml/2006/main" xmlns:r="http://schemas.openxmlformats.org/officeDocument/2006/relationships">
  <dimension ref="B1:P110"/>
  <sheetViews>
    <sheetView zoomScaleNormal="100" workbookViewId="0">
      <selection activeCell="K25" sqref="K25"/>
    </sheetView>
  </sheetViews>
  <sheetFormatPr defaultRowHeight="12.75"/>
  <cols>
    <col min="1" max="1" width="2.85546875" style="298" customWidth="1"/>
    <col min="2" max="2" width="11.5703125" style="298" customWidth="1"/>
    <col min="3" max="3" width="18.7109375" style="298" customWidth="1"/>
    <col min="4" max="4" width="23.5703125" style="298" customWidth="1"/>
    <col min="5" max="5" width="20.5703125" style="298" customWidth="1"/>
    <col min="6" max="6" width="10.85546875" style="298" customWidth="1"/>
    <col min="7" max="7" width="10.42578125" style="298" customWidth="1"/>
    <col min="8" max="8" width="9.140625" style="298" bestFit="1" customWidth="1"/>
    <col min="9" max="9" width="9.85546875" style="298" customWidth="1"/>
    <col min="10" max="10" width="2.85546875" style="298" customWidth="1"/>
    <col min="11" max="11" width="8.140625" style="298" customWidth="1"/>
    <col min="12" max="12" width="8.42578125" style="298" customWidth="1"/>
    <col min="13" max="14" width="9.140625" style="298"/>
    <col min="15" max="16" width="9" style="298" bestFit="1" customWidth="1"/>
    <col min="17" max="16384" width="9.140625" style="298"/>
  </cols>
  <sheetData>
    <row r="1" spans="2:10" s="295" customFormat="1">
      <c r="B1" s="294" t="s">
        <v>36</v>
      </c>
      <c r="C1" s="294" t="s">
        <v>37</v>
      </c>
      <c r="D1" s="294" t="s">
        <v>29</v>
      </c>
      <c r="E1" s="294" t="s">
        <v>30</v>
      </c>
    </row>
    <row r="2" spans="2:10" ht="38.25">
      <c r="B2" s="296" t="s">
        <v>42</v>
      </c>
      <c r="C2" s="295">
        <v>124</v>
      </c>
      <c r="D2" s="297" t="s">
        <v>254</v>
      </c>
      <c r="E2" s="297" t="s">
        <v>294</v>
      </c>
    </row>
    <row r="3" spans="2:10" ht="15.75">
      <c r="B3" s="299" t="s">
        <v>17</v>
      </c>
      <c r="E3" s="300"/>
    </row>
    <row r="4" spans="2:10">
      <c r="B4" s="301" t="s">
        <v>1</v>
      </c>
      <c r="C4" s="302" t="s">
        <v>21</v>
      </c>
      <c r="D4" s="303"/>
      <c r="E4" s="304"/>
      <c r="F4" s="303"/>
      <c r="G4" s="305" t="s">
        <v>12</v>
      </c>
      <c r="H4" s="306"/>
      <c r="I4" s="306"/>
      <c r="J4" s="307"/>
    </row>
    <row r="5" spans="2:10" ht="25.5">
      <c r="B5" s="308" t="s">
        <v>13</v>
      </c>
      <c r="C5" s="309" t="s">
        <v>22</v>
      </c>
      <c r="D5" s="309" t="s">
        <v>29</v>
      </c>
      <c r="E5" s="310" t="s">
        <v>30</v>
      </c>
      <c r="F5" s="309" t="s">
        <v>23</v>
      </c>
      <c r="G5" s="311" t="s">
        <v>14</v>
      </c>
      <c r="H5" s="312"/>
      <c r="I5" s="312"/>
      <c r="J5" s="307"/>
    </row>
    <row r="6" spans="2:10" ht="38.25">
      <c r="B6" s="313">
        <v>124</v>
      </c>
      <c r="C6" s="314" t="str">
        <f>+E10</f>
        <v>EQIP</v>
      </c>
      <c r="D6" s="315" t="s">
        <v>254</v>
      </c>
      <c r="E6" s="316" t="s">
        <v>294</v>
      </c>
      <c r="F6" s="314" t="s">
        <v>38</v>
      </c>
      <c r="G6" s="317">
        <f>G23</f>
        <v>3721.875</v>
      </c>
      <c r="H6" s="318"/>
      <c r="I6" s="318"/>
      <c r="J6" s="307"/>
    </row>
    <row r="7" spans="2:10" ht="38.25">
      <c r="B7" s="319">
        <v>124</v>
      </c>
      <c r="C7" s="320" t="s">
        <v>15</v>
      </c>
      <c r="D7" s="321" t="s">
        <v>256</v>
      </c>
      <c r="E7" s="322" t="s">
        <v>295</v>
      </c>
      <c r="F7" s="320" t="s">
        <v>38</v>
      </c>
      <c r="G7" s="323">
        <f>$H$23</f>
        <v>4466.25</v>
      </c>
      <c r="H7" s="318"/>
      <c r="I7" s="307"/>
      <c r="J7" s="307"/>
    </row>
    <row r="8" spans="2:10" ht="14.25" customHeight="1">
      <c r="B8" s="324"/>
      <c r="C8" s="325"/>
      <c r="D8" s="325"/>
      <c r="G8" s="307"/>
      <c r="H8" s="307"/>
      <c r="I8" s="307"/>
      <c r="J8" s="307"/>
    </row>
    <row r="9" spans="2:10" ht="15.75">
      <c r="B9" s="299" t="s">
        <v>18</v>
      </c>
      <c r="C9" s="325"/>
      <c r="D9" s="325"/>
      <c r="G9" s="307"/>
      <c r="H9" s="307"/>
      <c r="I9" s="307"/>
      <c r="J9" s="307"/>
    </row>
    <row r="10" spans="2:10">
      <c r="B10" s="326"/>
      <c r="C10" s="327"/>
      <c r="D10" s="328"/>
      <c r="E10" s="329" t="s">
        <v>15</v>
      </c>
      <c r="F10" s="329" t="s">
        <v>31</v>
      </c>
      <c r="G10" s="329"/>
      <c r="H10" s="330"/>
    </row>
    <row r="11" spans="2:10">
      <c r="B11" s="331"/>
      <c r="C11" s="332"/>
      <c r="D11" s="333"/>
      <c r="E11" s="334" t="s">
        <v>22</v>
      </c>
      <c r="F11" s="334" t="s">
        <v>22</v>
      </c>
      <c r="G11" s="334" t="str">
        <f>+E10</f>
        <v>EQIP</v>
      </c>
      <c r="H11" s="335" t="str">
        <f>+F10</f>
        <v>EQIP-HU</v>
      </c>
    </row>
    <row r="12" spans="2:10">
      <c r="B12" s="336"/>
      <c r="C12" s="333"/>
      <c r="D12" s="333"/>
      <c r="E12" s="334" t="s">
        <v>12</v>
      </c>
      <c r="F12" s="334" t="s">
        <v>12</v>
      </c>
      <c r="G12" s="334" t="s">
        <v>12</v>
      </c>
      <c r="H12" s="335" t="s">
        <v>12</v>
      </c>
    </row>
    <row r="13" spans="2:10">
      <c r="B13" s="337" t="s">
        <v>16</v>
      </c>
      <c r="C13" s="333"/>
      <c r="D13" s="338" t="s">
        <v>6</v>
      </c>
      <c r="E13" s="339" t="s">
        <v>24</v>
      </c>
      <c r="F13" s="339" t="s">
        <v>24</v>
      </c>
      <c r="G13" s="339" t="s">
        <v>14</v>
      </c>
      <c r="H13" s="340" t="s">
        <v>14</v>
      </c>
    </row>
    <row r="14" spans="2:10">
      <c r="B14" s="331" t="s">
        <v>0</v>
      </c>
      <c r="C14" s="333"/>
      <c r="D14" s="341">
        <v>0</v>
      </c>
      <c r="E14" s="342">
        <v>0</v>
      </c>
      <c r="F14" s="342">
        <v>0</v>
      </c>
      <c r="G14" s="343">
        <f>+$D14*E14</f>
        <v>0</v>
      </c>
      <c r="H14" s="344">
        <f>+$D14*F14</f>
        <v>0</v>
      </c>
    </row>
    <row r="15" spans="2:10">
      <c r="B15" s="331" t="s">
        <v>2</v>
      </c>
      <c r="C15" s="333"/>
      <c r="D15" s="341">
        <v>0</v>
      </c>
      <c r="E15" s="342">
        <v>0</v>
      </c>
      <c r="F15" s="342">
        <v>0</v>
      </c>
      <c r="G15" s="343">
        <f t="shared" ref="G15:H22" si="0">+$D15*E15</f>
        <v>0</v>
      </c>
      <c r="H15" s="344">
        <f t="shared" si="0"/>
        <v>0</v>
      </c>
    </row>
    <row r="16" spans="2:10">
      <c r="B16" s="331" t="s">
        <v>3</v>
      </c>
      <c r="C16" s="333"/>
      <c r="D16" s="341">
        <f>I49</f>
        <v>4962.5</v>
      </c>
      <c r="E16" s="342">
        <v>0.75</v>
      </c>
      <c r="F16" s="342">
        <v>0.9</v>
      </c>
      <c r="G16" s="343">
        <f t="shared" si="0"/>
        <v>3721.875</v>
      </c>
      <c r="H16" s="344">
        <f t="shared" si="0"/>
        <v>4466.25</v>
      </c>
    </row>
    <row r="17" spans="2:16">
      <c r="B17" s="331" t="s">
        <v>4</v>
      </c>
      <c r="C17" s="333"/>
      <c r="D17" s="341">
        <v>0</v>
      </c>
      <c r="E17" s="342">
        <v>0</v>
      </c>
      <c r="F17" s="342">
        <v>0</v>
      </c>
      <c r="G17" s="343">
        <f t="shared" si="0"/>
        <v>0</v>
      </c>
      <c r="H17" s="344">
        <f t="shared" si="0"/>
        <v>0</v>
      </c>
    </row>
    <row r="18" spans="2:16">
      <c r="B18" s="331" t="s">
        <v>26</v>
      </c>
      <c r="C18" s="333"/>
      <c r="D18" s="341">
        <v>0</v>
      </c>
      <c r="E18" s="342">
        <v>0</v>
      </c>
      <c r="F18" s="342">
        <v>0</v>
      </c>
      <c r="G18" s="343">
        <f t="shared" si="0"/>
        <v>0</v>
      </c>
      <c r="H18" s="344">
        <f t="shared" si="0"/>
        <v>0</v>
      </c>
    </row>
    <row r="19" spans="2:16">
      <c r="B19" s="331" t="s">
        <v>7</v>
      </c>
      <c r="C19" s="333"/>
      <c r="D19" s="341">
        <f>I63</f>
        <v>0</v>
      </c>
      <c r="E19" s="342">
        <v>0.75</v>
      </c>
      <c r="F19" s="342">
        <v>0.9</v>
      </c>
      <c r="G19" s="343">
        <f t="shared" si="0"/>
        <v>0</v>
      </c>
      <c r="H19" s="344">
        <f t="shared" si="0"/>
        <v>0</v>
      </c>
    </row>
    <row r="20" spans="2:16">
      <c r="B20" s="331" t="s">
        <v>27</v>
      </c>
      <c r="C20" s="333"/>
      <c r="D20" s="341">
        <v>0</v>
      </c>
      <c r="E20" s="342">
        <v>0</v>
      </c>
      <c r="F20" s="342">
        <v>0</v>
      </c>
      <c r="G20" s="343">
        <f t="shared" si="0"/>
        <v>0</v>
      </c>
      <c r="H20" s="344">
        <f t="shared" si="0"/>
        <v>0</v>
      </c>
    </row>
    <row r="21" spans="2:16">
      <c r="B21" s="331" t="s">
        <v>5</v>
      </c>
      <c r="C21" s="333"/>
      <c r="D21" s="341">
        <v>0</v>
      </c>
      <c r="E21" s="342">
        <v>0</v>
      </c>
      <c r="F21" s="342">
        <v>0</v>
      </c>
      <c r="G21" s="343">
        <f t="shared" si="0"/>
        <v>0</v>
      </c>
      <c r="H21" s="344">
        <f t="shared" si="0"/>
        <v>0</v>
      </c>
    </row>
    <row r="22" spans="2:16">
      <c r="B22" s="331" t="s">
        <v>20</v>
      </c>
      <c r="C22" s="333"/>
      <c r="D22" s="341">
        <v>0</v>
      </c>
      <c r="E22" s="342">
        <v>0</v>
      </c>
      <c r="F22" s="342">
        <v>0</v>
      </c>
      <c r="G22" s="345">
        <f t="shared" si="0"/>
        <v>0</v>
      </c>
      <c r="H22" s="346">
        <f t="shared" si="0"/>
        <v>0</v>
      </c>
    </row>
    <row r="23" spans="2:16">
      <c r="B23" s="347" t="s">
        <v>19</v>
      </c>
      <c r="C23" s="348"/>
      <c r="D23" s="349">
        <f>SUM(D14:D22)</f>
        <v>4962.5</v>
      </c>
      <c r="E23" s="350"/>
      <c r="F23" s="350"/>
      <c r="G23" s="349">
        <f t="shared" ref="G23:H23" si="1">SUM(G14:G22)</f>
        <v>3721.875</v>
      </c>
      <c r="H23" s="351">
        <f t="shared" si="1"/>
        <v>4466.25</v>
      </c>
    </row>
    <row r="24" spans="2:16" s="355" customFormat="1" ht="5.25" customHeight="1">
      <c r="B24" s="352"/>
      <c r="C24" s="352"/>
      <c r="D24" s="353"/>
      <c r="E24" s="354"/>
      <c r="F24" s="354"/>
      <c r="G24" s="354"/>
      <c r="H24" s="354"/>
      <c r="I24" s="354"/>
      <c r="J24" s="354"/>
      <c r="K24" s="353"/>
      <c r="L24" s="353"/>
      <c r="M24" s="353"/>
      <c r="N24" s="353"/>
      <c r="O24" s="353"/>
      <c r="P24" s="353"/>
    </row>
    <row r="25" spans="2:16" ht="5.25" customHeight="1"/>
    <row r="26" spans="2:16" ht="15.75">
      <c r="B26" s="356" t="s">
        <v>28</v>
      </c>
      <c r="I26" s="357"/>
    </row>
    <row r="27" spans="2:16">
      <c r="B27" s="358" t="s">
        <v>32</v>
      </c>
      <c r="C27" s="359"/>
      <c r="D27" s="359"/>
      <c r="E27" s="360"/>
      <c r="F27" s="360"/>
      <c r="G27" s="360"/>
      <c r="H27" s="360"/>
      <c r="I27" s="361"/>
    </row>
    <row r="28" spans="2:16" ht="27" customHeight="1">
      <c r="B28" s="362"/>
      <c r="C28" s="363"/>
      <c r="D28" s="1977" t="s">
        <v>296</v>
      </c>
      <c r="E28" s="1978"/>
      <c r="F28" s="1978"/>
      <c r="G28" s="1978"/>
      <c r="H28" s="1978"/>
      <c r="I28" s="364"/>
    </row>
    <row r="29" spans="2:16">
      <c r="B29" s="362"/>
      <c r="C29" s="363"/>
      <c r="D29" s="365"/>
      <c r="E29" s="366"/>
      <c r="F29" s="366"/>
      <c r="G29" s="366"/>
      <c r="H29" s="366"/>
      <c r="I29" s="364"/>
    </row>
    <row r="30" spans="2:16">
      <c r="B30" s="367" t="s">
        <v>41</v>
      </c>
      <c r="C30" s="363"/>
      <c r="D30" s="1975" t="s">
        <v>206</v>
      </c>
      <c r="E30" s="1976"/>
      <c r="F30" s="1976"/>
      <c r="G30" s="1976"/>
      <c r="H30" s="1976"/>
      <c r="I30" s="364"/>
    </row>
    <row r="31" spans="2:16">
      <c r="B31" s="368" t="s">
        <v>40</v>
      </c>
      <c r="C31" s="363"/>
      <c r="D31" s="1975" t="s">
        <v>297</v>
      </c>
      <c r="E31" s="1976"/>
      <c r="F31" s="1976"/>
      <c r="G31" s="1976"/>
      <c r="H31" s="1976"/>
      <c r="I31" s="364"/>
    </row>
    <row r="32" spans="2:16" ht="128.25" customHeight="1">
      <c r="B32" s="368" t="s">
        <v>33</v>
      </c>
      <c r="C32" s="369"/>
      <c r="D32" s="1975" t="s">
        <v>298</v>
      </c>
      <c r="E32" s="1976"/>
      <c r="F32" s="1976"/>
      <c r="G32" s="1976"/>
      <c r="H32" s="1976"/>
      <c r="I32" s="364"/>
    </row>
    <row r="33" spans="2:15" ht="66.75" customHeight="1">
      <c r="B33" s="368" t="s">
        <v>35</v>
      </c>
      <c r="C33" s="369"/>
      <c r="D33" s="1975" t="s">
        <v>261</v>
      </c>
      <c r="E33" s="1976"/>
      <c r="F33" s="1976"/>
      <c r="G33" s="1976"/>
      <c r="H33" s="1976"/>
      <c r="I33" s="364"/>
    </row>
    <row r="34" spans="2:15" ht="36" customHeight="1">
      <c r="B34" s="368" t="s">
        <v>34</v>
      </c>
      <c r="C34" s="369"/>
      <c r="D34" s="1975" t="s">
        <v>262</v>
      </c>
      <c r="E34" s="1976"/>
      <c r="F34" s="1976"/>
      <c r="G34" s="1976"/>
      <c r="H34" s="1976"/>
      <c r="I34" s="364"/>
    </row>
    <row r="35" spans="2:15">
      <c r="B35" s="367"/>
      <c r="C35" s="363"/>
      <c r="D35" s="363"/>
      <c r="E35" s="370"/>
      <c r="F35" s="370"/>
      <c r="G35" s="370"/>
      <c r="H35" s="370"/>
      <c r="I35" s="364"/>
    </row>
    <row r="36" spans="2:15">
      <c r="B36" s="371" t="s">
        <v>25</v>
      </c>
      <c r="C36" s="363"/>
      <c r="D36" s="1979" t="s">
        <v>42</v>
      </c>
      <c r="E36" s="1980"/>
      <c r="F36" s="1980"/>
      <c r="G36" s="1980"/>
      <c r="H36" s="1980"/>
      <c r="I36" s="364"/>
      <c r="J36" s="352"/>
    </row>
    <row r="37" spans="2:15">
      <c r="B37" s="367"/>
      <c r="C37" s="363"/>
      <c r="D37" s="370"/>
      <c r="E37" s="370"/>
      <c r="F37" s="370"/>
      <c r="G37" s="370"/>
      <c r="H37" s="370"/>
      <c r="I37" s="364"/>
    </row>
    <row r="38" spans="2:15">
      <c r="B38" s="371" t="s">
        <v>8</v>
      </c>
      <c r="C38" s="363"/>
      <c r="D38" s="372" t="s">
        <v>38</v>
      </c>
      <c r="E38" s="370"/>
      <c r="F38" s="370"/>
      <c r="G38" s="370"/>
      <c r="H38" s="370"/>
      <c r="I38" s="364"/>
    </row>
    <row r="39" spans="2:15">
      <c r="B39" s="371" t="s">
        <v>9</v>
      </c>
      <c r="C39" s="363"/>
      <c r="D39" s="373">
        <v>1</v>
      </c>
      <c r="E39" s="370"/>
      <c r="F39" s="370"/>
      <c r="G39" s="370"/>
      <c r="H39" s="370"/>
      <c r="I39" s="364"/>
    </row>
    <row r="40" spans="2:15">
      <c r="B40" s="371" t="s">
        <v>10</v>
      </c>
      <c r="C40" s="370"/>
      <c r="D40" s="374">
        <v>0.05</v>
      </c>
      <c r="E40" s="375"/>
      <c r="F40" s="370"/>
      <c r="G40" s="370"/>
      <c r="H40" s="370"/>
      <c r="I40" s="376" t="s">
        <v>6</v>
      </c>
    </row>
    <row r="41" spans="2:15">
      <c r="B41" s="377"/>
      <c r="C41" s="370"/>
      <c r="D41" s="370"/>
      <c r="E41" s="370"/>
      <c r="F41" s="370"/>
      <c r="G41" s="370"/>
      <c r="H41" s="370"/>
      <c r="I41" s="378"/>
      <c r="L41" s="379"/>
      <c r="M41" s="379"/>
      <c r="N41" s="380"/>
      <c r="O41" s="380"/>
    </row>
    <row r="42" spans="2:15">
      <c r="B42" s="362" t="s">
        <v>0</v>
      </c>
      <c r="C42" s="370"/>
      <c r="D42" s="370"/>
      <c r="E42" s="370"/>
      <c r="F42" s="370"/>
      <c r="G42" s="370"/>
      <c r="H42" s="370"/>
      <c r="I42" s="381">
        <v>0</v>
      </c>
      <c r="L42" s="379"/>
      <c r="M42" s="379"/>
      <c r="N42" s="380"/>
      <c r="O42" s="380"/>
    </row>
    <row r="43" spans="2:15" ht="14.25" customHeight="1">
      <c r="B43" s="367" t="s">
        <v>39</v>
      </c>
      <c r="C43" s="370"/>
      <c r="D43" s="382"/>
      <c r="E43" s="370"/>
      <c r="F43" s="370"/>
      <c r="G43" s="370"/>
      <c r="H43" s="370"/>
      <c r="I43" s="381"/>
      <c r="L43" s="379"/>
      <c r="M43" s="380"/>
    </row>
    <row r="44" spans="2:15" ht="6" customHeight="1">
      <c r="B44" s="383"/>
      <c r="C44" s="384"/>
      <c r="D44" s="385"/>
      <c r="E44" s="370"/>
      <c r="F44" s="370"/>
      <c r="G44" s="370"/>
      <c r="H44" s="370"/>
      <c r="I44" s="381"/>
      <c r="L44" s="379"/>
      <c r="M44" s="380"/>
    </row>
    <row r="45" spans="2:15">
      <c r="B45" s="362" t="s">
        <v>2</v>
      </c>
      <c r="C45" s="370"/>
      <c r="D45" s="386"/>
      <c r="E45" s="370"/>
      <c r="F45" s="370"/>
      <c r="G45" s="370"/>
      <c r="H45" s="370"/>
      <c r="I45" s="381">
        <v>0</v>
      </c>
      <c r="L45" s="379"/>
      <c r="M45" s="380"/>
    </row>
    <row r="46" spans="2:15" ht="12.75" customHeight="1">
      <c r="B46" s="1981" t="s">
        <v>39</v>
      </c>
      <c r="C46" s="1978"/>
      <c r="D46" s="1978"/>
      <c r="E46" s="1978"/>
      <c r="F46" s="1978"/>
      <c r="G46" s="1978"/>
      <c r="H46" s="1978"/>
      <c r="I46" s="381"/>
      <c r="L46" s="379"/>
      <c r="M46" s="380"/>
    </row>
    <row r="47" spans="2:15" ht="6" customHeight="1">
      <c r="B47" s="387"/>
      <c r="C47" s="370"/>
      <c r="D47" s="370"/>
      <c r="E47" s="388"/>
      <c r="F47" s="388"/>
      <c r="G47" s="388"/>
      <c r="H47" s="370"/>
      <c r="I47" s="381"/>
      <c r="L47" s="379"/>
      <c r="M47" s="380"/>
    </row>
    <row r="48" spans="2:15" ht="4.5" customHeight="1">
      <c r="B48" s="362"/>
      <c r="C48" s="370"/>
      <c r="D48" s="370"/>
      <c r="E48" s="370"/>
      <c r="F48" s="370"/>
      <c r="G48" s="389"/>
      <c r="H48" s="390"/>
      <c r="I48" s="381"/>
      <c r="L48" s="379"/>
      <c r="M48" s="380"/>
    </row>
    <row r="49" spans="2:15">
      <c r="B49" s="362" t="s">
        <v>3</v>
      </c>
      <c r="C49" s="370"/>
      <c r="D49" s="370"/>
      <c r="E49" s="370"/>
      <c r="F49" s="370"/>
      <c r="G49" s="370"/>
      <c r="H49" s="370"/>
      <c r="I49" s="381">
        <f>$H$56</f>
        <v>4962.5</v>
      </c>
      <c r="L49" s="379"/>
      <c r="M49" s="380"/>
    </row>
    <row r="50" spans="2:15" ht="24.75" customHeight="1">
      <c r="B50" s="1981" t="s">
        <v>211</v>
      </c>
      <c r="C50" s="1978"/>
      <c r="D50" s="1978"/>
      <c r="E50" s="1978"/>
      <c r="F50" s="1978"/>
      <c r="G50" s="1978"/>
      <c r="H50" s="1978"/>
      <c r="I50" s="381"/>
      <c r="L50" s="379"/>
      <c r="M50" s="380"/>
    </row>
    <row r="51" spans="2:15" ht="12.75" customHeight="1">
      <c r="B51" s="391"/>
      <c r="C51" s="392"/>
      <c r="D51" s="393" t="s">
        <v>212</v>
      </c>
      <c r="E51" s="394" t="s">
        <v>46</v>
      </c>
      <c r="F51" s="394" t="s">
        <v>6</v>
      </c>
      <c r="G51" s="394" t="s">
        <v>47</v>
      </c>
      <c r="H51" s="394" t="s">
        <v>48</v>
      </c>
      <c r="I51" s="381"/>
      <c r="L51" s="379"/>
      <c r="M51" s="380"/>
    </row>
    <row r="52" spans="2:15" ht="12.75" customHeight="1">
      <c r="B52" s="391"/>
      <c r="C52" s="366"/>
      <c r="D52" s="366" t="s">
        <v>213</v>
      </c>
      <c r="E52" s="395" t="s">
        <v>49</v>
      </c>
      <c r="F52" s="396">
        <v>71</v>
      </c>
      <c r="G52" s="366">
        <v>1</v>
      </c>
      <c r="H52" s="396">
        <f>F52*G52</f>
        <v>71</v>
      </c>
      <c r="I52" s="381"/>
      <c r="L52" s="379"/>
      <c r="M52" s="380"/>
    </row>
    <row r="53" spans="2:15" ht="12.75" customHeight="1">
      <c r="B53" s="391"/>
      <c r="C53" s="366"/>
      <c r="D53" s="366" t="s">
        <v>214</v>
      </c>
      <c r="E53" s="395" t="s">
        <v>49</v>
      </c>
      <c r="F53" s="396">
        <v>87</v>
      </c>
      <c r="G53" s="366">
        <v>13</v>
      </c>
      <c r="H53" s="396">
        <f>F53*G53</f>
        <v>1131</v>
      </c>
      <c r="I53" s="381"/>
      <c r="L53" s="379"/>
      <c r="M53" s="380"/>
    </row>
    <row r="54" spans="2:15" ht="12.75" customHeight="1">
      <c r="B54" s="391"/>
      <c r="C54" s="366"/>
      <c r="D54" s="366" t="s">
        <v>215</v>
      </c>
      <c r="E54" s="395" t="s">
        <v>49</v>
      </c>
      <c r="F54" s="396">
        <v>149</v>
      </c>
      <c r="G54" s="366">
        <v>13.5</v>
      </c>
      <c r="H54" s="396">
        <f>F54*G54</f>
        <v>2011.5</v>
      </c>
      <c r="I54" s="381"/>
      <c r="L54" s="379"/>
      <c r="M54" s="380"/>
    </row>
    <row r="55" spans="2:15" ht="12.75" customHeight="1">
      <c r="B55" s="391"/>
      <c r="C55" s="366"/>
      <c r="D55" s="366" t="s">
        <v>216</v>
      </c>
      <c r="E55" s="395" t="s">
        <v>49</v>
      </c>
      <c r="F55" s="396">
        <v>159</v>
      </c>
      <c r="G55" s="366">
        <v>11</v>
      </c>
      <c r="H55" s="396">
        <f>F55*G55</f>
        <v>1749</v>
      </c>
      <c r="I55" s="381"/>
      <c r="L55" s="379"/>
      <c r="M55" s="380"/>
    </row>
    <row r="56" spans="2:15">
      <c r="B56" s="362" t="s">
        <v>4</v>
      </c>
      <c r="C56" s="370"/>
      <c r="D56" s="370"/>
      <c r="E56" s="370"/>
      <c r="F56" s="370"/>
      <c r="G56" s="370">
        <f>SUM(G52:G55)</f>
        <v>38.5</v>
      </c>
      <c r="H56" s="397">
        <f>SUM(H52:H55)</f>
        <v>4962.5</v>
      </c>
      <c r="I56" s="398">
        <v>0</v>
      </c>
      <c r="L56" s="379"/>
      <c r="M56" s="380"/>
    </row>
    <row r="57" spans="2:15" ht="12" customHeight="1">
      <c r="B57" s="367" t="s">
        <v>39</v>
      </c>
      <c r="C57" s="370"/>
      <c r="D57" s="370"/>
      <c r="E57" s="370"/>
      <c r="F57" s="370"/>
      <c r="G57" s="370"/>
      <c r="H57" s="370"/>
      <c r="I57" s="364"/>
      <c r="L57" s="379"/>
      <c r="M57" s="380"/>
    </row>
    <row r="58" spans="2:15" ht="5.25" customHeight="1">
      <c r="B58" s="367"/>
      <c r="C58" s="370"/>
      <c r="D58" s="370"/>
      <c r="E58" s="370"/>
      <c r="F58" s="370"/>
      <c r="G58" s="370"/>
      <c r="H58" s="370"/>
      <c r="I58" s="364"/>
      <c r="L58" s="379"/>
      <c r="M58" s="380"/>
    </row>
    <row r="59" spans="2:15">
      <c r="B59" s="362" t="s">
        <v>26</v>
      </c>
      <c r="C59" s="370"/>
      <c r="D59" s="370"/>
      <c r="E59" s="370"/>
      <c r="F59" s="370"/>
      <c r="G59" s="370"/>
      <c r="H59" s="370"/>
      <c r="I59" s="381">
        <v>0</v>
      </c>
      <c r="L59" s="379"/>
      <c r="M59" s="380"/>
    </row>
    <row r="60" spans="2:15" ht="14.25" customHeight="1">
      <c r="B60" s="1981" t="s">
        <v>39</v>
      </c>
      <c r="C60" s="1982"/>
      <c r="D60" s="1982"/>
      <c r="E60" s="1982"/>
      <c r="F60" s="1982"/>
      <c r="G60" s="1982"/>
      <c r="H60" s="1982"/>
      <c r="I60" s="398"/>
      <c r="L60" s="379"/>
      <c r="M60" s="380"/>
    </row>
    <row r="61" spans="2:15" ht="12" customHeight="1">
      <c r="B61" s="1983"/>
      <c r="C61" s="1984"/>
      <c r="D61" s="1984"/>
      <c r="E61" s="1984"/>
      <c r="F61" s="1984"/>
      <c r="G61" s="1984"/>
      <c r="H61" s="370"/>
      <c r="I61" s="398"/>
      <c r="L61" s="379"/>
      <c r="M61" s="380"/>
    </row>
    <row r="62" spans="2:15" ht="9.75" customHeight="1">
      <c r="B62" s="367"/>
      <c r="C62" s="370"/>
      <c r="D62" s="370"/>
      <c r="E62" s="370"/>
      <c r="F62" s="370"/>
      <c r="G62" s="370"/>
      <c r="H62" s="370"/>
      <c r="I62" s="364"/>
      <c r="L62" s="379"/>
      <c r="M62" s="379"/>
    </row>
    <row r="63" spans="2:15">
      <c r="B63" s="362" t="s">
        <v>7</v>
      </c>
      <c r="C63" s="370"/>
      <c r="D63" s="370"/>
      <c r="E63" s="370"/>
      <c r="F63" s="370"/>
      <c r="G63" s="370"/>
      <c r="H63" s="370"/>
      <c r="I63" s="381">
        <v>0</v>
      </c>
      <c r="L63" s="379"/>
      <c r="M63" s="379"/>
      <c r="N63" s="379"/>
      <c r="O63" s="379"/>
    </row>
    <row r="64" spans="2:15" ht="12" customHeight="1">
      <c r="B64" s="387"/>
      <c r="C64" s="370"/>
      <c r="D64" s="399"/>
      <c r="E64" s="400"/>
      <c r="F64" s="400"/>
      <c r="G64" s="400"/>
      <c r="H64" s="400"/>
      <c r="I64" s="364"/>
      <c r="L64" s="379"/>
      <c r="M64" s="379"/>
      <c r="N64" s="380"/>
      <c r="O64" s="380"/>
    </row>
    <row r="65" spans="2:15" ht="6" customHeight="1">
      <c r="B65" s="367"/>
      <c r="C65" s="370"/>
      <c r="D65" s="370"/>
      <c r="E65" s="370"/>
      <c r="F65" s="370"/>
      <c r="G65" s="370"/>
      <c r="H65" s="370"/>
      <c r="I65" s="364"/>
      <c r="L65" s="379"/>
      <c r="M65" s="379"/>
      <c r="N65" s="401"/>
      <c r="O65" s="401"/>
    </row>
    <row r="66" spans="2:15">
      <c r="B66" s="362" t="s">
        <v>27</v>
      </c>
      <c r="C66" s="370"/>
      <c r="D66" s="370"/>
      <c r="E66" s="370"/>
      <c r="F66" s="370"/>
      <c r="G66" s="370"/>
      <c r="H66" s="370"/>
      <c r="I66" s="381">
        <v>0</v>
      </c>
      <c r="L66" s="379"/>
      <c r="M66" s="379"/>
      <c r="N66" s="380"/>
      <c r="O66" s="380"/>
    </row>
    <row r="67" spans="2:15" ht="13.5" customHeight="1">
      <c r="B67" s="367" t="s">
        <v>39</v>
      </c>
      <c r="C67" s="370"/>
      <c r="D67" s="370"/>
      <c r="E67" s="370"/>
      <c r="F67" s="370"/>
      <c r="G67" s="370"/>
      <c r="H67" s="370"/>
      <c r="I67" s="402"/>
      <c r="L67" s="379"/>
      <c r="M67" s="379"/>
      <c r="N67" s="401"/>
      <c r="O67" s="401"/>
    </row>
    <row r="68" spans="2:15" ht="3.75" customHeight="1">
      <c r="B68" s="367"/>
      <c r="C68" s="370"/>
      <c r="D68" s="370"/>
      <c r="E68" s="370"/>
      <c r="F68" s="370"/>
      <c r="G68" s="370"/>
      <c r="H68" s="370"/>
      <c r="I68" s="364"/>
      <c r="L68" s="379"/>
      <c r="M68" s="379"/>
      <c r="N68" s="380"/>
      <c r="O68" s="380"/>
    </row>
    <row r="69" spans="2:15">
      <c r="B69" s="362" t="s">
        <v>5</v>
      </c>
      <c r="C69" s="370"/>
      <c r="D69" s="370"/>
      <c r="E69" s="370"/>
      <c r="F69" s="370"/>
      <c r="G69" s="370"/>
      <c r="H69" s="370"/>
      <c r="I69" s="381">
        <v>0</v>
      </c>
      <c r="L69" s="379"/>
      <c r="M69" s="379"/>
      <c r="N69" s="380"/>
      <c r="O69" s="380"/>
    </row>
    <row r="70" spans="2:15" ht="11.25" customHeight="1">
      <c r="B70" s="367" t="s">
        <v>39</v>
      </c>
      <c r="C70" s="370"/>
      <c r="D70" s="370"/>
      <c r="E70" s="370"/>
      <c r="F70" s="370"/>
      <c r="G70" s="370"/>
      <c r="H70" s="370"/>
      <c r="I70" s="402"/>
      <c r="L70" s="379"/>
      <c r="M70" s="379"/>
      <c r="N70" s="379"/>
      <c r="O70" s="379"/>
    </row>
    <row r="71" spans="2:15" ht="4.5" customHeight="1">
      <c r="B71" s="367"/>
      <c r="C71" s="370"/>
      <c r="D71" s="370"/>
      <c r="E71" s="370"/>
      <c r="F71" s="370"/>
      <c r="G71" s="370"/>
      <c r="H71" s="370"/>
      <c r="I71" s="364"/>
      <c r="L71" s="379"/>
      <c r="M71" s="379"/>
      <c r="N71" s="379"/>
      <c r="O71" s="379"/>
    </row>
    <row r="72" spans="2:15">
      <c r="B72" s="362" t="s">
        <v>20</v>
      </c>
      <c r="C72" s="370"/>
      <c r="D72" s="370"/>
      <c r="E72" s="370"/>
      <c r="F72" s="370"/>
      <c r="G72" s="370"/>
      <c r="H72" s="370"/>
      <c r="I72" s="381">
        <v>0</v>
      </c>
      <c r="L72" s="379"/>
      <c r="M72" s="379"/>
      <c r="N72" s="380"/>
      <c r="O72" s="380"/>
    </row>
    <row r="73" spans="2:15" ht="12" customHeight="1">
      <c r="B73" s="367" t="s">
        <v>39</v>
      </c>
      <c r="C73" s="370"/>
      <c r="D73" s="370"/>
      <c r="E73" s="370"/>
      <c r="F73" s="370"/>
      <c r="G73" s="370"/>
      <c r="H73" s="370"/>
      <c r="I73" s="381"/>
      <c r="L73" s="379"/>
      <c r="M73" s="379"/>
      <c r="N73" s="380"/>
      <c r="O73" s="380"/>
    </row>
    <row r="74" spans="2:15" ht="6.75" customHeight="1">
      <c r="B74" s="362"/>
      <c r="C74" s="370"/>
      <c r="D74" s="370"/>
      <c r="E74" s="370"/>
      <c r="F74" s="370"/>
      <c r="G74" s="370"/>
      <c r="H74" s="370"/>
      <c r="I74" s="381"/>
      <c r="L74" s="379"/>
      <c r="M74" s="379"/>
      <c r="N74" s="380"/>
      <c r="O74" s="380"/>
    </row>
    <row r="75" spans="2:15" ht="5.25" customHeight="1">
      <c r="B75" s="377"/>
      <c r="C75" s="370"/>
      <c r="D75" s="370"/>
      <c r="E75" s="370"/>
      <c r="F75" s="370"/>
      <c r="G75" s="370"/>
      <c r="H75" s="370"/>
      <c r="I75" s="364"/>
      <c r="L75" s="379"/>
      <c r="M75" s="379"/>
      <c r="N75" s="379"/>
      <c r="O75" s="379"/>
    </row>
    <row r="76" spans="2:15">
      <c r="B76" s="403" t="s">
        <v>11</v>
      </c>
      <c r="C76" s="404"/>
      <c r="D76" s="404"/>
      <c r="E76" s="404"/>
      <c r="F76" s="404"/>
      <c r="G76" s="404"/>
      <c r="H76" s="404"/>
      <c r="I76" s="405">
        <f>+I72+I69+I66+I63+I59+I56+I49+I45+I42</f>
        <v>4962.5</v>
      </c>
      <c r="L76" s="379"/>
      <c r="M76" s="379"/>
      <c r="N76" s="379"/>
      <c r="O76" s="379"/>
    </row>
    <row r="99" spans="5:5">
      <c r="E99" s="406"/>
    </row>
    <row r="100" spans="5:5">
      <c r="E100" s="406"/>
    </row>
    <row r="101" spans="5:5">
      <c r="E101" s="406"/>
    </row>
    <row r="102" spans="5:5">
      <c r="E102" s="406"/>
    </row>
    <row r="103" spans="5:5">
      <c r="E103" s="406"/>
    </row>
    <row r="104" spans="5:5">
      <c r="E104" s="406"/>
    </row>
    <row r="106" spans="5:5">
      <c r="E106" s="406"/>
    </row>
    <row r="108" spans="5:5">
      <c r="E108" s="407"/>
    </row>
    <row r="110" spans="5:5">
      <c r="E110" s="406"/>
    </row>
  </sheetData>
  <mergeCells count="11">
    <mergeCell ref="D36:H36"/>
    <mergeCell ref="B46:H46"/>
    <mergeCell ref="B50:H50"/>
    <mergeCell ref="B60:H60"/>
    <mergeCell ref="B61:G61"/>
    <mergeCell ref="D34:H34"/>
    <mergeCell ref="D28:H28"/>
    <mergeCell ref="D30:H30"/>
    <mergeCell ref="D31:H31"/>
    <mergeCell ref="D32:H32"/>
    <mergeCell ref="D33:H33"/>
  </mergeCells>
  <pageMargins left="0.36" right="0.3" top="0.43" bottom="0.5" header="0.28000000000000003" footer="0.36"/>
  <pageSetup scale="71" orientation="portrait" r:id="rId1"/>
  <headerFooter alignWithMargins="0"/>
</worksheet>
</file>

<file path=xl/worksheets/sheet41.xml><?xml version="1.0" encoding="utf-8"?>
<worksheet xmlns="http://schemas.openxmlformats.org/spreadsheetml/2006/main" xmlns:r="http://schemas.openxmlformats.org/officeDocument/2006/relationships">
  <dimension ref="B1:O132"/>
  <sheetViews>
    <sheetView zoomScaleNormal="100" workbookViewId="0">
      <selection activeCell="B99" sqref="B99:H105"/>
    </sheetView>
  </sheetViews>
  <sheetFormatPr defaultRowHeight="12.75"/>
  <cols>
    <col min="1" max="1" width="2.85546875" style="2" customWidth="1"/>
    <col min="2" max="2" width="14.42578125" style="2" customWidth="1"/>
    <col min="3" max="3" width="16.42578125" style="2" customWidth="1"/>
    <col min="4" max="4" width="21.7109375" style="2" customWidth="1"/>
    <col min="5" max="5" width="24.85546875" style="2" customWidth="1"/>
    <col min="6" max="6" width="10.140625" style="2" customWidth="1"/>
    <col min="7" max="7" width="10.42578125" style="2" customWidth="1"/>
    <col min="8" max="8" width="20" style="2" customWidth="1"/>
    <col min="9" max="9" width="23.140625" style="2" customWidth="1"/>
    <col min="10" max="10" width="3.5703125" style="2" customWidth="1"/>
    <col min="11" max="11" width="8.42578125" style="2" customWidth="1"/>
    <col min="12" max="13" width="9.140625" style="2"/>
    <col min="14" max="15" width="9" style="2" bestFit="1" customWidth="1"/>
    <col min="16" max="16384" width="9.140625" style="2"/>
  </cols>
  <sheetData>
    <row r="1" spans="2:10" s="79" customFormat="1">
      <c r="B1" s="94" t="s">
        <v>77</v>
      </c>
      <c r="C1" s="94" t="s">
        <v>37</v>
      </c>
      <c r="D1" s="94" t="s">
        <v>29</v>
      </c>
      <c r="E1" s="94" t="s">
        <v>30</v>
      </c>
    </row>
    <row r="2" spans="2:10" ht="25.5">
      <c r="B2" s="408" t="s">
        <v>299</v>
      </c>
      <c r="C2" s="409">
        <v>130</v>
      </c>
      <c r="D2" s="410" t="s">
        <v>300</v>
      </c>
      <c r="E2" s="410" t="s">
        <v>301</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25.5">
      <c r="B6" s="54">
        <v>130</v>
      </c>
      <c r="C6" s="7" t="str">
        <f>+E10</f>
        <v>EQIP</v>
      </c>
      <c r="D6" s="411" t="s">
        <v>300</v>
      </c>
      <c r="E6" s="53" t="s">
        <v>301</v>
      </c>
      <c r="F6" s="7" t="s">
        <v>38</v>
      </c>
      <c r="G6" s="85">
        <f>G23</f>
        <v>1415.2875000000001</v>
      </c>
      <c r="H6" s="89"/>
      <c r="I6" s="89"/>
      <c r="J6"/>
    </row>
    <row r="7" spans="2:10" ht="25.5">
      <c r="B7" s="8">
        <v>130</v>
      </c>
      <c r="C7" s="10" t="s">
        <v>15</v>
      </c>
      <c r="D7" s="412" t="s">
        <v>300</v>
      </c>
      <c r="E7" s="9" t="s">
        <v>302</v>
      </c>
      <c r="F7" s="10" t="s">
        <v>38</v>
      </c>
      <c r="G7" s="86">
        <f>$H$23</f>
        <v>1698.3450000000003</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I47</f>
        <v>1887.0500000000002</v>
      </c>
      <c r="E16" s="160">
        <v>0.75</v>
      </c>
      <c r="F16" s="160">
        <v>0.9</v>
      </c>
      <c r="G16" s="73">
        <f t="shared" si="0"/>
        <v>1415.2875000000001</v>
      </c>
      <c r="H16" s="74">
        <f t="shared" si="0"/>
        <v>1698.3450000000003</v>
      </c>
    </row>
    <row r="17" spans="2:15">
      <c r="B17" s="15" t="s">
        <v>4</v>
      </c>
      <c r="C17" s="16"/>
      <c r="D17" s="24">
        <v>0</v>
      </c>
      <c r="E17" s="160">
        <v>0</v>
      </c>
      <c r="F17" s="160">
        <v>0</v>
      </c>
      <c r="G17" s="73">
        <f t="shared" si="0"/>
        <v>0</v>
      </c>
      <c r="H17" s="74">
        <f t="shared" si="0"/>
        <v>0</v>
      </c>
    </row>
    <row r="18" spans="2:15">
      <c r="B18" s="15" t="s">
        <v>26</v>
      </c>
      <c r="C18" s="16"/>
      <c r="D18" s="24">
        <v>0</v>
      </c>
      <c r="E18" s="160">
        <v>0</v>
      </c>
      <c r="F18" s="160">
        <v>0</v>
      </c>
      <c r="G18" s="73">
        <f t="shared" si="0"/>
        <v>0</v>
      </c>
      <c r="H18" s="74">
        <f t="shared" si="0"/>
        <v>0</v>
      </c>
    </row>
    <row r="19" spans="2:15">
      <c r="B19" s="15" t="s">
        <v>7</v>
      </c>
      <c r="C19" s="16"/>
      <c r="D19" s="24">
        <f>I84</f>
        <v>0</v>
      </c>
      <c r="E19" s="160">
        <v>0.75</v>
      </c>
      <c r="F19" s="160">
        <v>0.9</v>
      </c>
      <c r="G19" s="73">
        <f t="shared" si="0"/>
        <v>0</v>
      </c>
      <c r="H19" s="74">
        <f t="shared" si="0"/>
        <v>0</v>
      </c>
    </row>
    <row r="20" spans="2:15">
      <c r="B20" s="15" t="s">
        <v>27</v>
      </c>
      <c r="C20" s="16"/>
      <c r="D20" s="24">
        <v>0</v>
      </c>
      <c r="E20" s="160">
        <v>0</v>
      </c>
      <c r="F20" s="160">
        <v>0</v>
      </c>
      <c r="G20" s="73">
        <f t="shared" si="0"/>
        <v>0</v>
      </c>
      <c r="H20" s="74">
        <f t="shared" si="0"/>
        <v>0</v>
      </c>
    </row>
    <row r="21" spans="2:15">
      <c r="B21" s="15" t="s">
        <v>5</v>
      </c>
      <c r="C21" s="16"/>
      <c r="D21" s="24">
        <v>0</v>
      </c>
      <c r="E21" s="160">
        <v>0</v>
      </c>
      <c r="F21" s="160">
        <v>0</v>
      </c>
      <c r="G21" s="73">
        <f t="shared" si="0"/>
        <v>0</v>
      </c>
      <c r="H21" s="74">
        <f t="shared" si="0"/>
        <v>0</v>
      </c>
    </row>
    <row r="22" spans="2:15">
      <c r="B22" s="15" t="s">
        <v>20</v>
      </c>
      <c r="C22" s="16"/>
      <c r="D22" s="24">
        <v>0</v>
      </c>
      <c r="E22" s="160">
        <v>0</v>
      </c>
      <c r="F22" s="160">
        <v>0</v>
      </c>
      <c r="G22" s="75">
        <f t="shared" si="0"/>
        <v>0</v>
      </c>
      <c r="H22" s="76">
        <f t="shared" si="0"/>
        <v>0</v>
      </c>
    </row>
    <row r="23" spans="2:15">
      <c r="B23" s="26" t="s">
        <v>19</v>
      </c>
      <c r="C23" s="27"/>
      <c r="D23" s="51">
        <f>SUM(D14:D22)</f>
        <v>1887.0500000000002</v>
      </c>
      <c r="E23" s="28"/>
      <c r="F23" s="28"/>
      <c r="G23" s="51">
        <f t="shared" ref="G23:H23" si="1">SUM(G14:G22)</f>
        <v>1415.2875000000001</v>
      </c>
      <c r="H23" s="77">
        <f t="shared" si="1"/>
        <v>1698.3450000000003</v>
      </c>
    </row>
    <row r="24" spans="2:15" s="82" customFormat="1" ht="5.25" customHeight="1">
      <c r="B24" s="49"/>
      <c r="C24" s="49"/>
      <c r="D24" s="80"/>
      <c r="E24" s="81"/>
      <c r="F24" s="81"/>
      <c r="G24" s="81"/>
      <c r="H24" s="81"/>
      <c r="I24" s="81"/>
      <c r="J24" s="81"/>
      <c r="K24" s="80"/>
      <c r="L24" s="80"/>
      <c r="M24" s="80"/>
      <c r="N24" s="80"/>
      <c r="O24" s="80"/>
    </row>
    <row r="25" spans="2:15" ht="15.75">
      <c r="B25" s="50" t="s">
        <v>28</v>
      </c>
      <c r="I25" s="5"/>
    </row>
    <row r="26" spans="2:15">
      <c r="B26" s="29" t="s">
        <v>32</v>
      </c>
      <c r="C26" s="30"/>
      <c r="D26" s="30"/>
      <c r="E26" s="31"/>
      <c r="F26" s="31"/>
      <c r="G26" s="31"/>
      <c r="H26" s="31"/>
      <c r="I26" s="32"/>
    </row>
    <row r="27" spans="2:15">
      <c r="B27" s="42"/>
      <c r="C27" s="34"/>
      <c r="D27" s="1954" t="s">
        <v>303</v>
      </c>
      <c r="E27" s="1955"/>
      <c r="F27" s="1955"/>
      <c r="G27" s="1955"/>
      <c r="H27" s="1955"/>
      <c r="I27" s="36"/>
    </row>
    <row r="28" spans="2:15" ht="3.75" customHeight="1">
      <c r="B28" s="42"/>
      <c r="C28" s="34"/>
      <c r="D28" s="115"/>
      <c r="E28" s="97"/>
      <c r="F28" s="97"/>
      <c r="G28" s="97"/>
      <c r="H28" s="97"/>
      <c r="I28" s="36"/>
    </row>
    <row r="29" spans="2:15">
      <c r="B29" s="37" t="s">
        <v>41</v>
      </c>
      <c r="C29" s="34"/>
      <c r="D29" s="1956" t="s">
        <v>304</v>
      </c>
      <c r="E29" s="1957"/>
      <c r="F29" s="1957"/>
      <c r="G29" s="1957"/>
      <c r="H29" s="1957"/>
      <c r="I29" s="1987"/>
    </row>
    <row r="30" spans="2:15" ht="45" customHeight="1">
      <c r="B30" s="91" t="s">
        <v>40</v>
      </c>
      <c r="C30" s="34"/>
      <c r="D30" s="1956" t="s">
        <v>305</v>
      </c>
      <c r="E30" s="1957"/>
      <c r="F30" s="1957"/>
      <c r="G30" s="1957"/>
      <c r="H30" s="1957"/>
      <c r="I30" s="1987"/>
    </row>
    <row r="31" spans="2:15" ht="29.25" customHeight="1">
      <c r="B31" s="91" t="s">
        <v>33</v>
      </c>
      <c r="C31" s="90"/>
      <c r="D31" s="1956" t="s">
        <v>306</v>
      </c>
      <c r="E31" s="1957"/>
      <c r="F31" s="1957"/>
      <c r="G31" s="1957"/>
      <c r="H31" s="1957"/>
      <c r="I31" s="1987"/>
    </row>
    <row r="32" spans="2:15" ht="69" customHeight="1">
      <c r="B32" s="91" t="s">
        <v>35</v>
      </c>
      <c r="C32" s="90"/>
      <c r="D32" s="1956" t="s">
        <v>307</v>
      </c>
      <c r="E32" s="1957"/>
      <c r="F32" s="1957"/>
      <c r="G32" s="1957"/>
      <c r="H32" s="1957"/>
      <c r="I32" s="1987"/>
    </row>
    <row r="33" spans="2:14" ht="13.5" customHeight="1">
      <c r="B33" s="91" t="s">
        <v>34</v>
      </c>
      <c r="C33" s="90"/>
      <c r="D33" s="1956" t="s">
        <v>308</v>
      </c>
      <c r="E33" s="1957"/>
      <c r="F33" s="1957"/>
      <c r="G33" s="1957"/>
      <c r="H33" s="1957"/>
      <c r="I33" s="1987"/>
    </row>
    <row r="34" spans="2:14">
      <c r="B34" s="37"/>
      <c r="C34" s="34"/>
      <c r="D34" s="34"/>
      <c r="E34" s="35"/>
      <c r="F34" s="35"/>
      <c r="G34" s="35"/>
      <c r="H34" s="35"/>
      <c r="I34" s="36"/>
    </row>
    <row r="35" spans="2:14">
      <c r="B35" s="1988" t="s">
        <v>25</v>
      </c>
      <c r="C35" s="1989"/>
      <c r="D35" s="413" t="s">
        <v>42</v>
      </c>
      <c r="E35" s="35"/>
      <c r="F35" s="35"/>
      <c r="G35" s="35"/>
      <c r="H35" s="35"/>
      <c r="I35" s="36"/>
    </row>
    <row r="36" spans="2:14">
      <c r="B36" s="414" t="s">
        <v>309</v>
      </c>
      <c r="C36" s="104" t="s">
        <v>310</v>
      </c>
      <c r="D36" s="415">
        <v>130</v>
      </c>
      <c r="E36" s="35"/>
      <c r="F36" s="35"/>
      <c r="G36" s="35"/>
      <c r="H36" s="35"/>
      <c r="I36" s="36"/>
    </row>
    <row r="37" spans="2:14">
      <c r="B37" s="1988" t="s">
        <v>8</v>
      </c>
      <c r="C37" s="1989"/>
      <c r="D37" s="415" t="s">
        <v>38</v>
      </c>
      <c r="E37" s="35"/>
      <c r="F37" s="35"/>
      <c r="G37" s="35"/>
      <c r="H37" s="35"/>
      <c r="I37" s="36"/>
    </row>
    <row r="38" spans="2:14">
      <c r="B38" s="1988" t="s">
        <v>9</v>
      </c>
      <c r="C38" s="1989"/>
      <c r="D38" s="415">
        <v>1</v>
      </c>
      <c r="E38" s="35"/>
      <c r="F38" s="35"/>
      <c r="G38" s="35"/>
      <c r="H38" s="35"/>
      <c r="I38" s="96" t="s">
        <v>6</v>
      </c>
    </row>
    <row r="39" spans="2:14">
      <c r="B39" s="1988" t="s">
        <v>10</v>
      </c>
      <c r="C39" s="1990"/>
      <c r="D39" s="416">
        <v>0.05</v>
      </c>
      <c r="E39" s="41"/>
      <c r="F39" s="35"/>
      <c r="G39" s="35"/>
      <c r="H39" s="35"/>
      <c r="I39" s="149"/>
      <c r="K39" s="64"/>
      <c r="L39" s="64"/>
      <c r="M39" s="61"/>
      <c r="N39" s="61"/>
    </row>
    <row r="40" spans="2:14" ht="7.5" customHeight="1">
      <c r="B40" s="417"/>
      <c r="C40" s="418"/>
      <c r="D40" s="419"/>
      <c r="E40" s="41"/>
      <c r="F40" s="35"/>
      <c r="G40" s="35"/>
      <c r="H40" s="35"/>
      <c r="I40" s="149"/>
      <c r="K40" s="64"/>
      <c r="L40" s="64"/>
      <c r="M40" s="61"/>
      <c r="N40" s="61"/>
    </row>
    <row r="41" spans="2:14">
      <c r="B41" s="42" t="s">
        <v>0</v>
      </c>
      <c r="C41" s="35"/>
      <c r="D41" s="35"/>
      <c r="E41" s="35"/>
      <c r="F41" s="35"/>
      <c r="G41" s="35"/>
      <c r="H41" s="35"/>
      <c r="I41" s="46"/>
      <c r="K41" s="64"/>
      <c r="L41" s="64"/>
      <c r="M41" s="61"/>
      <c r="N41" s="61"/>
    </row>
    <row r="42" spans="2:14" ht="14.25" customHeight="1">
      <c r="B42" s="37" t="s">
        <v>39</v>
      </c>
      <c r="C42" s="1985" t="s">
        <v>311</v>
      </c>
      <c r="D42" s="1986"/>
      <c r="E42" s="1986"/>
      <c r="F42" s="1986"/>
      <c r="G42" s="167"/>
      <c r="H42" s="35"/>
      <c r="I42" s="46"/>
      <c r="K42" s="64"/>
      <c r="L42" s="61"/>
    </row>
    <row r="43" spans="2:14" ht="6" customHeight="1">
      <c r="B43" s="62"/>
      <c r="C43" s="6"/>
      <c r="D43" s="63"/>
      <c r="E43" s="35"/>
      <c r="F43" s="35"/>
      <c r="G43" s="35"/>
      <c r="H43" s="35"/>
      <c r="I43" s="46"/>
      <c r="K43" s="64"/>
      <c r="L43" s="61"/>
    </row>
    <row r="44" spans="2:14">
      <c r="B44" s="42" t="s">
        <v>2</v>
      </c>
      <c r="C44" s="35"/>
      <c r="D44" s="66"/>
      <c r="E44" s="35"/>
      <c r="F44" s="35"/>
      <c r="G44" s="35"/>
      <c r="H44" s="35"/>
      <c r="I44" s="46"/>
      <c r="K44" s="64"/>
      <c r="L44" s="61"/>
    </row>
    <row r="45" spans="2:14" ht="12.75" customHeight="1">
      <c r="B45" s="117" t="s">
        <v>39</v>
      </c>
      <c r="C45" s="1985" t="s">
        <v>312</v>
      </c>
      <c r="D45" s="1986"/>
      <c r="E45" s="1986"/>
      <c r="F45" s="1986"/>
      <c r="G45" s="97"/>
      <c r="H45" s="97"/>
      <c r="I45" s="46"/>
      <c r="K45" s="64"/>
      <c r="L45" s="61"/>
    </row>
    <row r="46" spans="2:14" ht="6" customHeight="1">
      <c r="B46" s="33"/>
      <c r="C46" s="35"/>
      <c r="D46" s="35"/>
      <c r="E46" s="60"/>
      <c r="F46" s="60"/>
      <c r="G46" s="60"/>
      <c r="H46" s="35"/>
      <c r="I46" s="46"/>
      <c r="K46" s="64"/>
      <c r="L46" s="61"/>
    </row>
    <row r="47" spans="2:14">
      <c r="B47" s="42" t="s">
        <v>3</v>
      </c>
      <c r="C47" s="35"/>
      <c r="D47" s="35"/>
      <c r="E47" s="35"/>
      <c r="F47" s="35"/>
      <c r="G47" s="35"/>
      <c r="H47" s="35"/>
      <c r="I47" s="46">
        <f>SUM(H59:H74)</f>
        <v>1887.0500000000002</v>
      </c>
      <c r="K47" s="64"/>
      <c r="L47" s="61"/>
    </row>
    <row r="48" spans="2:14" ht="12" customHeight="1">
      <c r="B48" s="1959" t="s">
        <v>44</v>
      </c>
      <c r="C48" s="1955"/>
      <c r="D48" s="1955"/>
      <c r="E48" s="1955"/>
      <c r="F48" s="1955"/>
      <c r="G48" s="1955"/>
      <c r="H48" s="1955"/>
      <c r="I48" s="46"/>
      <c r="K48" s="64"/>
      <c r="L48" s="61"/>
    </row>
    <row r="49" spans="2:12" ht="12" customHeight="1">
      <c r="B49" s="101"/>
      <c r="C49" s="102"/>
      <c r="D49" s="103" t="s">
        <v>45</v>
      </c>
      <c r="E49" s="104" t="s">
        <v>46</v>
      </c>
      <c r="F49" s="104" t="s">
        <v>6</v>
      </c>
      <c r="G49" s="104" t="s">
        <v>47</v>
      </c>
      <c r="H49" s="104" t="s">
        <v>48</v>
      </c>
      <c r="I49" s="420"/>
      <c r="K49" s="64"/>
      <c r="L49" s="61"/>
    </row>
    <row r="50" spans="2:12" ht="12" customHeight="1">
      <c r="B50" s="101"/>
      <c r="C50" s="102"/>
      <c r="D50" s="421"/>
      <c r="E50" s="104"/>
      <c r="F50" s="104"/>
      <c r="G50" s="422"/>
      <c r="H50" s="422"/>
      <c r="I50" s="420"/>
      <c r="K50" s="64"/>
      <c r="L50" s="61"/>
    </row>
    <row r="51" spans="2:12" ht="12" customHeight="1">
      <c r="B51" s="101"/>
      <c r="C51" s="102"/>
      <c r="D51" s="423" t="s">
        <v>313</v>
      </c>
      <c r="E51" s="104" t="s">
        <v>46</v>
      </c>
      <c r="F51" s="104" t="s">
        <v>6</v>
      </c>
      <c r="G51" s="424"/>
      <c r="H51" s="421"/>
      <c r="I51" s="420"/>
      <c r="K51" s="64"/>
      <c r="L51" s="61"/>
    </row>
    <row r="52" spans="2:12" ht="12" customHeight="1">
      <c r="B52" s="101"/>
      <c r="C52" s="102"/>
      <c r="D52" s="425" t="s">
        <v>314</v>
      </c>
      <c r="E52" s="104" t="s">
        <v>315</v>
      </c>
      <c r="F52" s="426">
        <v>44.06</v>
      </c>
      <c r="G52" s="427"/>
      <c r="H52" s="428"/>
      <c r="I52" s="420"/>
      <c r="K52" s="64"/>
      <c r="L52" s="61"/>
    </row>
    <row r="53" spans="2:12" ht="12" customHeight="1">
      <c r="B53" s="101"/>
      <c r="C53" s="102"/>
      <c r="D53" s="429" t="s">
        <v>316</v>
      </c>
      <c r="E53" s="104" t="s">
        <v>315</v>
      </c>
      <c r="F53" s="426">
        <v>35.18</v>
      </c>
      <c r="G53" s="430"/>
      <c r="H53" s="431"/>
      <c r="I53" s="420"/>
      <c r="K53" s="64"/>
      <c r="L53" s="61"/>
    </row>
    <row r="54" spans="2:12" ht="12" customHeight="1">
      <c r="B54" s="101"/>
      <c r="C54" s="102"/>
      <c r="D54" s="429" t="s">
        <v>317</v>
      </c>
      <c r="E54" s="104" t="s">
        <v>318</v>
      </c>
      <c r="F54" s="426">
        <v>615.53</v>
      </c>
      <c r="G54" s="430"/>
      <c r="H54" s="431"/>
      <c r="I54" s="420"/>
      <c r="K54" s="64"/>
      <c r="L54" s="61"/>
    </row>
    <row r="55" spans="2:12" ht="12" customHeight="1">
      <c r="B55" s="101"/>
      <c r="C55" s="102"/>
      <c r="D55" s="429" t="s">
        <v>319</v>
      </c>
      <c r="E55" s="104" t="s">
        <v>320</v>
      </c>
      <c r="F55" s="426">
        <v>22</v>
      </c>
      <c r="G55" s="430"/>
      <c r="H55" s="431"/>
      <c r="I55" s="420"/>
      <c r="K55" s="64"/>
      <c r="L55" s="61"/>
    </row>
    <row r="56" spans="2:12" ht="12" customHeight="1">
      <c r="B56" s="101"/>
      <c r="C56" s="102"/>
      <c r="D56" s="103" t="s">
        <v>321</v>
      </c>
      <c r="E56" s="104" t="s">
        <v>315</v>
      </c>
      <c r="F56" s="432">
        <f>(F54+F55)/8</f>
        <v>79.691249999999997</v>
      </c>
      <c r="G56" s="430"/>
      <c r="H56" s="431"/>
      <c r="I56" s="420"/>
      <c r="K56" s="64"/>
      <c r="L56" s="61"/>
    </row>
    <row r="57" spans="2:12" ht="12" customHeight="1">
      <c r="B57" s="101"/>
      <c r="C57" s="102"/>
      <c r="D57" s="421"/>
      <c r="E57" s="422"/>
      <c r="F57" s="427"/>
      <c r="G57" s="430"/>
      <c r="H57" s="431"/>
      <c r="I57" s="420"/>
      <c r="K57" s="64"/>
      <c r="L57" s="61"/>
    </row>
    <row r="58" spans="2:12" ht="12" customHeight="1">
      <c r="B58" s="101"/>
      <c r="C58" s="102"/>
      <c r="D58" s="433" t="s">
        <v>322</v>
      </c>
      <c r="E58" s="422"/>
      <c r="F58" s="427"/>
      <c r="G58" s="430"/>
      <c r="H58" s="434"/>
      <c r="I58" s="420"/>
      <c r="K58" s="64"/>
      <c r="L58" s="61"/>
    </row>
    <row r="59" spans="2:12" ht="12" customHeight="1">
      <c r="B59" s="101"/>
      <c r="C59" s="102"/>
      <c r="D59" s="429" t="s">
        <v>323</v>
      </c>
      <c r="E59" s="104" t="s">
        <v>315</v>
      </c>
      <c r="F59" s="432">
        <f>F52</f>
        <v>44.06</v>
      </c>
      <c r="G59" s="435">
        <v>1</v>
      </c>
      <c r="H59" s="432">
        <f t="shared" ref="H59:H64" si="2">F59*G59</f>
        <v>44.06</v>
      </c>
      <c r="I59" s="420"/>
      <c r="K59" s="64"/>
      <c r="L59" s="61"/>
    </row>
    <row r="60" spans="2:12" ht="12" customHeight="1">
      <c r="B60" s="101"/>
      <c r="C60" s="102"/>
      <c r="D60" s="429" t="s">
        <v>324</v>
      </c>
      <c r="E60" s="104" t="s">
        <v>315</v>
      </c>
      <c r="F60" s="432">
        <f>F52</f>
        <v>44.06</v>
      </c>
      <c r="G60" s="435">
        <v>4</v>
      </c>
      <c r="H60" s="432">
        <f t="shared" si="2"/>
        <v>176.24</v>
      </c>
      <c r="I60" s="420"/>
      <c r="K60" s="64"/>
      <c r="L60" s="61"/>
    </row>
    <row r="61" spans="2:12" ht="12" customHeight="1">
      <c r="B61" s="101"/>
      <c r="C61" s="102"/>
      <c r="D61" s="429" t="s">
        <v>325</v>
      </c>
      <c r="E61" s="104" t="s">
        <v>315</v>
      </c>
      <c r="F61" s="432">
        <f>F56</f>
        <v>79.691249999999997</v>
      </c>
      <c r="G61" s="435">
        <v>8</v>
      </c>
      <c r="H61" s="432">
        <f t="shared" si="2"/>
        <v>637.53</v>
      </c>
      <c r="I61" s="420"/>
      <c r="K61" s="64"/>
      <c r="L61" s="61"/>
    </row>
    <row r="62" spans="2:12" ht="12" customHeight="1">
      <c r="B62" s="101"/>
      <c r="C62" s="102"/>
      <c r="D62" s="429" t="s">
        <v>326</v>
      </c>
      <c r="E62" s="104" t="s">
        <v>315</v>
      </c>
      <c r="F62" s="432">
        <f>F53</f>
        <v>35.18</v>
      </c>
      <c r="G62" s="435">
        <v>8</v>
      </c>
      <c r="H62" s="432">
        <f t="shared" si="2"/>
        <v>281.44</v>
      </c>
      <c r="I62" s="420"/>
      <c r="K62" s="64"/>
      <c r="L62" s="61"/>
    </row>
    <row r="63" spans="2:12" ht="12" customHeight="1">
      <c r="B63" s="101"/>
      <c r="C63" s="102"/>
      <c r="D63" s="429" t="s">
        <v>327</v>
      </c>
      <c r="E63" s="104" t="s">
        <v>315</v>
      </c>
      <c r="F63" s="432">
        <f>F53</f>
        <v>35.18</v>
      </c>
      <c r="G63" s="435">
        <v>4</v>
      </c>
      <c r="H63" s="432">
        <f t="shared" si="2"/>
        <v>140.72</v>
      </c>
      <c r="I63" s="420"/>
      <c r="K63" s="64"/>
      <c r="L63" s="61"/>
    </row>
    <row r="64" spans="2:12" ht="12" customHeight="1">
      <c r="B64" s="101"/>
      <c r="C64" s="102"/>
      <c r="D64" s="429" t="s">
        <v>328</v>
      </c>
      <c r="E64" s="104" t="s">
        <v>329</v>
      </c>
      <c r="F64" s="432">
        <f>F52</f>
        <v>44.06</v>
      </c>
      <c r="G64" s="435">
        <v>5</v>
      </c>
      <c r="H64" s="432">
        <f t="shared" si="2"/>
        <v>220.3</v>
      </c>
      <c r="I64" s="420"/>
      <c r="K64" s="64"/>
      <c r="L64" s="61"/>
    </row>
    <row r="65" spans="2:12" ht="8.25" customHeight="1">
      <c r="B65" s="101"/>
      <c r="C65" s="102"/>
      <c r="D65" s="436"/>
      <c r="E65" s="422"/>
      <c r="F65" s="427"/>
      <c r="G65" s="437"/>
      <c r="H65" s="427"/>
      <c r="I65" s="420"/>
      <c r="K65" s="64"/>
      <c r="L65" s="61"/>
    </row>
    <row r="66" spans="2:12" ht="11.25" customHeight="1">
      <c r="B66" s="101"/>
      <c r="C66" s="102"/>
      <c r="D66" s="436" t="s">
        <v>330</v>
      </c>
      <c r="E66" s="422"/>
      <c r="F66" s="427"/>
      <c r="G66" s="430"/>
      <c r="H66" s="422"/>
      <c r="I66" s="420"/>
      <c r="K66" s="64"/>
      <c r="L66" s="61"/>
    </row>
    <row r="67" spans="2:12" ht="12" customHeight="1">
      <c r="B67" s="101"/>
      <c r="C67" s="102"/>
      <c r="D67" s="429" t="s">
        <v>331</v>
      </c>
      <c r="E67" s="104" t="s">
        <v>332</v>
      </c>
      <c r="F67" s="438"/>
      <c r="G67" s="439">
        <v>3</v>
      </c>
      <c r="H67" s="427"/>
      <c r="I67" s="420"/>
      <c r="K67" s="64"/>
      <c r="L67" s="61"/>
    </row>
    <row r="68" spans="2:12" ht="12" customHeight="1">
      <c r="B68" s="101"/>
      <c r="C68" s="102"/>
      <c r="D68" s="429" t="s">
        <v>333</v>
      </c>
      <c r="E68" s="104" t="s">
        <v>334</v>
      </c>
      <c r="F68" s="438"/>
      <c r="G68" s="439">
        <v>80</v>
      </c>
      <c r="H68" s="427"/>
      <c r="I68" s="420"/>
      <c r="K68" s="64"/>
      <c r="L68" s="61"/>
    </row>
    <row r="69" spans="2:12" ht="12" customHeight="1">
      <c r="B69" s="101"/>
      <c r="C69" s="102"/>
      <c r="D69" s="429" t="s">
        <v>335</v>
      </c>
      <c r="E69" s="104" t="s">
        <v>334</v>
      </c>
      <c r="F69" s="438"/>
      <c r="G69" s="438">
        <f>G67*G68</f>
        <v>240</v>
      </c>
      <c r="H69" s="427"/>
      <c r="I69" s="420"/>
      <c r="K69" s="64"/>
      <c r="L69" s="61"/>
    </row>
    <row r="70" spans="2:12" ht="12" customHeight="1">
      <c r="B70" s="101"/>
      <c r="C70" s="102"/>
      <c r="D70" s="429" t="s">
        <v>336</v>
      </c>
      <c r="E70" s="104" t="s">
        <v>329</v>
      </c>
      <c r="F70" s="438"/>
      <c r="G70" s="439">
        <v>2</v>
      </c>
      <c r="H70" s="427"/>
      <c r="I70" s="420"/>
      <c r="K70" s="64"/>
      <c r="L70" s="61"/>
    </row>
    <row r="71" spans="2:12" ht="12" customHeight="1">
      <c r="B71" s="101"/>
      <c r="C71" s="102"/>
      <c r="D71" s="429" t="s">
        <v>337</v>
      </c>
      <c r="E71" s="104" t="s">
        <v>329</v>
      </c>
      <c r="F71" s="438"/>
      <c r="G71" s="438">
        <f>G67*G70</f>
        <v>6</v>
      </c>
      <c r="H71" s="427"/>
      <c r="I71" s="420"/>
      <c r="K71" s="64"/>
      <c r="L71" s="61"/>
    </row>
    <row r="72" spans="2:12" ht="12" customHeight="1">
      <c r="B72" s="101"/>
      <c r="C72" s="102"/>
      <c r="D72" s="429" t="s">
        <v>338</v>
      </c>
      <c r="E72" s="104" t="s">
        <v>339</v>
      </c>
      <c r="F72" s="426">
        <v>0.51</v>
      </c>
      <c r="G72" s="438"/>
      <c r="H72" s="427"/>
      <c r="I72" s="420"/>
      <c r="K72" s="64"/>
      <c r="L72" s="61"/>
    </row>
    <row r="73" spans="2:12" ht="12" customHeight="1">
      <c r="B73" s="101"/>
      <c r="C73" s="102"/>
      <c r="D73" s="429" t="s">
        <v>340</v>
      </c>
      <c r="E73" s="104"/>
      <c r="F73" s="432"/>
      <c r="G73" s="438"/>
      <c r="H73" s="432">
        <f>G69*F72</f>
        <v>122.4</v>
      </c>
      <c r="I73" s="420"/>
      <c r="K73" s="64"/>
      <c r="L73" s="61"/>
    </row>
    <row r="74" spans="2:12" ht="12" customHeight="1">
      <c r="B74" s="101"/>
      <c r="C74" s="102"/>
      <c r="D74" s="429" t="s">
        <v>341</v>
      </c>
      <c r="E74" s="104" t="s">
        <v>329</v>
      </c>
      <c r="F74" s="432">
        <f>F52</f>
        <v>44.06</v>
      </c>
      <c r="G74" s="438">
        <f>G71</f>
        <v>6</v>
      </c>
      <c r="H74" s="432">
        <f>F74*G74</f>
        <v>264.36</v>
      </c>
      <c r="I74" s="420"/>
      <c r="K74" s="64"/>
      <c r="L74" s="61"/>
    </row>
    <row r="75" spans="2:12" ht="12" customHeight="1">
      <c r="B75" s="101"/>
      <c r="C75" s="97"/>
      <c r="D75" s="97"/>
      <c r="E75" s="97"/>
      <c r="F75" s="97"/>
      <c r="G75" s="97"/>
      <c r="H75" s="97"/>
      <c r="I75" s="420"/>
      <c r="K75" s="64"/>
      <c r="L75" s="61"/>
    </row>
    <row r="76" spans="2:12" ht="14.25" customHeight="1">
      <c r="B76" s="33"/>
      <c r="C76" s="35"/>
      <c r="D76" s="35"/>
      <c r="E76" s="35"/>
      <c r="F76" s="35"/>
      <c r="G76" s="35"/>
      <c r="H76" s="35"/>
      <c r="I76" s="48"/>
      <c r="K76" s="64"/>
      <c r="L76" s="61"/>
    </row>
    <row r="77" spans="2:12">
      <c r="B77" s="42" t="s">
        <v>4</v>
      </c>
      <c r="C77" s="35"/>
      <c r="D77" s="35"/>
      <c r="E77" s="35"/>
      <c r="F77" s="35"/>
      <c r="G77" s="35"/>
      <c r="H77" s="35"/>
      <c r="I77" s="48"/>
      <c r="K77" s="64"/>
      <c r="L77" s="61"/>
    </row>
    <row r="78" spans="2:12" ht="12" customHeight="1">
      <c r="B78" s="37" t="s">
        <v>39</v>
      </c>
      <c r="C78" s="35" t="s">
        <v>342</v>
      </c>
      <c r="D78" s="35"/>
      <c r="E78" s="35"/>
      <c r="F78" s="35"/>
      <c r="G78" s="35"/>
      <c r="H78" s="35"/>
      <c r="I78" s="36"/>
      <c r="K78" s="64"/>
      <c r="L78" s="61"/>
    </row>
    <row r="79" spans="2:12" ht="5.25" customHeight="1">
      <c r="B79" s="37"/>
      <c r="C79" s="35"/>
      <c r="D79" s="35"/>
      <c r="E79" s="35"/>
      <c r="F79" s="35"/>
      <c r="G79" s="35"/>
      <c r="H79" s="35"/>
      <c r="I79" s="36"/>
      <c r="K79" s="64"/>
      <c r="L79" s="61"/>
    </row>
    <row r="80" spans="2:12">
      <c r="B80" s="42" t="s">
        <v>26</v>
      </c>
      <c r="C80" s="35"/>
      <c r="D80" s="35"/>
      <c r="E80" s="35"/>
      <c r="F80" s="35"/>
      <c r="G80" s="35"/>
      <c r="H80" s="35"/>
      <c r="I80" s="46"/>
      <c r="K80" s="64"/>
      <c r="L80" s="61"/>
    </row>
    <row r="81" spans="2:14" ht="14.25" customHeight="1">
      <c r="B81" s="117" t="s">
        <v>39</v>
      </c>
      <c r="C81" s="35" t="s">
        <v>343</v>
      </c>
      <c r="D81" s="97"/>
      <c r="E81" s="97"/>
      <c r="F81" s="97"/>
      <c r="G81" s="97"/>
      <c r="H81" s="97"/>
      <c r="I81" s="48"/>
      <c r="K81" s="64"/>
      <c r="L81" s="61"/>
    </row>
    <row r="82" spans="2:14" ht="8.25" customHeight="1">
      <c r="B82" s="1943"/>
      <c r="C82" s="1994"/>
      <c r="D82" s="1994"/>
      <c r="E82" s="1994"/>
      <c r="F82" s="1994"/>
      <c r="G82" s="1994"/>
      <c r="H82" s="35"/>
      <c r="I82" s="48"/>
      <c r="K82" s="64"/>
      <c r="L82" s="61"/>
    </row>
    <row r="83" spans="2:14" ht="5.25" customHeight="1">
      <c r="B83" s="37"/>
      <c r="C83" s="35"/>
      <c r="D83" s="35"/>
      <c r="E83" s="35"/>
      <c r="F83" s="35"/>
      <c r="G83" s="35"/>
      <c r="H83" s="35"/>
      <c r="I83" s="36"/>
      <c r="K83" s="64"/>
      <c r="L83" s="64"/>
    </row>
    <row r="84" spans="2:14">
      <c r="B84" s="42" t="s">
        <v>7</v>
      </c>
      <c r="C84" s="35"/>
      <c r="D84" s="35"/>
      <c r="E84" s="35"/>
      <c r="F84" s="35"/>
      <c r="G84" s="35"/>
      <c r="H84" s="35"/>
      <c r="I84" s="46">
        <v>0</v>
      </c>
      <c r="K84" s="64"/>
      <c r="L84" s="64"/>
      <c r="M84" s="64"/>
      <c r="N84" s="64"/>
    </row>
    <row r="85" spans="2:14" ht="12" customHeight="1">
      <c r="B85" s="37" t="s">
        <v>344</v>
      </c>
      <c r="C85" s="35"/>
      <c r="D85" s="35"/>
      <c r="E85" s="35"/>
      <c r="F85" s="35"/>
      <c r="G85" s="35"/>
      <c r="H85" s="35"/>
      <c r="I85" s="36"/>
      <c r="K85" s="64"/>
      <c r="L85" s="64"/>
      <c r="M85" s="61"/>
      <c r="N85" s="61"/>
    </row>
    <row r="86" spans="2:14" ht="13.5" customHeight="1">
      <c r="B86" s="37"/>
      <c r="C86" s="35"/>
      <c r="D86" s="35"/>
      <c r="E86" s="35"/>
      <c r="F86" s="35"/>
      <c r="G86" s="35"/>
      <c r="H86" s="35"/>
      <c r="I86" s="36"/>
      <c r="K86" s="64"/>
      <c r="L86" s="64"/>
      <c r="M86" s="65"/>
      <c r="N86" s="65"/>
    </row>
    <row r="87" spans="2:14">
      <c r="B87" s="42" t="s">
        <v>27</v>
      </c>
      <c r="C87" s="35"/>
      <c r="D87" s="35"/>
      <c r="E87" s="35"/>
      <c r="F87" s="35"/>
      <c r="G87" s="35"/>
      <c r="H87" s="35"/>
      <c r="I87" s="46"/>
      <c r="K87" s="64"/>
      <c r="L87" s="64"/>
      <c r="M87" s="61"/>
      <c r="N87" s="61"/>
    </row>
    <row r="88" spans="2:14" ht="13.5" customHeight="1">
      <c r="B88" s="37" t="s">
        <v>39</v>
      </c>
      <c r="C88" s="35" t="s">
        <v>345</v>
      </c>
      <c r="D88" s="35"/>
      <c r="E88" s="35"/>
      <c r="F88" s="35"/>
      <c r="G88" s="35"/>
      <c r="H88" s="35"/>
      <c r="I88" s="47"/>
      <c r="K88" s="64"/>
      <c r="L88" s="64"/>
      <c r="M88" s="65"/>
      <c r="N88" s="65"/>
    </row>
    <row r="89" spans="2:14" ht="3.75" customHeight="1">
      <c r="B89" s="37"/>
      <c r="C89" s="35"/>
      <c r="D89" s="35"/>
      <c r="E89" s="35"/>
      <c r="F89" s="35"/>
      <c r="G89" s="35"/>
      <c r="H89" s="35"/>
      <c r="I89" s="36"/>
      <c r="K89" s="64"/>
      <c r="L89" s="64"/>
      <c r="M89" s="61"/>
      <c r="N89" s="61"/>
    </row>
    <row r="90" spans="2:14">
      <c r="B90" s="42" t="s">
        <v>5</v>
      </c>
      <c r="C90" s="35"/>
      <c r="D90" s="35"/>
      <c r="E90" s="35"/>
      <c r="F90" s="35"/>
      <c r="G90" s="35"/>
      <c r="H90" s="35"/>
      <c r="I90" s="46"/>
      <c r="K90" s="64"/>
      <c r="L90" s="64"/>
      <c r="M90" s="61"/>
      <c r="N90" s="61"/>
    </row>
    <row r="91" spans="2:14" ht="11.25" customHeight="1">
      <c r="B91" s="37" t="s">
        <v>39</v>
      </c>
      <c r="C91" s="35" t="s">
        <v>346</v>
      </c>
      <c r="D91" s="35"/>
      <c r="E91" s="35"/>
      <c r="F91" s="35"/>
      <c r="G91" s="35"/>
      <c r="H91" s="35"/>
      <c r="I91" s="47"/>
      <c r="K91" s="64"/>
      <c r="L91" s="64"/>
      <c r="M91" s="64"/>
      <c r="N91" s="64"/>
    </row>
    <row r="92" spans="2:14" ht="4.5" customHeight="1">
      <c r="B92" s="37"/>
      <c r="C92" s="35"/>
      <c r="D92" s="35"/>
      <c r="E92" s="35"/>
      <c r="F92" s="35"/>
      <c r="G92" s="35"/>
      <c r="H92" s="35"/>
      <c r="I92" s="36"/>
      <c r="K92" s="64"/>
      <c r="L92" s="64"/>
      <c r="M92" s="64"/>
      <c r="N92" s="64"/>
    </row>
    <row r="93" spans="2:14">
      <c r="B93" s="42" t="s">
        <v>20</v>
      </c>
      <c r="C93" s="35"/>
      <c r="D93" s="35"/>
      <c r="E93" s="35"/>
      <c r="F93" s="35"/>
      <c r="G93" s="35"/>
      <c r="H93" s="35"/>
      <c r="I93" s="46"/>
      <c r="K93" s="64"/>
      <c r="L93" s="64"/>
      <c r="M93" s="61"/>
      <c r="N93" s="61"/>
    </row>
    <row r="94" spans="2:14" ht="12" customHeight="1">
      <c r="B94" s="37" t="s">
        <v>39</v>
      </c>
      <c r="C94" s="35" t="s">
        <v>347</v>
      </c>
      <c r="D94" s="35"/>
      <c r="E94" s="35"/>
      <c r="F94" s="35"/>
      <c r="G94" s="35"/>
      <c r="H94" s="35"/>
      <c r="I94" s="46"/>
      <c r="K94" s="64"/>
      <c r="L94" s="64"/>
      <c r="M94" s="61"/>
      <c r="N94" s="61"/>
    </row>
    <row r="95" spans="2:14" ht="6.75" customHeight="1">
      <c r="B95" s="42"/>
      <c r="C95" s="35"/>
      <c r="D95" s="35"/>
      <c r="E95" s="35"/>
      <c r="F95" s="35"/>
      <c r="G95" s="35"/>
      <c r="H95" s="35"/>
      <c r="I95" s="46"/>
      <c r="K95" s="64"/>
      <c r="L95" s="64"/>
      <c r="M95" s="61"/>
      <c r="N95" s="61"/>
    </row>
    <row r="96" spans="2:14" ht="5.25" customHeight="1">
      <c r="B96" s="40"/>
      <c r="C96" s="35"/>
      <c r="D96" s="35"/>
      <c r="E96" s="35"/>
      <c r="F96" s="35"/>
      <c r="G96" s="35"/>
      <c r="H96" s="35"/>
      <c r="I96" s="36"/>
      <c r="K96" s="64"/>
      <c r="L96" s="64"/>
      <c r="M96" s="64"/>
      <c r="N96" s="64"/>
    </row>
    <row r="97" spans="2:14">
      <c r="B97" s="440" t="s">
        <v>11</v>
      </c>
      <c r="C97" s="35"/>
      <c r="D97" s="35"/>
      <c r="E97" s="35"/>
      <c r="F97" s="35"/>
      <c r="G97" s="35"/>
      <c r="H97" s="35"/>
      <c r="I97" s="441">
        <f>+I93+I90+I87+I84+I80+I77+I47+I44+I41</f>
        <v>1887.0500000000002</v>
      </c>
      <c r="K97" s="64"/>
      <c r="L97" s="64"/>
      <c r="M97" s="64"/>
      <c r="N97" s="64"/>
    </row>
    <row r="98" spans="2:14">
      <c r="B98" s="440"/>
      <c r="C98" s="35"/>
      <c r="D98" s="35"/>
      <c r="E98" s="35"/>
      <c r="F98" s="35"/>
      <c r="G98" s="35"/>
      <c r="H98" s="35"/>
      <c r="I98" s="441"/>
      <c r="K98" s="64"/>
      <c r="L98" s="64"/>
      <c r="M98" s="64"/>
      <c r="N98" s="64"/>
    </row>
    <row r="99" spans="2:14">
      <c r="B99" s="442" t="s">
        <v>348</v>
      </c>
      <c r="C99" s="443"/>
      <c r="D99" s="443"/>
      <c r="E99" s="443"/>
      <c r="F99" s="443"/>
      <c r="G99" s="443"/>
      <c r="H99" s="444"/>
      <c r="I99" s="445"/>
    </row>
    <row r="100" spans="2:14">
      <c r="B100" s="1995" t="s">
        <v>349</v>
      </c>
      <c r="C100" s="1996"/>
      <c r="D100" s="1996"/>
      <c r="E100" s="1996"/>
      <c r="F100" s="1996"/>
      <c r="G100" s="1996"/>
      <c r="H100" s="1996"/>
      <c r="I100" s="446"/>
    </row>
    <row r="101" spans="2:14">
      <c r="B101" s="1997" t="s">
        <v>350</v>
      </c>
      <c r="C101" s="1998"/>
      <c r="D101" s="1998"/>
      <c r="E101" s="1998"/>
      <c r="F101" s="1998"/>
      <c r="G101" s="1998"/>
      <c r="H101" s="1998"/>
      <c r="I101" s="446"/>
    </row>
    <row r="102" spans="2:14">
      <c r="B102" s="1997" t="s">
        <v>351</v>
      </c>
      <c r="C102" s="1986"/>
      <c r="D102" s="1986"/>
      <c r="E102" s="1986"/>
      <c r="F102" s="1986"/>
      <c r="G102" s="1986"/>
      <c r="H102" s="1986"/>
      <c r="I102" s="446"/>
    </row>
    <row r="103" spans="2:14">
      <c r="B103" s="1991" t="s">
        <v>352</v>
      </c>
      <c r="C103" s="1986"/>
      <c r="D103" s="1986"/>
      <c r="E103" s="1986"/>
      <c r="F103" s="1986"/>
      <c r="G103" s="1986"/>
      <c r="H103" s="1986"/>
      <c r="I103" s="446"/>
    </row>
    <row r="104" spans="2:14">
      <c r="B104" s="1991" t="s">
        <v>353</v>
      </c>
      <c r="C104" s="1986"/>
      <c r="D104" s="1986"/>
      <c r="E104" s="1986"/>
      <c r="F104" s="1986"/>
      <c r="G104" s="1986"/>
      <c r="H104" s="1986"/>
      <c r="I104" s="446"/>
    </row>
    <row r="105" spans="2:14">
      <c r="B105" s="1992" t="s">
        <v>354</v>
      </c>
      <c r="C105" s="1993"/>
      <c r="D105" s="1993"/>
      <c r="E105" s="1993"/>
      <c r="F105" s="1993"/>
      <c r="G105" s="1993"/>
      <c r="H105" s="1993"/>
      <c r="I105" s="447"/>
    </row>
    <row r="121" spans="5:5">
      <c r="E121" s="57"/>
    </row>
    <row r="122" spans="5:5">
      <c r="E122" s="57"/>
    </row>
    <row r="123" spans="5:5">
      <c r="E123" s="57"/>
    </row>
    <row r="124" spans="5:5">
      <c r="E124" s="57"/>
    </row>
    <row r="125" spans="5:5">
      <c r="E125" s="57"/>
    </row>
    <row r="126" spans="5:5">
      <c r="E126" s="57"/>
    </row>
    <row r="128" spans="5:5">
      <c r="E128" s="57"/>
    </row>
    <row r="130" spans="5:5">
      <c r="E130" s="56"/>
    </row>
    <row r="132" spans="5:5">
      <c r="E132" s="57"/>
    </row>
  </sheetData>
  <mergeCells count="20">
    <mergeCell ref="B104:H104"/>
    <mergeCell ref="B105:H105"/>
    <mergeCell ref="B48:H48"/>
    <mergeCell ref="B82:G82"/>
    <mergeCell ref="B100:H100"/>
    <mergeCell ref="B101:H101"/>
    <mergeCell ref="B102:H102"/>
    <mergeCell ref="B103:H103"/>
    <mergeCell ref="C45:F45"/>
    <mergeCell ref="D27:H27"/>
    <mergeCell ref="D29:I29"/>
    <mergeCell ref="D30:I30"/>
    <mergeCell ref="D31:I31"/>
    <mergeCell ref="D32:I32"/>
    <mergeCell ref="D33:I33"/>
    <mergeCell ref="B35:C35"/>
    <mergeCell ref="B37:C37"/>
    <mergeCell ref="B38:C38"/>
    <mergeCell ref="B39:C39"/>
    <mergeCell ref="C42:F42"/>
  </mergeCells>
  <pageMargins left="0.36" right="0.3" top="0.43" bottom="0.5" header="0.28000000000000003" footer="0.36"/>
  <pageSetup scale="71" orientation="portrait" r:id="rId1"/>
  <headerFooter alignWithMargins="0"/>
</worksheet>
</file>

<file path=xl/worksheets/sheet42.xml><?xml version="1.0" encoding="utf-8"?>
<worksheet xmlns="http://schemas.openxmlformats.org/spreadsheetml/2006/main" xmlns:r="http://schemas.openxmlformats.org/officeDocument/2006/relationships">
  <dimension ref="B1:L132"/>
  <sheetViews>
    <sheetView zoomScaleNormal="100" workbookViewId="0">
      <selection activeCell="B99" sqref="B99:H105"/>
    </sheetView>
  </sheetViews>
  <sheetFormatPr defaultRowHeight="12.75"/>
  <cols>
    <col min="1" max="1" width="2.85546875" style="2" customWidth="1"/>
    <col min="2" max="2" width="14.42578125" style="2" customWidth="1"/>
    <col min="3" max="3" width="16.42578125" style="2" customWidth="1"/>
    <col min="4" max="4" width="21.7109375" style="2" customWidth="1"/>
    <col min="5" max="5" width="24.85546875" style="2" customWidth="1"/>
    <col min="6" max="6" width="10.140625" style="2" customWidth="1"/>
    <col min="7" max="7" width="10.42578125" style="2" customWidth="1"/>
    <col min="8" max="8" width="20" style="2" customWidth="1"/>
    <col min="9" max="9" width="23.140625" style="2" customWidth="1"/>
    <col min="10" max="10" width="3.5703125" style="2" customWidth="1"/>
    <col min="11" max="12" width="9" style="2" bestFit="1" customWidth="1"/>
    <col min="13" max="16384" width="9.140625" style="2"/>
  </cols>
  <sheetData>
    <row r="1" spans="2:10" s="79" customFormat="1">
      <c r="B1" s="94" t="s">
        <v>77</v>
      </c>
      <c r="C1" s="94" t="s">
        <v>37</v>
      </c>
      <c r="D1" s="94" t="s">
        <v>29</v>
      </c>
      <c r="E1" s="94" t="s">
        <v>30</v>
      </c>
    </row>
    <row r="2" spans="2:10" ht="25.5">
      <c r="B2" s="408" t="s">
        <v>299</v>
      </c>
      <c r="C2" s="409">
        <v>130</v>
      </c>
      <c r="D2" s="410" t="s">
        <v>300</v>
      </c>
      <c r="E2" s="410" t="s">
        <v>355</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25.5">
      <c r="B6" s="54">
        <v>130</v>
      </c>
      <c r="C6" s="7" t="str">
        <f>+E10</f>
        <v>EQIP</v>
      </c>
      <c r="D6" s="411" t="s">
        <v>300</v>
      </c>
      <c r="E6" s="53" t="s">
        <v>355</v>
      </c>
      <c r="F6" s="7" t="s">
        <v>38</v>
      </c>
      <c r="G6" s="85">
        <f>G23</f>
        <v>1626.3675000000003</v>
      </c>
      <c r="H6" s="89"/>
      <c r="I6" s="89"/>
      <c r="J6"/>
    </row>
    <row r="7" spans="2:10" ht="25.5">
      <c r="B7" s="8">
        <v>130</v>
      </c>
      <c r="C7" s="10" t="s">
        <v>15</v>
      </c>
      <c r="D7" s="412" t="s">
        <v>300</v>
      </c>
      <c r="E7" s="9" t="s">
        <v>356</v>
      </c>
      <c r="F7" s="10" t="s">
        <v>38</v>
      </c>
      <c r="G7" s="86">
        <f>$H$23</f>
        <v>1951.6410000000003</v>
      </c>
      <c r="H7" s="89"/>
      <c r="I7"/>
      <c r="J7"/>
    </row>
    <row r="8" spans="2:10" ht="7.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I47</f>
        <v>2168.4900000000002</v>
      </c>
      <c r="E16" s="160">
        <v>0.75</v>
      </c>
      <c r="F16" s="160">
        <v>0.9</v>
      </c>
      <c r="G16" s="73">
        <f t="shared" si="0"/>
        <v>1626.3675000000003</v>
      </c>
      <c r="H16" s="74">
        <f t="shared" si="0"/>
        <v>1951.6410000000003</v>
      </c>
    </row>
    <row r="17" spans="2:12">
      <c r="B17" s="15" t="s">
        <v>4</v>
      </c>
      <c r="C17" s="16"/>
      <c r="D17" s="24">
        <v>0</v>
      </c>
      <c r="E17" s="160">
        <v>0</v>
      </c>
      <c r="F17" s="160">
        <v>0</v>
      </c>
      <c r="G17" s="73">
        <f t="shared" si="0"/>
        <v>0</v>
      </c>
      <c r="H17" s="74">
        <f t="shared" si="0"/>
        <v>0</v>
      </c>
    </row>
    <row r="18" spans="2:12">
      <c r="B18" s="15" t="s">
        <v>26</v>
      </c>
      <c r="C18" s="16"/>
      <c r="D18" s="24">
        <v>0</v>
      </c>
      <c r="E18" s="160">
        <v>0</v>
      </c>
      <c r="F18" s="160">
        <v>0</v>
      </c>
      <c r="G18" s="73">
        <f t="shared" si="0"/>
        <v>0</v>
      </c>
      <c r="H18" s="74">
        <f t="shared" si="0"/>
        <v>0</v>
      </c>
    </row>
    <row r="19" spans="2:12">
      <c r="B19" s="15" t="s">
        <v>7</v>
      </c>
      <c r="C19" s="16"/>
      <c r="D19" s="24">
        <f>I84</f>
        <v>0</v>
      </c>
      <c r="E19" s="160">
        <v>0.75</v>
      </c>
      <c r="F19" s="160">
        <v>0.9</v>
      </c>
      <c r="G19" s="73">
        <f t="shared" si="0"/>
        <v>0</v>
      </c>
      <c r="H19" s="74">
        <f t="shared" si="0"/>
        <v>0</v>
      </c>
    </row>
    <row r="20" spans="2:12">
      <c r="B20" s="15" t="s">
        <v>27</v>
      </c>
      <c r="C20" s="16"/>
      <c r="D20" s="24">
        <v>0</v>
      </c>
      <c r="E20" s="160">
        <v>0</v>
      </c>
      <c r="F20" s="160">
        <v>0</v>
      </c>
      <c r="G20" s="73">
        <f t="shared" si="0"/>
        <v>0</v>
      </c>
      <c r="H20" s="74">
        <f t="shared" si="0"/>
        <v>0</v>
      </c>
    </row>
    <row r="21" spans="2:12">
      <c r="B21" s="15" t="s">
        <v>5</v>
      </c>
      <c r="C21" s="16"/>
      <c r="D21" s="24">
        <v>0</v>
      </c>
      <c r="E21" s="160">
        <v>0</v>
      </c>
      <c r="F21" s="160">
        <v>0</v>
      </c>
      <c r="G21" s="73">
        <f t="shared" si="0"/>
        <v>0</v>
      </c>
      <c r="H21" s="74">
        <f t="shared" si="0"/>
        <v>0</v>
      </c>
    </row>
    <row r="22" spans="2:12">
      <c r="B22" s="15" t="s">
        <v>20</v>
      </c>
      <c r="C22" s="16"/>
      <c r="D22" s="24">
        <v>0</v>
      </c>
      <c r="E22" s="160">
        <v>0</v>
      </c>
      <c r="F22" s="160">
        <v>0</v>
      </c>
      <c r="G22" s="75">
        <f t="shared" si="0"/>
        <v>0</v>
      </c>
      <c r="H22" s="76">
        <f t="shared" si="0"/>
        <v>0</v>
      </c>
    </row>
    <row r="23" spans="2:12">
      <c r="B23" s="26" t="s">
        <v>19</v>
      </c>
      <c r="C23" s="27"/>
      <c r="D23" s="51">
        <f>SUM(D14:D22)</f>
        <v>2168.4900000000002</v>
      </c>
      <c r="E23" s="28"/>
      <c r="F23" s="28"/>
      <c r="G23" s="51">
        <f t="shared" ref="G23:H23" si="1">SUM(G14:G22)</f>
        <v>1626.3675000000003</v>
      </c>
      <c r="H23" s="77">
        <f t="shared" si="1"/>
        <v>1951.6410000000003</v>
      </c>
    </row>
    <row r="24" spans="2:12" s="82" customFormat="1" ht="5.25" customHeight="1">
      <c r="B24" s="49"/>
      <c r="C24" s="49"/>
      <c r="D24" s="80"/>
      <c r="E24" s="81"/>
      <c r="F24" s="81"/>
      <c r="G24" s="81"/>
      <c r="H24" s="81"/>
      <c r="I24" s="81"/>
      <c r="J24" s="81"/>
      <c r="K24" s="80"/>
      <c r="L24" s="80"/>
    </row>
    <row r="25" spans="2:12" ht="15.75">
      <c r="B25" s="50" t="s">
        <v>28</v>
      </c>
      <c r="I25" s="5"/>
    </row>
    <row r="26" spans="2:12">
      <c r="B26" s="29" t="s">
        <v>32</v>
      </c>
      <c r="C26" s="30"/>
      <c r="D26" s="30"/>
      <c r="E26" s="31"/>
      <c r="F26" s="31"/>
      <c r="G26" s="31"/>
      <c r="H26" s="31"/>
      <c r="I26" s="32"/>
    </row>
    <row r="27" spans="2:12">
      <c r="B27" s="42"/>
      <c r="C27" s="34"/>
      <c r="D27" s="1954" t="s">
        <v>357</v>
      </c>
      <c r="E27" s="1955"/>
      <c r="F27" s="1955"/>
      <c r="G27" s="1955"/>
      <c r="H27" s="1955"/>
      <c r="I27" s="36"/>
    </row>
    <row r="28" spans="2:12" ht="3.75" customHeight="1">
      <c r="B28" s="42"/>
      <c r="C28" s="34"/>
      <c r="D28" s="115"/>
      <c r="E28" s="97"/>
      <c r="F28" s="97"/>
      <c r="G28" s="97"/>
      <c r="H28" s="97"/>
      <c r="I28" s="36"/>
    </row>
    <row r="29" spans="2:12">
      <c r="B29" s="37" t="s">
        <v>41</v>
      </c>
      <c r="C29" s="34"/>
      <c r="D29" s="1956" t="s">
        <v>304</v>
      </c>
      <c r="E29" s="1957"/>
      <c r="F29" s="1957"/>
      <c r="G29" s="1957"/>
      <c r="H29" s="1957"/>
      <c r="I29" s="1987"/>
    </row>
    <row r="30" spans="2:12" ht="45" customHeight="1">
      <c r="B30" s="91" t="s">
        <v>40</v>
      </c>
      <c r="C30" s="34"/>
      <c r="D30" s="1956" t="s">
        <v>358</v>
      </c>
      <c r="E30" s="1957"/>
      <c r="F30" s="1957"/>
      <c r="G30" s="1957"/>
      <c r="H30" s="1957"/>
      <c r="I30" s="1987"/>
    </row>
    <row r="31" spans="2:12" ht="31.5" customHeight="1">
      <c r="B31" s="91" t="s">
        <v>33</v>
      </c>
      <c r="C31" s="90"/>
      <c r="D31" s="1956" t="s">
        <v>306</v>
      </c>
      <c r="E31" s="1957"/>
      <c r="F31" s="1957"/>
      <c r="G31" s="1957"/>
      <c r="H31" s="1957"/>
      <c r="I31" s="1987"/>
    </row>
    <row r="32" spans="2:12" ht="69" customHeight="1">
      <c r="B32" s="91" t="s">
        <v>35</v>
      </c>
      <c r="C32" s="90"/>
      <c r="D32" s="1956" t="s">
        <v>307</v>
      </c>
      <c r="E32" s="1957"/>
      <c r="F32" s="1957"/>
      <c r="G32" s="1957"/>
      <c r="H32" s="1957"/>
      <c r="I32" s="1987"/>
    </row>
    <row r="33" spans="2:11" ht="13.5" customHeight="1">
      <c r="B33" s="91" t="s">
        <v>34</v>
      </c>
      <c r="C33" s="90"/>
      <c r="D33" s="1956" t="s">
        <v>308</v>
      </c>
      <c r="E33" s="1957"/>
      <c r="F33" s="1957"/>
      <c r="G33" s="1957"/>
      <c r="H33" s="1957"/>
      <c r="I33" s="1987"/>
    </row>
    <row r="34" spans="2:11">
      <c r="B34" s="37"/>
      <c r="C34" s="34"/>
      <c r="D34" s="34"/>
      <c r="E34" s="35"/>
      <c r="F34" s="35"/>
      <c r="G34" s="35"/>
      <c r="H34" s="35"/>
      <c r="I34" s="36"/>
    </row>
    <row r="35" spans="2:11">
      <c r="B35" s="1988" t="s">
        <v>25</v>
      </c>
      <c r="C35" s="1989"/>
      <c r="D35" s="413" t="s">
        <v>42</v>
      </c>
      <c r="E35" s="35"/>
      <c r="F35" s="35"/>
      <c r="G35" s="35"/>
      <c r="H35" s="35"/>
      <c r="I35" s="36"/>
    </row>
    <row r="36" spans="2:11">
      <c r="B36" s="414" t="s">
        <v>309</v>
      </c>
      <c r="C36" s="104" t="s">
        <v>310</v>
      </c>
      <c r="D36" s="415">
        <v>130</v>
      </c>
      <c r="E36" s="35"/>
      <c r="F36" s="35"/>
      <c r="G36" s="35"/>
      <c r="H36" s="35"/>
      <c r="I36" s="36"/>
    </row>
    <row r="37" spans="2:11">
      <c r="B37" s="1988" t="s">
        <v>8</v>
      </c>
      <c r="C37" s="1989"/>
      <c r="D37" s="415" t="s">
        <v>38</v>
      </c>
      <c r="E37" s="35"/>
      <c r="F37" s="35"/>
      <c r="G37" s="35"/>
      <c r="H37" s="35"/>
      <c r="I37" s="36"/>
    </row>
    <row r="38" spans="2:11">
      <c r="B38" s="1988" t="s">
        <v>9</v>
      </c>
      <c r="C38" s="1989"/>
      <c r="D38" s="415">
        <v>1</v>
      </c>
      <c r="E38" s="35"/>
      <c r="F38" s="35"/>
      <c r="G38" s="35"/>
      <c r="H38" s="35"/>
      <c r="I38" s="96" t="s">
        <v>6</v>
      </c>
    </row>
    <row r="39" spans="2:11">
      <c r="B39" s="1988" t="s">
        <v>10</v>
      </c>
      <c r="C39" s="1990"/>
      <c r="D39" s="416">
        <v>0.05</v>
      </c>
      <c r="E39" s="41"/>
      <c r="F39" s="35"/>
      <c r="G39" s="35"/>
      <c r="H39" s="35"/>
      <c r="I39" s="149"/>
      <c r="K39" s="61"/>
    </row>
    <row r="40" spans="2:11" ht="7.5" customHeight="1">
      <c r="B40" s="417"/>
      <c r="C40" s="418"/>
      <c r="D40" s="419"/>
      <c r="E40" s="41"/>
      <c r="F40" s="35"/>
      <c r="G40" s="35"/>
      <c r="H40" s="35"/>
      <c r="I40" s="149"/>
      <c r="K40" s="61"/>
    </row>
    <row r="41" spans="2:11">
      <c r="B41" s="42" t="s">
        <v>0</v>
      </c>
      <c r="C41" s="35"/>
      <c r="D41" s="35"/>
      <c r="E41" s="35"/>
      <c r="F41" s="35"/>
      <c r="G41" s="35"/>
      <c r="H41" s="35"/>
      <c r="I41" s="46"/>
      <c r="K41" s="61"/>
    </row>
    <row r="42" spans="2:11" ht="14.25" customHeight="1">
      <c r="B42" s="37" t="s">
        <v>39</v>
      </c>
      <c r="C42" s="1985" t="s">
        <v>311</v>
      </c>
      <c r="D42" s="1986"/>
      <c r="E42" s="1986"/>
      <c r="F42" s="1986"/>
      <c r="G42" s="167"/>
      <c r="H42" s="35"/>
      <c r="I42" s="46"/>
    </row>
    <row r="43" spans="2:11" ht="6" customHeight="1">
      <c r="B43" s="62"/>
      <c r="C43" s="6"/>
      <c r="D43" s="63"/>
      <c r="E43" s="35"/>
      <c r="F43" s="35"/>
      <c r="G43" s="35"/>
      <c r="H43" s="35"/>
      <c r="I43" s="46"/>
    </row>
    <row r="44" spans="2:11">
      <c r="B44" s="42" t="s">
        <v>2</v>
      </c>
      <c r="C44" s="35"/>
      <c r="D44" s="66"/>
      <c r="E44" s="35"/>
      <c r="F44" s="35"/>
      <c r="G44" s="35"/>
      <c r="H44" s="35"/>
      <c r="I44" s="46"/>
    </row>
    <row r="45" spans="2:11" ht="12.75" customHeight="1">
      <c r="B45" s="117" t="s">
        <v>39</v>
      </c>
      <c r="C45" s="1985" t="s">
        <v>312</v>
      </c>
      <c r="D45" s="1986"/>
      <c r="E45" s="1986"/>
      <c r="F45" s="1986"/>
      <c r="G45" s="97"/>
      <c r="H45" s="97"/>
      <c r="I45" s="46"/>
    </row>
    <row r="46" spans="2:11" ht="6" customHeight="1">
      <c r="B46" s="33"/>
      <c r="C46" s="35"/>
      <c r="D46" s="35"/>
      <c r="E46" s="60"/>
      <c r="F46" s="60"/>
      <c r="G46" s="60"/>
      <c r="H46" s="35"/>
      <c r="I46" s="46"/>
    </row>
    <row r="47" spans="2:11">
      <c r="B47" s="42" t="s">
        <v>3</v>
      </c>
      <c r="C47" s="35"/>
      <c r="D47" s="35"/>
      <c r="E47" s="35"/>
      <c r="F47" s="35"/>
      <c r="G47" s="35"/>
      <c r="H47" s="35"/>
      <c r="I47" s="46">
        <f>SUM(H59:H74)</f>
        <v>2168.4900000000002</v>
      </c>
    </row>
    <row r="48" spans="2:11" ht="12" customHeight="1">
      <c r="B48" s="1959" t="s">
        <v>44</v>
      </c>
      <c r="C48" s="1955"/>
      <c r="D48" s="1955"/>
      <c r="E48" s="1955"/>
      <c r="F48" s="1955"/>
      <c r="G48" s="1955"/>
      <c r="H48" s="1955"/>
      <c r="I48" s="46"/>
    </row>
    <row r="49" spans="2:9" ht="12" customHeight="1">
      <c r="B49" s="101"/>
      <c r="C49" s="102"/>
      <c r="D49" s="103" t="s">
        <v>45</v>
      </c>
      <c r="E49" s="104" t="s">
        <v>46</v>
      </c>
      <c r="F49" s="104" t="s">
        <v>6</v>
      </c>
      <c r="G49" s="104" t="s">
        <v>47</v>
      </c>
      <c r="H49" s="104" t="s">
        <v>48</v>
      </c>
      <c r="I49" s="420"/>
    </row>
    <row r="50" spans="2:9" ht="12" customHeight="1">
      <c r="B50" s="101"/>
      <c r="C50" s="102"/>
      <c r="D50" s="421"/>
      <c r="E50" s="422"/>
      <c r="F50" s="422"/>
      <c r="G50" s="422"/>
      <c r="H50" s="422"/>
      <c r="I50" s="420"/>
    </row>
    <row r="51" spans="2:9" ht="12" customHeight="1">
      <c r="B51" s="101"/>
      <c r="C51" s="102"/>
      <c r="D51" s="423" t="s">
        <v>313</v>
      </c>
      <c r="E51" s="104" t="s">
        <v>46</v>
      </c>
      <c r="F51" s="104" t="s">
        <v>6</v>
      </c>
      <c r="G51" s="424"/>
      <c r="H51" s="421"/>
      <c r="I51" s="420"/>
    </row>
    <row r="52" spans="2:9" ht="12" customHeight="1">
      <c r="B52" s="101"/>
      <c r="C52" s="102"/>
      <c r="D52" s="425" t="s">
        <v>314</v>
      </c>
      <c r="E52" s="104" t="s">
        <v>315</v>
      </c>
      <c r="F52" s="426">
        <v>44.06</v>
      </c>
      <c r="G52" s="427"/>
      <c r="H52" s="428"/>
      <c r="I52" s="420"/>
    </row>
    <row r="53" spans="2:9" ht="12" customHeight="1">
      <c r="B53" s="101"/>
      <c r="C53" s="102"/>
      <c r="D53" s="429" t="s">
        <v>316</v>
      </c>
      <c r="E53" s="104" t="s">
        <v>315</v>
      </c>
      <c r="F53" s="426">
        <v>35.18</v>
      </c>
      <c r="G53" s="430"/>
      <c r="H53" s="431"/>
      <c r="I53" s="420"/>
    </row>
    <row r="54" spans="2:9" ht="12" customHeight="1">
      <c r="B54" s="101"/>
      <c r="C54" s="102"/>
      <c r="D54" s="429" t="s">
        <v>317</v>
      </c>
      <c r="E54" s="104" t="s">
        <v>318</v>
      </c>
      <c r="F54" s="426">
        <v>615.53</v>
      </c>
      <c r="G54" s="430"/>
      <c r="H54" s="431"/>
      <c r="I54" s="420"/>
    </row>
    <row r="55" spans="2:9" ht="12" customHeight="1">
      <c r="B55" s="101"/>
      <c r="C55" s="102"/>
      <c r="D55" s="429" t="s">
        <v>319</v>
      </c>
      <c r="E55" s="104" t="s">
        <v>320</v>
      </c>
      <c r="F55" s="426">
        <v>22</v>
      </c>
      <c r="G55" s="430"/>
      <c r="H55" s="431"/>
      <c r="I55" s="420"/>
    </row>
    <row r="56" spans="2:9" ht="12" customHeight="1">
      <c r="B56" s="101"/>
      <c r="C56" s="102"/>
      <c r="D56" s="103" t="s">
        <v>321</v>
      </c>
      <c r="E56" s="104" t="s">
        <v>315</v>
      </c>
      <c r="F56" s="432">
        <f>(F54+F55)/8</f>
        <v>79.691249999999997</v>
      </c>
      <c r="G56" s="430"/>
      <c r="H56" s="431"/>
      <c r="I56" s="420"/>
    </row>
    <row r="57" spans="2:9" ht="5.25" customHeight="1">
      <c r="B57" s="101"/>
      <c r="C57" s="102"/>
      <c r="D57" s="421"/>
      <c r="E57" s="422"/>
      <c r="F57" s="427"/>
      <c r="G57" s="430"/>
      <c r="H57" s="431"/>
      <c r="I57" s="420"/>
    </row>
    <row r="58" spans="2:9" ht="12" customHeight="1">
      <c r="B58" s="101"/>
      <c r="C58" s="102"/>
      <c r="D58" s="433" t="s">
        <v>322</v>
      </c>
      <c r="E58" s="422"/>
      <c r="F58" s="427"/>
      <c r="G58" s="430"/>
      <c r="H58" s="434"/>
      <c r="I58" s="420"/>
    </row>
    <row r="59" spans="2:9" ht="12" customHeight="1">
      <c r="B59" s="101"/>
      <c r="C59" s="102"/>
      <c r="D59" s="429" t="s">
        <v>323</v>
      </c>
      <c r="E59" s="104" t="s">
        <v>315</v>
      </c>
      <c r="F59" s="448">
        <v>44.06</v>
      </c>
      <c r="G59" s="435">
        <v>1</v>
      </c>
      <c r="H59" s="432">
        <v>44.06</v>
      </c>
      <c r="I59" s="420"/>
    </row>
    <row r="60" spans="2:9" ht="12" customHeight="1">
      <c r="B60" s="101"/>
      <c r="C60" s="102"/>
      <c r="D60" s="429" t="s">
        <v>324</v>
      </c>
      <c r="E60" s="104" t="s">
        <v>315</v>
      </c>
      <c r="F60" s="448">
        <v>44.06</v>
      </c>
      <c r="G60" s="435">
        <v>4</v>
      </c>
      <c r="H60" s="432">
        <v>176.24</v>
      </c>
      <c r="I60" s="420"/>
    </row>
    <row r="61" spans="2:9" ht="12" customHeight="1">
      <c r="B61" s="101"/>
      <c r="C61" s="102"/>
      <c r="D61" s="429" t="s">
        <v>359</v>
      </c>
      <c r="E61" s="104" t="s">
        <v>315</v>
      </c>
      <c r="F61" s="448">
        <v>35.18</v>
      </c>
      <c r="G61" s="435">
        <v>8</v>
      </c>
      <c r="H61" s="432">
        <v>281.44</v>
      </c>
      <c r="I61" s="420"/>
    </row>
    <row r="62" spans="2:9" ht="12" customHeight="1">
      <c r="B62" s="101"/>
      <c r="C62" s="102"/>
      <c r="D62" s="429" t="s">
        <v>325</v>
      </c>
      <c r="E62" s="104" t="s">
        <v>315</v>
      </c>
      <c r="F62" s="448">
        <v>79.691249999999997</v>
      </c>
      <c r="G62" s="435">
        <v>8</v>
      </c>
      <c r="H62" s="432">
        <v>637.53</v>
      </c>
      <c r="I62" s="420"/>
    </row>
    <row r="63" spans="2:9" ht="12" customHeight="1">
      <c r="B63" s="101"/>
      <c r="C63" s="102"/>
      <c r="D63" s="429" t="s">
        <v>326</v>
      </c>
      <c r="E63" s="104" t="s">
        <v>315</v>
      </c>
      <c r="F63" s="448">
        <v>35.18</v>
      </c>
      <c r="G63" s="435">
        <v>8</v>
      </c>
      <c r="H63" s="432">
        <v>281.44</v>
      </c>
      <c r="I63" s="420"/>
    </row>
    <row r="64" spans="2:9" ht="12" customHeight="1">
      <c r="B64" s="101"/>
      <c r="C64" s="102"/>
      <c r="D64" s="429" t="s">
        <v>327</v>
      </c>
      <c r="E64" s="104" t="s">
        <v>315</v>
      </c>
      <c r="F64" s="448">
        <v>35.18</v>
      </c>
      <c r="G64" s="435">
        <v>4</v>
      </c>
      <c r="H64" s="432">
        <v>140.72</v>
      </c>
      <c r="I64" s="420"/>
    </row>
    <row r="65" spans="2:9" ht="12.75" customHeight="1">
      <c r="B65" s="101"/>
      <c r="C65" s="102"/>
      <c r="D65" s="429" t="s">
        <v>328</v>
      </c>
      <c r="E65" s="104" t="s">
        <v>329</v>
      </c>
      <c r="F65" s="448">
        <v>44.06</v>
      </c>
      <c r="G65" s="435">
        <v>5</v>
      </c>
      <c r="H65" s="432">
        <v>220.3</v>
      </c>
      <c r="I65" s="420"/>
    </row>
    <row r="66" spans="2:9" ht="12.75" customHeight="1">
      <c r="B66" s="101"/>
      <c r="C66" s="102"/>
      <c r="D66" s="436" t="s">
        <v>330</v>
      </c>
      <c r="E66" s="422"/>
      <c r="F66" s="427"/>
      <c r="G66" s="430"/>
      <c r="H66" s="422"/>
      <c r="I66" s="420"/>
    </row>
    <row r="67" spans="2:9" ht="12" customHeight="1">
      <c r="B67" s="101"/>
      <c r="C67" s="102"/>
      <c r="D67" s="429" t="s">
        <v>331</v>
      </c>
      <c r="E67" s="104" t="s">
        <v>332</v>
      </c>
      <c r="F67" s="438"/>
      <c r="G67" s="439">
        <v>3</v>
      </c>
      <c r="H67" s="427"/>
      <c r="I67" s="420"/>
    </row>
    <row r="68" spans="2:9" ht="12" customHeight="1">
      <c r="B68" s="101"/>
      <c r="C68" s="102"/>
      <c r="D68" s="429" t="s">
        <v>333</v>
      </c>
      <c r="E68" s="104" t="s">
        <v>334</v>
      </c>
      <c r="F68" s="438"/>
      <c r="G68" s="439">
        <v>80</v>
      </c>
      <c r="H68" s="427"/>
      <c r="I68" s="420"/>
    </row>
    <row r="69" spans="2:9" ht="12" customHeight="1">
      <c r="B69" s="101"/>
      <c r="C69" s="102"/>
      <c r="D69" s="429" t="s">
        <v>335</v>
      </c>
      <c r="E69" s="104" t="s">
        <v>334</v>
      </c>
      <c r="F69" s="438"/>
      <c r="G69" s="438">
        <v>240</v>
      </c>
      <c r="H69" s="427"/>
      <c r="I69" s="420"/>
    </row>
    <row r="70" spans="2:9" ht="12" customHeight="1">
      <c r="B70" s="101"/>
      <c r="C70" s="102"/>
      <c r="D70" s="429" t="s">
        <v>336</v>
      </c>
      <c r="E70" s="104" t="s">
        <v>329</v>
      </c>
      <c r="F70" s="438"/>
      <c r="G70" s="439">
        <v>2</v>
      </c>
      <c r="H70" s="427"/>
      <c r="I70" s="420"/>
    </row>
    <row r="71" spans="2:9" ht="12" customHeight="1">
      <c r="B71" s="101"/>
      <c r="C71" s="102"/>
      <c r="D71" s="429" t="s">
        <v>337</v>
      </c>
      <c r="E71" s="104" t="s">
        <v>329</v>
      </c>
      <c r="F71" s="438"/>
      <c r="G71" s="438">
        <v>6</v>
      </c>
      <c r="H71" s="427"/>
      <c r="I71" s="420"/>
    </row>
    <row r="72" spans="2:9" ht="12" customHeight="1">
      <c r="B72" s="101"/>
      <c r="C72" s="102"/>
      <c r="D72" s="429" t="s">
        <v>338</v>
      </c>
      <c r="E72" s="104" t="s">
        <v>339</v>
      </c>
      <c r="F72" s="426">
        <v>0.51</v>
      </c>
      <c r="G72" s="438"/>
      <c r="H72" s="427"/>
      <c r="I72" s="420"/>
    </row>
    <row r="73" spans="2:9" ht="12" customHeight="1">
      <c r="B73" s="101"/>
      <c r="C73" s="102"/>
      <c r="D73" s="429" t="s">
        <v>340</v>
      </c>
      <c r="E73" s="104"/>
      <c r="F73" s="432"/>
      <c r="G73" s="438"/>
      <c r="H73" s="432">
        <v>122.4</v>
      </c>
      <c r="I73" s="420"/>
    </row>
    <row r="74" spans="2:9" ht="12" customHeight="1">
      <c r="B74" s="101"/>
      <c r="C74" s="102"/>
      <c r="D74" s="429" t="s">
        <v>341</v>
      </c>
      <c r="E74" s="104" t="s">
        <v>329</v>
      </c>
      <c r="F74" s="432">
        <v>44.06</v>
      </c>
      <c r="G74" s="438">
        <v>6</v>
      </c>
      <c r="H74" s="432">
        <v>264.36</v>
      </c>
      <c r="I74" s="420"/>
    </row>
    <row r="75" spans="2:9" ht="12" customHeight="1">
      <c r="B75" s="101"/>
      <c r="C75" s="97"/>
      <c r="D75" s="97"/>
      <c r="E75" s="97"/>
      <c r="F75" s="97"/>
      <c r="G75" s="97"/>
      <c r="H75" s="97"/>
      <c r="I75" s="420"/>
    </row>
    <row r="76" spans="2:9" ht="14.25" customHeight="1">
      <c r="B76" s="33"/>
      <c r="C76" s="35"/>
      <c r="D76" s="35"/>
      <c r="E76" s="35"/>
      <c r="F76" s="35"/>
      <c r="G76" s="35"/>
      <c r="H76" s="35"/>
      <c r="I76" s="48"/>
    </row>
    <row r="77" spans="2:9">
      <c r="B77" s="42" t="s">
        <v>4</v>
      </c>
      <c r="C77" s="35"/>
      <c r="D77" s="35"/>
      <c r="E77" s="35"/>
      <c r="F77" s="35"/>
      <c r="G77" s="35"/>
      <c r="H77" s="35"/>
      <c r="I77" s="48"/>
    </row>
    <row r="78" spans="2:9" ht="12" customHeight="1">
      <c r="B78" s="37" t="s">
        <v>39</v>
      </c>
      <c r="C78" s="35" t="s">
        <v>342</v>
      </c>
      <c r="D78" s="35"/>
      <c r="E78" s="35"/>
      <c r="F78" s="35"/>
      <c r="G78" s="35"/>
      <c r="H78" s="35"/>
      <c r="I78" s="36"/>
    </row>
    <row r="79" spans="2:9" ht="5.25" customHeight="1">
      <c r="B79" s="37"/>
      <c r="C79" s="35"/>
      <c r="D79" s="35"/>
      <c r="E79" s="35"/>
      <c r="F79" s="35"/>
      <c r="G79" s="35"/>
      <c r="H79" s="35"/>
      <c r="I79" s="36"/>
    </row>
    <row r="80" spans="2:9">
      <c r="B80" s="42" t="s">
        <v>26</v>
      </c>
      <c r="C80" s="35"/>
      <c r="D80" s="35"/>
      <c r="E80" s="35"/>
      <c r="F80" s="35"/>
      <c r="G80" s="35"/>
      <c r="H80" s="35"/>
      <c r="I80" s="46"/>
    </row>
    <row r="81" spans="2:11" ht="14.25" customHeight="1">
      <c r="B81" s="117" t="s">
        <v>39</v>
      </c>
      <c r="C81" s="35" t="s">
        <v>343</v>
      </c>
      <c r="D81" s="97"/>
      <c r="E81" s="97"/>
      <c r="F81" s="97"/>
      <c r="G81" s="97"/>
      <c r="H81" s="97"/>
      <c r="I81" s="48"/>
    </row>
    <row r="82" spans="2:11" ht="8.25" customHeight="1">
      <c r="B82" s="1943"/>
      <c r="C82" s="1994"/>
      <c r="D82" s="1994"/>
      <c r="E82" s="1994"/>
      <c r="F82" s="1994"/>
      <c r="G82" s="1994"/>
      <c r="H82" s="35"/>
      <c r="I82" s="48"/>
    </row>
    <row r="83" spans="2:11" ht="5.25" customHeight="1">
      <c r="B83" s="37"/>
      <c r="C83" s="35"/>
      <c r="D83" s="35"/>
      <c r="E83" s="35"/>
      <c r="F83" s="35"/>
      <c r="G83" s="35"/>
      <c r="H83" s="35"/>
      <c r="I83" s="36"/>
    </row>
    <row r="84" spans="2:11">
      <c r="B84" s="42" t="s">
        <v>7</v>
      </c>
      <c r="C84" s="35"/>
      <c r="D84" s="35"/>
      <c r="E84" s="35"/>
      <c r="F84" s="35"/>
      <c r="G84" s="35"/>
      <c r="H84" s="35"/>
      <c r="I84" s="46">
        <v>0</v>
      </c>
      <c r="K84" s="64"/>
    </row>
    <row r="85" spans="2:11" ht="12" customHeight="1">
      <c r="B85" s="37" t="s">
        <v>344</v>
      </c>
      <c r="C85" s="35"/>
      <c r="D85" s="35"/>
      <c r="E85" s="35"/>
      <c r="F85" s="35"/>
      <c r="G85" s="35"/>
      <c r="H85" s="35"/>
      <c r="I85" s="36"/>
      <c r="K85" s="61"/>
    </row>
    <row r="86" spans="2:11" ht="13.5" customHeight="1">
      <c r="B86" s="37"/>
      <c r="C86" s="35"/>
      <c r="D86" s="35"/>
      <c r="E86" s="35"/>
      <c r="F86" s="35"/>
      <c r="G86" s="35"/>
      <c r="H86" s="35"/>
      <c r="I86" s="36"/>
      <c r="K86" s="65"/>
    </row>
    <row r="87" spans="2:11">
      <c r="B87" s="42" t="s">
        <v>27</v>
      </c>
      <c r="C87" s="35"/>
      <c r="D87" s="35"/>
      <c r="E87" s="35"/>
      <c r="F87" s="35"/>
      <c r="G87" s="35"/>
      <c r="H87" s="35"/>
      <c r="I87" s="46"/>
      <c r="K87" s="61"/>
    </row>
    <row r="88" spans="2:11" ht="13.5" customHeight="1">
      <c r="B88" s="37" t="s">
        <v>39</v>
      </c>
      <c r="C88" s="35" t="s">
        <v>345</v>
      </c>
      <c r="D88" s="35"/>
      <c r="E88" s="35"/>
      <c r="F88" s="35"/>
      <c r="G88" s="35"/>
      <c r="H88" s="35"/>
      <c r="I88" s="47"/>
      <c r="K88" s="65"/>
    </row>
    <row r="89" spans="2:11" ht="3.75" customHeight="1">
      <c r="B89" s="37"/>
      <c r="C89" s="35"/>
      <c r="D89" s="35"/>
      <c r="E89" s="35"/>
      <c r="F89" s="35"/>
      <c r="G89" s="35"/>
      <c r="H89" s="35"/>
      <c r="I89" s="36"/>
      <c r="K89" s="61"/>
    </row>
    <row r="90" spans="2:11">
      <c r="B90" s="42" t="s">
        <v>5</v>
      </c>
      <c r="C90" s="35"/>
      <c r="D90" s="35"/>
      <c r="E90" s="35"/>
      <c r="F90" s="35"/>
      <c r="G90" s="35"/>
      <c r="H90" s="35"/>
      <c r="I90" s="46"/>
      <c r="K90" s="61"/>
    </row>
    <row r="91" spans="2:11" ht="11.25" customHeight="1">
      <c r="B91" s="37" t="s">
        <v>39</v>
      </c>
      <c r="C91" s="35" t="s">
        <v>346</v>
      </c>
      <c r="D91" s="35"/>
      <c r="E91" s="35"/>
      <c r="F91" s="35"/>
      <c r="G91" s="35"/>
      <c r="H91" s="35"/>
      <c r="I91" s="47"/>
      <c r="K91" s="64"/>
    </row>
    <row r="92" spans="2:11" ht="4.5" customHeight="1">
      <c r="B92" s="37"/>
      <c r="C92" s="35"/>
      <c r="D92" s="35"/>
      <c r="E92" s="35"/>
      <c r="F92" s="35"/>
      <c r="G92" s="35"/>
      <c r="H92" s="35"/>
      <c r="I92" s="36"/>
      <c r="K92" s="64"/>
    </row>
    <row r="93" spans="2:11">
      <c r="B93" s="42" t="s">
        <v>20</v>
      </c>
      <c r="C93" s="35"/>
      <c r="D93" s="35"/>
      <c r="E93" s="35"/>
      <c r="F93" s="35"/>
      <c r="G93" s="35"/>
      <c r="H93" s="35"/>
      <c r="I93" s="46"/>
      <c r="K93" s="61"/>
    </row>
    <row r="94" spans="2:11" ht="12" customHeight="1">
      <c r="B94" s="37" t="s">
        <v>39</v>
      </c>
      <c r="C94" s="35" t="s">
        <v>347</v>
      </c>
      <c r="D94" s="35"/>
      <c r="E94" s="35"/>
      <c r="F94" s="35"/>
      <c r="G94" s="35"/>
      <c r="H94" s="35"/>
      <c r="I94" s="46"/>
      <c r="K94" s="61"/>
    </row>
    <row r="95" spans="2:11" ht="6.75" customHeight="1">
      <c r="B95" s="42"/>
      <c r="C95" s="35"/>
      <c r="D95" s="35"/>
      <c r="E95" s="35"/>
      <c r="F95" s="35"/>
      <c r="G95" s="35"/>
      <c r="H95" s="35"/>
      <c r="I95" s="46"/>
      <c r="K95" s="61"/>
    </row>
    <row r="96" spans="2:11" ht="5.25" customHeight="1">
      <c r="B96" s="40"/>
      <c r="C96" s="35"/>
      <c r="D96" s="35"/>
      <c r="E96" s="35"/>
      <c r="F96" s="35"/>
      <c r="G96" s="35"/>
      <c r="H96" s="35"/>
      <c r="I96" s="36"/>
      <c r="K96" s="64"/>
    </row>
    <row r="97" spans="2:11">
      <c r="B97" s="440" t="s">
        <v>11</v>
      </c>
      <c r="C97" s="35"/>
      <c r="D97" s="35"/>
      <c r="E97" s="35"/>
      <c r="F97" s="35"/>
      <c r="G97" s="35"/>
      <c r="H97" s="35"/>
      <c r="I97" s="441">
        <f>+I93+I90+I87+I84+I80+I77+I47+I44+I41</f>
        <v>2168.4900000000002</v>
      </c>
      <c r="K97" s="64"/>
    </row>
    <row r="98" spans="2:11">
      <c r="B98" s="440"/>
      <c r="C98" s="35"/>
      <c r="D98" s="35"/>
      <c r="E98" s="35"/>
      <c r="F98" s="35"/>
      <c r="G98" s="35"/>
      <c r="H98" s="35"/>
      <c r="I98" s="441"/>
      <c r="K98" s="64"/>
    </row>
    <row r="99" spans="2:11">
      <c r="B99" s="442" t="s">
        <v>348</v>
      </c>
      <c r="C99" s="443"/>
      <c r="D99" s="443"/>
      <c r="E99" s="443"/>
      <c r="F99" s="443"/>
      <c r="G99" s="443"/>
      <c r="H99" s="444"/>
      <c r="I99" s="445"/>
    </row>
    <row r="100" spans="2:11">
      <c r="B100" s="1995" t="s">
        <v>349</v>
      </c>
      <c r="C100" s="1996"/>
      <c r="D100" s="1996"/>
      <c r="E100" s="1996"/>
      <c r="F100" s="1996"/>
      <c r="G100" s="1996"/>
      <c r="H100" s="1996"/>
      <c r="I100" s="446"/>
    </row>
    <row r="101" spans="2:11">
      <c r="B101" s="1997" t="s">
        <v>350</v>
      </c>
      <c r="C101" s="1998"/>
      <c r="D101" s="1998"/>
      <c r="E101" s="1998"/>
      <c r="F101" s="1998"/>
      <c r="G101" s="1998"/>
      <c r="H101" s="1998"/>
      <c r="I101" s="446"/>
    </row>
    <row r="102" spans="2:11">
      <c r="B102" s="1997" t="s">
        <v>351</v>
      </c>
      <c r="C102" s="1986"/>
      <c r="D102" s="1986"/>
      <c r="E102" s="1986"/>
      <c r="F102" s="1986"/>
      <c r="G102" s="1986"/>
      <c r="H102" s="1986"/>
      <c r="I102" s="446"/>
    </row>
    <row r="103" spans="2:11">
      <c r="B103" s="1991" t="s">
        <v>352</v>
      </c>
      <c r="C103" s="1986"/>
      <c r="D103" s="1986"/>
      <c r="E103" s="1986"/>
      <c r="F103" s="1986"/>
      <c r="G103" s="1986"/>
      <c r="H103" s="1986"/>
      <c r="I103" s="446"/>
    </row>
    <row r="104" spans="2:11">
      <c r="B104" s="1991" t="s">
        <v>353</v>
      </c>
      <c r="C104" s="1986"/>
      <c r="D104" s="1986"/>
      <c r="E104" s="1986"/>
      <c r="F104" s="1986"/>
      <c r="G104" s="1986"/>
      <c r="H104" s="1986"/>
      <c r="I104" s="446"/>
    </row>
    <row r="105" spans="2:11">
      <c r="B105" s="1992" t="s">
        <v>354</v>
      </c>
      <c r="C105" s="1993"/>
      <c r="D105" s="1993"/>
      <c r="E105" s="1993"/>
      <c r="F105" s="1993"/>
      <c r="G105" s="1993"/>
      <c r="H105" s="1993"/>
      <c r="I105" s="447"/>
    </row>
    <row r="121" spans="5:5">
      <c r="E121" s="57"/>
    </row>
    <row r="122" spans="5:5">
      <c r="E122" s="57"/>
    </row>
    <row r="123" spans="5:5">
      <c r="E123" s="57"/>
    </row>
    <row r="124" spans="5:5">
      <c r="E124" s="57"/>
    </row>
    <row r="125" spans="5:5">
      <c r="E125" s="57"/>
    </row>
    <row r="126" spans="5:5">
      <c r="E126" s="57"/>
    </row>
    <row r="128" spans="5:5">
      <c r="E128" s="57"/>
    </row>
    <row r="130" spans="5:5">
      <c r="E130" s="56"/>
    </row>
    <row r="132" spans="5:5">
      <c r="E132" s="57"/>
    </row>
  </sheetData>
  <mergeCells count="20">
    <mergeCell ref="B104:H104"/>
    <mergeCell ref="B105:H105"/>
    <mergeCell ref="B48:H48"/>
    <mergeCell ref="B82:G82"/>
    <mergeCell ref="B100:H100"/>
    <mergeCell ref="B101:H101"/>
    <mergeCell ref="B102:H102"/>
    <mergeCell ref="B103:H103"/>
    <mergeCell ref="C45:F45"/>
    <mergeCell ref="D27:H27"/>
    <mergeCell ref="D29:I29"/>
    <mergeCell ref="D30:I30"/>
    <mergeCell ref="D31:I31"/>
    <mergeCell ref="D32:I32"/>
    <mergeCell ref="D33:I33"/>
    <mergeCell ref="B35:C35"/>
    <mergeCell ref="B37:C37"/>
    <mergeCell ref="B38:C38"/>
    <mergeCell ref="B39:C39"/>
    <mergeCell ref="C42:F42"/>
  </mergeCells>
  <pageMargins left="0.36" right="0.3" top="0.43" bottom="0.5" header="0.28000000000000003" footer="0.36"/>
  <pageSetup scale="71" orientation="portrait" r:id="rId1"/>
  <headerFooter alignWithMargins="0"/>
</worksheet>
</file>

<file path=xl/worksheets/sheet43.xml><?xml version="1.0" encoding="utf-8"?>
<worksheet xmlns="http://schemas.openxmlformats.org/spreadsheetml/2006/main" xmlns:r="http://schemas.openxmlformats.org/officeDocument/2006/relationships">
  <dimension ref="B1:P100"/>
  <sheetViews>
    <sheetView zoomScaleNormal="100" workbookViewId="0">
      <selection activeCell="G7" sqref="G7"/>
    </sheetView>
  </sheetViews>
  <sheetFormatPr defaultRowHeight="12.75"/>
  <cols>
    <col min="1" max="1" width="2.85546875" style="2" customWidth="1"/>
    <col min="2" max="2" width="11.5703125" style="2" customWidth="1"/>
    <col min="3" max="3" width="18.7109375" style="2" customWidth="1"/>
    <col min="4" max="4" width="23.5703125" style="2" customWidth="1"/>
    <col min="5" max="5" width="25.42578125" style="2" customWidth="1"/>
    <col min="6" max="6" width="10.85546875" style="2" customWidth="1"/>
    <col min="7" max="8" width="10.42578125" style="2" customWidth="1"/>
    <col min="9" max="9" width="11" style="2" customWidth="1"/>
    <col min="10" max="10" width="1.71093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7.75" customHeight="1">
      <c r="B2" s="177" t="s">
        <v>42</v>
      </c>
      <c r="C2" s="79">
        <v>138</v>
      </c>
      <c r="D2" s="107" t="s">
        <v>360</v>
      </c>
      <c r="E2" s="107" t="s">
        <v>361</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38.25">
      <c r="B6" s="54">
        <v>138</v>
      </c>
      <c r="C6" s="7" t="str">
        <f>+E10</f>
        <v>EQIP</v>
      </c>
      <c r="D6" s="110" t="s">
        <v>360</v>
      </c>
      <c r="E6" s="110" t="s">
        <v>361</v>
      </c>
      <c r="F6" s="7" t="s">
        <v>38</v>
      </c>
      <c r="G6" s="85">
        <f>G23</f>
        <v>1560</v>
      </c>
      <c r="H6" s="89"/>
      <c r="I6" s="89"/>
      <c r="J6"/>
    </row>
    <row r="7" spans="2:10" ht="25.5" customHeight="1">
      <c r="B7" s="8">
        <v>138</v>
      </c>
      <c r="C7" s="10" t="s">
        <v>15</v>
      </c>
      <c r="D7" s="111" t="s">
        <v>360</v>
      </c>
      <c r="E7" s="111" t="s">
        <v>362</v>
      </c>
      <c r="F7" s="10" t="s">
        <v>38</v>
      </c>
      <c r="G7" s="86">
        <f>$H$23</f>
        <v>1872</v>
      </c>
      <c r="H7" s="89"/>
      <c r="I7"/>
      <c r="J7"/>
    </row>
    <row r="8" spans="2:10" ht="9"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I46</f>
        <v>2080</v>
      </c>
      <c r="E16" s="160">
        <v>0.75</v>
      </c>
      <c r="F16" s="160">
        <v>0.9</v>
      </c>
      <c r="G16" s="73">
        <f t="shared" si="0"/>
        <v>1560</v>
      </c>
      <c r="H16" s="74">
        <f t="shared" si="0"/>
        <v>1872</v>
      </c>
    </row>
    <row r="17" spans="2:16">
      <c r="B17" s="15" t="s">
        <v>4</v>
      </c>
      <c r="C17" s="16"/>
      <c r="D17" s="24">
        <v>0</v>
      </c>
      <c r="E17" s="160">
        <v>0</v>
      </c>
      <c r="F17" s="160">
        <v>0</v>
      </c>
      <c r="G17" s="73">
        <f t="shared" si="0"/>
        <v>0</v>
      </c>
      <c r="H17" s="74">
        <f t="shared" si="0"/>
        <v>0</v>
      </c>
    </row>
    <row r="18" spans="2:16">
      <c r="B18" s="15" t="s">
        <v>26</v>
      </c>
      <c r="C18" s="16"/>
      <c r="D18" s="24">
        <v>0</v>
      </c>
      <c r="E18" s="160">
        <v>0</v>
      </c>
      <c r="F18" s="160">
        <v>0</v>
      </c>
      <c r="G18" s="73">
        <f t="shared" si="0"/>
        <v>0</v>
      </c>
      <c r="H18" s="74">
        <f t="shared" si="0"/>
        <v>0</v>
      </c>
    </row>
    <row r="19" spans="2:16">
      <c r="B19" s="15" t="s">
        <v>7</v>
      </c>
      <c r="C19" s="16"/>
      <c r="D19" s="24">
        <f>I57</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2080</v>
      </c>
      <c r="E23" s="28"/>
      <c r="F23" s="28"/>
      <c r="G23" s="51">
        <f>SUM(G14:G22)</f>
        <v>1560</v>
      </c>
      <c r="H23" s="77">
        <f>SUM(H14:H22)</f>
        <v>1872</v>
      </c>
    </row>
    <row r="24" spans="2:16" s="82" customFormat="1" ht="9.75" customHeight="1">
      <c r="B24" s="49"/>
      <c r="C24" s="49"/>
      <c r="D24" s="80"/>
      <c r="E24" s="81"/>
      <c r="F24" s="81"/>
      <c r="G24" s="81"/>
      <c r="H24" s="81"/>
      <c r="I24" s="81"/>
      <c r="J24" s="81"/>
      <c r="K24" s="80"/>
      <c r="L24" s="80"/>
      <c r="M24" s="80"/>
      <c r="N24" s="80"/>
      <c r="O24" s="80"/>
      <c r="P24" s="80"/>
    </row>
    <row r="25" spans="2:16" ht="15.75">
      <c r="B25" s="50" t="s">
        <v>28</v>
      </c>
      <c r="I25" s="5"/>
    </row>
    <row r="26" spans="2:16">
      <c r="B26" s="29" t="s">
        <v>32</v>
      </c>
      <c r="C26" s="30"/>
      <c r="D26" s="30"/>
      <c r="E26" s="31"/>
      <c r="F26" s="31"/>
      <c r="G26" s="31"/>
      <c r="H26" s="31"/>
      <c r="I26" s="32"/>
    </row>
    <row r="27" spans="2:16">
      <c r="B27" s="42"/>
      <c r="C27" s="34"/>
      <c r="D27" s="1999" t="s">
        <v>363</v>
      </c>
      <c r="E27" s="2000"/>
      <c r="F27" s="2000"/>
      <c r="G27" s="2000"/>
      <c r="H27" s="2000"/>
      <c r="I27" s="36"/>
    </row>
    <row r="28" spans="2:16">
      <c r="B28" s="42"/>
      <c r="C28" s="34"/>
      <c r="D28" s="115"/>
      <c r="E28" s="97"/>
      <c r="F28" s="97"/>
      <c r="G28" s="97"/>
      <c r="H28" s="97"/>
      <c r="I28" s="36"/>
    </row>
    <row r="29" spans="2:16">
      <c r="B29" s="37" t="s">
        <v>41</v>
      </c>
      <c r="C29" s="34"/>
      <c r="D29" s="1956" t="s">
        <v>364</v>
      </c>
      <c r="E29" s="1957"/>
      <c r="F29" s="1957"/>
      <c r="G29" s="1957"/>
      <c r="H29" s="1957"/>
      <c r="I29" s="36"/>
    </row>
    <row r="30" spans="2:16" ht="22.5" customHeight="1">
      <c r="B30" s="91" t="s">
        <v>40</v>
      </c>
      <c r="C30" s="34"/>
      <c r="D30" s="1956" t="s">
        <v>365</v>
      </c>
      <c r="E30" s="1957"/>
      <c r="F30" s="1957"/>
      <c r="G30" s="1957"/>
      <c r="H30" s="1957"/>
      <c r="I30" s="36"/>
    </row>
    <row r="31" spans="2:16" ht="56.25" customHeight="1">
      <c r="B31" s="91" t="s">
        <v>33</v>
      </c>
      <c r="C31" s="90"/>
      <c r="D31" s="1956" t="s">
        <v>366</v>
      </c>
      <c r="E31" s="1957"/>
      <c r="F31" s="1957"/>
      <c r="G31" s="1957"/>
      <c r="H31" s="1957"/>
      <c r="I31" s="36"/>
    </row>
    <row r="32" spans="2:16" ht="87.75" customHeight="1">
      <c r="B32" s="91" t="s">
        <v>35</v>
      </c>
      <c r="C32" s="90"/>
      <c r="D32" s="1956" t="s">
        <v>367</v>
      </c>
      <c r="E32" s="1957"/>
      <c r="F32" s="1957"/>
      <c r="G32" s="1957"/>
      <c r="H32" s="1957"/>
      <c r="I32" s="36"/>
    </row>
    <row r="33" spans="2:15" ht="25.5" customHeight="1">
      <c r="B33" s="91" t="s">
        <v>34</v>
      </c>
      <c r="C33" s="90"/>
      <c r="D33" s="1956" t="s">
        <v>368</v>
      </c>
      <c r="E33" s="1957"/>
      <c r="F33" s="1957"/>
      <c r="G33" s="1957"/>
      <c r="H33" s="1957"/>
      <c r="I33" s="36"/>
    </row>
    <row r="34" spans="2:15">
      <c r="B34" s="37"/>
      <c r="C34" s="34"/>
      <c r="D34" s="34"/>
      <c r="E34" s="35"/>
      <c r="F34" s="35"/>
      <c r="G34" s="35"/>
      <c r="H34" s="35"/>
      <c r="I34" s="36"/>
    </row>
    <row r="35" spans="2:15">
      <c r="B35" s="38" t="s">
        <v>25</v>
      </c>
      <c r="C35" s="34"/>
      <c r="D35" s="1958" t="s">
        <v>42</v>
      </c>
      <c r="E35" s="1952"/>
      <c r="F35" s="1952"/>
      <c r="G35" s="1952"/>
      <c r="H35" s="1952"/>
      <c r="I35" s="36"/>
      <c r="J35" s="49"/>
    </row>
    <row r="36" spans="2:15">
      <c r="B36" s="38" t="s">
        <v>8</v>
      </c>
      <c r="C36" s="34"/>
      <c r="D36" s="39" t="s">
        <v>38</v>
      </c>
      <c r="E36" s="35"/>
      <c r="F36" s="35"/>
      <c r="G36" s="35"/>
      <c r="H36" s="35"/>
      <c r="I36" s="36"/>
    </row>
    <row r="37" spans="2:15">
      <c r="B37" s="38" t="s">
        <v>9</v>
      </c>
      <c r="C37" s="34"/>
      <c r="D37" s="92">
        <v>1</v>
      </c>
      <c r="E37" s="35"/>
      <c r="F37" s="35"/>
      <c r="G37" s="35"/>
      <c r="H37" s="35"/>
      <c r="I37" s="36"/>
    </row>
    <row r="38" spans="2:15">
      <c r="B38" s="38" t="s">
        <v>10</v>
      </c>
      <c r="C38" s="35"/>
      <c r="D38" s="93">
        <v>0</v>
      </c>
      <c r="E38" s="35"/>
      <c r="F38" s="35"/>
      <c r="G38" s="35"/>
      <c r="H38" s="35"/>
      <c r="I38" s="96" t="s">
        <v>6</v>
      </c>
    </row>
    <row r="39" spans="2:15" ht="9.75" customHeight="1">
      <c r="B39" s="40"/>
      <c r="C39" s="35"/>
      <c r="D39" s="35"/>
      <c r="E39" s="41"/>
      <c r="F39" s="35"/>
      <c r="G39" s="35"/>
      <c r="H39" s="35"/>
      <c r="I39" s="149"/>
      <c r="L39" s="64"/>
      <c r="M39" s="64"/>
      <c r="N39" s="61"/>
      <c r="O39" s="61"/>
    </row>
    <row r="40" spans="2:15">
      <c r="B40" s="42" t="s">
        <v>0</v>
      </c>
      <c r="C40" s="35"/>
      <c r="D40" s="35"/>
      <c r="E40" s="35"/>
      <c r="F40" s="35"/>
      <c r="G40" s="35"/>
      <c r="H40" s="35"/>
      <c r="I40" s="46">
        <v>0</v>
      </c>
      <c r="L40" s="64"/>
      <c r="M40" s="64"/>
      <c r="N40" s="61"/>
      <c r="O40" s="61"/>
    </row>
    <row r="41" spans="2:15" ht="14.25" customHeight="1">
      <c r="B41" s="37" t="s">
        <v>39</v>
      </c>
      <c r="C41" s="35"/>
      <c r="D41" s="166"/>
      <c r="E41" s="35"/>
      <c r="F41" s="35"/>
      <c r="G41" s="35"/>
      <c r="H41" s="35"/>
      <c r="I41" s="46"/>
      <c r="L41" s="64"/>
      <c r="M41" s="61"/>
    </row>
    <row r="42" spans="2:15" ht="6" customHeight="1">
      <c r="B42" s="62"/>
      <c r="C42" s="6"/>
      <c r="D42" s="63"/>
      <c r="E42" s="35"/>
      <c r="F42" s="35"/>
      <c r="G42" s="35"/>
      <c r="H42" s="35"/>
      <c r="I42" s="46"/>
      <c r="L42" s="64"/>
      <c r="M42" s="61"/>
    </row>
    <row r="43" spans="2:15">
      <c r="B43" s="42" t="s">
        <v>2</v>
      </c>
      <c r="C43" s="35"/>
      <c r="D43" s="66"/>
      <c r="E43" s="35"/>
      <c r="F43" s="35"/>
      <c r="G43" s="35"/>
      <c r="H43" s="35"/>
      <c r="I43" s="46">
        <v>0</v>
      </c>
      <c r="L43" s="64"/>
      <c r="M43" s="61"/>
    </row>
    <row r="44" spans="2:15" ht="12.75" customHeight="1">
      <c r="B44" s="1959" t="s">
        <v>39</v>
      </c>
      <c r="C44" s="1955"/>
      <c r="D44" s="1955"/>
      <c r="E44" s="1955"/>
      <c r="F44" s="1955"/>
      <c r="G44" s="1955"/>
      <c r="H44" s="1955"/>
      <c r="I44" s="46"/>
      <c r="L44" s="64"/>
      <c r="M44" s="61"/>
    </row>
    <row r="45" spans="2:15" ht="4.5" customHeight="1">
      <c r="B45" s="42"/>
      <c r="C45" s="35"/>
      <c r="D45" s="35"/>
      <c r="E45" s="35"/>
      <c r="F45" s="35"/>
      <c r="G45" s="58"/>
      <c r="H45" s="59"/>
      <c r="I45" s="46"/>
      <c r="L45" s="64"/>
      <c r="M45" s="61"/>
    </row>
    <row r="46" spans="2:15">
      <c r="B46" s="42" t="s">
        <v>3</v>
      </c>
      <c r="C46" s="35"/>
      <c r="D46" s="35"/>
      <c r="E46" s="35"/>
      <c r="F46" s="35"/>
      <c r="G46" s="35"/>
      <c r="H46" s="35"/>
      <c r="I46" s="46">
        <f>$H$49</f>
        <v>2080</v>
      </c>
      <c r="L46" s="64"/>
      <c r="M46" s="61"/>
    </row>
    <row r="47" spans="2:15" ht="12.75" customHeight="1">
      <c r="B47" s="1959" t="s">
        <v>44</v>
      </c>
      <c r="C47" s="1955"/>
      <c r="D47" s="1955"/>
      <c r="E47" s="1955"/>
      <c r="F47" s="1955"/>
      <c r="G47" s="1955"/>
      <c r="H47" s="1955"/>
      <c r="I47" s="46"/>
      <c r="L47" s="64"/>
      <c r="M47" s="61"/>
    </row>
    <row r="48" spans="2:15" ht="12.75" customHeight="1">
      <c r="B48" s="101"/>
      <c r="C48" s="102"/>
      <c r="D48" s="103" t="s">
        <v>45</v>
      </c>
      <c r="E48" s="104" t="s">
        <v>46</v>
      </c>
      <c r="F48" s="104" t="s">
        <v>6</v>
      </c>
      <c r="G48" s="104" t="s">
        <v>47</v>
      </c>
      <c r="H48" s="104" t="s">
        <v>48</v>
      </c>
      <c r="I48" s="46"/>
      <c r="L48" s="64"/>
      <c r="M48" s="61"/>
    </row>
    <row r="49" spans="2:15" ht="12.75" customHeight="1">
      <c r="B49" s="101"/>
      <c r="C49" s="97"/>
      <c r="D49" s="97" t="s">
        <v>3</v>
      </c>
      <c r="E49" s="105" t="s">
        <v>49</v>
      </c>
      <c r="F49" s="106">
        <v>52</v>
      </c>
      <c r="G49" s="97">
        <v>40</v>
      </c>
      <c r="H49" s="106">
        <f>F49*G49</f>
        <v>2080</v>
      </c>
      <c r="I49" s="46"/>
      <c r="L49" s="64"/>
      <c r="M49" s="61"/>
    </row>
    <row r="50" spans="2:15" ht="11.25" customHeight="1">
      <c r="B50" s="33"/>
      <c r="C50" s="35"/>
      <c r="D50" s="35"/>
      <c r="E50" s="35"/>
      <c r="F50" s="35"/>
      <c r="G50" s="35"/>
      <c r="H50" s="35"/>
      <c r="I50" s="48"/>
      <c r="L50" s="64"/>
      <c r="M50" s="61"/>
    </row>
    <row r="51" spans="2:15">
      <c r="B51" s="42" t="s">
        <v>4</v>
      </c>
      <c r="C51" s="35"/>
      <c r="D51" s="35"/>
      <c r="E51" s="35"/>
      <c r="F51" s="35"/>
      <c r="G51" s="35"/>
      <c r="H51" s="35"/>
      <c r="I51" s="48">
        <v>0</v>
      </c>
      <c r="L51" s="64"/>
      <c r="M51" s="61"/>
    </row>
    <row r="52" spans="2:15" ht="12" customHeight="1">
      <c r="B52" s="37" t="s">
        <v>39</v>
      </c>
      <c r="C52" s="35"/>
      <c r="D52" s="35"/>
      <c r="E52" s="35"/>
      <c r="F52" s="35"/>
      <c r="G52" s="35"/>
      <c r="H52" s="35"/>
      <c r="I52" s="36"/>
      <c r="L52" s="64"/>
      <c r="M52" s="61"/>
    </row>
    <row r="53" spans="2:15" ht="5.25" customHeight="1">
      <c r="B53" s="37"/>
      <c r="C53" s="35"/>
      <c r="D53" s="35"/>
      <c r="E53" s="35"/>
      <c r="F53" s="35"/>
      <c r="G53" s="35"/>
      <c r="H53" s="35"/>
      <c r="I53" s="36"/>
      <c r="L53" s="64"/>
      <c r="M53" s="61"/>
    </row>
    <row r="54" spans="2:15">
      <c r="B54" s="42" t="s">
        <v>26</v>
      </c>
      <c r="C54" s="35"/>
      <c r="D54" s="35"/>
      <c r="E54" s="35"/>
      <c r="F54" s="35"/>
      <c r="G54" s="35"/>
      <c r="H54" s="35"/>
      <c r="I54" s="46">
        <v>0</v>
      </c>
      <c r="L54" s="64"/>
      <c r="M54" s="61"/>
    </row>
    <row r="55" spans="2:15" ht="14.25" customHeight="1">
      <c r="B55" s="1959" t="s">
        <v>39</v>
      </c>
      <c r="C55" s="1960"/>
      <c r="D55" s="1960"/>
      <c r="E55" s="1960"/>
      <c r="F55" s="1960"/>
      <c r="G55" s="1960"/>
      <c r="H55" s="1960"/>
      <c r="I55" s="48"/>
      <c r="L55" s="64"/>
      <c r="M55" s="61"/>
    </row>
    <row r="56" spans="2:15" ht="9.75" customHeight="1">
      <c r="B56" s="37"/>
      <c r="C56" s="35"/>
      <c r="D56" s="35"/>
      <c r="E56" s="35"/>
      <c r="F56" s="35"/>
      <c r="G56" s="35"/>
      <c r="H56" s="35"/>
      <c r="I56" s="36"/>
      <c r="L56" s="64"/>
      <c r="M56" s="64"/>
    </row>
    <row r="57" spans="2:15">
      <c r="B57" s="42" t="s">
        <v>7</v>
      </c>
      <c r="C57" s="35"/>
      <c r="D57" s="35"/>
      <c r="E57" s="35"/>
      <c r="F57" s="35"/>
      <c r="G57" s="35"/>
      <c r="H57" s="35"/>
      <c r="I57" s="46">
        <v>0</v>
      </c>
      <c r="L57" s="64"/>
      <c r="M57" s="64"/>
      <c r="N57" s="64"/>
      <c r="O57" s="64"/>
    </row>
    <row r="58" spans="2:15" ht="12" customHeight="1">
      <c r="B58" s="33"/>
      <c r="C58" s="35"/>
      <c r="D58" s="35"/>
      <c r="E58" s="35"/>
      <c r="F58" s="35"/>
      <c r="G58" s="35"/>
      <c r="H58" s="35"/>
      <c r="I58" s="36"/>
      <c r="L58" s="64"/>
      <c r="M58" s="64"/>
      <c r="N58" s="61"/>
      <c r="O58" s="61"/>
    </row>
    <row r="59" spans="2:15">
      <c r="B59" s="42" t="s">
        <v>27</v>
      </c>
      <c r="C59" s="35"/>
      <c r="D59" s="35"/>
      <c r="E59" s="35"/>
      <c r="F59" s="35"/>
      <c r="G59" s="35"/>
      <c r="H59" s="35"/>
      <c r="I59" s="46">
        <v>0</v>
      </c>
      <c r="L59" s="64"/>
      <c r="M59" s="64"/>
      <c r="N59" s="61"/>
      <c r="O59" s="61"/>
    </row>
    <row r="60" spans="2:15" ht="13.5" customHeight="1">
      <c r="B60" s="37" t="s">
        <v>39</v>
      </c>
      <c r="C60" s="35"/>
      <c r="D60" s="35"/>
      <c r="E60" s="35"/>
      <c r="F60" s="35"/>
      <c r="G60" s="35"/>
      <c r="H60" s="35"/>
      <c r="I60" s="47"/>
      <c r="L60" s="64"/>
      <c r="M60" s="64"/>
      <c r="N60" s="65"/>
      <c r="O60" s="65"/>
    </row>
    <row r="61" spans="2:15">
      <c r="B61" s="42" t="s">
        <v>5</v>
      </c>
      <c r="C61" s="35"/>
      <c r="D61" s="35"/>
      <c r="E61" s="35"/>
      <c r="F61" s="35"/>
      <c r="G61" s="35"/>
      <c r="H61" s="35"/>
      <c r="I61" s="46">
        <v>0</v>
      </c>
      <c r="L61" s="64"/>
      <c r="M61" s="64"/>
      <c r="N61" s="61"/>
      <c r="O61" s="61"/>
    </row>
    <row r="62" spans="2:15" ht="11.25" customHeight="1">
      <c r="B62" s="37" t="s">
        <v>39</v>
      </c>
      <c r="C62" s="35"/>
      <c r="D62" s="35"/>
      <c r="E62" s="35"/>
      <c r="F62" s="35"/>
      <c r="G62" s="35"/>
      <c r="H62" s="35"/>
      <c r="I62" s="47"/>
      <c r="L62" s="64"/>
      <c r="M62" s="64"/>
      <c r="N62" s="64"/>
      <c r="O62" s="64"/>
    </row>
    <row r="63" spans="2:15">
      <c r="B63" s="42" t="s">
        <v>20</v>
      </c>
      <c r="C63" s="35"/>
      <c r="D63" s="35"/>
      <c r="E63" s="35"/>
      <c r="F63" s="35"/>
      <c r="G63" s="35"/>
      <c r="H63" s="35"/>
      <c r="I63" s="46">
        <v>0</v>
      </c>
      <c r="L63" s="64"/>
      <c r="M63" s="64"/>
      <c r="N63" s="61"/>
      <c r="O63" s="61"/>
    </row>
    <row r="64" spans="2:15" ht="12" customHeight="1">
      <c r="B64" s="37" t="s">
        <v>39</v>
      </c>
      <c r="C64" s="35"/>
      <c r="D64" s="35"/>
      <c r="E64" s="35"/>
      <c r="F64" s="35"/>
      <c r="G64" s="35"/>
      <c r="H64" s="35"/>
      <c r="I64" s="46"/>
      <c r="L64" s="64"/>
      <c r="M64" s="64"/>
      <c r="N64" s="61"/>
      <c r="O64" s="61"/>
    </row>
    <row r="65" spans="2:15" ht="6.75" customHeight="1">
      <c r="B65" s="42"/>
      <c r="C65" s="35"/>
      <c r="D65" s="35"/>
      <c r="E65" s="35"/>
      <c r="F65" s="35"/>
      <c r="G65" s="35"/>
      <c r="H65" s="35"/>
      <c r="I65" s="46"/>
      <c r="L65" s="64"/>
      <c r="M65" s="64"/>
      <c r="N65" s="61"/>
      <c r="O65" s="61"/>
    </row>
    <row r="66" spans="2:15">
      <c r="B66" s="43" t="s">
        <v>11</v>
      </c>
      <c r="C66" s="44"/>
      <c r="D66" s="44"/>
      <c r="E66" s="44"/>
      <c r="F66" s="44"/>
      <c r="G66" s="44"/>
      <c r="H66" s="44"/>
      <c r="I66" s="52">
        <f>+I63+I61+I59+I57+I54+I51+I46+I43+I40</f>
        <v>2080</v>
      </c>
      <c r="L66" s="64"/>
      <c r="M66" s="64"/>
      <c r="N66" s="64"/>
      <c r="O66" s="64"/>
    </row>
    <row r="89" spans="5:5">
      <c r="E89" s="57"/>
    </row>
    <row r="90" spans="5:5">
      <c r="E90" s="57"/>
    </row>
    <row r="91" spans="5:5">
      <c r="E91" s="57"/>
    </row>
    <row r="92" spans="5:5">
      <c r="E92" s="57"/>
    </row>
    <row r="93" spans="5:5">
      <c r="E93" s="57"/>
    </row>
    <row r="94" spans="5:5">
      <c r="E94" s="57"/>
    </row>
    <row r="96" spans="5:5">
      <c r="E96" s="57"/>
    </row>
    <row r="98" spans="5:5">
      <c r="E98" s="56"/>
    </row>
    <row r="100" spans="5:5">
      <c r="E100" s="57"/>
    </row>
  </sheetData>
  <mergeCells count="10">
    <mergeCell ref="D35:H35"/>
    <mergeCell ref="B44:H44"/>
    <mergeCell ref="B47:H47"/>
    <mergeCell ref="B55:H55"/>
    <mergeCell ref="D27:H27"/>
    <mergeCell ref="D29:H29"/>
    <mergeCell ref="D30:H30"/>
    <mergeCell ref="D31:H31"/>
    <mergeCell ref="D32:H32"/>
    <mergeCell ref="D33:H33"/>
  </mergeCells>
  <pageMargins left="0.36" right="0.3" top="0.43" bottom="0.64" header="0.28000000000000003" footer="0.36"/>
  <pageSetup scale="71" orientation="portrait" r:id="rId1"/>
  <headerFooter alignWithMargins="0"/>
</worksheet>
</file>

<file path=xl/worksheets/sheet44.xml><?xml version="1.0" encoding="utf-8"?>
<worksheet xmlns="http://schemas.openxmlformats.org/spreadsheetml/2006/main" xmlns:r="http://schemas.openxmlformats.org/officeDocument/2006/relationships">
  <dimension ref="B1:P100"/>
  <sheetViews>
    <sheetView zoomScaleNormal="100" workbookViewId="0">
      <selection activeCell="G7" sqref="G7"/>
    </sheetView>
  </sheetViews>
  <sheetFormatPr defaultRowHeight="12.75"/>
  <cols>
    <col min="1" max="1" width="2.85546875" style="2" customWidth="1"/>
    <col min="2" max="2" width="11.5703125" style="2" customWidth="1"/>
    <col min="3" max="3" width="18.7109375" style="2" customWidth="1"/>
    <col min="4" max="4" width="23.5703125" style="2" customWidth="1"/>
    <col min="5" max="5" width="25.42578125" style="2" customWidth="1"/>
    <col min="6" max="6" width="10.85546875" style="2" customWidth="1"/>
    <col min="7" max="8" width="10.42578125" style="2" customWidth="1"/>
    <col min="9" max="9" width="11" style="2" customWidth="1"/>
    <col min="10" max="10" width="1.71093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7.75" customHeight="1">
      <c r="B2" s="177" t="s">
        <v>42</v>
      </c>
      <c r="C2" s="79">
        <v>138</v>
      </c>
      <c r="D2" s="107" t="s">
        <v>360</v>
      </c>
      <c r="E2" s="107" t="s">
        <v>361</v>
      </c>
    </row>
    <row r="3" spans="2:10" ht="15.75">
      <c r="B3" s="1" t="s">
        <v>17</v>
      </c>
    </row>
    <row r="4" spans="2:10">
      <c r="B4" s="68" t="s">
        <v>1</v>
      </c>
      <c r="C4" s="69" t="s">
        <v>21</v>
      </c>
      <c r="D4" s="70"/>
      <c r="E4" s="70"/>
      <c r="F4" s="70"/>
      <c r="G4" s="83" t="s">
        <v>12</v>
      </c>
      <c r="H4" s="87"/>
      <c r="I4" s="87"/>
      <c r="J4"/>
    </row>
    <row r="5" spans="2:10">
      <c r="B5" s="71" t="s">
        <v>13</v>
      </c>
      <c r="C5" s="72" t="s">
        <v>22</v>
      </c>
      <c r="D5" s="72" t="s">
        <v>29</v>
      </c>
      <c r="E5" s="72" t="s">
        <v>30</v>
      </c>
      <c r="F5" s="72" t="s">
        <v>23</v>
      </c>
      <c r="G5" s="84" t="s">
        <v>14</v>
      </c>
      <c r="H5" s="88"/>
      <c r="I5" s="88"/>
      <c r="J5"/>
    </row>
    <row r="6" spans="2:10" ht="38.25">
      <c r="B6" s="54">
        <v>138</v>
      </c>
      <c r="C6" s="7" t="str">
        <f>+E10</f>
        <v>EQIP</v>
      </c>
      <c r="D6" s="110" t="s">
        <v>360</v>
      </c>
      <c r="E6" s="110" t="s">
        <v>369</v>
      </c>
      <c r="F6" s="7" t="s">
        <v>38</v>
      </c>
      <c r="G6" s="85">
        <f>G23</f>
        <v>2310</v>
      </c>
      <c r="H6" s="89"/>
      <c r="I6" s="89"/>
      <c r="J6"/>
    </row>
    <row r="7" spans="2:10" ht="25.5" customHeight="1">
      <c r="B7" s="8">
        <v>138</v>
      </c>
      <c r="C7" s="10" t="s">
        <v>15</v>
      </c>
      <c r="D7" s="111" t="s">
        <v>360</v>
      </c>
      <c r="E7" s="111" t="s">
        <v>370</v>
      </c>
      <c r="F7" s="10" t="s">
        <v>38</v>
      </c>
      <c r="G7" s="86">
        <f>$H$23</f>
        <v>2772</v>
      </c>
      <c r="H7" s="89"/>
      <c r="I7"/>
      <c r="J7"/>
    </row>
    <row r="8" spans="2:10" ht="9"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164" t="s">
        <v>16</v>
      </c>
      <c r="C13" s="16"/>
      <c r="D13" s="165" t="s">
        <v>6</v>
      </c>
      <c r="E13" s="22" t="s">
        <v>24</v>
      </c>
      <c r="F13" s="22" t="s">
        <v>24</v>
      </c>
      <c r="G13" s="22" t="s">
        <v>14</v>
      </c>
      <c r="H13" s="23" t="s">
        <v>14</v>
      </c>
    </row>
    <row r="14" spans="2:10">
      <c r="B14" s="15" t="s">
        <v>0</v>
      </c>
      <c r="C14" s="16"/>
      <c r="D14" s="24">
        <v>0</v>
      </c>
      <c r="E14" s="160">
        <v>0</v>
      </c>
      <c r="F14" s="160">
        <v>0</v>
      </c>
      <c r="G14" s="73">
        <f>+$D14*E14</f>
        <v>0</v>
      </c>
      <c r="H14" s="74">
        <f>+$D14*F14</f>
        <v>0</v>
      </c>
    </row>
    <row r="15" spans="2:10">
      <c r="B15" s="15" t="s">
        <v>2</v>
      </c>
      <c r="C15" s="16"/>
      <c r="D15" s="24">
        <v>0</v>
      </c>
      <c r="E15" s="160">
        <v>0</v>
      </c>
      <c r="F15" s="160">
        <v>0</v>
      </c>
      <c r="G15" s="73">
        <f t="shared" ref="G15:H22" si="0">+$D15*E15</f>
        <v>0</v>
      </c>
      <c r="H15" s="74">
        <f t="shared" si="0"/>
        <v>0</v>
      </c>
    </row>
    <row r="16" spans="2:10">
      <c r="B16" s="15" t="s">
        <v>3</v>
      </c>
      <c r="C16" s="16"/>
      <c r="D16" s="24">
        <f>I46</f>
        <v>2080</v>
      </c>
      <c r="E16" s="160">
        <v>0.75</v>
      </c>
      <c r="F16" s="160">
        <v>0.9</v>
      </c>
      <c r="G16" s="73">
        <f t="shared" si="0"/>
        <v>1560</v>
      </c>
      <c r="H16" s="74">
        <f t="shared" si="0"/>
        <v>1872</v>
      </c>
    </row>
    <row r="17" spans="2:16">
      <c r="B17" s="15" t="s">
        <v>4</v>
      </c>
      <c r="C17" s="16"/>
      <c r="D17" s="24">
        <f>+I51</f>
        <v>1000</v>
      </c>
      <c r="E17" s="160">
        <v>0.75</v>
      </c>
      <c r="F17" s="160">
        <v>0.9</v>
      </c>
      <c r="G17" s="73">
        <f t="shared" si="0"/>
        <v>750</v>
      </c>
      <c r="H17" s="74">
        <f t="shared" si="0"/>
        <v>900</v>
      </c>
    </row>
    <row r="18" spans="2:16">
      <c r="B18" s="15" t="s">
        <v>26</v>
      </c>
      <c r="C18" s="16"/>
      <c r="D18" s="24">
        <v>0</v>
      </c>
      <c r="E18" s="160">
        <v>0</v>
      </c>
      <c r="F18" s="160">
        <v>0</v>
      </c>
      <c r="G18" s="73">
        <f t="shared" si="0"/>
        <v>0</v>
      </c>
      <c r="H18" s="74">
        <f t="shared" si="0"/>
        <v>0</v>
      </c>
    </row>
    <row r="19" spans="2:16">
      <c r="B19" s="15" t="s">
        <v>7</v>
      </c>
      <c r="C19" s="16"/>
      <c r="D19" s="24">
        <f>I57</f>
        <v>0</v>
      </c>
      <c r="E19" s="160">
        <v>0.75</v>
      </c>
      <c r="F19" s="160">
        <v>0.9</v>
      </c>
      <c r="G19" s="73">
        <f t="shared" si="0"/>
        <v>0</v>
      </c>
      <c r="H19" s="74">
        <f t="shared" si="0"/>
        <v>0</v>
      </c>
    </row>
    <row r="20" spans="2:16">
      <c r="B20" s="15" t="s">
        <v>27</v>
      </c>
      <c r="C20" s="16"/>
      <c r="D20" s="24">
        <v>0</v>
      </c>
      <c r="E20" s="160">
        <v>0</v>
      </c>
      <c r="F20" s="160">
        <v>0</v>
      </c>
      <c r="G20" s="73">
        <f t="shared" si="0"/>
        <v>0</v>
      </c>
      <c r="H20" s="74">
        <f t="shared" si="0"/>
        <v>0</v>
      </c>
    </row>
    <row r="21" spans="2:16">
      <c r="B21" s="15" t="s">
        <v>5</v>
      </c>
      <c r="C21" s="16"/>
      <c r="D21" s="24">
        <v>0</v>
      </c>
      <c r="E21" s="160">
        <v>0</v>
      </c>
      <c r="F21" s="160">
        <v>0</v>
      </c>
      <c r="G21" s="73">
        <f t="shared" si="0"/>
        <v>0</v>
      </c>
      <c r="H21" s="74">
        <f t="shared" si="0"/>
        <v>0</v>
      </c>
    </row>
    <row r="22" spans="2:16">
      <c r="B22" s="15" t="s">
        <v>20</v>
      </c>
      <c r="C22" s="16"/>
      <c r="D22" s="24">
        <v>0</v>
      </c>
      <c r="E22" s="160">
        <v>0</v>
      </c>
      <c r="F22" s="160">
        <v>0</v>
      </c>
      <c r="G22" s="75">
        <f t="shared" si="0"/>
        <v>0</v>
      </c>
      <c r="H22" s="76">
        <f t="shared" si="0"/>
        <v>0</v>
      </c>
    </row>
    <row r="23" spans="2:16">
      <c r="B23" s="26" t="s">
        <v>19</v>
      </c>
      <c r="C23" s="27"/>
      <c r="D23" s="51">
        <f>SUM(D14:D22)</f>
        <v>3080</v>
      </c>
      <c r="E23" s="28"/>
      <c r="F23" s="28"/>
      <c r="G23" s="51">
        <f>SUM(G14:G22)</f>
        <v>2310</v>
      </c>
      <c r="H23" s="77">
        <f>SUM(H14:H22)</f>
        <v>2772</v>
      </c>
    </row>
    <row r="24" spans="2:16" s="82" customFormat="1" ht="9.75" customHeight="1">
      <c r="B24" s="49"/>
      <c r="C24" s="49"/>
      <c r="D24" s="80"/>
      <c r="E24" s="81"/>
      <c r="F24" s="81"/>
      <c r="G24" s="81"/>
      <c r="H24" s="81"/>
      <c r="I24" s="81"/>
      <c r="J24" s="81"/>
      <c r="K24" s="80"/>
      <c r="L24" s="80"/>
      <c r="M24" s="80"/>
      <c r="N24" s="80"/>
      <c r="O24" s="80"/>
      <c r="P24" s="80"/>
    </row>
    <row r="25" spans="2:16" ht="15.75">
      <c r="B25" s="50" t="s">
        <v>28</v>
      </c>
      <c r="I25" s="5"/>
    </row>
    <row r="26" spans="2:16">
      <c r="B26" s="29" t="s">
        <v>32</v>
      </c>
      <c r="C26" s="30"/>
      <c r="D26" s="30"/>
      <c r="E26" s="31"/>
      <c r="F26" s="31"/>
      <c r="G26" s="31"/>
      <c r="H26" s="31"/>
      <c r="I26" s="32"/>
    </row>
    <row r="27" spans="2:16">
      <c r="B27" s="42"/>
      <c r="C27" s="34"/>
      <c r="D27" s="1999" t="s">
        <v>363</v>
      </c>
      <c r="E27" s="2000"/>
      <c r="F27" s="2000"/>
      <c r="G27" s="2000"/>
      <c r="H27" s="2000"/>
      <c r="I27" s="36"/>
    </row>
    <row r="28" spans="2:16">
      <c r="B28" s="42"/>
      <c r="C28" s="34"/>
      <c r="D28" s="115"/>
      <c r="E28" s="97"/>
      <c r="F28" s="97"/>
      <c r="G28" s="97"/>
      <c r="H28" s="97"/>
      <c r="I28" s="36"/>
    </row>
    <row r="29" spans="2:16">
      <c r="B29" s="37" t="s">
        <v>41</v>
      </c>
      <c r="C29" s="34"/>
      <c r="D29" s="1956" t="s">
        <v>364</v>
      </c>
      <c r="E29" s="1957"/>
      <c r="F29" s="1957"/>
      <c r="G29" s="1957"/>
      <c r="H29" s="1957"/>
      <c r="I29" s="36"/>
    </row>
    <row r="30" spans="2:16" ht="22.5" customHeight="1">
      <c r="B30" s="91" t="s">
        <v>40</v>
      </c>
      <c r="C30" s="34"/>
      <c r="D30" s="1956" t="s">
        <v>371</v>
      </c>
      <c r="E30" s="1957"/>
      <c r="F30" s="1957"/>
      <c r="G30" s="1957"/>
      <c r="H30" s="1957"/>
      <c r="I30" s="36"/>
    </row>
    <row r="31" spans="2:16" ht="56.25" customHeight="1">
      <c r="B31" s="91" t="s">
        <v>33</v>
      </c>
      <c r="C31" s="90"/>
      <c r="D31" s="1956" t="s">
        <v>366</v>
      </c>
      <c r="E31" s="1957"/>
      <c r="F31" s="1957"/>
      <c r="G31" s="1957"/>
      <c r="H31" s="1957"/>
      <c r="I31" s="36"/>
    </row>
    <row r="32" spans="2:16" ht="87.75" customHeight="1">
      <c r="B32" s="91" t="s">
        <v>35</v>
      </c>
      <c r="C32" s="90"/>
      <c r="D32" s="1956" t="s">
        <v>367</v>
      </c>
      <c r="E32" s="1957"/>
      <c r="F32" s="1957"/>
      <c r="G32" s="1957"/>
      <c r="H32" s="1957"/>
      <c r="I32" s="36"/>
    </row>
    <row r="33" spans="2:15" ht="25.5" customHeight="1">
      <c r="B33" s="91" t="s">
        <v>34</v>
      </c>
      <c r="C33" s="90"/>
      <c r="D33" s="1956" t="s">
        <v>368</v>
      </c>
      <c r="E33" s="1957"/>
      <c r="F33" s="1957"/>
      <c r="G33" s="1957"/>
      <c r="H33" s="1957"/>
      <c r="I33" s="36"/>
    </row>
    <row r="34" spans="2:15">
      <c r="B34" s="37"/>
      <c r="C34" s="34"/>
      <c r="D34" s="34"/>
      <c r="E34" s="35"/>
      <c r="F34" s="35"/>
      <c r="G34" s="35"/>
      <c r="H34" s="35"/>
      <c r="I34" s="36"/>
    </row>
    <row r="35" spans="2:15">
      <c r="B35" s="38" t="s">
        <v>25</v>
      </c>
      <c r="C35" s="34"/>
      <c r="D35" s="1958" t="s">
        <v>42</v>
      </c>
      <c r="E35" s="1952"/>
      <c r="F35" s="1952"/>
      <c r="G35" s="1952"/>
      <c r="H35" s="1952"/>
      <c r="I35" s="36"/>
      <c r="J35" s="49"/>
    </row>
    <row r="36" spans="2:15">
      <c r="B36" s="38" t="s">
        <v>8</v>
      </c>
      <c r="C36" s="34"/>
      <c r="D36" s="39" t="s">
        <v>38</v>
      </c>
      <c r="E36" s="35"/>
      <c r="F36" s="35"/>
      <c r="G36" s="35"/>
      <c r="H36" s="35"/>
      <c r="I36" s="36"/>
    </row>
    <row r="37" spans="2:15">
      <c r="B37" s="38" t="s">
        <v>9</v>
      </c>
      <c r="C37" s="34"/>
      <c r="D37" s="92">
        <v>1</v>
      </c>
      <c r="E37" s="35"/>
      <c r="F37" s="35"/>
      <c r="G37" s="35"/>
      <c r="H37" s="35"/>
      <c r="I37" s="36"/>
    </row>
    <row r="38" spans="2:15">
      <c r="B38" s="38" t="s">
        <v>10</v>
      </c>
      <c r="C38" s="35"/>
      <c r="D38" s="93">
        <v>0</v>
      </c>
      <c r="E38" s="35"/>
      <c r="F38" s="35"/>
      <c r="G38" s="35"/>
      <c r="H38" s="35"/>
      <c r="I38" s="96" t="s">
        <v>6</v>
      </c>
    </row>
    <row r="39" spans="2:15" ht="9.75" customHeight="1">
      <c r="B39" s="40"/>
      <c r="C39" s="35"/>
      <c r="D39" s="35"/>
      <c r="E39" s="41"/>
      <c r="F39" s="35"/>
      <c r="G39" s="35"/>
      <c r="H39" s="35"/>
      <c r="I39" s="149"/>
      <c r="L39" s="64"/>
      <c r="M39" s="64"/>
      <c r="N39" s="61"/>
      <c r="O39" s="61"/>
    </row>
    <row r="40" spans="2:15">
      <c r="B40" s="42" t="s">
        <v>0</v>
      </c>
      <c r="C40" s="35"/>
      <c r="D40" s="35"/>
      <c r="E40" s="35"/>
      <c r="F40" s="35"/>
      <c r="G40" s="35"/>
      <c r="H40" s="35"/>
      <c r="I40" s="46">
        <v>0</v>
      </c>
      <c r="L40" s="64"/>
      <c r="M40" s="64"/>
      <c r="N40" s="61"/>
      <c r="O40" s="61"/>
    </row>
    <row r="41" spans="2:15" ht="14.25" customHeight="1">
      <c r="B41" s="37" t="s">
        <v>39</v>
      </c>
      <c r="C41" s="35"/>
      <c r="D41" s="166"/>
      <c r="E41" s="35"/>
      <c r="F41" s="35"/>
      <c r="G41" s="35"/>
      <c r="H41" s="35"/>
      <c r="I41" s="46"/>
      <c r="L41" s="64"/>
      <c r="M41" s="61"/>
    </row>
    <row r="42" spans="2:15" ht="6" customHeight="1">
      <c r="B42" s="62"/>
      <c r="C42" s="6"/>
      <c r="D42" s="63"/>
      <c r="E42" s="35"/>
      <c r="F42" s="35"/>
      <c r="G42" s="35"/>
      <c r="H42" s="35"/>
      <c r="I42" s="46"/>
      <c r="L42" s="64"/>
      <c r="M42" s="61"/>
    </row>
    <row r="43" spans="2:15">
      <c r="B43" s="42" t="s">
        <v>2</v>
      </c>
      <c r="C43" s="35"/>
      <c r="D43" s="66"/>
      <c r="E43" s="35"/>
      <c r="F43" s="35"/>
      <c r="G43" s="35"/>
      <c r="H43" s="35"/>
      <c r="I43" s="46">
        <v>0</v>
      </c>
      <c r="L43" s="64"/>
      <c r="M43" s="61"/>
    </row>
    <row r="44" spans="2:15" ht="12.75" customHeight="1">
      <c r="B44" s="1959" t="s">
        <v>39</v>
      </c>
      <c r="C44" s="1955"/>
      <c r="D44" s="1955"/>
      <c r="E44" s="1955"/>
      <c r="F44" s="1955"/>
      <c r="G44" s="1955"/>
      <c r="H44" s="1955"/>
      <c r="I44" s="46"/>
      <c r="L44" s="64"/>
      <c r="M44" s="61"/>
    </row>
    <row r="45" spans="2:15" ht="4.5" customHeight="1">
      <c r="B45" s="42"/>
      <c r="C45" s="35"/>
      <c r="D45" s="35"/>
      <c r="E45" s="35"/>
      <c r="F45" s="35"/>
      <c r="G45" s="58"/>
      <c r="H45" s="59"/>
      <c r="I45" s="46"/>
      <c r="L45" s="64"/>
      <c r="M45" s="61"/>
    </row>
    <row r="46" spans="2:15">
      <c r="B46" s="42" t="s">
        <v>3</v>
      </c>
      <c r="C46" s="35"/>
      <c r="D46" s="35"/>
      <c r="E46" s="35"/>
      <c r="F46" s="35"/>
      <c r="G46" s="35"/>
      <c r="H46" s="35"/>
      <c r="I46" s="46">
        <f>$H$49</f>
        <v>2080</v>
      </c>
      <c r="L46" s="64"/>
      <c r="M46" s="61"/>
    </row>
    <row r="47" spans="2:15" ht="12.75" customHeight="1">
      <c r="B47" s="1959" t="s">
        <v>44</v>
      </c>
      <c r="C47" s="1955"/>
      <c r="D47" s="1955"/>
      <c r="E47" s="1955"/>
      <c r="F47" s="1955"/>
      <c r="G47" s="1955"/>
      <c r="H47" s="1955"/>
      <c r="I47" s="46"/>
      <c r="L47" s="64"/>
      <c r="M47" s="61"/>
    </row>
    <row r="48" spans="2:15" ht="12.75" customHeight="1">
      <c r="B48" s="101"/>
      <c r="C48" s="102"/>
      <c r="D48" s="103" t="s">
        <v>45</v>
      </c>
      <c r="E48" s="104" t="s">
        <v>46</v>
      </c>
      <c r="F48" s="104" t="s">
        <v>6</v>
      </c>
      <c r="G48" s="104" t="s">
        <v>47</v>
      </c>
      <c r="H48" s="104" t="s">
        <v>48</v>
      </c>
      <c r="I48" s="46"/>
      <c r="L48" s="64"/>
      <c r="M48" s="61"/>
    </row>
    <row r="49" spans="2:15" ht="12.75" customHeight="1">
      <c r="B49" s="101"/>
      <c r="C49" s="97"/>
      <c r="D49" s="97" t="s">
        <v>3</v>
      </c>
      <c r="E49" s="105" t="s">
        <v>49</v>
      </c>
      <c r="F49" s="106">
        <v>52</v>
      </c>
      <c r="G49" s="97">
        <v>40</v>
      </c>
      <c r="H49" s="106">
        <f>F49*G49</f>
        <v>2080</v>
      </c>
      <c r="I49" s="46"/>
      <c r="L49" s="64"/>
      <c r="M49" s="61"/>
    </row>
    <row r="50" spans="2:15" ht="11.25" customHeight="1">
      <c r="B50" s="33"/>
      <c r="C50" s="35"/>
      <c r="D50" s="35"/>
      <c r="E50" s="35"/>
      <c r="F50" s="35"/>
      <c r="G50" s="35"/>
      <c r="H50" s="35"/>
      <c r="I50" s="48"/>
      <c r="L50" s="64"/>
      <c r="M50" s="61"/>
    </row>
    <row r="51" spans="2:15">
      <c r="B51" s="42" t="s">
        <v>4</v>
      </c>
      <c r="C51" s="35"/>
      <c r="D51" s="35"/>
      <c r="E51" s="35"/>
      <c r="F51" s="35"/>
      <c r="G51" s="35"/>
      <c r="H51" s="35"/>
      <c r="I51" s="48">
        <v>1000</v>
      </c>
      <c r="L51" s="64"/>
      <c r="M51" s="61"/>
    </row>
    <row r="52" spans="2:15" ht="12" customHeight="1">
      <c r="B52" s="37" t="s">
        <v>372</v>
      </c>
      <c r="C52" s="35"/>
      <c r="D52" s="35"/>
      <c r="E52" s="35"/>
      <c r="F52" s="35"/>
      <c r="G52" s="35"/>
      <c r="H52" s="35"/>
      <c r="I52" s="36"/>
      <c r="L52" s="64"/>
      <c r="M52" s="61"/>
    </row>
    <row r="53" spans="2:15" ht="5.25" customHeight="1">
      <c r="B53" s="37"/>
      <c r="C53" s="35"/>
      <c r="D53" s="35"/>
      <c r="E53" s="35"/>
      <c r="F53" s="35"/>
      <c r="G53" s="35"/>
      <c r="H53" s="35"/>
      <c r="I53" s="36"/>
      <c r="L53" s="64"/>
      <c r="M53" s="61"/>
    </row>
    <row r="54" spans="2:15">
      <c r="B54" s="42" t="s">
        <v>26</v>
      </c>
      <c r="C54" s="35"/>
      <c r="D54" s="35"/>
      <c r="E54" s="35"/>
      <c r="F54" s="35"/>
      <c r="G54" s="35"/>
      <c r="H54" s="35"/>
      <c r="I54" s="46">
        <v>0</v>
      </c>
      <c r="L54" s="64"/>
      <c r="M54" s="61"/>
    </row>
    <row r="55" spans="2:15" ht="14.25" customHeight="1">
      <c r="B55" s="1959" t="s">
        <v>39</v>
      </c>
      <c r="C55" s="1960"/>
      <c r="D55" s="1960"/>
      <c r="E55" s="1960"/>
      <c r="F55" s="1960"/>
      <c r="G55" s="1960"/>
      <c r="H55" s="1960"/>
      <c r="I55" s="48"/>
      <c r="L55" s="64"/>
      <c r="M55" s="61"/>
    </row>
    <row r="56" spans="2:15" ht="9.75" customHeight="1">
      <c r="B56" s="37"/>
      <c r="C56" s="35"/>
      <c r="D56" s="35"/>
      <c r="E56" s="35"/>
      <c r="F56" s="35"/>
      <c r="G56" s="35"/>
      <c r="H56" s="35"/>
      <c r="I56" s="36"/>
      <c r="L56" s="64"/>
      <c r="M56" s="64"/>
    </row>
    <row r="57" spans="2:15">
      <c r="B57" s="42" t="s">
        <v>7</v>
      </c>
      <c r="C57" s="35"/>
      <c r="D57" s="35"/>
      <c r="E57" s="35"/>
      <c r="F57" s="35"/>
      <c r="G57" s="35"/>
      <c r="H57" s="35"/>
      <c r="I57" s="46">
        <v>0</v>
      </c>
      <c r="L57" s="64"/>
      <c r="M57" s="64"/>
      <c r="N57" s="64"/>
      <c r="O57" s="64"/>
    </row>
    <row r="58" spans="2:15" ht="12" customHeight="1">
      <c r="B58" s="33"/>
      <c r="C58" s="35"/>
      <c r="D58" s="35"/>
      <c r="E58" s="35"/>
      <c r="F58" s="35"/>
      <c r="G58" s="35"/>
      <c r="H58" s="35"/>
      <c r="I58" s="36"/>
      <c r="L58" s="64"/>
      <c r="M58" s="64"/>
      <c r="N58" s="61"/>
      <c r="O58" s="61"/>
    </row>
    <row r="59" spans="2:15">
      <c r="B59" s="42" t="s">
        <v>27</v>
      </c>
      <c r="C59" s="35"/>
      <c r="D59" s="35"/>
      <c r="E59" s="35"/>
      <c r="F59" s="35"/>
      <c r="G59" s="35"/>
      <c r="H59" s="35"/>
      <c r="I59" s="46">
        <v>0</v>
      </c>
      <c r="L59" s="64"/>
      <c r="M59" s="64"/>
      <c r="N59" s="61"/>
      <c r="O59" s="61"/>
    </row>
    <row r="60" spans="2:15" ht="13.5" customHeight="1">
      <c r="B60" s="37" t="s">
        <v>39</v>
      </c>
      <c r="C60" s="35"/>
      <c r="D60" s="35"/>
      <c r="E60" s="35"/>
      <c r="F60" s="35"/>
      <c r="G60" s="35"/>
      <c r="H60" s="35"/>
      <c r="I60" s="47"/>
      <c r="L60" s="64"/>
      <c r="M60" s="64"/>
      <c r="N60" s="65"/>
      <c r="O60" s="65"/>
    </row>
    <row r="61" spans="2:15">
      <c r="B61" s="42" t="s">
        <v>5</v>
      </c>
      <c r="C61" s="35"/>
      <c r="D61" s="35"/>
      <c r="E61" s="35"/>
      <c r="F61" s="35"/>
      <c r="G61" s="35"/>
      <c r="H61" s="35"/>
      <c r="I61" s="46">
        <v>0</v>
      </c>
      <c r="L61" s="64"/>
      <c r="M61" s="64"/>
      <c r="N61" s="61"/>
      <c r="O61" s="61"/>
    </row>
    <row r="62" spans="2:15" ht="11.25" customHeight="1">
      <c r="B62" s="37" t="s">
        <v>39</v>
      </c>
      <c r="C62" s="35"/>
      <c r="D62" s="35"/>
      <c r="E62" s="35"/>
      <c r="F62" s="35"/>
      <c r="G62" s="35"/>
      <c r="H62" s="35"/>
      <c r="I62" s="47"/>
      <c r="L62" s="64"/>
      <c r="M62" s="64"/>
      <c r="N62" s="64"/>
      <c r="O62" s="64"/>
    </row>
    <row r="63" spans="2:15">
      <c r="B63" s="42" t="s">
        <v>20</v>
      </c>
      <c r="C63" s="35"/>
      <c r="D63" s="35"/>
      <c r="E63" s="35"/>
      <c r="F63" s="35"/>
      <c r="G63" s="35"/>
      <c r="H63" s="35"/>
      <c r="I63" s="46">
        <v>0</v>
      </c>
      <c r="L63" s="64"/>
      <c r="M63" s="64"/>
      <c r="N63" s="61"/>
      <c r="O63" s="61"/>
    </row>
    <row r="64" spans="2:15" ht="12" customHeight="1">
      <c r="B64" s="37" t="s">
        <v>39</v>
      </c>
      <c r="C64" s="35"/>
      <c r="D64" s="35"/>
      <c r="E64" s="35"/>
      <c r="F64" s="35"/>
      <c r="G64" s="35"/>
      <c r="H64" s="35"/>
      <c r="I64" s="46"/>
      <c r="L64" s="64"/>
      <c r="M64" s="64"/>
      <c r="N64" s="61"/>
      <c r="O64" s="61"/>
    </row>
    <row r="65" spans="2:15" ht="6.75" customHeight="1">
      <c r="B65" s="42"/>
      <c r="C65" s="35"/>
      <c r="D65" s="35"/>
      <c r="E65" s="35"/>
      <c r="F65" s="35"/>
      <c r="G65" s="35"/>
      <c r="H65" s="35"/>
      <c r="I65" s="46"/>
      <c r="L65" s="64"/>
      <c r="M65" s="64"/>
      <c r="N65" s="61"/>
      <c r="O65" s="61"/>
    </row>
    <row r="66" spans="2:15">
      <c r="B66" s="43" t="s">
        <v>11</v>
      </c>
      <c r="C66" s="44"/>
      <c r="D66" s="44"/>
      <c r="E66" s="44"/>
      <c r="F66" s="44"/>
      <c r="G66" s="44"/>
      <c r="H66" s="44"/>
      <c r="I66" s="52">
        <f>+I63+I61+I59+I57+I54+I51+I46+I43+I40</f>
        <v>3080</v>
      </c>
      <c r="L66" s="64"/>
      <c r="M66" s="64"/>
      <c r="N66" s="64"/>
      <c r="O66" s="64"/>
    </row>
    <row r="89" spans="5:5">
      <c r="E89" s="57"/>
    </row>
    <row r="90" spans="5:5">
      <c r="E90" s="57"/>
    </row>
    <row r="91" spans="5:5">
      <c r="E91" s="57"/>
    </row>
    <row r="92" spans="5:5">
      <c r="E92" s="57"/>
    </row>
    <row r="93" spans="5:5">
      <c r="E93" s="57"/>
    </row>
    <row r="94" spans="5:5">
      <c r="E94" s="57"/>
    </row>
    <row r="96" spans="5:5">
      <c r="E96" s="57"/>
    </row>
    <row r="98" spans="5:5">
      <c r="E98" s="56"/>
    </row>
    <row r="100" spans="5:5">
      <c r="E100" s="57"/>
    </row>
  </sheetData>
  <mergeCells count="10">
    <mergeCell ref="D35:H35"/>
    <mergeCell ref="B44:H44"/>
    <mergeCell ref="B47:H47"/>
    <mergeCell ref="B55:H55"/>
    <mergeCell ref="D27:H27"/>
    <mergeCell ref="D29:H29"/>
    <mergeCell ref="D30:H30"/>
    <mergeCell ref="D31:H31"/>
    <mergeCell ref="D32:H32"/>
    <mergeCell ref="D33:H33"/>
  </mergeCells>
  <pageMargins left="0.36" right="0.3" top="0.43" bottom="0.64" header="0.28000000000000003" footer="0.36"/>
  <pageSetup scale="71" orientation="portrait" r:id="rId1"/>
  <headerFooter alignWithMargins="0"/>
</worksheet>
</file>

<file path=xl/worksheets/sheet45.xml><?xml version="1.0" encoding="utf-8"?>
<worksheet xmlns="http://schemas.openxmlformats.org/spreadsheetml/2006/main" xmlns:r="http://schemas.openxmlformats.org/officeDocument/2006/relationships">
  <sheetPr>
    <pageSetUpPr fitToPage="1"/>
  </sheetPr>
  <dimension ref="A1:L97"/>
  <sheetViews>
    <sheetView tabSelected="1" workbookViewId="0">
      <selection activeCell="A2" sqref="A2:XFD27"/>
    </sheetView>
  </sheetViews>
  <sheetFormatPr defaultRowHeight="12.75"/>
  <cols>
    <col min="1" max="1" width="1.85546875" customWidth="1"/>
    <col min="3" max="3" width="24.140625" customWidth="1"/>
    <col min="4" max="4" width="23.140625" customWidth="1"/>
    <col min="5" max="5" width="54" customWidth="1"/>
    <col min="6" max="6" width="10.42578125" customWidth="1"/>
    <col min="7" max="7" width="10.140625" bestFit="1" customWidth="1"/>
    <col min="9" max="9" width="11.140625" bestFit="1" customWidth="1"/>
    <col min="10" max="10"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313</v>
      </c>
      <c r="C6" s="7" t="str">
        <f>+E12</f>
        <v>EQIP</v>
      </c>
      <c r="D6" s="53" t="s">
        <v>2504</v>
      </c>
      <c r="E6" s="53" t="s">
        <v>2505</v>
      </c>
      <c r="F6" s="7" t="str">
        <f>D36</f>
        <v>Each</v>
      </c>
      <c r="G6" s="85">
        <f>+I25</f>
        <v>12075.651633107629</v>
      </c>
    </row>
    <row r="7" spans="1:12">
      <c r="A7" s="2"/>
      <c r="B7" s="54">
        <f>+B6</f>
        <v>313</v>
      </c>
      <c r="C7" s="7" t="str">
        <f>+C6</f>
        <v>EQIP</v>
      </c>
      <c r="D7" s="53" t="s">
        <v>2504</v>
      </c>
      <c r="E7" s="53" t="str">
        <f>CONCATENATE(E6, "-HU")</f>
        <v>2 House Broiler OR 56 to 80 Cattle AU, Wood Walls-HU</v>
      </c>
      <c r="F7" s="7" t="str">
        <f>+F6</f>
        <v>Each</v>
      </c>
      <c r="G7" s="85">
        <f>+J25</f>
        <v>14490.781959729156</v>
      </c>
    </row>
    <row r="8" spans="1:12">
      <c r="A8" s="2"/>
      <c r="B8" s="54">
        <v>313</v>
      </c>
      <c r="C8" s="7" t="str">
        <f>+G12</f>
        <v>WHIP</v>
      </c>
      <c r="D8" s="53" t="s">
        <v>2504</v>
      </c>
      <c r="E8" s="53" t="s">
        <v>2506</v>
      </c>
      <c r="F8" s="7" t="str">
        <f>D36</f>
        <v>Each</v>
      </c>
      <c r="G8" s="85">
        <f>+K25</f>
        <v>0</v>
      </c>
    </row>
    <row r="9" spans="1:12">
      <c r="A9" s="2"/>
      <c r="B9" s="8">
        <f>+B8</f>
        <v>313</v>
      </c>
      <c r="C9" s="10" t="str">
        <f>+C8</f>
        <v>WHIP</v>
      </c>
      <c r="D9" s="9" t="s">
        <v>2504</v>
      </c>
      <c r="E9" s="9" t="str">
        <f>CONCATENATE(E6, "-HU")</f>
        <v>2 House Broiler OR 56 to 80 Cattle AU, Wood Walls-HU</v>
      </c>
      <c r="F9" s="10" t="str">
        <f>+F8</f>
        <v>Each</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52.778165835115225</v>
      </c>
      <c r="E16" s="160">
        <f>+'[10]Payment Factors'!D45</f>
        <v>0.75</v>
      </c>
      <c r="F16" s="160">
        <f>+'[10]Payment Factors'!E45</f>
        <v>0.9</v>
      </c>
      <c r="G16" s="160">
        <f>+'[10]Payment Factors'!F19</f>
        <v>0</v>
      </c>
      <c r="H16" s="160">
        <f>+'[10]Payment Factors'!G19</f>
        <v>0</v>
      </c>
      <c r="I16" s="1154">
        <f t="shared" ref="I16:L24" si="0">+$D16*E16</f>
        <v>39.583624376336417</v>
      </c>
      <c r="J16" s="1154">
        <f t="shared" si="0"/>
        <v>47.500349251603701</v>
      </c>
      <c r="K16" s="1154">
        <f t="shared" si="0"/>
        <v>0</v>
      </c>
      <c r="L16" s="1155">
        <f t="shared" si="0"/>
        <v>0</v>
      </c>
    </row>
    <row r="17" spans="1:12">
      <c r="A17" s="2"/>
      <c r="B17" s="15" t="s">
        <v>2</v>
      </c>
      <c r="C17" s="16"/>
      <c r="D17" s="24">
        <f>+I54</f>
        <v>13242.263333333336</v>
      </c>
      <c r="E17" s="160">
        <f t="shared" ref="E17:H19" si="1">+E16</f>
        <v>0.75</v>
      </c>
      <c r="F17" s="160">
        <f t="shared" si="1"/>
        <v>0.9</v>
      </c>
      <c r="G17" s="160">
        <f t="shared" si="1"/>
        <v>0</v>
      </c>
      <c r="H17" s="160">
        <f t="shared" si="1"/>
        <v>0</v>
      </c>
      <c r="I17" s="1154">
        <f t="shared" si="0"/>
        <v>9931.697500000002</v>
      </c>
      <c r="J17" s="1154">
        <f t="shared" si="0"/>
        <v>11918.037000000002</v>
      </c>
      <c r="K17" s="1154">
        <f t="shared" si="0"/>
        <v>0</v>
      </c>
      <c r="L17" s="1155">
        <f t="shared" si="0"/>
        <v>0</v>
      </c>
    </row>
    <row r="18" spans="1:12">
      <c r="A18" s="2"/>
      <c r="B18" s="15" t="s">
        <v>3</v>
      </c>
      <c r="C18" s="16"/>
      <c r="D18" s="24">
        <f>+I69</f>
        <v>2336.8700000000003</v>
      </c>
      <c r="E18" s="160">
        <f t="shared" si="1"/>
        <v>0.75</v>
      </c>
      <c r="F18" s="160">
        <f t="shared" si="1"/>
        <v>0.9</v>
      </c>
      <c r="G18" s="160">
        <f t="shared" si="1"/>
        <v>0</v>
      </c>
      <c r="H18" s="160">
        <f t="shared" si="1"/>
        <v>0</v>
      </c>
      <c r="I18" s="1154">
        <f t="shared" si="0"/>
        <v>1752.6525000000001</v>
      </c>
      <c r="J18" s="1154">
        <f t="shared" si="0"/>
        <v>2103.1830000000004</v>
      </c>
      <c r="K18" s="1154">
        <f t="shared" si="0"/>
        <v>0</v>
      </c>
      <c r="L18" s="1155">
        <f t="shared" si="0"/>
        <v>0</v>
      </c>
    </row>
    <row r="19" spans="1:12">
      <c r="A19" s="2"/>
      <c r="B19" s="15" t="s">
        <v>4</v>
      </c>
      <c r="C19" s="16"/>
      <c r="D19" s="24">
        <f>+I75</f>
        <v>468.95734497505356</v>
      </c>
      <c r="E19" s="160">
        <f t="shared" si="1"/>
        <v>0.75</v>
      </c>
      <c r="F19" s="160">
        <f t="shared" si="1"/>
        <v>0.9</v>
      </c>
      <c r="G19" s="160">
        <f t="shared" si="1"/>
        <v>0</v>
      </c>
      <c r="H19" s="160">
        <f t="shared" si="1"/>
        <v>0</v>
      </c>
      <c r="I19" s="1154">
        <f t="shared" si="0"/>
        <v>351.71800873129018</v>
      </c>
      <c r="J19" s="1154">
        <f t="shared" si="0"/>
        <v>422.06161047754819</v>
      </c>
      <c r="K19" s="1154">
        <f t="shared" si="0"/>
        <v>0</v>
      </c>
      <c r="L19" s="1155">
        <f t="shared" si="0"/>
        <v>0</v>
      </c>
    </row>
    <row r="20" spans="1:12">
      <c r="A20" s="2"/>
      <c r="B20" s="15" t="s">
        <v>26</v>
      </c>
      <c r="C20" s="16"/>
      <c r="D20" s="24">
        <f>+I78</f>
        <v>156.31911499168453</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+I84</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16257.18795913519</v>
      </c>
      <c r="E25" s="1158"/>
      <c r="F25" s="1158"/>
      <c r="G25" s="28"/>
      <c r="H25" s="28"/>
      <c r="I25" s="1159">
        <f>SUM(I16:I24)</f>
        <v>12075.651633107629</v>
      </c>
      <c r="J25" s="1159">
        <f>SUM(J16:J24)</f>
        <v>14490.781959729156</v>
      </c>
      <c r="K25" s="1159">
        <f>SUM(K16:K24)</f>
        <v>0</v>
      </c>
      <c r="L25" s="1160">
        <f>SUM(L16:L24)</f>
        <v>0</v>
      </c>
    </row>
    <row r="27" spans="1:12" ht="15.75">
      <c r="A27" s="2"/>
      <c r="B27" s="50" t="s">
        <v>28</v>
      </c>
      <c r="C27" s="2"/>
      <c r="D27" s="2"/>
      <c r="E27" s="2"/>
      <c r="F27" s="2"/>
      <c r="G27" s="2"/>
      <c r="H27" s="2"/>
      <c r="I27" s="5"/>
    </row>
    <row r="28" spans="1:12">
      <c r="A28" s="2"/>
      <c r="B28" s="29" t="s">
        <v>2507</v>
      </c>
      <c r="C28" s="30"/>
      <c r="D28" s="30"/>
      <c r="E28" s="31"/>
      <c r="F28" s="31"/>
      <c r="G28" s="31"/>
      <c r="H28" s="31"/>
      <c r="I28" s="32"/>
    </row>
    <row r="29" spans="1:12">
      <c r="A29" s="2"/>
      <c r="B29" s="1161" t="s">
        <v>2508</v>
      </c>
      <c r="C29" s="34"/>
      <c r="D29" s="34"/>
      <c r="E29" s="35"/>
      <c r="F29" s="35"/>
      <c r="G29" s="35"/>
      <c r="H29" s="35"/>
      <c r="I29" s="36"/>
    </row>
    <row r="30" spans="1:12">
      <c r="A30" s="2"/>
      <c r="B30" s="1161" t="s">
        <v>2509</v>
      </c>
      <c r="C30" s="143"/>
      <c r="D30" s="34"/>
      <c r="E30" s="35"/>
      <c r="F30" s="1163"/>
      <c r="G30" s="35"/>
      <c r="H30" s="35"/>
      <c r="I30" s="36"/>
    </row>
    <row r="31" spans="1:12">
      <c r="A31" s="2"/>
      <c r="B31" s="1903" t="s">
        <v>1277</v>
      </c>
      <c r="C31" s="34"/>
      <c r="D31" s="34"/>
      <c r="E31" s="35"/>
      <c r="F31" s="35"/>
      <c r="G31" s="35"/>
      <c r="H31" s="35"/>
      <c r="I31" s="36"/>
    </row>
    <row r="32" spans="1:12">
      <c r="A32" s="2"/>
      <c r="B32" s="190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1903"/>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1904"/>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+'[11]Core Rates'!C203</f>
        <v>8.75</v>
      </c>
      <c r="F43" s="1170">
        <v>0.4</v>
      </c>
      <c r="G43" s="1171">
        <f t="shared" si="2"/>
        <v>3.5</v>
      </c>
      <c r="H43" s="35"/>
      <c r="I43" s="36"/>
    </row>
    <row r="44" spans="1:9">
      <c r="A44" s="2"/>
      <c r="B44" s="1184" t="s">
        <v>453</v>
      </c>
      <c r="C44" s="6"/>
      <c r="D44" s="1185" t="s">
        <v>454</v>
      </c>
      <c r="E44" s="1169">
        <f>+'[11]Core Rates'!C228</f>
        <v>0.82427536231884069</v>
      </c>
      <c r="F44" s="1170">
        <v>10</v>
      </c>
      <c r="G44" s="1171">
        <f t="shared" si="2"/>
        <v>8.2427536231884062</v>
      </c>
      <c r="H44" s="35"/>
      <c r="I44" s="36"/>
    </row>
    <row r="45" spans="1:9">
      <c r="A45" s="2"/>
      <c r="B45" s="1186" t="s">
        <v>455</v>
      </c>
      <c r="C45" s="1187"/>
      <c r="D45" s="1185" t="s">
        <v>454</v>
      </c>
      <c r="E45" s="1169">
        <f>+'[11]Core Rates'!C235</f>
        <v>1.1702898550724636</v>
      </c>
      <c r="F45" s="1170">
        <v>10</v>
      </c>
      <c r="G45" s="1171">
        <f t="shared" si="2"/>
        <v>11.702898550724637</v>
      </c>
      <c r="H45" s="35"/>
      <c r="I45" s="36"/>
    </row>
    <row r="46" spans="1:9">
      <c r="A46" s="2"/>
      <c r="B46" s="1186" t="s">
        <v>456</v>
      </c>
      <c r="C46" s="1187"/>
      <c r="D46" s="1168" t="s">
        <v>454</v>
      </c>
      <c r="E46" s="1169">
        <f>+'[11]Core Rates'!C246</f>
        <v>0.58825136612021856</v>
      </c>
      <c r="F46" s="1170">
        <v>10</v>
      </c>
      <c r="G46" s="1171">
        <f t="shared" si="2"/>
        <v>5.8825136612021858</v>
      </c>
      <c r="H46" s="35"/>
      <c r="I46" s="36"/>
    </row>
    <row r="47" spans="1:9">
      <c r="A47" s="2"/>
      <c r="B47" s="1186" t="str">
        <f>+'[11]Core Rates'!A313</f>
        <v>Seed (Tall Fescue KY-31)</v>
      </c>
      <c r="C47" s="1187"/>
      <c r="D47" s="1185" t="s">
        <v>454</v>
      </c>
      <c r="E47" s="1169">
        <f>+'[11]Core Rates'!C313</f>
        <v>2.3449999999999998</v>
      </c>
      <c r="F47" s="1170">
        <v>10</v>
      </c>
      <c r="G47" s="1171">
        <f t="shared" si="2"/>
        <v>23.449999999999996</v>
      </c>
      <c r="H47" s="35"/>
      <c r="I47" s="36"/>
    </row>
    <row r="48" spans="1:9">
      <c r="A48" s="2"/>
      <c r="B48" s="1186" t="s">
        <v>480</v>
      </c>
      <c r="C48" s="1187"/>
      <c r="D48" s="1185" t="s">
        <v>454</v>
      </c>
      <c r="E48" s="1169">
        <f>+'[11]Core Rates'!C311</f>
        <v>2.0975000000000001</v>
      </c>
      <c r="F48" s="1170">
        <v>0</v>
      </c>
      <c r="G48" s="1171">
        <f t="shared" si="2"/>
        <v>0</v>
      </c>
      <c r="H48" s="35"/>
      <c r="I48" s="36"/>
    </row>
    <row r="49" spans="1:9">
      <c r="A49" s="2"/>
      <c r="B49" s="1186" t="s">
        <v>481</v>
      </c>
      <c r="C49" s="1187"/>
      <c r="D49" s="1185" t="s">
        <v>454</v>
      </c>
      <c r="E49" s="1169">
        <f>+'[11]Core Rates'!C312</f>
        <v>3.5</v>
      </c>
      <c r="F49" s="1170">
        <v>0</v>
      </c>
      <c r="G49" s="1171">
        <f t="shared" si="2"/>
        <v>0</v>
      </c>
      <c r="H49" s="35"/>
      <c r="I49" s="36"/>
    </row>
    <row r="50" spans="1:9">
      <c r="A50" s="2"/>
      <c r="B50" s="1184"/>
      <c r="C50" s="6"/>
      <c r="D50" s="1173"/>
      <c r="E50" s="1190"/>
      <c r="F50" s="35"/>
      <c r="G50" s="35"/>
      <c r="H50" s="35"/>
      <c r="I50" s="36"/>
    </row>
    <row r="51" spans="1:9">
      <c r="A51" s="2"/>
      <c r="B51" s="40" t="s">
        <v>1278</v>
      </c>
      <c r="C51" s="6"/>
      <c r="D51" s="1173"/>
      <c r="E51" s="1190"/>
      <c r="F51" s="35"/>
      <c r="G51" s="35"/>
      <c r="H51" s="35"/>
      <c r="I51" s="36"/>
    </row>
    <row r="52" spans="1:9">
      <c r="A52" s="2"/>
      <c r="B52" s="40" t="s">
        <v>1279</v>
      </c>
      <c r="C52" s="6"/>
      <c r="D52" s="1173"/>
      <c r="E52" s="35"/>
      <c r="F52" s="35"/>
      <c r="G52" s="35"/>
      <c r="H52" s="35"/>
      <c r="I52" s="3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(SUM(G56:G62)*0.85)</f>
        <v>13242.263333333336</v>
      </c>
    </row>
    <row r="55" spans="1:9">
      <c r="A55" s="2"/>
      <c r="B55" s="1174"/>
      <c r="C55" s="35"/>
      <c r="D55" s="1167" t="s">
        <v>447</v>
      </c>
      <c r="E55" s="1167" t="s">
        <v>448</v>
      </c>
      <c r="F55" s="1167" t="s">
        <v>449</v>
      </c>
      <c r="G55" s="1167" t="s">
        <v>450</v>
      </c>
      <c r="H55" s="35"/>
      <c r="I55" s="46"/>
    </row>
    <row r="56" spans="1:9">
      <c r="A56" s="2"/>
      <c r="B56" s="1387" t="str">
        <f>+'[11]Core Rates'!A111</f>
        <v>Earthmoving: Medium grading/shaping (2-6 hrs/ac)</v>
      </c>
      <c r="C56" s="6"/>
      <c r="D56" s="1168" t="s">
        <v>408</v>
      </c>
      <c r="E56" s="1169">
        <f>+'[11]Core Rates'!C111</f>
        <v>503.625</v>
      </c>
      <c r="F56" s="1170">
        <v>0.2</v>
      </c>
      <c r="G56" s="1171">
        <f t="shared" ref="G56:G62" si="3">+F56*E56</f>
        <v>100.72500000000001</v>
      </c>
      <c r="H56" s="35"/>
      <c r="I56" s="47"/>
    </row>
    <row r="57" spans="1:9">
      <c r="A57" s="2"/>
      <c r="B57" s="1186" t="str">
        <f>+'[11]Core Rates'!A19</f>
        <v>5" Concrete Floor w/ 4 1/2' ht. x 2" PT Timber Wall *</v>
      </c>
      <c r="C57" s="1376"/>
      <c r="D57" s="1382" t="str">
        <f>+'[11]Core Rates'!B19</f>
        <v>Sq Ft</v>
      </c>
      <c r="E57" s="1383">
        <f>+'[11]Core Rates'!C19</f>
        <v>9.5497500000000013</v>
      </c>
      <c r="F57" s="1170">
        <v>1600</v>
      </c>
      <c r="G57" s="1171">
        <f t="shared" si="3"/>
        <v>15279.600000000002</v>
      </c>
      <c r="H57" s="35"/>
      <c r="I57" s="47"/>
    </row>
    <row r="58" spans="1:9">
      <c r="A58" s="2"/>
      <c r="B58" s="40" t="s">
        <v>461</v>
      </c>
      <c r="C58" s="6"/>
      <c r="D58" s="1168" t="s">
        <v>408</v>
      </c>
      <c r="E58" s="1169">
        <f>+'[11]Core Rates'!C104</f>
        <v>20</v>
      </c>
      <c r="F58" s="1170">
        <v>0.2</v>
      </c>
      <c r="G58" s="1171">
        <f t="shared" si="3"/>
        <v>4</v>
      </c>
      <c r="H58" s="35"/>
      <c r="I58" s="47"/>
    </row>
    <row r="59" spans="1:9">
      <c r="A59" s="2"/>
      <c r="B59" s="40" t="s">
        <v>462</v>
      </c>
      <c r="C59" s="6"/>
      <c r="D59" s="1168" t="s">
        <v>408</v>
      </c>
      <c r="E59" s="1169">
        <f>+'[11]Core Rates'!AN33</f>
        <v>5.416666666666667</v>
      </c>
      <c r="F59" s="1170">
        <v>0.2</v>
      </c>
      <c r="G59" s="1171">
        <f t="shared" si="3"/>
        <v>1.0833333333333335</v>
      </c>
      <c r="H59" s="35"/>
      <c r="I59" s="47"/>
    </row>
    <row r="60" spans="1:9">
      <c r="A60" s="2"/>
      <c r="B60" s="40" t="s">
        <v>463</v>
      </c>
      <c r="C60" s="6"/>
      <c r="D60" s="1168" t="s">
        <v>452</v>
      </c>
      <c r="E60" s="1169">
        <f>+'[11]Core Rates'!AN34</f>
        <v>5.5</v>
      </c>
      <c r="F60" s="1170">
        <v>0.4</v>
      </c>
      <c r="G60" s="1171">
        <f t="shared" si="3"/>
        <v>2.2000000000000002</v>
      </c>
      <c r="H60" s="35"/>
      <c r="I60" s="47"/>
    </row>
    <row r="61" spans="1:9">
      <c r="A61" s="2"/>
      <c r="B61" s="40" t="s">
        <v>464</v>
      </c>
      <c r="C61" s="6"/>
      <c r="D61" s="1168" t="s">
        <v>452</v>
      </c>
      <c r="E61" s="1169">
        <f>+'[11]Core Rates'!AN32</f>
        <v>6.3125</v>
      </c>
      <c r="F61" s="1170">
        <v>0.4</v>
      </c>
      <c r="G61" s="1171">
        <f t="shared" si="3"/>
        <v>2.5250000000000004</v>
      </c>
      <c r="H61" s="35"/>
      <c r="I61" s="47"/>
    </row>
    <row r="62" spans="1:9">
      <c r="A62" s="2"/>
      <c r="B62" s="40" t="s">
        <v>1280</v>
      </c>
      <c r="C62" s="6"/>
      <c r="D62" s="1168" t="s">
        <v>619</v>
      </c>
      <c r="E62" s="1169">
        <f>+'[11]Core Rates'!C217</f>
        <v>472.5</v>
      </c>
      <c r="F62" s="1170">
        <v>0.4</v>
      </c>
      <c r="G62" s="1171">
        <f t="shared" si="3"/>
        <v>189</v>
      </c>
      <c r="H62" s="35"/>
      <c r="I62" s="47"/>
    </row>
    <row r="63" spans="1:9">
      <c r="A63" s="2"/>
      <c r="B63" s="40"/>
      <c r="C63" s="6"/>
      <c r="D63" s="63"/>
      <c r="E63" s="150"/>
      <c r="F63" s="150"/>
      <c r="G63" s="1169"/>
      <c r="H63" s="35"/>
      <c r="I63" s="47"/>
    </row>
    <row r="64" spans="1:9">
      <c r="A64" s="2"/>
      <c r="B64" s="1903" t="s">
        <v>43</v>
      </c>
      <c r="C64" s="35"/>
      <c r="D64" s="35"/>
      <c r="E64" s="60"/>
      <c r="F64" s="60"/>
      <c r="G64" s="60"/>
      <c r="H64" s="35"/>
      <c r="I64" s="46"/>
    </row>
    <row r="65" spans="1:9" ht="12.75" customHeight="1">
      <c r="A65" s="2"/>
      <c r="B65" s="2004" t="s">
        <v>1281</v>
      </c>
      <c r="C65" s="2005"/>
      <c r="D65" s="2005"/>
      <c r="E65" s="2005"/>
      <c r="F65" s="2005"/>
      <c r="G65" s="2005"/>
      <c r="H65" s="2005"/>
      <c r="I65" s="2006"/>
    </row>
    <row r="66" spans="1:9">
      <c r="A66" s="2"/>
      <c r="B66" s="2004"/>
      <c r="C66" s="2005"/>
      <c r="D66" s="2005"/>
      <c r="E66" s="2005"/>
      <c r="F66" s="2005"/>
      <c r="G66" s="2005"/>
      <c r="H66" s="2005"/>
      <c r="I66" s="2006"/>
    </row>
    <row r="67" spans="1:9">
      <c r="A67" s="2"/>
      <c r="B67" s="1900"/>
      <c r="C67" s="1901"/>
      <c r="D67" s="1901"/>
      <c r="E67" s="1901"/>
      <c r="F67" s="1901"/>
      <c r="G67" s="1901"/>
      <c r="H67" s="1901"/>
      <c r="I67" s="1902"/>
    </row>
    <row r="68" spans="1:9">
      <c r="A68" s="2"/>
      <c r="B68" s="1900"/>
      <c r="C68" s="1901"/>
      <c r="D68" s="1901"/>
      <c r="E68" s="1901"/>
      <c r="F68" s="1901"/>
      <c r="G68" s="1901"/>
      <c r="H68" s="1901"/>
      <c r="I68" s="1902"/>
    </row>
    <row r="69" spans="1:9">
      <c r="A69" s="2"/>
      <c r="B69" s="42" t="s">
        <v>3</v>
      </c>
      <c r="C69" s="35"/>
      <c r="D69" s="35"/>
      <c r="E69" s="35"/>
      <c r="F69" s="39"/>
      <c r="G69" s="35"/>
      <c r="H69" s="35"/>
      <c r="I69" s="1182">
        <f>E71</f>
        <v>2336.8700000000003</v>
      </c>
    </row>
    <row r="70" spans="1:9">
      <c r="A70" s="2"/>
      <c r="B70" s="2007" t="s">
        <v>465</v>
      </c>
      <c r="C70" s="2008"/>
      <c r="D70" s="35"/>
      <c r="E70" s="35"/>
      <c r="F70" s="35"/>
      <c r="G70" s="35"/>
      <c r="H70" s="35"/>
      <c r="I70" s="48"/>
    </row>
    <row r="71" spans="1:9">
      <c r="A71" s="2"/>
      <c r="B71" s="1903" t="s">
        <v>466</v>
      </c>
      <c r="C71" s="39"/>
      <c r="D71" s="39"/>
      <c r="E71" s="153">
        <f>SUM(G56:G62)*0.15</f>
        <v>2336.8700000000003</v>
      </c>
      <c r="F71" s="35"/>
      <c r="G71" s="35"/>
      <c r="H71" s="35"/>
      <c r="I71" s="46"/>
    </row>
    <row r="72" spans="1:9">
      <c r="A72" s="2"/>
      <c r="B72" s="1903"/>
      <c r="C72" s="39"/>
      <c r="D72" s="1180"/>
      <c r="E72" s="153"/>
      <c r="F72" s="35"/>
      <c r="G72" s="35"/>
      <c r="H72" s="35"/>
      <c r="I72" s="46"/>
    </row>
    <row r="73" spans="1:9">
      <c r="A73" s="2"/>
      <c r="B73" s="1903"/>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0.03*(I40+I54+I69)</f>
        <v>468.95734497505356</v>
      </c>
    </row>
    <row r="76" spans="1:9">
      <c r="A76" s="2"/>
      <c r="B76" s="33" t="s">
        <v>467</v>
      </c>
      <c r="C76" s="35"/>
      <c r="D76" s="35"/>
      <c r="E76" s="35"/>
      <c r="F76" s="35"/>
      <c r="G76" s="35"/>
      <c r="H76" s="35"/>
      <c r="I76" s="36"/>
    </row>
    <row r="77" spans="1:9">
      <c r="A77" s="2"/>
      <c r="B77" s="1903"/>
      <c r="C77" s="35"/>
      <c r="D77" s="35"/>
      <c r="E77" s="35"/>
      <c r="F77" s="35"/>
      <c r="G77" s="35"/>
      <c r="H77" s="35"/>
      <c r="I77" s="36"/>
    </row>
    <row r="78" spans="1:9">
      <c r="A78" s="2"/>
      <c r="B78" s="42" t="s">
        <v>468</v>
      </c>
      <c r="C78" s="35"/>
      <c r="D78" s="35"/>
      <c r="E78" s="35"/>
      <c r="F78" s="35"/>
      <c r="G78" s="35"/>
      <c r="H78" s="35"/>
      <c r="I78" s="1182">
        <f>0.01*(I40+I54+I69)</f>
        <v>156.31911499168453</v>
      </c>
    </row>
    <row r="79" spans="1:9">
      <c r="A79" s="2"/>
      <c r="B79" s="33" t="s">
        <v>749</v>
      </c>
      <c r="C79" s="35"/>
      <c r="D79" s="35"/>
      <c r="E79" s="35"/>
      <c r="F79" s="35"/>
      <c r="G79" s="35"/>
      <c r="H79" s="35"/>
      <c r="I79" s="36"/>
    </row>
    <row r="80" spans="1:9">
      <c r="A80" s="2"/>
      <c r="B80" s="1903"/>
      <c r="C80" s="35"/>
      <c r="D80" s="35"/>
      <c r="E80" s="35"/>
      <c r="F80" s="35"/>
      <c r="G80" s="35"/>
      <c r="H80" s="35"/>
      <c r="I80" s="36"/>
    </row>
    <row r="81" spans="1:9">
      <c r="A81" s="2"/>
      <c r="B81" s="42" t="s">
        <v>7</v>
      </c>
      <c r="C81" s="35"/>
      <c r="D81" s="35"/>
      <c r="E81" s="35"/>
      <c r="F81" s="35"/>
      <c r="G81" s="35"/>
      <c r="H81" s="35"/>
      <c r="I81" s="1166">
        <v>0</v>
      </c>
    </row>
    <row r="82" spans="1:9">
      <c r="A82" s="2"/>
      <c r="B82" s="33" t="s">
        <v>1282</v>
      </c>
      <c r="C82" s="35"/>
      <c r="D82" s="35"/>
      <c r="E82" s="35"/>
      <c r="F82" s="35"/>
      <c r="G82" s="35"/>
      <c r="H82" s="35"/>
      <c r="I82" s="36"/>
    </row>
    <row r="83" spans="1:9">
      <c r="A83" s="2"/>
      <c r="B83" s="1903"/>
      <c r="C83" s="35"/>
      <c r="D83" s="35"/>
      <c r="E83" s="35"/>
      <c r="F83" s="35"/>
      <c r="G83" s="35"/>
      <c r="H83" s="35"/>
      <c r="I83" s="36"/>
    </row>
    <row r="84" spans="1:9">
      <c r="A84" s="2"/>
      <c r="B84" s="42" t="s">
        <v>471</v>
      </c>
      <c r="C84" s="35"/>
      <c r="D84" s="35"/>
      <c r="E84" s="35"/>
      <c r="F84" s="39"/>
      <c r="G84" s="35"/>
      <c r="H84" s="35"/>
      <c r="I84" s="1166">
        <v>0</v>
      </c>
    </row>
    <row r="85" spans="1:9">
      <c r="A85" s="2"/>
      <c r="B85" s="756" t="s">
        <v>104</v>
      </c>
      <c r="C85" s="35"/>
      <c r="D85" s="35"/>
      <c r="E85" s="35"/>
      <c r="F85" s="35"/>
      <c r="G85" s="35"/>
      <c r="H85" s="35"/>
      <c r="I85" s="47"/>
    </row>
    <row r="86" spans="1:9">
      <c r="A86" s="2"/>
      <c r="B86" s="756"/>
      <c r="C86" s="35"/>
      <c r="D86" s="35"/>
      <c r="E86" s="35"/>
      <c r="F86" s="35"/>
      <c r="G86" s="35"/>
      <c r="H86" s="35"/>
      <c r="I86" s="47"/>
    </row>
    <row r="87" spans="1:9">
      <c r="A87" s="2"/>
      <c r="B87" s="1903"/>
      <c r="C87" s="35"/>
      <c r="D87" s="35"/>
      <c r="E87" s="35"/>
      <c r="F87" s="35"/>
      <c r="G87" s="35"/>
      <c r="H87" s="35"/>
      <c r="I87" s="36"/>
    </row>
    <row r="88" spans="1:9">
      <c r="A88" s="2"/>
      <c r="B88" s="42" t="s">
        <v>5</v>
      </c>
      <c r="C88" s="35"/>
      <c r="D88" s="35"/>
      <c r="E88" s="35"/>
      <c r="F88" s="35"/>
      <c r="G88" s="35"/>
      <c r="H88" s="35"/>
      <c r="I88" s="1166">
        <v>0</v>
      </c>
    </row>
    <row r="89" spans="1:9">
      <c r="A89" s="2"/>
      <c r="B89" s="33" t="s">
        <v>1283</v>
      </c>
      <c r="C89" s="35"/>
      <c r="D89" s="35"/>
      <c r="E89" s="35"/>
      <c r="F89" s="35"/>
      <c r="G89" s="35"/>
      <c r="H89" s="35"/>
      <c r="I89" s="47"/>
    </row>
    <row r="90" spans="1:9">
      <c r="A90" s="2"/>
      <c r="B90" s="1903"/>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+I40+I54+I69+I75+I81+I91</f>
        <v>16100.868844143506</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SUM(I39:I91)</f>
        <v>16257.18795913519</v>
      </c>
    </row>
  </sheetData>
  <mergeCells count="4">
    <mergeCell ref="B1:D1"/>
    <mergeCell ref="E54:H54"/>
    <mergeCell ref="B65:I66"/>
    <mergeCell ref="B70:C70"/>
  </mergeCells>
  <pageMargins left="0.75" right="0.75" top="1" bottom="1" header="0.5" footer="0.5"/>
  <pageSetup scale="59" orientation="portrait" r:id="rId1"/>
  <headerFooter alignWithMargins="0"/>
</worksheet>
</file>

<file path=xl/worksheets/sheet46.xml><?xml version="1.0" encoding="utf-8"?>
<worksheet xmlns="http://schemas.openxmlformats.org/spreadsheetml/2006/main" xmlns:r="http://schemas.openxmlformats.org/officeDocument/2006/relationships">
  <sheetPr>
    <pageSetUpPr fitToPage="1"/>
  </sheetPr>
  <dimension ref="A1:L97"/>
  <sheetViews>
    <sheetView workbookViewId="0">
      <selection activeCell="A2" sqref="A2:XFD27"/>
    </sheetView>
  </sheetViews>
  <sheetFormatPr defaultRowHeight="12.75"/>
  <cols>
    <col min="1" max="1" width="1.85546875" customWidth="1"/>
    <col min="3" max="3" width="24.140625" customWidth="1"/>
    <col min="4" max="4" width="23.140625" customWidth="1"/>
    <col min="5" max="5" width="54" customWidth="1"/>
    <col min="6" max="6" width="10.42578125" customWidth="1"/>
    <col min="7" max="7" width="10.140625" bestFit="1" customWidth="1"/>
    <col min="9" max="9" width="11.140625" bestFit="1" customWidth="1"/>
    <col min="10" max="10"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313</v>
      </c>
      <c r="C6" s="7" t="str">
        <f>+E12</f>
        <v>EQIP</v>
      </c>
      <c r="D6" s="53" t="s">
        <v>2504</v>
      </c>
      <c r="E6" s="53" t="s">
        <v>2510</v>
      </c>
      <c r="F6" s="7" t="str">
        <f>D36</f>
        <v>Each</v>
      </c>
      <c r="G6" s="85">
        <f>+I25</f>
        <v>13464.297633107626</v>
      </c>
    </row>
    <row r="7" spans="1:12">
      <c r="A7" s="2"/>
      <c r="B7" s="54">
        <f>+B6</f>
        <v>313</v>
      </c>
      <c r="C7" s="7" t="str">
        <f>+C6</f>
        <v>EQIP</v>
      </c>
      <c r="D7" s="53" t="s">
        <v>2504</v>
      </c>
      <c r="E7" s="2234" t="str">
        <f>CONCATENATE(E6, "-HU")</f>
        <v>2 House Broiler OR 56 to 80 Cattle AU, Concrete Walls-HU</v>
      </c>
      <c r="F7" s="7" t="str">
        <f>+F6</f>
        <v>Each</v>
      </c>
      <c r="G7" s="85">
        <f>+J25</f>
        <v>16157.157159729153</v>
      </c>
    </row>
    <row r="8" spans="1:12">
      <c r="A8" s="2"/>
      <c r="B8" s="54">
        <v>313</v>
      </c>
      <c r="C8" s="7" t="str">
        <f>+G12</f>
        <v>WHIP</v>
      </c>
      <c r="D8" s="53" t="s">
        <v>2504</v>
      </c>
      <c r="E8" s="53" t="s">
        <v>2510</v>
      </c>
      <c r="F8" s="7" t="str">
        <f>D36</f>
        <v>Each</v>
      </c>
      <c r="G8" s="85">
        <f>+K25</f>
        <v>0</v>
      </c>
    </row>
    <row r="9" spans="1:12">
      <c r="A9" s="2"/>
      <c r="B9" s="8">
        <f>+B8</f>
        <v>313</v>
      </c>
      <c r="C9" s="10" t="str">
        <f>+C8</f>
        <v>WHIP</v>
      </c>
      <c r="D9" s="9" t="s">
        <v>2504</v>
      </c>
      <c r="E9" s="9" t="str">
        <f>CONCATENATE(E6, "-HU")</f>
        <v>2 House Broiler OR 56 to 80 Cattle AU, Concrete Walls-HU</v>
      </c>
      <c r="F9" s="10" t="str">
        <f>+F8</f>
        <v>Each</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52.778165835115225</v>
      </c>
      <c r="E16" s="160">
        <f>+'[10]Payment Factors'!D45</f>
        <v>0.75</v>
      </c>
      <c r="F16" s="160">
        <f>+'[10]Payment Factors'!E45</f>
        <v>0.9</v>
      </c>
      <c r="G16" s="160">
        <f>+'[10]Payment Factors'!F19</f>
        <v>0</v>
      </c>
      <c r="H16" s="160">
        <f>+'[10]Payment Factors'!G19</f>
        <v>0</v>
      </c>
      <c r="I16" s="1154">
        <f t="shared" ref="I16:L24" si="0">+$D16*E16</f>
        <v>39.583624376336417</v>
      </c>
      <c r="J16" s="1154">
        <f t="shared" si="0"/>
        <v>47.500349251603701</v>
      </c>
      <c r="K16" s="1154">
        <f t="shared" si="0"/>
        <v>0</v>
      </c>
      <c r="L16" s="1155">
        <f t="shared" si="0"/>
        <v>0</v>
      </c>
    </row>
    <row r="17" spans="1:12">
      <c r="A17" s="2"/>
      <c r="B17" s="15" t="s">
        <v>2</v>
      </c>
      <c r="C17" s="16"/>
      <c r="D17" s="24">
        <f>+I54</f>
        <v>14770.223333333333</v>
      </c>
      <c r="E17" s="160">
        <f t="shared" ref="E17:H19" si="1">+E16</f>
        <v>0.75</v>
      </c>
      <c r="F17" s="160">
        <f t="shared" si="1"/>
        <v>0.9</v>
      </c>
      <c r="G17" s="160">
        <f t="shared" si="1"/>
        <v>0</v>
      </c>
      <c r="H17" s="160">
        <f t="shared" si="1"/>
        <v>0</v>
      </c>
      <c r="I17" s="1154">
        <f t="shared" si="0"/>
        <v>11077.6675</v>
      </c>
      <c r="J17" s="1154">
        <f t="shared" si="0"/>
        <v>13293.201000000001</v>
      </c>
      <c r="K17" s="1154">
        <f t="shared" si="0"/>
        <v>0</v>
      </c>
      <c r="L17" s="1155">
        <f t="shared" si="0"/>
        <v>0</v>
      </c>
    </row>
    <row r="18" spans="1:12">
      <c r="A18" s="2"/>
      <c r="B18" s="15" t="s">
        <v>3</v>
      </c>
      <c r="C18" s="16"/>
      <c r="D18" s="24">
        <f>+I69</f>
        <v>2606.5099999999998</v>
      </c>
      <c r="E18" s="160">
        <f t="shared" si="1"/>
        <v>0.75</v>
      </c>
      <c r="F18" s="160">
        <f t="shared" si="1"/>
        <v>0.9</v>
      </c>
      <c r="G18" s="160">
        <f t="shared" si="1"/>
        <v>0</v>
      </c>
      <c r="H18" s="160">
        <f t="shared" si="1"/>
        <v>0</v>
      </c>
      <c r="I18" s="1154">
        <f t="shared" si="0"/>
        <v>1954.8824999999997</v>
      </c>
      <c r="J18" s="1154">
        <f t="shared" si="0"/>
        <v>2345.8589999999999</v>
      </c>
      <c r="K18" s="1154">
        <f t="shared" si="0"/>
        <v>0</v>
      </c>
      <c r="L18" s="1155">
        <f t="shared" si="0"/>
        <v>0</v>
      </c>
    </row>
    <row r="19" spans="1:12">
      <c r="A19" s="2"/>
      <c r="B19" s="15" t="s">
        <v>4</v>
      </c>
      <c r="C19" s="16"/>
      <c r="D19" s="24">
        <f>+I75</f>
        <v>522.8853449750535</v>
      </c>
      <c r="E19" s="160">
        <f t="shared" si="1"/>
        <v>0.75</v>
      </c>
      <c r="F19" s="160">
        <f t="shared" si="1"/>
        <v>0.9</v>
      </c>
      <c r="G19" s="160">
        <f t="shared" si="1"/>
        <v>0</v>
      </c>
      <c r="H19" s="160">
        <f t="shared" si="1"/>
        <v>0</v>
      </c>
      <c r="I19" s="1154">
        <f t="shared" si="0"/>
        <v>392.1640087312901</v>
      </c>
      <c r="J19" s="1154">
        <f t="shared" si="0"/>
        <v>470.59681047754816</v>
      </c>
      <c r="K19" s="1154">
        <f t="shared" si="0"/>
        <v>0</v>
      </c>
      <c r="L19" s="1155">
        <f t="shared" si="0"/>
        <v>0</v>
      </c>
    </row>
    <row r="20" spans="1:12">
      <c r="A20" s="2"/>
      <c r="B20" s="15" t="s">
        <v>26</v>
      </c>
      <c r="C20" s="16"/>
      <c r="D20" s="24">
        <f>+I78</f>
        <v>174.2951149916845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+I84</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18126.691959135187</v>
      </c>
      <c r="E25" s="1158"/>
      <c r="F25" s="1158"/>
      <c r="G25" s="28"/>
      <c r="H25" s="28"/>
      <c r="I25" s="1159">
        <f>SUM(I16:I24)</f>
        <v>13464.297633107626</v>
      </c>
      <c r="J25" s="1159">
        <f>SUM(J16:J24)</f>
        <v>16157.157159729153</v>
      </c>
      <c r="K25" s="1159">
        <f>SUM(K16:K24)</f>
        <v>0</v>
      </c>
      <c r="L25" s="1160">
        <f>SUM(L16:L24)</f>
        <v>0</v>
      </c>
    </row>
    <row r="27" spans="1:12" ht="15.75">
      <c r="A27" s="2"/>
      <c r="B27" s="50" t="s">
        <v>28</v>
      </c>
      <c r="C27" s="2"/>
      <c r="D27" s="2"/>
      <c r="E27" s="2"/>
      <c r="F27" s="2"/>
      <c r="G27" s="2"/>
      <c r="H27" s="2"/>
      <c r="I27" s="5"/>
    </row>
    <row r="28" spans="1:12">
      <c r="A28" s="2"/>
      <c r="B28" s="29" t="s">
        <v>2507</v>
      </c>
      <c r="C28" s="30"/>
      <c r="D28" s="30"/>
      <c r="E28" s="31"/>
      <c r="F28" s="31"/>
      <c r="G28" s="31"/>
      <c r="H28" s="31"/>
      <c r="I28" s="32"/>
    </row>
    <row r="29" spans="1:12">
      <c r="A29" s="2"/>
      <c r="B29" s="1161" t="s">
        <v>2511</v>
      </c>
      <c r="C29" s="34"/>
      <c r="D29" s="34"/>
      <c r="E29" s="35"/>
      <c r="F29" s="35"/>
      <c r="G29" s="35"/>
      <c r="H29" s="35"/>
      <c r="I29" s="36"/>
    </row>
    <row r="30" spans="1:12">
      <c r="A30" s="2"/>
      <c r="B30" s="1161" t="s">
        <v>2509</v>
      </c>
      <c r="C30" s="143"/>
      <c r="D30" s="34"/>
      <c r="E30" s="35"/>
      <c r="F30" s="1163"/>
      <c r="G30" s="35"/>
      <c r="H30" s="35"/>
      <c r="I30" s="36"/>
    </row>
    <row r="31" spans="1:12">
      <c r="A31" s="2"/>
      <c r="B31" s="1903" t="s">
        <v>1277</v>
      </c>
      <c r="C31" s="34"/>
      <c r="D31" s="34"/>
      <c r="E31" s="35"/>
      <c r="F31" s="35"/>
      <c r="G31" s="35"/>
      <c r="H31" s="35"/>
      <c r="I31" s="36"/>
    </row>
    <row r="32" spans="1:12">
      <c r="A32" s="2"/>
      <c r="B32" s="1903"/>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1903"/>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1904"/>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+'[11]Core Rates'!C203</f>
        <v>8.75</v>
      </c>
      <c r="F43" s="1170">
        <v>0.4</v>
      </c>
      <c r="G43" s="1171">
        <f t="shared" si="2"/>
        <v>3.5</v>
      </c>
      <c r="H43" s="35"/>
      <c r="I43" s="36"/>
    </row>
    <row r="44" spans="1:9">
      <c r="A44" s="2"/>
      <c r="B44" s="1184" t="s">
        <v>453</v>
      </c>
      <c r="C44" s="6"/>
      <c r="D44" s="1185" t="s">
        <v>454</v>
      </c>
      <c r="E44" s="1169">
        <f>+'[11]Core Rates'!C228</f>
        <v>0.82427536231884069</v>
      </c>
      <c r="F44" s="1170">
        <v>10</v>
      </c>
      <c r="G44" s="1171">
        <f t="shared" si="2"/>
        <v>8.2427536231884062</v>
      </c>
      <c r="H44" s="35"/>
      <c r="I44" s="36"/>
    </row>
    <row r="45" spans="1:9">
      <c r="A45" s="2"/>
      <c r="B45" s="1186" t="s">
        <v>455</v>
      </c>
      <c r="C45" s="1187"/>
      <c r="D45" s="1185" t="s">
        <v>454</v>
      </c>
      <c r="E45" s="1169">
        <f>+'[11]Core Rates'!C235</f>
        <v>1.1702898550724636</v>
      </c>
      <c r="F45" s="1170">
        <v>10</v>
      </c>
      <c r="G45" s="1171">
        <f t="shared" si="2"/>
        <v>11.702898550724637</v>
      </c>
      <c r="H45" s="35"/>
      <c r="I45" s="36"/>
    </row>
    <row r="46" spans="1:9">
      <c r="A46" s="2"/>
      <c r="B46" s="1186" t="s">
        <v>456</v>
      </c>
      <c r="C46" s="1187"/>
      <c r="D46" s="1168" t="s">
        <v>454</v>
      </c>
      <c r="E46" s="1169">
        <f>+'[11]Core Rates'!C246</f>
        <v>0.58825136612021856</v>
      </c>
      <c r="F46" s="1170">
        <v>10</v>
      </c>
      <c r="G46" s="1171">
        <f t="shared" si="2"/>
        <v>5.8825136612021858</v>
      </c>
      <c r="H46" s="35"/>
      <c r="I46" s="36"/>
    </row>
    <row r="47" spans="1:9">
      <c r="A47" s="2"/>
      <c r="B47" s="1186" t="str">
        <f>+'[11]Core Rates'!A313</f>
        <v>Seed (Tall Fescue KY-31)</v>
      </c>
      <c r="C47" s="1187"/>
      <c r="D47" s="1185" t="s">
        <v>454</v>
      </c>
      <c r="E47" s="1169">
        <f>+'[11]Core Rates'!C313</f>
        <v>2.3449999999999998</v>
      </c>
      <c r="F47" s="1170">
        <v>10</v>
      </c>
      <c r="G47" s="1171">
        <f t="shared" si="2"/>
        <v>23.449999999999996</v>
      </c>
      <c r="H47" s="35"/>
      <c r="I47" s="36"/>
    </row>
    <row r="48" spans="1:9">
      <c r="A48" s="2"/>
      <c r="B48" s="1186" t="s">
        <v>480</v>
      </c>
      <c r="C48" s="1187"/>
      <c r="D48" s="1185" t="s">
        <v>454</v>
      </c>
      <c r="E48" s="1169">
        <f>+'[11]Core Rates'!C311</f>
        <v>2.0975000000000001</v>
      </c>
      <c r="F48" s="1170">
        <v>0</v>
      </c>
      <c r="G48" s="1171">
        <f t="shared" si="2"/>
        <v>0</v>
      </c>
      <c r="H48" s="35"/>
      <c r="I48" s="36"/>
    </row>
    <row r="49" spans="1:9">
      <c r="A49" s="2"/>
      <c r="B49" s="1186" t="s">
        <v>481</v>
      </c>
      <c r="C49" s="1187"/>
      <c r="D49" s="1185" t="s">
        <v>454</v>
      </c>
      <c r="E49" s="1169">
        <f>+'[11]Core Rates'!C312</f>
        <v>3.5</v>
      </c>
      <c r="F49" s="1170">
        <v>0</v>
      </c>
      <c r="G49" s="1171">
        <f t="shared" si="2"/>
        <v>0</v>
      </c>
      <c r="H49" s="35"/>
      <c r="I49" s="36"/>
    </row>
    <row r="50" spans="1:9">
      <c r="A50" s="2"/>
      <c r="B50" s="1184"/>
      <c r="C50" s="6"/>
      <c r="D50" s="1173"/>
      <c r="E50" s="1190"/>
      <c r="F50" s="35"/>
      <c r="G50" s="35"/>
      <c r="H50" s="35"/>
      <c r="I50" s="36"/>
    </row>
    <row r="51" spans="1:9">
      <c r="A51" s="2"/>
      <c r="B51" s="40" t="s">
        <v>1278</v>
      </c>
      <c r="C51" s="6"/>
      <c r="D51" s="1173"/>
      <c r="E51" s="1190"/>
      <c r="F51" s="35"/>
      <c r="G51" s="35"/>
      <c r="H51" s="35"/>
      <c r="I51" s="36"/>
    </row>
    <row r="52" spans="1:9">
      <c r="A52" s="2"/>
      <c r="B52" s="40" t="s">
        <v>1279</v>
      </c>
      <c r="C52" s="6"/>
      <c r="D52" s="1173"/>
      <c r="E52" s="35"/>
      <c r="F52" s="35"/>
      <c r="G52" s="35"/>
      <c r="H52" s="35"/>
      <c r="I52" s="3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(SUM(G56:G62)*0.85)</f>
        <v>14770.223333333333</v>
      </c>
    </row>
    <row r="55" spans="1:9">
      <c r="A55" s="2"/>
      <c r="B55" s="1174"/>
      <c r="C55" s="35"/>
      <c r="D55" s="1167" t="s">
        <v>447</v>
      </c>
      <c r="E55" s="1167" t="s">
        <v>448</v>
      </c>
      <c r="F55" s="1167" t="s">
        <v>449</v>
      </c>
      <c r="G55" s="1167" t="s">
        <v>450</v>
      </c>
      <c r="H55" s="35"/>
      <c r="I55" s="46"/>
    </row>
    <row r="56" spans="1:9">
      <c r="A56" s="2"/>
      <c r="B56" s="1387" t="str">
        <f>+'[11]Core Rates'!A111</f>
        <v>Earthmoving: Medium grading/shaping (2-6 hrs/ac)</v>
      </c>
      <c r="C56" s="6"/>
      <c r="D56" s="1168" t="s">
        <v>408</v>
      </c>
      <c r="E56" s="1169">
        <f>+'[11]Core Rates'!C111</f>
        <v>503.625</v>
      </c>
      <c r="F56" s="1170">
        <v>0.2</v>
      </c>
      <c r="G56" s="1171">
        <f t="shared" ref="G56:G62" si="3">+F56*E56</f>
        <v>100.72500000000001</v>
      </c>
      <c r="H56" s="35"/>
      <c r="I56" s="47"/>
    </row>
    <row r="57" spans="1:9">
      <c r="A57" s="2"/>
      <c r="B57" s="1186" t="str">
        <f>+'[11]Core Rates'!A21</f>
        <v>5" Concrete Floor w/ 4' ht. x 6" w. Concrete Wall *</v>
      </c>
      <c r="C57" s="1376"/>
      <c r="D57" s="1382" t="str">
        <f>+'[11]Core Rates'!B21</f>
        <v>Sq Ft</v>
      </c>
      <c r="E57" s="1383">
        <f>+'[11]Core Rates'!C21</f>
        <v>10.673249999999999</v>
      </c>
      <c r="F57" s="1170">
        <v>1600</v>
      </c>
      <c r="G57" s="1171">
        <f t="shared" si="3"/>
        <v>17077.2</v>
      </c>
      <c r="H57" s="35"/>
      <c r="I57" s="47"/>
    </row>
    <row r="58" spans="1:9">
      <c r="A58" s="2"/>
      <c r="B58" s="40" t="s">
        <v>461</v>
      </c>
      <c r="C58" s="6"/>
      <c r="D58" s="1168" t="s">
        <v>408</v>
      </c>
      <c r="E58" s="1169">
        <f>+'[11]Core Rates'!C104</f>
        <v>20</v>
      </c>
      <c r="F58" s="1170">
        <v>0.2</v>
      </c>
      <c r="G58" s="1171">
        <f t="shared" si="3"/>
        <v>4</v>
      </c>
      <c r="H58" s="35"/>
      <c r="I58" s="47"/>
    </row>
    <row r="59" spans="1:9">
      <c r="A59" s="2"/>
      <c r="B59" s="40" t="s">
        <v>462</v>
      </c>
      <c r="C59" s="6"/>
      <c r="D59" s="1168" t="s">
        <v>408</v>
      </c>
      <c r="E59" s="1169">
        <f>+'[11]Core Rates'!AN33</f>
        <v>5.416666666666667</v>
      </c>
      <c r="F59" s="1170">
        <v>0.2</v>
      </c>
      <c r="G59" s="1171">
        <f t="shared" si="3"/>
        <v>1.0833333333333335</v>
      </c>
      <c r="H59" s="35"/>
      <c r="I59" s="47"/>
    </row>
    <row r="60" spans="1:9">
      <c r="A60" s="2"/>
      <c r="B60" s="40" t="s">
        <v>463</v>
      </c>
      <c r="C60" s="6"/>
      <c r="D60" s="1168" t="s">
        <v>452</v>
      </c>
      <c r="E60" s="1169">
        <f>+'[11]Core Rates'!AN34</f>
        <v>5.5</v>
      </c>
      <c r="F60" s="1170">
        <v>0.4</v>
      </c>
      <c r="G60" s="1171">
        <f t="shared" si="3"/>
        <v>2.2000000000000002</v>
      </c>
      <c r="H60" s="35"/>
      <c r="I60" s="47"/>
    </row>
    <row r="61" spans="1:9">
      <c r="A61" s="2"/>
      <c r="B61" s="40" t="s">
        <v>464</v>
      </c>
      <c r="C61" s="6"/>
      <c r="D61" s="1168" t="s">
        <v>452</v>
      </c>
      <c r="E61" s="1169">
        <f>+'[11]Core Rates'!AN32</f>
        <v>6.3125</v>
      </c>
      <c r="F61" s="1170">
        <v>0.4</v>
      </c>
      <c r="G61" s="1171">
        <f t="shared" si="3"/>
        <v>2.5250000000000004</v>
      </c>
      <c r="H61" s="35"/>
      <c r="I61" s="47"/>
    </row>
    <row r="62" spans="1:9">
      <c r="A62" s="2"/>
      <c r="B62" s="40" t="s">
        <v>1280</v>
      </c>
      <c r="C62" s="6"/>
      <c r="D62" s="1168" t="s">
        <v>619</v>
      </c>
      <c r="E62" s="1169">
        <f>+'[11]Core Rates'!C217</f>
        <v>472.5</v>
      </c>
      <c r="F62" s="1170">
        <v>0.4</v>
      </c>
      <c r="G62" s="1171">
        <f t="shared" si="3"/>
        <v>189</v>
      </c>
      <c r="H62" s="35"/>
      <c r="I62" s="47"/>
    </row>
    <row r="63" spans="1:9">
      <c r="A63" s="2"/>
      <c r="B63" s="40"/>
      <c r="C63" s="6"/>
      <c r="D63" s="63"/>
      <c r="E63" s="150"/>
      <c r="F63" s="150"/>
      <c r="G63" s="1169"/>
      <c r="H63" s="35"/>
      <c r="I63" s="47"/>
    </row>
    <row r="64" spans="1:9">
      <c r="A64" s="2"/>
      <c r="B64" s="1903" t="s">
        <v>43</v>
      </c>
      <c r="C64" s="35"/>
      <c r="D64" s="35"/>
      <c r="E64" s="60"/>
      <c r="F64" s="60"/>
      <c r="G64" s="60"/>
      <c r="H64" s="35"/>
      <c r="I64" s="46"/>
    </row>
    <row r="65" spans="1:9" ht="12.75" customHeight="1">
      <c r="A65" s="2"/>
      <c r="B65" s="2004" t="s">
        <v>1281</v>
      </c>
      <c r="C65" s="2005"/>
      <c r="D65" s="2005"/>
      <c r="E65" s="2005"/>
      <c r="F65" s="2005"/>
      <c r="G65" s="2005"/>
      <c r="H65" s="2005"/>
      <c r="I65" s="2006"/>
    </row>
    <row r="66" spans="1:9">
      <c r="A66" s="2"/>
      <c r="B66" s="2004"/>
      <c r="C66" s="2005"/>
      <c r="D66" s="2005"/>
      <c r="E66" s="2005"/>
      <c r="F66" s="2005"/>
      <c r="G66" s="2005"/>
      <c r="H66" s="2005"/>
      <c r="I66" s="2006"/>
    </row>
    <row r="67" spans="1:9">
      <c r="A67" s="2"/>
      <c r="B67" s="1900"/>
      <c r="C67" s="1901"/>
      <c r="D67" s="1901"/>
      <c r="E67" s="1901"/>
      <c r="F67" s="1901"/>
      <c r="G67" s="1901"/>
      <c r="H67" s="1901"/>
      <c r="I67" s="1902"/>
    </row>
    <row r="68" spans="1:9">
      <c r="A68" s="2"/>
      <c r="B68" s="1900"/>
      <c r="C68" s="1901"/>
      <c r="D68" s="1901"/>
      <c r="E68" s="1901"/>
      <c r="F68" s="1901"/>
      <c r="G68" s="1901"/>
      <c r="H68" s="1901"/>
      <c r="I68" s="1902"/>
    </row>
    <row r="69" spans="1:9">
      <c r="A69" s="2"/>
      <c r="B69" s="42" t="s">
        <v>3</v>
      </c>
      <c r="C69" s="35"/>
      <c r="D69" s="35"/>
      <c r="E69" s="35"/>
      <c r="F69" s="39"/>
      <c r="G69" s="35"/>
      <c r="H69" s="35"/>
      <c r="I69" s="1182">
        <f>E71</f>
        <v>2606.5099999999998</v>
      </c>
    </row>
    <row r="70" spans="1:9">
      <c r="A70" s="2"/>
      <c r="B70" s="2007" t="s">
        <v>465</v>
      </c>
      <c r="C70" s="2008"/>
      <c r="D70" s="35"/>
      <c r="E70" s="35"/>
      <c r="F70" s="35"/>
      <c r="G70" s="35"/>
      <c r="H70" s="35"/>
      <c r="I70" s="48"/>
    </row>
    <row r="71" spans="1:9">
      <c r="A71" s="2"/>
      <c r="B71" s="1903" t="s">
        <v>466</v>
      </c>
      <c r="C71" s="39"/>
      <c r="D71" s="39"/>
      <c r="E71" s="153">
        <f>SUM(G56:G62)*0.15</f>
        <v>2606.5099999999998</v>
      </c>
      <c r="F71" s="35"/>
      <c r="G71" s="35"/>
      <c r="H71" s="35"/>
      <c r="I71" s="46"/>
    </row>
    <row r="72" spans="1:9">
      <c r="A72" s="2"/>
      <c r="B72" s="1903"/>
      <c r="C72" s="39"/>
      <c r="D72" s="1180"/>
      <c r="E72" s="153"/>
      <c r="F72" s="35"/>
      <c r="G72" s="35"/>
      <c r="H72" s="35"/>
      <c r="I72" s="46"/>
    </row>
    <row r="73" spans="1:9">
      <c r="A73" s="2"/>
      <c r="B73" s="1903"/>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0.03*(I40+I54+I69)</f>
        <v>522.8853449750535</v>
      </c>
    </row>
    <row r="76" spans="1:9">
      <c r="A76" s="2"/>
      <c r="B76" s="33" t="s">
        <v>467</v>
      </c>
      <c r="C76" s="35"/>
      <c r="D76" s="35"/>
      <c r="E76" s="35"/>
      <c r="F76" s="35"/>
      <c r="G76" s="35"/>
      <c r="H76" s="35"/>
      <c r="I76" s="36"/>
    </row>
    <row r="77" spans="1:9">
      <c r="A77" s="2"/>
      <c r="B77" s="1903"/>
      <c r="C77" s="35"/>
      <c r="D77" s="35"/>
      <c r="E77" s="35"/>
      <c r="F77" s="35"/>
      <c r="G77" s="35"/>
      <c r="H77" s="35"/>
      <c r="I77" s="36"/>
    </row>
    <row r="78" spans="1:9">
      <c r="A78" s="2"/>
      <c r="B78" s="42" t="s">
        <v>468</v>
      </c>
      <c r="C78" s="35"/>
      <c r="D78" s="35"/>
      <c r="E78" s="35"/>
      <c r="F78" s="35"/>
      <c r="G78" s="35"/>
      <c r="H78" s="35"/>
      <c r="I78" s="1182">
        <f>0.01*(I40+I54+I69)</f>
        <v>174.2951149916845</v>
      </c>
    </row>
    <row r="79" spans="1:9">
      <c r="A79" s="2"/>
      <c r="B79" s="33" t="s">
        <v>749</v>
      </c>
      <c r="C79" s="35"/>
      <c r="D79" s="35"/>
      <c r="E79" s="35"/>
      <c r="F79" s="35"/>
      <c r="G79" s="35"/>
      <c r="H79" s="35"/>
      <c r="I79" s="36"/>
    </row>
    <row r="80" spans="1:9">
      <c r="A80" s="2"/>
      <c r="B80" s="1903"/>
      <c r="C80" s="35"/>
      <c r="D80" s="35"/>
      <c r="E80" s="35"/>
      <c r="F80" s="35"/>
      <c r="G80" s="35"/>
      <c r="H80" s="35"/>
      <c r="I80" s="36"/>
    </row>
    <row r="81" spans="1:9">
      <c r="A81" s="2"/>
      <c r="B81" s="42" t="s">
        <v>7</v>
      </c>
      <c r="C81" s="35"/>
      <c r="D81" s="35"/>
      <c r="E81" s="35"/>
      <c r="F81" s="35"/>
      <c r="G81" s="35"/>
      <c r="H81" s="35"/>
      <c r="I81" s="1166">
        <v>0</v>
      </c>
    </row>
    <row r="82" spans="1:9">
      <c r="A82" s="2"/>
      <c r="B82" s="33" t="s">
        <v>1282</v>
      </c>
      <c r="C82" s="35"/>
      <c r="D82" s="35"/>
      <c r="E82" s="35"/>
      <c r="F82" s="35"/>
      <c r="G82" s="35"/>
      <c r="H82" s="35"/>
      <c r="I82" s="36"/>
    </row>
    <row r="83" spans="1:9">
      <c r="A83" s="2"/>
      <c r="B83" s="1903"/>
      <c r="C83" s="35"/>
      <c r="D83" s="35"/>
      <c r="E83" s="35"/>
      <c r="F83" s="35"/>
      <c r="G83" s="35"/>
      <c r="H83" s="35"/>
      <c r="I83" s="36"/>
    </row>
    <row r="84" spans="1:9">
      <c r="A84" s="2"/>
      <c r="B84" s="42" t="s">
        <v>471</v>
      </c>
      <c r="C84" s="35"/>
      <c r="D84" s="35"/>
      <c r="E84" s="35"/>
      <c r="F84" s="39"/>
      <c r="G84" s="35"/>
      <c r="H84" s="35"/>
      <c r="I84" s="1166">
        <v>0</v>
      </c>
    </row>
    <row r="85" spans="1:9">
      <c r="A85" s="2"/>
      <c r="B85" s="756" t="s">
        <v>104</v>
      </c>
      <c r="C85" s="35"/>
      <c r="D85" s="35"/>
      <c r="E85" s="35"/>
      <c r="F85" s="35"/>
      <c r="G85" s="35"/>
      <c r="H85" s="35"/>
      <c r="I85" s="47"/>
    </row>
    <row r="86" spans="1:9">
      <c r="A86" s="2"/>
      <c r="B86" s="756"/>
      <c r="C86" s="35"/>
      <c r="D86" s="35"/>
      <c r="E86" s="35"/>
      <c r="F86" s="35"/>
      <c r="G86" s="35"/>
      <c r="H86" s="35"/>
      <c r="I86" s="47"/>
    </row>
    <row r="87" spans="1:9">
      <c r="A87" s="2"/>
      <c r="B87" s="1903"/>
      <c r="C87" s="35"/>
      <c r="D87" s="35"/>
      <c r="E87" s="35"/>
      <c r="F87" s="35"/>
      <c r="G87" s="35"/>
      <c r="H87" s="35"/>
      <c r="I87" s="36"/>
    </row>
    <row r="88" spans="1:9">
      <c r="A88" s="2"/>
      <c r="B88" s="42" t="s">
        <v>5</v>
      </c>
      <c r="C88" s="35"/>
      <c r="D88" s="35"/>
      <c r="E88" s="35"/>
      <c r="F88" s="35"/>
      <c r="G88" s="35"/>
      <c r="H88" s="35"/>
      <c r="I88" s="1166">
        <v>0</v>
      </c>
    </row>
    <row r="89" spans="1:9">
      <c r="A89" s="2"/>
      <c r="B89" s="33" t="s">
        <v>1283</v>
      </c>
      <c r="C89" s="35"/>
      <c r="D89" s="35"/>
      <c r="E89" s="35"/>
      <c r="F89" s="35"/>
      <c r="G89" s="35"/>
      <c r="H89" s="35"/>
      <c r="I89" s="47"/>
    </row>
    <row r="90" spans="1:9">
      <c r="A90" s="2"/>
      <c r="B90" s="1903"/>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+I40+I54+I69+I75+I81+I91</f>
        <v>17952.396844143503</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18126.691959135187</v>
      </c>
    </row>
  </sheetData>
  <mergeCells count="4">
    <mergeCell ref="B1:D1"/>
    <mergeCell ref="E54:H54"/>
    <mergeCell ref="B65:I66"/>
    <mergeCell ref="B70:C70"/>
  </mergeCells>
  <pageMargins left="0.75" right="0.75" top="1" bottom="1" header="0.5" footer="0.5"/>
  <pageSetup scale="59" orientation="portrait" r:id="rId1"/>
  <headerFooter alignWithMargins="0"/>
</worksheet>
</file>

<file path=xl/worksheets/sheet47.xml><?xml version="1.0" encoding="utf-8"?>
<worksheet xmlns="http://schemas.openxmlformats.org/spreadsheetml/2006/main" xmlns:r="http://schemas.openxmlformats.org/officeDocument/2006/relationships">
  <sheetPr>
    <pageSetUpPr fitToPage="1"/>
  </sheetPr>
  <dimension ref="A1:L106"/>
  <sheetViews>
    <sheetView workbookViewId="0">
      <selection activeCell="A2" sqref="A2:XFD27"/>
    </sheetView>
  </sheetViews>
  <sheetFormatPr defaultRowHeight="12.75"/>
  <cols>
    <col min="1" max="1" width="1.85546875" customWidth="1"/>
    <col min="3" max="3" width="24.140625" customWidth="1"/>
    <col min="4" max="4" width="23.140625" customWidth="1"/>
    <col min="5" max="5" width="54" customWidth="1"/>
    <col min="6" max="6" width="10.42578125" customWidth="1"/>
    <col min="7" max="7" width="12.7109375" bestFit="1" customWidth="1"/>
    <col min="9" max="9" width="11.28515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313</v>
      </c>
      <c r="C6" s="7" t="str">
        <f>+E12</f>
        <v>EQIP</v>
      </c>
      <c r="D6" s="53" t="s">
        <v>1272</v>
      </c>
      <c r="E6" s="53" t="s">
        <v>1273</v>
      </c>
      <c r="F6" s="7" t="str">
        <f>D37</f>
        <v>Each</v>
      </c>
      <c r="G6" s="85">
        <f>+I25</f>
        <v>7950.634008707626</v>
      </c>
    </row>
    <row r="7" spans="1:12">
      <c r="A7" s="2"/>
      <c r="B7" s="54">
        <f>+B6</f>
        <v>313</v>
      </c>
      <c r="C7" s="7" t="str">
        <f>+C6</f>
        <v>EQIP</v>
      </c>
      <c r="D7" s="53" t="s">
        <v>1272</v>
      </c>
      <c r="E7" s="53" t="str">
        <f>CONCATENATE(E6, "-HU")</f>
        <v>Wet System "Small" Operations, up to 100 AU-HU</v>
      </c>
      <c r="F7" s="7" t="str">
        <f>+F6</f>
        <v>Each</v>
      </c>
      <c r="G7" s="85">
        <f>+J25</f>
        <v>9540.7608104491519</v>
      </c>
    </row>
    <row r="8" spans="1:12">
      <c r="A8" s="2"/>
      <c r="B8" s="54">
        <v>313</v>
      </c>
      <c r="C8" s="7" t="str">
        <f>+G12</f>
        <v>WHIP</v>
      </c>
      <c r="D8" s="53" t="s">
        <v>1272</v>
      </c>
      <c r="E8" s="53" t="s">
        <v>1273</v>
      </c>
      <c r="F8" s="7" t="str">
        <f>D37</f>
        <v>Each</v>
      </c>
      <c r="G8" s="85">
        <f>+K25</f>
        <v>0</v>
      </c>
    </row>
    <row r="9" spans="1:12">
      <c r="A9" s="2"/>
      <c r="B9" s="8">
        <f>+B8</f>
        <v>313</v>
      </c>
      <c r="C9" s="10" t="str">
        <f>+C8</f>
        <v>WHIP</v>
      </c>
      <c r="D9" s="9" t="s">
        <v>1272</v>
      </c>
      <c r="E9" s="9" t="str">
        <f>CONCATENATE(E6, "-HU")</f>
        <v>Wet System "Small" Operations, up to 100 AU-HU</v>
      </c>
      <c r="F9" s="10" t="str">
        <f>+F8</f>
        <v>Each</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+I41</f>
        <v>52.778165835115225</v>
      </c>
      <c r="E16" s="160">
        <f>+'[10]Payment Factors'!D45</f>
        <v>0.75</v>
      </c>
      <c r="F16" s="160">
        <f>+'[10]Payment Factors'!E45</f>
        <v>0.9</v>
      </c>
      <c r="G16" s="160">
        <f>+'[10]Payment Factors'!F19</f>
        <v>0</v>
      </c>
      <c r="H16" s="160">
        <f>+'[10]Payment Factors'!G19</f>
        <v>0</v>
      </c>
      <c r="I16" s="1154">
        <f t="shared" ref="I16:L24" si="0">+$D16*E16</f>
        <v>39.583624376336417</v>
      </c>
      <c r="J16" s="1154">
        <f t="shared" si="0"/>
        <v>47.500349251603701</v>
      </c>
      <c r="K16" s="1154">
        <f t="shared" si="0"/>
        <v>0</v>
      </c>
      <c r="L16" s="1155">
        <f t="shared" si="0"/>
        <v>0</v>
      </c>
    </row>
    <row r="17" spans="1:12">
      <c r="A17" s="2"/>
      <c r="B17" s="15" t="s">
        <v>2</v>
      </c>
      <c r="C17" s="16"/>
      <c r="D17" s="24">
        <f>+I55</f>
        <v>8703.408989333333</v>
      </c>
      <c r="E17" s="160">
        <f t="shared" ref="E17:H19" si="1">+E16</f>
        <v>0.75</v>
      </c>
      <c r="F17" s="160">
        <f t="shared" si="1"/>
        <v>0.9</v>
      </c>
      <c r="G17" s="160">
        <f t="shared" si="1"/>
        <v>0</v>
      </c>
      <c r="H17" s="160">
        <f t="shared" si="1"/>
        <v>0</v>
      </c>
      <c r="I17" s="1154">
        <f t="shared" si="0"/>
        <v>6527.5567419999998</v>
      </c>
      <c r="J17" s="1154">
        <f t="shared" si="0"/>
        <v>7833.0680904000001</v>
      </c>
      <c r="K17" s="1154">
        <f t="shared" si="0"/>
        <v>0</v>
      </c>
      <c r="L17" s="1155">
        <f t="shared" si="0"/>
        <v>0</v>
      </c>
    </row>
    <row r="18" spans="1:12">
      <c r="A18" s="2"/>
      <c r="B18" s="15" t="s">
        <v>3</v>
      </c>
      <c r="C18" s="16"/>
      <c r="D18" s="24">
        <f>+I76</f>
        <v>1535.895704</v>
      </c>
      <c r="E18" s="160">
        <f t="shared" si="1"/>
        <v>0.75</v>
      </c>
      <c r="F18" s="160">
        <f t="shared" si="1"/>
        <v>0.9</v>
      </c>
      <c r="G18" s="160">
        <f t="shared" si="1"/>
        <v>0</v>
      </c>
      <c r="H18" s="160">
        <f t="shared" si="1"/>
        <v>0</v>
      </c>
      <c r="I18" s="1154">
        <f t="shared" si="0"/>
        <v>1151.9217779999999</v>
      </c>
      <c r="J18" s="1154">
        <f t="shared" si="0"/>
        <v>1382.3061336000001</v>
      </c>
      <c r="K18" s="1154">
        <f t="shared" si="0"/>
        <v>0</v>
      </c>
      <c r="L18" s="1155">
        <f t="shared" si="0"/>
        <v>0</v>
      </c>
    </row>
    <row r="19" spans="1:12">
      <c r="A19" s="2"/>
      <c r="B19" s="15" t="s">
        <v>4</v>
      </c>
      <c r="C19" s="16"/>
      <c r="D19" s="24">
        <f>+I82</f>
        <v>308.76248577505345</v>
      </c>
      <c r="E19" s="160">
        <f t="shared" si="1"/>
        <v>0.75</v>
      </c>
      <c r="F19" s="160">
        <f t="shared" si="1"/>
        <v>0.9</v>
      </c>
      <c r="G19" s="160">
        <f t="shared" si="1"/>
        <v>0</v>
      </c>
      <c r="H19" s="160">
        <f t="shared" si="1"/>
        <v>0</v>
      </c>
      <c r="I19" s="1154">
        <f t="shared" si="0"/>
        <v>231.5718643312901</v>
      </c>
      <c r="J19" s="1154">
        <f t="shared" si="0"/>
        <v>277.8862371975481</v>
      </c>
      <c r="K19" s="1154">
        <f t="shared" si="0"/>
        <v>0</v>
      </c>
      <c r="L19" s="1155">
        <f t="shared" si="0"/>
        <v>0</v>
      </c>
    </row>
    <row r="20" spans="1:12">
      <c r="A20" s="2"/>
      <c r="B20" s="15" t="s">
        <v>26</v>
      </c>
      <c r="C20" s="16"/>
      <c r="D20" s="24">
        <f>+I85</f>
        <v>102.9208285916845</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+I88</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+I91</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+I95</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+I98</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10703.766173535188</v>
      </c>
      <c r="E25" s="1158"/>
      <c r="F25" s="1158"/>
      <c r="G25" s="28"/>
      <c r="H25" s="28"/>
      <c r="I25" s="1159">
        <f>SUM(I16:I24)</f>
        <v>7950.634008707626</v>
      </c>
      <c r="J25" s="1159">
        <f>SUM(J16:J24)</f>
        <v>9540.7608104491519</v>
      </c>
      <c r="K25" s="1159">
        <f>SUM(K16:K24)</f>
        <v>0</v>
      </c>
      <c r="L25" s="1160">
        <f>SUM(L16:L24)</f>
        <v>0</v>
      </c>
    </row>
    <row r="26" spans="1:12">
      <c r="B26" s="126"/>
      <c r="C26" s="49"/>
      <c r="D26" s="80"/>
    </row>
    <row r="27" spans="1:12" s="1373" customFormat="1">
      <c r="B27" s="126"/>
      <c r="C27" s="49"/>
      <c r="D27" s="80"/>
    </row>
    <row r="28" spans="1:12" ht="15.75">
      <c r="A28" s="2"/>
      <c r="B28" s="50" t="s">
        <v>28</v>
      </c>
      <c r="C28" s="2"/>
      <c r="D28" s="2"/>
      <c r="E28" s="2"/>
      <c r="F28" s="2"/>
      <c r="G28" s="2"/>
      <c r="H28" s="2"/>
      <c r="I28" s="5"/>
    </row>
    <row r="29" spans="1:12">
      <c r="A29" s="2"/>
      <c r="B29" s="29" t="s">
        <v>1274</v>
      </c>
      <c r="C29" s="30"/>
      <c r="D29" s="30"/>
      <c r="E29" s="31"/>
      <c r="F29" s="31"/>
      <c r="G29" s="31"/>
      <c r="H29" s="31"/>
      <c r="I29" s="32"/>
    </row>
    <row r="30" spans="1:12">
      <c r="A30" s="2"/>
      <c r="B30" s="1161" t="s">
        <v>1275</v>
      </c>
      <c r="C30" s="34"/>
      <c r="D30" s="34"/>
      <c r="E30" s="35"/>
      <c r="F30" s="35"/>
      <c r="G30" s="35"/>
      <c r="H30" s="35"/>
      <c r="I30" s="36"/>
    </row>
    <row r="31" spans="1:12">
      <c r="A31" s="2"/>
      <c r="B31" s="1161" t="s">
        <v>1276</v>
      </c>
      <c r="C31" s="143"/>
      <c r="D31" s="34"/>
      <c r="E31" s="35"/>
      <c r="F31" s="1163"/>
      <c r="G31" s="35"/>
      <c r="H31" s="35"/>
      <c r="I31" s="36"/>
    </row>
    <row r="32" spans="1:12">
      <c r="A32" s="2"/>
      <c r="B32" s="37" t="s">
        <v>1277</v>
      </c>
      <c r="C32" s="34"/>
      <c r="D32" s="34"/>
      <c r="E32" s="35"/>
      <c r="F32" s="35"/>
      <c r="G32" s="35"/>
      <c r="H32" s="35"/>
      <c r="I32" s="36"/>
    </row>
    <row r="33" spans="1:9">
      <c r="A33" s="2"/>
      <c r="B33" s="37"/>
      <c r="C33" s="34"/>
      <c r="D33" s="34"/>
      <c r="E33" s="35"/>
      <c r="F33" s="35"/>
      <c r="G33" s="35"/>
      <c r="H33" s="35"/>
      <c r="I33" s="36"/>
    </row>
    <row r="34" spans="1:9">
      <c r="A34" s="2"/>
      <c r="B34" s="33"/>
      <c r="C34" s="34"/>
      <c r="D34" s="34"/>
      <c r="E34" s="35"/>
      <c r="F34" s="35"/>
      <c r="G34" s="35"/>
      <c r="H34" s="35"/>
      <c r="I34" s="36"/>
    </row>
    <row r="35" spans="1:9">
      <c r="A35" s="2"/>
      <c r="B35" s="38" t="s">
        <v>25</v>
      </c>
      <c r="C35" s="34"/>
      <c r="D35" s="39" t="s">
        <v>91</v>
      </c>
      <c r="E35" s="6"/>
      <c r="F35" s="35"/>
      <c r="G35" s="35"/>
      <c r="H35" s="35"/>
      <c r="I35" s="36"/>
    </row>
    <row r="36" spans="1:9">
      <c r="A36" s="2"/>
      <c r="B36" s="37"/>
      <c r="C36" s="34"/>
      <c r="D36" s="35"/>
      <c r="E36" s="6"/>
      <c r="F36" s="35"/>
      <c r="G36" s="35"/>
      <c r="H36" s="35"/>
      <c r="I36" s="36"/>
    </row>
    <row r="37" spans="1:9">
      <c r="A37" s="2"/>
      <c r="B37" s="38" t="s">
        <v>8</v>
      </c>
      <c r="C37" s="34"/>
      <c r="D37" s="39" t="s">
        <v>712</v>
      </c>
      <c r="E37" s="6"/>
      <c r="F37" s="35"/>
      <c r="G37" s="35"/>
      <c r="H37" s="35"/>
      <c r="I37" s="36"/>
    </row>
    <row r="38" spans="1:9">
      <c r="A38" s="2"/>
      <c r="B38" s="38" t="s">
        <v>9</v>
      </c>
      <c r="C38" s="34"/>
      <c r="D38" s="1164">
        <f>+'[10]Payment Factors'!C7</f>
        <v>15</v>
      </c>
      <c r="E38" s="6"/>
      <c r="F38" s="35"/>
      <c r="G38" s="35"/>
      <c r="H38" s="35"/>
      <c r="I38" s="36"/>
    </row>
    <row r="39" spans="1:9">
      <c r="A39" s="2"/>
      <c r="B39" s="38" t="s">
        <v>10</v>
      </c>
      <c r="C39" s="35"/>
      <c r="D39" s="93"/>
      <c r="E39" s="1165"/>
      <c r="F39" s="35"/>
      <c r="G39" s="35"/>
      <c r="H39" s="35"/>
      <c r="I39" s="147" t="s">
        <v>6</v>
      </c>
    </row>
    <row r="40" spans="1:9">
      <c r="A40" s="2"/>
      <c r="B40" s="40"/>
      <c r="C40" s="35"/>
      <c r="D40" s="35"/>
      <c r="E40" s="41"/>
      <c r="F40" s="35"/>
      <c r="G40" s="35"/>
      <c r="H40" s="35"/>
      <c r="I40" s="149"/>
    </row>
    <row r="41" spans="1:9">
      <c r="A41" s="2"/>
      <c r="B41" s="42" t="s">
        <v>0</v>
      </c>
      <c r="C41" s="35"/>
      <c r="D41" s="35"/>
      <c r="E41" s="35"/>
      <c r="F41" s="39"/>
      <c r="G41" s="35"/>
      <c r="H41" s="35"/>
      <c r="I41" s="1166">
        <f>SUM(G43:G50)</f>
        <v>52.778165835115225</v>
      </c>
    </row>
    <row r="42" spans="1:9">
      <c r="A42" s="2"/>
      <c r="B42" s="1174"/>
      <c r="C42" s="35"/>
      <c r="D42" s="1167" t="s">
        <v>447</v>
      </c>
      <c r="E42" s="1167" t="s">
        <v>448</v>
      </c>
      <c r="F42" s="1167" t="s">
        <v>449</v>
      </c>
      <c r="G42" s="1167" t="s">
        <v>450</v>
      </c>
      <c r="H42" s="35"/>
      <c r="I42" s="46"/>
    </row>
    <row r="43" spans="1:9">
      <c r="A43" s="2"/>
      <c r="B43" s="40"/>
      <c r="C43" s="6"/>
      <c r="D43" s="1168"/>
      <c r="E43" s="1169"/>
      <c r="F43" s="1170"/>
      <c r="G43" s="1171">
        <f t="shared" ref="G43:G50" si="2">+F43*E43</f>
        <v>0</v>
      </c>
      <c r="H43" s="35"/>
      <c r="I43" s="47"/>
    </row>
    <row r="44" spans="1:9">
      <c r="A44" s="2"/>
      <c r="B44" s="40" t="s">
        <v>451</v>
      </c>
      <c r="C44" s="6"/>
      <c r="D44" s="1168" t="s">
        <v>452</v>
      </c>
      <c r="E44" s="1169">
        <f>+'[11]Core Rates'!C203</f>
        <v>8.75</v>
      </c>
      <c r="F44" s="1170">
        <v>0.4</v>
      </c>
      <c r="G44" s="1171">
        <f t="shared" si="2"/>
        <v>3.5</v>
      </c>
      <c r="H44" s="35"/>
      <c r="I44" s="36"/>
    </row>
    <row r="45" spans="1:9">
      <c r="A45" s="2"/>
      <c r="B45" s="1184" t="s">
        <v>453</v>
      </c>
      <c r="C45" s="6"/>
      <c r="D45" s="1185" t="s">
        <v>454</v>
      </c>
      <c r="E45" s="1169">
        <f>+'[11]Core Rates'!C228</f>
        <v>0.82427536231884069</v>
      </c>
      <c r="F45" s="1170">
        <v>10</v>
      </c>
      <c r="G45" s="1171">
        <f t="shared" si="2"/>
        <v>8.2427536231884062</v>
      </c>
      <c r="H45" s="35"/>
      <c r="I45" s="36"/>
    </row>
    <row r="46" spans="1:9">
      <c r="A46" s="2"/>
      <c r="B46" s="1186" t="s">
        <v>455</v>
      </c>
      <c r="C46" s="1187"/>
      <c r="D46" s="1185" t="s">
        <v>454</v>
      </c>
      <c r="E46" s="1169">
        <f>+'[11]Core Rates'!C235</f>
        <v>1.1702898550724636</v>
      </c>
      <c r="F46" s="1170">
        <v>10</v>
      </c>
      <c r="G46" s="1171">
        <f t="shared" si="2"/>
        <v>11.702898550724637</v>
      </c>
      <c r="H46" s="35"/>
      <c r="I46" s="36"/>
    </row>
    <row r="47" spans="1:9">
      <c r="A47" s="2"/>
      <c r="B47" s="1186" t="s">
        <v>456</v>
      </c>
      <c r="C47" s="1187"/>
      <c r="D47" s="1168" t="s">
        <v>454</v>
      </c>
      <c r="E47" s="1169">
        <f>+'[11]Core Rates'!C246</f>
        <v>0.58825136612021856</v>
      </c>
      <c r="F47" s="1170">
        <v>10</v>
      </c>
      <c r="G47" s="1171">
        <f t="shared" si="2"/>
        <v>5.8825136612021858</v>
      </c>
      <c r="H47" s="35"/>
      <c r="I47" s="36"/>
    </row>
    <row r="48" spans="1:9">
      <c r="A48" s="2"/>
      <c r="B48" s="1186" t="str">
        <f>+'[11]Core Rates'!A313</f>
        <v>Seed (Tall Fescue KY-31)</v>
      </c>
      <c r="C48" s="1187"/>
      <c r="D48" s="1185" t="s">
        <v>454</v>
      </c>
      <c r="E48" s="1169">
        <f>+'[11]Core Rates'!C313</f>
        <v>2.3449999999999998</v>
      </c>
      <c r="F48" s="1170">
        <v>10</v>
      </c>
      <c r="G48" s="1171">
        <f t="shared" si="2"/>
        <v>23.449999999999996</v>
      </c>
      <c r="H48" s="35"/>
      <c r="I48" s="36"/>
    </row>
    <row r="49" spans="1:9">
      <c r="A49" s="2"/>
      <c r="B49" s="1186" t="s">
        <v>480</v>
      </c>
      <c r="C49" s="1187"/>
      <c r="D49" s="1185" t="s">
        <v>454</v>
      </c>
      <c r="E49" s="1169">
        <f>+'[11]Core Rates'!C311</f>
        <v>2.0975000000000001</v>
      </c>
      <c r="F49" s="1170">
        <v>0</v>
      </c>
      <c r="G49" s="1171">
        <f t="shared" si="2"/>
        <v>0</v>
      </c>
      <c r="H49" s="35"/>
      <c r="I49" s="36"/>
    </row>
    <row r="50" spans="1:9">
      <c r="A50" s="2"/>
      <c r="B50" s="1186" t="s">
        <v>481</v>
      </c>
      <c r="C50" s="1187"/>
      <c r="D50" s="1185" t="s">
        <v>454</v>
      </c>
      <c r="E50" s="1169">
        <f>+'[11]Core Rates'!C312</f>
        <v>3.5</v>
      </c>
      <c r="F50" s="1170">
        <v>0</v>
      </c>
      <c r="G50" s="1171">
        <f t="shared" si="2"/>
        <v>0</v>
      </c>
      <c r="H50" s="35"/>
      <c r="I50" s="36"/>
    </row>
    <row r="51" spans="1:9">
      <c r="A51" s="2"/>
      <c r="B51" s="1186"/>
      <c r="C51" s="1187"/>
      <c r="D51" s="1185"/>
      <c r="E51" s="1169"/>
      <c r="F51" s="1170"/>
      <c r="G51" s="1171"/>
      <c r="H51" s="35"/>
      <c r="I51" s="36"/>
    </row>
    <row r="52" spans="1:9">
      <c r="A52" s="2"/>
      <c r="B52" s="40" t="s">
        <v>1278</v>
      </c>
      <c r="C52" s="6"/>
      <c r="D52" s="1173"/>
      <c r="E52" s="1190"/>
      <c r="F52" s="35"/>
      <c r="G52" s="35"/>
      <c r="H52" s="35"/>
      <c r="I52" s="36"/>
    </row>
    <row r="53" spans="1:9">
      <c r="A53" s="2"/>
      <c r="B53" s="40" t="s">
        <v>1279</v>
      </c>
      <c r="C53" s="6"/>
      <c r="D53" s="1173"/>
      <c r="E53" s="35"/>
      <c r="F53" s="35"/>
      <c r="G53" s="35"/>
      <c r="H53" s="35"/>
      <c r="I53" s="36"/>
    </row>
    <row r="54" spans="1:9">
      <c r="A54" s="2"/>
      <c r="B54" s="1375"/>
      <c r="C54" s="6"/>
      <c r="D54" s="1173"/>
      <c r="E54" s="35"/>
      <c r="F54" s="35"/>
      <c r="G54" s="35"/>
      <c r="H54" s="35"/>
      <c r="I54" s="36"/>
    </row>
    <row r="55" spans="1:9">
      <c r="A55" s="2"/>
      <c r="B55" s="42" t="s">
        <v>2</v>
      </c>
      <c r="C55" s="35"/>
      <c r="D55" s="35"/>
      <c r="E55" s="2003" t="s">
        <v>459</v>
      </c>
      <c r="F55" s="2003"/>
      <c r="G55" s="2003"/>
      <c r="H55" s="2003"/>
      <c r="I55" s="1166">
        <f>(SUM(G57:G69)*0.85)</f>
        <v>8703.408989333333</v>
      </c>
    </row>
    <row r="56" spans="1:9">
      <c r="A56" s="2"/>
      <c r="B56" s="1174"/>
      <c r="C56" s="35"/>
      <c r="D56" s="1167" t="s">
        <v>447</v>
      </c>
      <c r="E56" s="1167" t="s">
        <v>448</v>
      </c>
      <c r="F56" s="1167" t="s">
        <v>449</v>
      </c>
      <c r="G56" s="1167" t="s">
        <v>450</v>
      </c>
      <c r="H56" s="35"/>
      <c r="I56" s="46"/>
    </row>
    <row r="57" spans="1:9">
      <c r="A57" s="2"/>
      <c r="B57" s="1186" t="str">
        <f>+'[11]Core Rates'!A56</f>
        <v>Construction Site Prep - Medium</v>
      </c>
      <c r="C57" s="6"/>
      <c r="D57" s="1168" t="s">
        <v>408</v>
      </c>
      <c r="E57" s="1169">
        <f>+'[11]Core Rates'!C56</f>
        <v>573.81119999999999</v>
      </c>
      <c r="F57" s="1170">
        <v>0.3</v>
      </c>
      <c r="G57" s="1171">
        <f t="shared" ref="G57:G69" si="3">+F57*E57</f>
        <v>172.14336</v>
      </c>
      <c r="H57" s="35"/>
      <c r="I57" s="47"/>
    </row>
    <row r="58" spans="1:9">
      <c r="A58" s="2"/>
      <c r="B58" s="1186" t="str">
        <f>+'[11]Core Rates'!A138</f>
        <v>Geologic Investigation (Equipment &amp; Operator)</v>
      </c>
      <c r="C58" s="1376"/>
      <c r="D58" s="1377" t="str">
        <f>+'[11]Core Rates'!B138</f>
        <v>Ea</v>
      </c>
      <c r="E58" s="1378">
        <f>+'[11]Core Rates'!C138</f>
        <v>321.3</v>
      </c>
      <c r="F58" s="1170">
        <v>1</v>
      </c>
      <c r="G58" s="1171">
        <f t="shared" si="3"/>
        <v>321.3</v>
      </c>
      <c r="H58" s="35"/>
      <c r="I58" s="47"/>
    </row>
    <row r="59" spans="1:9">
      <c r="A59" s="2"/>
      <c r="B59" s="1188" t="str">
        <f>+'[11]Core Rates'!A106</f>
        <v>Earthmoving: Design Storage Volume, Normal Conditions</v>
      </c>
      <c r="C59" s="6"/>
      <c r="D59" s="1379" t="str">
        <f>+'[11]Core Rates'!B106</f>
        <v>Cu Ft</v>
      </c>
      <c r="E59" s="1378">
        <f>+'[11]Core Rates'!C106</f>
        <v>7.6499999999999999E-2</v>
      </c>
      <c r="F59" s="1170">
        <v>55710</v>
      </c>
      <c r="G59" s="1171">
        <f t="shared" si="3"/>
        <v>4261.8149999999996</v>
      </c>
      <c r="H59" s="35"/>
      <c r="I59" s="47"/>
    </row>
    <row r="60" spans="1:9">
      <c r="A60" s="2"/>
      <c r="B60" s="1186" t="str">
        <f>+'[11]Core Rates'!A244</f>
        <v>Pond Liner: Compacted Clay (Installed)</v>
      </c>
      <c r="C60" s="6"/>
      <c r="D60" s="1377" t="str">
        <f>+'[11]Core Rates'!B244</f>
        <v>Cu Yd</v>
      </c>
      <c r="E60" s="1378">
        <f>+'[11]Core Rates'!C244</f>
        <v>2.2470000000000003</v>
      </c>
      <c r="F60" s="1170">
        <v>298</v>
      </c>
      <c r="G60" s="1171">
        <f t="shared" si="3"/>
        <v>669.60600000000011</v>
      </c>
      <c r="H60" s="35"/>
      <c r="I60" s="47"/>
    </row>
    <row r="61" spans="1:9">
      <c r="A61" s="2"/>
      <c r="B61" s="1186" t="str">
        <f>+'[11]Core Rates'!A347</f>
        <v>Waste Structure Warning Sign: 12" x 10" Alum (Inst)</v>
      </c>
      <c r="C61" s="6"/>
      <c r="D61" s="1377" t="str">
        <f>+'[11]Core Rates'!B347</f>
        <v>Ea</v>
      </c>
      <c r="E61" s="1380">
        <f>+'[11]Core Rates'!C347</f>
        <v>1.21275</v>
      </c>
      <c r="F61" s="1170">
        <v>4</v>
      </c>
      <c r="G61" s="1171">
        <f t="shared" si="3"/>
        <v>4.851</v>
      </c>
      <c r="H61" s="35"/>
      <c r="I61" s="47"/>
    </row>
    <row r="62" spans="1:9">
      <c r="A62" s="2"/>
      <c r="B62" s="1186" t="str">
        <f>+'[11]Core Rates'!A280</f>
        <v>Schd 40 PVC Pipe: 8" (Installed)</v>
      </c>
      <c r="C62" s="6"/>
      <c r="D62" s="1377" t="str">
        <f>+'[11]Core Rates'!B280</f>
        <v>Lin Ft</v>
      </c>
      <c r="E62" s="1380">
        <f>+'[11]Core Rates'!C280</f>
        <v>7.4150999999999998</v>
      </c>
      <c r="F62" s="1170">
        <v>60</v>
      </c>
      <c r="G62" s="1171">
        <f>+F62*E62</f>
        <v>444.90600000000001</v>
      </c>
      <c r="H62" s="35"/>
      <c r="I62" s="47"/>
    </row>
    <row r="63" spans="1:9">
      <c r="A63" s="2"/>
      <c r="B63" s="1186" t="str">
        <f>+'[11]Core Rates'!A51</f>
        <v>Concrete Walls Formed Surface (w/ one mat of steel reinforcement)</v>
      </c>
      <c r="C63" s="6"/>
      <c r="D63" s="1377" t="str">
        <f>+'[11]Core Rates'!B51</f>
        <v>Cu Yd</v>
      </c>
      <c r="E63" s="1380">
        <f>+'[11]Core Rates'!C51</f>
        <v>202.23000000000002</v>
      </c>
      <c r="F63" s="1170">
        <v>20</v>
      </c>
      <c r="G63" s="1171">
        <f>+F63*E63</f>
        <v>4044.6000000000004</v>
      </c>
      <c r="H63" s="35"/>
      <c r="I63" s="47"/>
    </row>
    <row r="64" spans="1:9">
      <c r="A64" s="2"/>
      <c r="B64" s="1186" t="str">
        <f>+'[11]Core Rates'!A141</f>
        <v>Guard Rail Kit: 6" x 12' (Installed)</v>
      </c>
      <c r="C64" s="6"/>
      <c r="D64" s="1377" t="str">
        <f>+'[11]Core Rates'!B141</f>
        <v>Ea</v>
      </c>
      <c r="E64" s="1380">
        <f>+'[11]Core Rates'!C141</f>
        <v>121.27500000000001</v>
      </c>
      <c r="F64" s="1170">
        <v>1</v>
      </c>
      <c r="G64" s="1171">
        <f>+F64*E64</f>
        <v>121.27500000000001</v>
      </c>
      <c r="H64" s="35"/>
      <c r="I64" s="47"/>
    </row>
    <row r="65" spans="1:9">
      <c r="A65" s="2"/>
      <c r="B65" s="40" t="s">
        <v>461</v>
      </c>
      <c r="C65" s="6"/>
      <c r="D65" s="1168" t="s">
        <v>408</v>
      </c>
      <c r="E65" s="1169">
        <f>+'[11]Core Rates'!C104</f>
        <v>20</v>
      </c>
      <c r="F65" s="1170">
        <v>0.2</v>
      </c>
      <c r="G65" s="1171">
        <f t="shared" si="3"/>
        <v>4</v>
      </c>
      <c r="H65" s="35"/>
      <c r="I65" s="47"/>
    </row>
    <row r="66" spans="1:9">
      <c r="A66" s="2"/>
      <c r="B66" s="40" t="s">
        <v>462</v>
      </c>
      <c r="C66" s="6"/>
      <c r="D66" s="1168" t="s">
        <v>408</v>
      </c>
      <c r="E66" s="1169">
        <f>+'[11]Core Rates'!AN33</f>
        <v>5.416666666666667</v>
      </c>
      <c r="F66" s="1170">
        <v>0.2</v>
      </c>
      <c r="G66" s="1171">
        <f t="shared" si="3"/>
        <v>1.0833333333333335</v>
      </c>
      <c r="H66" s="35"/>
      <c r="I66" s="47"/>
    </row>
    <row r="67" spans="1:9">
      <c r="A67" s="2"/>
      <c r="B67" s="40" t="s">
        <v>463</v>
      </c>
      <c r="C67" s="6"/>
      <c r="D67" s="1168" t="s">
        <v>452</v>
      </c>
      <c r="E67" s="1169">
        <f>+'[11]Core Rates'!AN34</f>
        <v>5.5</v>
      </c>
      <c r="F67" s="1170">
        <v>0.4</v>
      </c>
      <c r="G67" s="1171">
        <f t="shared" si="3"/>
        <v>2.2000000000000002</v>
      </c>
      <c r="H67" s="35"/>
      <c r="I67" s="47"/>
    </row>
    <row r="68" spans="1:9">
      <c r="A68" s="2"/>
      <c r="B68" s="40" t="s">
        <v>464</v>
      </c>
      <c r="C68" s="6"/>
      <c r="D68" s="1168" t="s">
        <v>452</v>
      </c>
      <c r="E68" s="1169">
        <f>+'[11]Core Rates'!AN32</f>
        <v>6.3125</v>
      </c>
      <c r="F68" s="1170">
        <v>0.4</v>
      </c>
      <c r="G68" s="1171">
        <f t="shared" si="3"/>
        <v>2.5250000000000004</v>
      </c>
      <c r="H68" s="35"/>
      <c r="I68" s="47"/>
    </row>
    <row r="69" spans="1:9">
      <c r="A69" s="2"/>
      <c r="B69" s="40" t="s">
        <v>1280</v>
      </c>
      <c r="C69" s="6"/>
      <c r="D69" s="1168" t="s">
        <v>619</v>
      </c>
      <c r="E69" s="1169">
        <f>+'[11]Core Rates'!C217</f>
        <v>472.5</v>
      </c>
      <c r="F69" s="1170">
        <v>0.4</v>
      </c>
      <c r="G69" s="1171">
        <f t="shared" si="3"/>
        <v>189</v>
      </c>
      <c r="H69" s="35"/>
      <c r="I69" s="47"/>
    </row>
    <row r="70" spans="1:9">
      <c r="A70" s="2"/>
      <c r="B70" s="40"/>
      <c r="C70" s="6"/>
      <c r="D70" s="63"/>
      <c r="E70" s="150"/>
      <c r="F70" s="150"/>
      <c r="G70" s="1169"/>
      <c r="H70" s="35"/>
      <c r="I70" s="47"/>
    </row>
    <row r="71" spans="1:9">
      <c r="A71" s="2"/>
      <c r="B71" s="37" t="s">
        <v>43</v>
      </c>
      <c r="C71" s="35"/>
      <c r="D71" s="35"/>
      <c r="E71" s="60"/>
      <c r="F71" s="60"/>
      <c r="G71" s="60"/>
      <c r="H71" s="35"/>
      <c r="I71" s="46"/>
    </row>
    <row r="72" spans="1:9" ht="12.75" customHeight="1">
      <c r="A72" s="2"/>
      <c r="B72" s="2004" t="s">
        <v>1281</v>
      </c>
      <c r="C72" s="2005"/>
      <c r="D72" s="2005"/>
      <c r="E72" s="2005"/>
      <c r="F72" s="2005"/>
      <c r="G72" s="2005"/>
      <c r="H72" s="2005"/>
      <c r="I72" s="2006"/>
    </row>
    <row r="73" spans="1:9">
      <c r="A73" s="2"/>
      <c r="B73" s="2004"/>
      <c r="C73" s="2005"/>
      <c r="D73" s="2005"/>
      <c r="E73" s="2005"/>
      <c r="F73" s="2005"/>
      <c r="G73" s="2005"/>
      <c r="H73" s="2005"/>
      <c r="I73" s="2006"/>
    </row>
    <row r="74" spans="1:9">
      <c r="A74" s="2"/>
      <c r="B74" s="1177"/>
      <c r="C74" s="1178"/>
      <c r="D74" s="1178"/>
      <c r="E74" s="1178"/>
      <c r="F74" s="1178"/>
      <c r="G74" s="1178"/>
      <c r="H74" s="1178"/>
      <c r="I74" s="1179"/>
    </row>
    <row r="75" spans="1:9">
      <c r="A75" s="2"/>
      <c r="B75" s="1177"/>
      <c r="C75" s="1178"/>
      <c r="D75" s="1178"/>
      <c r="E75" s="1178"/>
      <c r="F75" s="1178"/>
      <c r="G75" s="1178"/>
      <c r="H75" s="1178"/>
      <c r="I75" s="1179"/>
    </row>
    <row r="76" spans="1:9">
      <c r="A76" s="2"/>
      <c r="B76" s="42" t="s">
        <v>3</v>
      </c>
      <c r="C76" s="35"/>
      <c r="D76" s="35"/>
      <c r="E76" s="35"/>
      <c r="F76" s="39"/>
      <c r="G76" s="35"/>
      <c r="H76" s="35"/>
      <c r="I76" s="1182">
        <f>E78</f>
        <v>1535.895704</v>
      </c>
    </row>
    <row r="77" spans="1:9">
      <c r="A77" s="2"/>
      <c r="B77" s="2007" t="s">
        <v>465</v>
      </c>
      <c r="C77" s="2008"/>
      <c r="D77" s="35"/>
      <c r="E77" s="35"/>
      <c r="F77" s="35"/>
      <c r="G77" s="35"/>
      <c r="H77" s="35"/>
      <c r="I77" s="48"/>
    </row>
    <row r="78" spans="1:9">
      <c r="A78" s="2"/>
      <c r="B78" s="37" t="s">
        <v>466</v>
      </c>
      <c r="C78" s="39"/>
      <c r="D78" s="39"/>
      <c r="E78" s="153">
        <f>SUM(G57:G69)*0.15</f>
        <v>1535.895704</v>
      </c>
      <c r="F78" s="35"/>
      <c r="G78" s="35"/>
      <c r="H78" s="35"/>
      <c r="I78" s="46"/>
    </row>
    <row r="79" spans="1:9">
      <c r="A79" s="2"/>
      <c r="B79" s="37"/>
      <c r="C79" s="39"/>
      <c r="D79" s="1180"/>
      <c r="E79" s="153"/>
      <c r="F79" s="35"/>
      <c r="G79" s="35"/>
      <c r="H79" s="35"/>
      <c r="I79" s="46"/>
    </row>
    <row r="80" spans="1:9">
      <c r="A80" s="2"/>
      <c r="B80" s="37"/>
      <c r="C80" s="39"/>
      <c r="D80" s="1181"/>
      <c r="E80" s="153"/>
      <c r="F80" s="35"/>
      <c r="G80" s="35"/>
      <c r="H80" s="35"/>
      <c r="I80" s="46"/>
    </row>
    <row r="81" spans="1:9">
      <c r="A81" s="2"/>
      <c r="B81" s="33"/>
      <c r="C81" s="35"/>
      <c r="D81" s="35"/>
      <c r="E81" s="35"/>
      <c r="F81" s="35"/>
      <c r="G81" s="35"/>
      <c r="H81" s="35"/>
      <c r="I81" s="36"/>
    </row>
    <row r="82" spans="1:9">
      <c r="A82" s="2"/>
      <c r="B82" s="42" t="s">
        <v>4</v>
      </c>
      <c r="C82" s="35"/>
      <c r="D82" s="35"/>
      <c r="E82" s="35"/>
      <c r="F82" s="35"/>
      <c r="G82" s="35"/>
      <c r="H82" s="35"/>
      <c r="I82" s="1182">
        <f>0.03*(I41+I55+I76)</f>
        <v>308.76248577505345</v>
      </c>
    </row>
    <row r="83" spans="1:9">
      <c r="A83" s="2"/>
      <c r="B83" s="33" t="s">
        <v>467</v>
      </c>
      <c r="C83" s="35"/>
      <c r="D83" s="35"/>
      <c r="E83" s="35"/>
      <c r="F83" s="35"/>
      <c r="G83" s="35"/>
      <c r="H83" s="35"/>
      <c r="I83" s="36"/>
    </row>
    <row r="84" spans="1:9">
      <c r="A84" s="2"/>
      <c r="B84" s="37"/>
      <c r="C84" s="35"/>
      <c r="D84" s="35"/>
      <c r="E84" s="35"/>
      <c r="F84" s="35"/>
      <c r="G84" s="35"/>
      <c r="H84" s="35"/>
      <c r="I84" s="36"/>
    </row>
    <row r="85" spans="1:9">
      <c r="A85" s="2"/>
      <c r="B85" s="42" t="s">
        <v>468</v>
      </c>
      <c r="C85" s="35"/>
      <c r="D85" s="35"/>
      <c r="E85" s="35"/>
      <c r="F85" s="35"/>
      <c r="G85" s="35"/>
      <c r="H85" s="35"/>
      <c r="I85" s="1182">
        <f>0.01*(I41+I55+I76)</f>
        <v>102.9208285916845</v>
      </c>
    </row>
    <row r="86" spans="1:9">
      <c r="A86" s="2"/>
      <c r="B86" s="33" t="s">
        <v>749</v>
      </c>
      <c r="C86" s="35"/>
      <c r="D86" s="35"/>
      <c r="E86" s="35"/>
      <c r="F86" s="35"/>
      <c r="G86" s="35"/>
      <c r="H86" s="35"/>
      <c r="I86" s="36"/>
    </row>
    <row r="87" spans="1:9">
      <c r="A87" s="2"/>
      <c r="B87" s="37"/>
      <c r="C87" s="35"/>
      <c r="D87" s="35"/>
      <c r="E87" s="35"/>
      <c r="F87" s="35"/>
      <c r="G87" s="35"/>
      <c r="H87" s="35"/>
      <c r="I87" s="36"/>
    </row>
    <row r="88" spans="1:9">
      <c r="A88" s="2"/>
      <c r="B88" s="42" t="s">
        <v>7</v>
      </c>
      <c r="C88" s="35"/>
      <c r="D88" s="35"/>
      <c r="E88" s="35"/>
      <c r="F88" s="35"/>
      <c r="G88" s="35"/>
      <c r="H88" s="35"/>
      <c r="I88" s="1166">
        <v>0</v>
      </c>
    </row>
    <row r="89" spans="1:9">
      <c r="A89" s="2"/>
      <c r="B89" s="33" t="s">
        <v>1282</v>
      </c>
      <c r="C89" s="35"/>
      <c r="D89" s="35"/>
      <c r="E89" s="35"/>
      <c r="F89" s="35"/>
      <c r="G89" s="35"/>
      <c r="H89" s="35"/>
      <c r="I89" s="36"/>
    </row>
    <row r="90" spans="1:9">
      <c r="A90" s="2"/>
      <c r="B90" s="37"/>
      <c r="C90" s="35"/>
      <c r="D90" s="35"/>
      <c r="E90" s="35"/>
      <c r="F90" s="35"/>
      <c r="G90" s="35"/>
      <c r="H90" s="35"/>
      <c r="I90" s="36"/>
    </row>
    <row r="91" spans="1:9">
      <c r="A91" s="2"/>
      <c r="B91" s="42" t="s">
        <v>471</v>
      </c>
      <c r="C91" s="35"/>
      <c r="D91" s="35"/>
      <c r="E91" s="35"/>
      <c r="F91" s="39"/>
      <c r="G91" s="35"/>
      <c r="H91" s="35"/>
      <c r="I91" s="1166">
        <v>0</v>
      </c>
    </row>
    <row r="92" spans="1:9">
      <c r="A92" s="2"/>
      <c r="B92" s="756" t="s">
        <v>104</v>
      </c>
      <c r="C92" s="35"/>
      <c r="D92" s="35"/>
      <c r="E92" s="35"/>
      <c r="F92" s="35"/>
      <c r="G92" s="35"/>
      <c r="H92" s="35"/>
      <c r="I92" s="47"/>
    </row>
    <row r="93" spans="1:9">
      <c r="A93" s="2"/>
      <c r="B93" s="756"/>
      <c r="C93" s="35"/>
      <c r="D93" s="35"/>
      <c r="E93" s="35"/>
      <c r="F93" s="35"/>
      <c r="G93" s="35"/>
      <c r="H93" s="35"/>
      <c r="I93" s="47"/>
    </row>
    <row r="94" spans="1:9">
      <c r="A94" s="2"/>
      <c r="B94" s="37"/>
      <c r="C94" s="35"/>
      <c r="D94" s="35"/>
      <c r="E94" s="35"/>
      <c r="F94" s="35"/>
      <c r="G94" s="35"/>
      <c r="H94" s="35"/>
      <c r="I94" s="36"/>
    </row>
    <row r="95" spans="1:9">
      <c r="A95" s="2"/>
      <c r="B95" s="42" t="s">
        <v>5</v>
      </c>
      <c r="C95" s="35"/>
      <c r="D95" s="35"/>
      <c r="E95" s="35"/>
      <c r="F95" s="35"/>
      <c r="G95" s="35"/>
      <c r="H95" s="35"/>
      <c r="I95" s="1166">
        <v>0</v>
      </c>
    </row>
    <row r="96" spans="1:9">
      <c r="A96" s="2"/>
      <c r="B96" s="33" t="s">
        <v>1283</v>
      </c>
      <c r="C96" s="35"/>
      <c r="D96" s="35"/>
      <c r="E96" s="35"/>
      <c r="F96" s="35"/>
      <c r="G96" s="35"/>
      <c r="H96" s="35"/>
      <c r="I96" s="47"/>
    </row>
    <row r="97" spans="1:9">
      <c r="A97" s="2"/>
      <c r="B97" s="37"/>
      <c r="C97" s="35"/>
      <c r="D97" s="35"/>
      <c r="E97" s="35"/>
      <c r="F97" s="35"/>
      <c r="G97" s="35"/>
      <c r="H97" s="35"/>
      <c r="I97" s="36"/>
    </row>
    <row r="98" spans="1:9">
      <c r="A98" s="2"/>
      <c r="B98" s="42" t="s">
        <v>20</v>
      </c>
      <c r="C98" s="35"/>
      <c r="D98" s="35"/>
      <c r="E98" s="35"/>
      <c r="F98" s="35"/>
      <c r="G98" s="35"/>
      <c r="H98" s="35"/>
      <c r="I98" s="1166">
        <v>0</v>
      </c>
    </row>
    <row r="99" spans="1:9">
      <c r="A99" s="2"/>
      <c r="B99" s="33" t="s">
        <v>104</v>
      </c>
      <c r="C99" s="35"/>
      <c r="D99" s="35"/>
      <c r="E99" s="35"/>
      <c r="F99" s="35"/>
      <c r="G99" s="35"/>
      <c r="H99" s="35"/>
      <c r="I99" s="36"/>
    </row>
    <row r="100" spans="1:9">
      <c r="A100" s="2"/>
      <c r="B100" s="33"/>
      <c r="C100" s="35"/>
      <c r="D100" s="35"/>
      <c r="E100" s="35"/>
      <c r="F100" s="35"/>
      <c r="G100" s="35"/>
      <c r="H100" s="35"/>
      <c r="I100" s="36"/>
    </row>
    <row r="101" spans="1:9">
      <c r="A101" s="2"/>
      <c r="B101" s="42" t="s">
        <v>473</v>
      </c>
      <c r="C101" s="35"/>
      <c r="D101" s="35"/>
      <c r="E101" s="35"/>
      <c r="F101" s="35"/>
      <c r="G101" s="35"/>
      <c r="H101" s="35"/>
      <c r="I101" s="1183">
        <f>+I41+I55+I76+I82+I88+I98</f>
        <v>10600.845344943504</v>
      </c>
    </row>
    <row r="102" spans="1:9" ht="15.75">
      <c r="A102" s="2"/>
      <c r="B102" s="33" t="s">
        <v>474</v>
      </c>
      <c r="C102" s="35"/>
      <c r="D102" s="35"/>
      <c r="E102" s="35"/>
      <c r="F102" s="35"/>
      <c r="G102" s="35"/>
      <c r="H102" s="35"/>
      <c r="I102" s="36"/>
    </row>
    <row r="103" spans="1:9">
      <c r="A103" s="2"/>
      <c r="B103" s="40"/>
      <c r="C103" s="35"/>
      <c r="D103" s="35"/>
      <c r="E103" s="35"/>
      <c r="F103" s="35"/>
      <c r="G103" s="35"/>
      <c r="H103" s="35"/>
      <c r="I103" s="36"/>
    </row>
    <row r="104" spans="1:9">
      <c r="A104" s="2"/>
      <c r="B104" s="43" t="s">
        <v>11</v>
      </c>
      <c r="C104" s="44"/>
      <c r="D104" s="44"/>
      <c r="E104" s="44"/>
      <c r="F104" s="44"/>
      <c r="G104" s="44"/>
      <c r="H104" s="44"/>
      <c r="I104" s="621">
        <f>SUM(I41:I98)</f>
        <v>10703.766173535188</v>
      </c>
    </row>
    <row r="106" spans="1:9">
      <c r="A106" s="1381"/>
    </row>
  </sheetData>
  <mergeCells count="4">
    <mergeCell ref="B1:D1"/>
    <mergeCell ref="E55:H55"/>
    <mergeCell ref="B72:I73"/>
    <mergeCell ref="B77:C77"/>
  </mergeCells>
  <pageMargins left="0.75" right="0.75" top="1" bottom="1" header="0.5" footer="0.5"/>
  <pageSetup scale="58"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sheetPr>
    <pageSetUpPr fitToPage="1"/>
  </sheetPr>
  <dimension ref="A1:L103"/>
  <sheetViews>
    <sheetView workbookViewId="0">
      <selection activeCell="A2" sqref="A2:XFD27"/>
    </sheetView>
  </sheetViews>
  <sheetFormatPr defaultRowHeight="12.75"/>
  <cols>
    <col min="1" max="1" width="1.85546875" customWidth="1"/>
    <col min="3" max="3" width="24.140625" customWidth="1"/>
    <col min="4" max="4" width="23.140625" customWidth="1"/>
    <col min="5" max="5" width="54" customWidth="1"/>
    <col min="6" max="6" width="10.42578125" customWidth="1"/>
    <col min="7" max="7" width="12.7109375" bestFit="1" customWidth="1"/>
    <col min="9" max="9" width="11.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313</v>
      </c>
      <c r="C6" s="7" t="str">
        <f>+E12</f>
        <v>EQIP</v>
      </c>
      <c r="D6" s="53" t="s">
        <v>1272</v>
      </c>
      <c r="E6" s="53" t="s">
        <v>1284</v>
      </c>
      <c r="F6" s="7" t="str">
        <f>D36</f>
        <v>Each</v>
      </c>
      <c r="G6" s="85">
        <f>+I25</f>
        <v>9481.6927012076267</v>
      </c>
    </row>
    <row r="7" spans="1:12" hidden="1">
      <c r="A7" s="2"/>
      <c r="B7" s="54">
        <f>+B6</f>
        <v>313</v>
      </c>
      <c r="C7" s="7" t="str">
        <f>+C6</f>
        <v>EQIP</v>
      </c>
      <c r="D7" s="53" t="s">
        <v>1272</v>
      </c>
      <c r="E7" s="53" t="str">
        <f>CONCATENATE(E6, "-HU")</f>
        <v>Wet System "Medium" Operations, 100 to 200 AU-HU</v>
      </c>
      <c r="F7" s="7" t="str">
        <f>+F6</f>
        <v>Each</v>
      </c>
      <c r="G7" s="85">
        <f>+J25</f>
        <v>11378.031241449156</v>
      </c>
    </row>
    <row r="8" spans="1:12" hidden="1">
      <c r="A8" s="2"/>
      <c r="B8" s="54">
        <v>313</v>
      </c>
      <c r="C8" s="7" t="str">
        <f>+G12</f>
        <v>WHIP</v>
      </c>
      <c r="D8" s="53" t="s">
        <v>1272</v>
      </c>
      <c r="E8" s="53" t="s">
        <v>1284</v>
      </c>
      <c r="F8" s="7" t="str">
        <f>D36</f>
        <v>Each</v>
      </c>
      <c r="G8" s="85">
        <f>+K25</f>
        <v>0</v>
      </c>
    </row>
    <row r="9" spans="1:12" hidden="1">
      <c r="A9" s="2"/>
      <c r="B9" s="8">
        <f>+B8</f>
        <v>313</v>
      </c>
      <c r="C9" s="10" t="str">
        <f>+C8</f>
        <v>WHIP</v>
      </c>
      <c r="D9" s="9" t="s">
        <v>1272</v>
      </c>
      <c r="E9" s="9" t="str">
        <f>CONCATENATE(E6, "-HU")</f>
        <v>Wet System "Medium" Operations, 100 to 200 AU-HU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52.778165835115225</v>
      </c>
      <c r="E16" s="160">
        <f>+'[10]Payment Factors'!D45</f>
        <v>0.75</v>
      </c>
      <c r="F16" s="160">
        <f>+'[10]Payment Factors'!E45</f>
        <v>0.9</v>
      </c>
      <c r="G16" s="160">
        <f>+'[10]Payment Factors'!F19</f>
        <v>0</v>
      </c>
      <c r="H16" s="160">
        <f>+'[10]Payment Factors'!G19</f>
        <v>0</v>
      </c>
      <c r="I16" s="1154">
        <f t="shared" ref="I16:L24" si="0">+$D16*E16</f>
        <v>39.583624376336417</v>
      </c>
      <c r="J16" s="1154">
        <f t="shared" si="0"/>
        <v>47.500349251603701</v>
      </c>
      <c r="K16" s="1154">
        <f t="shared" si="0"/>
        <v>0</v>
      </c>
      <c r="L16" s="1155">
        <f t="shared" si="0"/>
        <v>0</v>
      </c>
    </row>
    <row r="17" spans="1:12" hidden="1">
      <c r="A17" s="2"/>
      <c r="B17" s="15" t="s">
        <v>2</v>
      </c>
      <c r="C17" s="16"/>
      <c r="D17" s="24">
        <f>+I54</f>
        <v>10388.069039333335</v>
      </c>
      <c r="E17" s="160">
        <f t="shared" ref="E17:H19" si="1">+E16</f>
        <v>0.75</v>
      </c>
      <c r="F17" s="160">
        <f t="shared" si="1"/>
        <v>0.9</v>
      </c>
      <c r="G17" s="160">
        <f t="shared" si="1"/>
        <v>0</v>
      </c>
      <c r="H17" s="160">
        <f t="shared" si="1"/>
        <v>0</v>
      </c>
      <c r="I17" s="1154">
        <f t="shared" si="0"/>
        <v>7791.0517795000014</v>
      </c>
      <c r="J17" s="1154">
        <f t="shared" si="0"/>
        <v>9349.2621354000021</v>
      </c>
      <c r="K17" s="1154">
        <f t="shared" si="0"/>
        <v>0</v>
      </c>
      <c r="L17" s="1155">
        <f t="shared" si="0"/>
        <v>0</v>
      </c>
    </row>
    <row r="18" spans="1:12" hidden="1">
      <c r="A18" s="2"/>
      <c r="B18" s="15" t="s">
        <v>3</v>
      </c>
      <c r="C18" s="16"/>
      <c r="D18" s="24">
        <f>+I75</f>
        <v>1833.1886540000003</v>
      </c>
      <c r="E18" s="160">
        <f t="shared" si="1"/>
        <v>0.75</v>
      </c>
      <c r="F18" s="160">
        <f t="shared" si="1"/>
        <v>0.9</v>
      </c>
      <c r="G18" s="160">
        <f t="shared" si="1"/>
        <v>0</v>
      </c>
      <c r="H18" s="160">
        <f t="shared" si="1"/>
        <v>0</v>
      </c>
      <c r="I18" s="1154">
        <f t="shared" si="0"/>
        <v>1374.8914905000001</v>
      </c>
      <c r="J18" s="1154">
        <f t="shared" si="0"/>
        <v>1649.8697886000002</v>
      </c>
      <c r="K18" s="1154">
        <f t="shared" si="0"/>
        <v>0</v>
      </c>
      <c r="L18" s="1155">
        <f t="shared" si="0"/>
        <v>0</v>
      </c>
    </row>
    <row r="19" spans="1:12" hidden="1">
      <c r="A19" s="2"/>
      <c r="B19" s="15" t="s">
        <v>4</v>
      </c>
      <c r="C19" s="16"/>
      <c r="D19" s="24">
        <f>+I81</f>
        <v>368.22107577505352</v>
      </c>
      <c r="E19" s="160">
        <f t="shared" si="1"/>
        <v>0.75</v>
      </c>
      <c r="F19" s="160">
        <f t="shared" si="1"/>
        <v>0.9</v>
      </c>
      <c r="G19" s="160">
        <f t="shared" si="1"/>
        <v>0</v>
      </c>
      <c r="H19" s="160">
        <f t="shared" si="1"/>
        <v>0</v>
      </c>
      <c r="I19" s="1154">
        <f t="shared" si="0"/>
        <v>276.16580683129013</v>
      </c>
      <c r="J19" s="1154">
        <f t="shared" si="0"/>
        <v>331.39896819754819</v>
      </c>
      <c r="K19" s="1154">
        <f t="shared" si="0"/>
        <v>0</v>
      </c>
      <c r="L19" s="1155">
        <f t="shared" si="0"/>
        <v>0</v>
      </c>
    </row>
    <row r="20" spans="1:12" hidden="1">
      <c r="A20" s="2"/>
      <c r="B20" s="15" t="s">
        <v>26</v>
      </c>
      <c r="C20" s="16"/>
      <c r="D20" s="24">
        <f>+I84</f>
        <v>122.74035859168451</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+I87</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+I90</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+I94</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+I97</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12764.997293535187</v>
      </c>
      <c r="E25" s="1158"/>
      <c r="F25" s="1158"/>
      <c r="G25" s="28"/>
      <c r="H25" s="28"/>
      <c r="I25" s="1159">
        <f>SUM(I16:I24)</f>
        <v>9481.6927012076267</v>
      </c>
      <c r="J25" s="1159">
        <f>SUM(J16:J24)</f>
        <v>11378.031241449156</v>
      </c>
      <c r="K25" s="1159">
        <f>SUM(K16:K24)</f>
        <v>0</v>
      </c>
      <c r="L25" s="1160">
        <f>SUM(L16:L24)</f>
        <v>0</v>
      </c>
    </row>
    <row r="26" spans="1:12" hidden="1"/>
    <row r="27" spans="1:12" ht="15.75">
      <c r="A27" s="2"/>
      <c r="B27" s="50" t="s">
        <v>28</v>
      </c>
      <c r="C27" s="2"/>
      <c r="D27" s="2"/>
      <c r="E27" s="2"/>
      <c r="F27" s="2"/>
      <c r="G27" s="2"/>
      <c r="H27" s="2"/>
      <c r="I27" s="5"/>
    </row>
    <row r="28" spans="1:12">
      <c r="A28" s="2"/>
      <c r="B28" s="29" t="s">
        <v>1285</v>
      </c>
      <c r="C28" s="30"/>
      <c r="D28" s="30"/>
      <c r="E28" s="31"/>
      <c r="F28" s="31"/>
      <c r="G28" s="31"/>
      <c r="H28" s="31"/>
      <c r="I28" s="32"/>
    </row>
    <row r="29" spans="1:12">
      <c r="A29" s="2"/>
      <c r="B29" s="1161" t="s">
        <v>1275</v>
      </c>
      <c r="C29" s="34"/>
      <c r="D29" s="34"/>
      <c r="E29" s="35"/>
      <c r="F29" s="35"/>
      <c r="G29" s="35"/>
      <c r="H29" s="35"/>
      <c r="I29" s="36"/>
    </row>
    <row r="30" spans="1:12">
      <c r="A30" s="2"/>
      <c r="B30" s="1161" t="s">
        <v>1276</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+'[11]Core Rates'!C203</f>
        <v>8.75</v>
      </c>
      <c r="F43" s="1170">
        <v>0.4</v>
      </c>
      <c r="G43" s="1171">
        <f t="shared" si="2"/>
        <v>3.5</v>
      </c>
      <c r="H43" s="35"/>
      <c r="I43" s="36"/>
    </row>
    <row r="44" spans="1:9">
      <c r="A44" s="2"/>
      <c r="B44" s="1184" t="s">
        <v>453</v>
      </c>
      <c r="C44" s="6"/>
      <c r="D44" s="1185" t="s">
        <v>454</v>
      </c>
      <c r="E44" s="1169">
        <f>+'[11]Core Rates'!C228</f>
        <v>0.82427536231884069</v>
      </c>
      <c r="F44" s="1170">
        <v>10</v>
      </c>
      <c r="G44" s="1171">
        <f t="shared" si="2"/>
        <v>8.2427536231884062</v>
      </c>
      <c r="H44" s="35"/>
      <c r="I44" s="36"/>
    </row>
    <row r="45" spans="1:9">
      <c r="A45" s="2"/>
      <c r="B45" s="1186" t="s">
        <v>455</v>
      </c>
      <c r="C45" s="1187"/>
      <c r="D45" s="1185" t="s">
        <v>454</v>
      </c>
      <c r="E45" s="1169">
        <f>+'[11]Core Rates'!C235</f>
        <v>1.1702898550724636</v>
      </c>
      <c r="F45" s="1170">
        <v>10</v>
      </c>
      <c r="G45" s="1171">
        <f t="shared" si="2"/>
        <v>11.702898550724637</v>
      </c>
      <c r="H45" s="35"/>
      <c r="I45" s="36"/>
    </row>
    <row r="46" spans="1:9">
      <c r="A46" s="2"/>
      <c r="B46" s="1186" t="s">
        <v>456</v>
      </c>
      <c r="C46" s="1187"/>
      <c r="D46" s="1168" t="s">
        <v>454</v>
      </c>
      <c r="E46" s="1169">
        <f>+'[11]Core Rates'!C246</f>
        <v>0.58825136612021856</v>
      </c>
      <c r="F46" s="1170">
        <v>10</v>
      </c>
      <c r="G46" s="1171">
        <f t="shared" si="2"/>
        <v>5.8825136612021858</v>
      </c>
      <c r="H46" s="35"/>
      <c r="I46" s="36"/>
    </row>
    <row r="47" spans="1:9">
      <c r="A47" s="2"/>
      <c r="B47" s="1186" t="str">
        <f>+'[11]Core Rates'!A313</f>
        <v>Seed (Tall Fescue KY-31)</v>
      </c>
      <c r="C47" s="1187"/>
      <c r="D47" s="1185" t="s">
        <v>454</v>
      </c>
      <c r="E47" s="1169">
        <f>+'[11]Core Rates'!C313</f>
        <v>2.3449999999999998</v>
      </c>
      <c r="F47" s="1170">
        <v>10</v>
      </c>
      <c r="G47" s="1171">
        <f t="shared" si="2"/>
        <v>23.449999999999996</v>
      </c>
      <c r="H47" s="35"/>
      <c r="I47" s="36"/>
    </row>
    <row r="48" spans="1:9">
      <c r="A48" s="2"/>
      <c r="B48" s="1186" t="s">
        <v>480</v>
      </c>
      <c r="C48" s="1187"/>
      <c r="D48" s="1185" t="s">
        <v>454</v>
      </c>
      <c r="E48" s="1169">
        <f>+'[11]Core Rates'!C311</f>
        <v>2.0975000000000001</v>
      </c>
      <c r="F48" s="1170">
        <v>0</v>
      </c>
      <c r="G48" s="1171">
        <f t="shared" si="2"/>
        <v>0</v>
      </c>
      <c r="H48" s="35"/>
      <c r="I48" s="36"/>
    </row>
    <row r="49" spans="1:9">
      <c r="A49" s="2"/>
      <c r="B49" s="1186" t="s">
        <v>481</v>
      </c>
      <c r="C49" s="1187"/>
      <c r="D49" s="1185" t="s">
        <v>454</v>
      </c>
      <c r="E49" s="1169">
        <f>+'[11]Core Rates'!C312</f>
        <v>3.5</v>
      </c>
      <c r="F49" s="1170">
        <v>0</v>
      </c>
      <c r="G49" s="1171">
        <f t="shared" si="2"/>
        <v>0</v>
      </c>
      <c r="H49" s="35"/>
      <c r="I49" s="36"/>
    </row>
    <row r="50" spans="1:9">
      <c r="A50" s="2"/>
      <c r="B50" s="1184"/>
      <c r="C50" s="6"/>
      <c r="D50" s="1173"/>
      <c r="E50" s="1190"/>
      <c r="F50" s="35"/>
      <c r="G50" s="35"/>
      <c r="H50" s="35"/>
      <c r="I50" s="36"/>
    </row>
    <row r="51" spans="1:9">
      <c r="A51" s="2"/>
      <c r="B51" s="40" t="s">
        <v>1278</v>
      </c>
      <c r="C51" s="6"/>
      <c r="D51" s="1173"/>
      <c r="E51" s="1190"/>
      <c r="F51" s="35"/>
      <c r="G51" s="35"/>
      <c r="H51" s="35"/>
      <c r="I51" s="36"/>
    </row>
    <row r="52" spans="1:9">
      <c r="A52" s="2"/>
      <c r="B52" s="40" t="s">
        <v>1279</v>
      </c>
      <c r="C52" s="6"/>
      <c r="D52" s="1173"/>
      <c r="E52" s="35"/>
      <c r="F52" s="35"/>
      <c r="G52" s="35"/>
      <c r="H52" s="35"/>
      <c r="I52" s="3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(SUM(G56:G68)*0.85)</f>
        <v>10388.069039333335</v>
      </c>
    </row>
    <row r="55" spans="1:9">
      <c r="A55" s="2"/>
      <c r="B55" s="1174"/>
      <c r="C55" s="35"/>
      <c r="D55" s="1167" t="s">
        <v>447</v>
      </c>
      <c r="E55" s="1167" t="s">
        <v>448</v>
      </c>
      <c r="F55" s="1167" t="s">
        <v>449</v>
      </c>
      <c r="G55" s="1167" t="s">
        <v>450</v>
      </c>
      <c r="H55" s="35"/>
      <c r="I55" s="46"/>
    </row>
    <row r="56" spans="1:9">
      <c r="A56" s="2"/>
      <c r="B56" s="1186" t="str">
        <f>+'[11]Core Rates'!A56</f>
        <v>Construction Site Prep - Medium</v>
      </c>
      <c r="C56" s="6"/>
      <c r="D56" s="1168" t="s">
        <v>408</v>
      </c>
      <c r="E56" s="1169">
        <f>+'[11]Core Rates'!C56</f>
        <v>573.81119999999999</v>
      </c>
      <c r="F56" s="1170">
        <v>0.3</v>
      </c>
      <c r="G56" s="1171">
        <f t="shared" ref="G56:G68" si="3">+F56*E56</f>
        <v>172.14336</v>
      </c>
      <c r="H56" s="35"/>
      <c r="I56" s="47"/>
    </row>
    <row r="57" spans="1:9">
      <c r="A57" s="2"/>
      <c r="B57" s="1186" t="str">
        <f>+'[11]Core Rates'!A138</f>
        <v>Geologic Investigation (Equipment &amp; Operator)</v>
      </c>
      <c r="C57" s="1376"/>
      <c r="D57" s="1382" t="str">
        <f>+'[11]Core Rates'!B138</f>
        <v>Ea</v>
      </c>
      <c r="E57" s="1383">
        <f>+'[11]Core Rates'!C138</f>
        <v>321.3</v>
      </c>
      <c r="F57" s="1170">
        <v>1</v>
      </c>
      <c r="G57" s="1171">
        <f t="shared" si="3"/>
        <v>321.3</v>
      </c>
      <c r="H57" s="35"/>
      <c r="I57" s="47"/>
    </row>
    <row r="58" spans="1:9">
      <c r="A58" s="2"/>
      <c r="B58" s="1188" t="str">
        <f>+'[11]Core Rates'!A106</f>
        <v>Earthmoving: Design Storage Volume, Normal Conditions</v>
      </c>
      <c r="C58" s="6"/>
      <c r="D58" s="1384" t="str">
        <f>+'[11]Core Rates'!B106</f>
        <v>Cu Ft</v>
      </c>
      <c r="E58" s="1383">
        <f>+'[11]Core Rates'!C106</f>
        <v>7.6499999999999999E-2</v>
      </c>
      <c r="F58" s="1170">
        <v>77212</v>
      </c>
      <c r="G58" s="1171">
        <f t="shared" si="3"/>
        <v>5906.7179999999998</v>
      </c>
      <c r="H58" s="35"/>
      <c r="I58" s="47"/>
    </row>
    <row r="59" spans="1:9">
      <c r="A59" s="2"/>
      <c r="B59" s="1186" t="str">
        <f>+'[11]Core Rates'!A244</f>
        <v>Pond Liner: Compacted Clay (Installed)</v>
      </c>
      <c r="C59" s="6"/>
      <c r="D59" s="1382" t="str">
        <f>+'[11]Core Rates'!B244</f>
        <v>Cu Yd</v>
      </c>
      <c r="E59" s="1383">
        <f>+'[11]Core Rates'!C244</f>
        <v>2.2470000000000003</v>
      </c>
      <c r="F59" s="1170">
        <v>448</v>
      </c>
      <c r="G59" s="1171">
        <f t="shared" si="3"/>
        <v>1006.6560000000002</v>
      </c>
      <c r="H59" s="35"/>
      <c r="I59" s="47"/>
    </row>
    <row r="60" spans="1:9">
      <c r="A60" s="2"/>
      <c r="B60" s="1186" t="str">
        <f>+'[11]Core Rates'!A347</f>
        <v>Waste Structure Warning Sign: 12" x 10" Alum (Inst)</v>
      </c>
      <c r="C60" s="6"/>
      <c r="D60" s="1382" t="str">
        <f>+'[11]Core Rates'!B347</f>
        <v>Ea</v>
      </c>
      <c r="E60" s="1385">
        <f>+'[11]Core Rates'!C347</f>
        <v>1.21275</v>
      </c>
      <c r="F60" s="1170">
        <v>4</v>
      </c>
      <c r="G60" s="1171">
        <f t="shared" si="3"/>
        <v>4.851</v>
      </c>
      <c r="H60" s="35"/>
      <c r="I60" s="47"/>
    </row>
    <row r="61" spans="1:9">
      <c r="A61" s="2"/>
      <c r="B61" s="1186" t="str">
        <f>+'[11]Core Rates'!A280</f>
        <v>Schd 40 PVC Pipe: 8" (Installed)</v>
      </c>
      <c r="C61" s="6"/>
      <c r="D61" s="1382" t="str">
        <f>+'[11]Core Rates'!B280</f>
        <v>Lin Ft</v>
      </c>
      <c r="E61" s="1385">
        <f>+'[11]Core Rates'!C280</f>
        <v>7.4150999999999998</v>
      </c>
      <c r="F61" s="1170">
        <v>60</v>
      </c>
      <c r="G61" s="1171">
        <f t="shared" si="3"/>
        <v>444.90600000000001</v>
      </c>
      <c r="H61" s="35"/>
      <c r="I61" s="47"/>
    </row>
    <row r="62" spans="1:9">
      <c r="A62" s="2"/>
      <c r="B62" s="1186" t="str">
        <f>+'[11]Core Rates'!A51</f>
        <v>Concrete Walls Formed Surface (w/ one mat of steel reinforcement)</v>
      </c>
      <c r="C62" s="6"/>
      <c r="D62" s="1382" t="str">
        <f>+'[11]Core Rates'!B51</f>
        <v>Cu Yd</v>
      </c>
      <c r="E62" s="1385">
        <f>+'[11]Core Rates'!C51</f>
        <v>202.23000000000002</v>
      </c>
      <c r="F62" s="1170">
        <v>20</v>
      </c>
      <c r="G62" s="1171">
        <f t="shared" si="3"/>
        <v>4044.6000000000004</v>
      </c>
      <c r="H62" s="35"/>
      <c r="I62" s="47"/>
    </row>
    <row r="63" spans="1:9">
      <c r="A63" s="2"/>
      <c r="B63" s="1186" t="str">
        <f>+'[11]Core Rates'!A141</f>
        <v>Guard Rail Kit: 6" x 12' (Installed)</v>
      </c>
      <c r="C63" s="6"/>
      <c r="D63" s="1382" t="str">
        <f>+'[11]Core Rates'!B141</f>
        <v>Ea</v>
      </c>
      <c r="E63" s="1385">
        <f>+'[11]Core Rates'!C141</f>
        <v>121.27500000000001</v>
      </c>
      <c r="F63" s="1170">
        <v>1</v>
      </c>
      <c r="G63" s="1171">
        <f t="shared" si="3"/>
        <v>121.27500000000001</v>
      </c>
      <c r="H63" s="35"/>
      <c r="I63" s="47"/>
    </row>
    <row r="64" spans="1:9">
      <c r="A64" s="2"/>
      <c r="B64" s="40" t="s">
        <v>461</v>
      </c>
      <c r="C64" s="6"/>
      <c r="D64" s="1168" t="s">
        <v>408</v>
      </c>
      <c r="E64" s="1169">
        <f>+'[11]Core Rates'!C104</f>
        <v>20</v>
      </c>
      <c r="F64" s="1170">
        <v>0.2</v>
      </c>
      <c r="G64" s="1171">
        <f t="shared" si="3"/>
        <v>4</v>
      </c>
      <c r="H64" s="35"/>
      <c r="I64" s="47"/>
    </row>
    <row r="65" spans="1:9">
      <c r="A65" s="2"/>
      <c r="B65" s="40" t="s">
        <v>462</v>
      </c>
      <c r="C65" s="6"/>
      <c r="D65" s="1168" t="s">
        <v>408</v>
      </c>
      <c r="E65" s="1169">
        <f>+'[11]Core Rates'!AN33</f>
        <v>5.416666666666667</v>
      </c>
      <c r="F65" s="1170">
        <v>0.2</v>
      </c>
      <c r="G65" s="1171">
        <f t="shared" si="3"/>
        <v>1.0833333333333335</v>
      </c>
      <c r="H65" s="35"/>
      <c r="I65" s="47"/>
    </row>
    <row r="66" spans="1:9">
      <c r="A66" s="2"/>
      <c r="B66" s="40" t="s">
        <v>463</v>
      </c>
      <c r="C66" s="6"/>
      <c r="D66" s="1168" t="s">
        <v>452</v>
      </c>
      <c r="E66" s="1169">
        <f>+'[11]Core Rates'!AN34</f>
        <v>5.5</v>
      </c>
      <c r="F66" s="1170">
        <v>0.4</v>
      </c>
      <c r="G66" s="1171">
        <f t="shared" si="3"/>
        <v>2.2000000000000002</v>
      </c>
      <c r="H66" s="35"/>
      <c r="I66" s="47"/>
    </row>
    <row r="67" spans="1:9">
      <c r="A67" s="2"/>
      <c r="B67" s="40" t="s">
        <v>464</v>
      </c>
      <c r="C67" s="6"/>
      <c r="D67" s="1168" t="s">
        <v>452</v>
      </c>
      <c r="E67" s="1169">
        <f>+'[11]Core Rates'!AN32</f>
        <v>6.3125</v>
      </c>
      <c r="F67" s="1170">
        <v>0.4</v>
      </c>
      <c r="G67" s="1171">
        <f t="shared" si="3"/>
        <v>2.5250000000000004</v>
      </c>
      <c r="H67" s="35"/>
      <c r="I67" s="47"/>
    </row>
    <row r="68" spans="1:9">
      <c r="A68" s="2"/>
      <c r="B68" s="40" t="s">
        <v>1280</v>
      </c>
      <c r="C68" s="6"/>
      <c r="D68" s="1168" t="s">
        <v>619</v>
      </c>
      <c r="E68" s="1169">
        <f>+'[11]Core Rates'!C217</f>
        <v>472.5</v>
      </c>
      <c r="F68" s="1170">
        <v>0.4</v>
      </c>
      <c r="G68" s="1171">
        <f t="shared" si="3"/>
        <v>189</v>
      </c>
      <c r="H68" s="35"/>
      <c r="I68" s="47"/>
    </row>
    <row r="69" spans="1:9">
      <c r="A69" s="2"/>
      <c r="B69" s="40"/>
      <c r="C69" s="6"/>
      <c r="D69" s="63"/>
      <c r="E69" s="150"/>
      <c r="F69" s="150"/>
      <c r="G69" s="1169"/>
      <c r="H69" s="35"/>
      <c r="I69" s="47"/>
    </row>
    <row r="70" spans="1:9">
      <c r="A70" s="2"/>
      <c r="B70" s="37" t="s">
        <v>43</v>
      </c>
      <c r="C70" s="35"/>
      <c r="D70" s="35"/>
      <c r="E70" s="60"/>
      <c r="F70" s="60"/>
      <c r="G70" s="60"/>
      <c r="H70" s="35"/>
      <c r="I70" s="46"/>
    </row>
    <row r="71" spans="1:9" ht="12.75" customHeight="1">
      <c r="A71" s="2"/>
      <c r="B71" s="2004" t="s">
        <v>1281</v>
      </c>
      <c r="C71" s="2005"/>
      <c r="D71" s="2005"/>
      <c r="E71" s="2005"/>
      <c r="F71" s="2005"/>
      <c r="G71" s="2005"/>
      <c r="H71" s="2005"/>
      <c r="I71" s="2006"/>
    </row>
    <row r="72" spans="1:9">
      <c r="A72" s="2"/>
      <c r="B72" s="2004"/>
      <c r="C72" s="2005"/>
      <c r="D72" s="2005"/>
      <c r="E72" s="2005"/>
      <c r="F72" s="2005"/>
      <c r="G72" s="2005"/>
      <c r="H72" s="2005"/>
      <c r="I72" s="2006"/>
    </row>
    <row r="73" spans="1:9">
      <c r="A73" s="2"/>
      <c r="B73" s="1177"/>
      <c r="C73" s="1178"/>
      <c r="D73" s="1178"/>
      <c r="E73" s="1178"/>
      <c r="F73" s="1178"/>
      <c r="G73" s="1178"/>
      <c r="H73" s="1178"/>
      <c r="I73" s="1179"/>
    </row>
    <row r="74" spans="1:9">
      <c r="A74" s="2"/>
      <c r="B74" s="1177"/>
      <c r="C74" s="1178"/>
      <c r="D74" s="1178"/>
      <c r="E74" s="1178"/>
      <c r="F74" s="1178"/>
      <c r="G74" s="1178"/>
      <c r="H74" s="1178"/>
      <c r="I74" s="1179"/>
    </row>
    <row r="75" spans="1:9">
      <c r="A75" s="2"/>
      <c r="B75" s="42" t="s">
        <v>3</v>
      </c>
      <c r="C75" s="35"/>
      <c r="D75" s="35"/>
      <c r="E75" s="35"/>
      <c r="F75" s="39"/>
      <c r="G75" s="35"/>
      <c r="H75" s="35"/>
      <c r="I75" s="1182">
        <f>E77</f>
        <v>1833.1886540000003</v>
      </c>
    </row>
    <row r="76" spans="1:9">
      <c r="A76" s="2"/>
      <c r="B76" s="2007" t="s">
        <v>465</v>
      </c>
      <c r="C76" s="2008"/>
      <c r="D76" s="35"/>
      <c r="E76" s="35"/>
      <c r="F76" s="35"/>
      <c r="G76" s="35"/>
      <c r="H76" s="35"/>
      <c r="I76" s="48"/>
    </row>
    <row r="77" spans="1:9">
      <c r="A77" s="2"/>
      <c r="B77" s="37" t="s">
        <v>466</v>
      </c>
      <c r="C77" s="39"/>
      <c r="D77" s="39"/>
      <c r="E77" s="153">
        <f>SUM(G56:G68)*0.15</f>
        <v>1833.1886540000003</v>
      </c>
      <c r="F77" s="35"/>
      <c r="G77" s="35"/>
      <c r="H77" s="35"/>
      <c r="I77" s="46"/>
    </row>
    <row r="78" spans="1:9">
      <c r="A78" s="2"/>
      <c r="B78" s="37"/>
      <c r="C78" s="39"/>
      <c r="D78" s="1180"/>
      <c r="E78" s="153"/>
      <c r="F78" s="35"/>
      <c r="G78" s="35"/>
      <c r="H78" s="35"/>
      <c r="I78" s="46"/>
    </row>
    <row r="79" spans="1:9">
      <c r="A79" s="2"/>
      <c r="B79" s="37"/>
      <c r="C79" s="39"/>
      <c r="D79" s="1181"/>
      <c r="E79" s="153"/>
      <c r="F79" s="35"/>
      <c r="G79" s="35"/>
      <c r="H79" s="35"/>
      <c r="I79" s="46"/>
    </row>
    <row r="80" spans="1:9">
      <c r="A80" s="2"/>
      <c r="B80" s="33"/>
      <c r="C80" s="35"/>
      <c r="D80" s="35"/>
      <c r="E80" s="35"/>
      <c r="F80" s="35"/>
      <c r="G80" s="35"/>
      <c r="H80" s="35"/>
      <c r="I80" s="36"/>
    </row>
    <row r="81" spans="1:9">
      <c r="A81" s="2"/>
      <c r="B81" s="42" t="s">
        <v>4</v>
      </c>
      <c r="C81" s="35"/>
      <c r="D81" s="35"/>
      <c r="E81" s="35"/>
      <c r="F81" s="35"/>
      <c r="G81" s="35"/>
      <c r="H81" s="35"/>
      <c r="I81" s="1182">
        <f>0.03*(I40+I54+I75)</f>
        <v>368.22107577505352</v>
      </c>
    </row>
    <row r="82" spans="1:9">
      <c r="A82" s="2"/>
      <c r="B82" s="33" t="s">
        <v>467</v>
      </c>
      <c r="C82" s="35"/>
      <c r="D82" s="35"/>
      <c r="E82" s="35"/>
      <c r="F82" s="35"/>
      <c r="G82" s="35"/>
      <c r="H82" s="35"/>
      <c r="I82" s="36"/>
    </row>
    <row r="83" spans="1:9">
      <c r="A83" s="2"/>
      <c r="B83" s="37"/>
      <c r="C83" s="35"/>
      <c r="D83" s="35"/>
      <c r="E83" s="35"/>
      <c r="F83" s="35"/>
      <c r="G83" s="35"/>
      <c r="H83" s="35"/>
      <c r="I83" s="36"/>
    </row>
    <row r="84" spans="1:9">
      <c r="A84" s="2"/>
      <c r="B84" s="42" t="s">
        <v>468</v>
      </c>
      <c r="C84" s="35"/>
      <c r="D84" s="35"/>
      <c r="E84" s="35"/>
      <c r="F84" s="35"/>
      <c r="G84" s="35"/>
      <c r="H84" s="35"/>
      <c r="I84" s="1182">
        <f>0.01*(I40+I54+I75)</f>
        <v>122.74035859168451</v>
      </c>
    </row>
    <row r="85" spans="1:9">
      <c r="A85" s="2"/>
      <c r="B85" s="33" t="s">
        <v>749</v>
      </c>
      <c r="C85" s="35"/>
      <c r="D85" s="35"/>
      <c r="E85" s="35"/>
      <c r="F85" s="35"/>
      <c r="G85" s="35"/>
      <c r="H85" s="35"/>
      <c r="I85" s="36"/>
    </row>
    <row r="86" spans="1:9">
      <c r="A86" s="2"/>
      <c r="B86" s="37"/>
      <c r="C86" s="35"/>
      <c r="D86" s="35"/>
      <c r="E86" s="35"/>
      <c r="F86" s="35"/>
      <c r="G86" s="35"/>
      <c r="H86" s="35"/>
      <c r="I86" s="36"/>
    </row>
    <row r="87" spans="1:9">
      <c r="A87" s="2"/>
      <c r="B87" s="42" t="s">
        <v>7</v>
      </c>
      <c r="C87" s="35"/>
      <c r="D87" s="35"/>
      <c r="E87" s="35"/>
      <c r="F87" s="35"/>
      <c r="G87" s="35"/>
      <c r="H87" s="35"/>
      <c r="I87" s="1166">
        <v>0</v>
      </c>
    </row>
    <row r="88" spans="1:9">
      <c r="A88" s="2"/>
      <c r="B88" s="33" t="s">
        <v>1282</v>
      </c>
      <c r="C88" s="35"/>
      <c r="D88" s="35"/>
      <c r="E88" s="35"/>
      <c r="F88" s="35"/>
      <c r="G88" s="35"/>
      <c r="H88" s="35"/>
      <c r="I88" s="36"/>
    </row>
    <row r="89" spans="1:9">
      <c r="A89" s="2"/>
      <c r="B89" s="37"/>
      <c r="C89" s="35"/>
      <c r="D89" s="35"/>
      <c r="E89" s="35"/>
      <c r="F89" s="35"/>
      <c r="G89" s="35"/>
      <c r="H89" s="35"/>
      <c r="I89" s="36"/>
    </row>
    <row r="90" spans="1:9">
      <c r="A90" s="2"/>
      <c r="B90" s="42" t="s">
        <v>471</v>
      </c>
      <c r="C90" s="35"/>
      <c r="D90" s="35"/>
      <c r="E90" s="35"/>
      <c r="F90" s="39"/>
      <c r="G90" s="35"/>
      <c r="H90" s="35"/>
      <c r="I90" s="1166">
        <v>0</v>
      </c>
    </row>
    <row r="91" spans="1:9">
      <c r="A91" s="2"/>
      <c r="B91" s="756" t="s">
        <v>104</v>
      </c>
      <c r="C91" s="35"/>
      <c r="D91" s="35"/>
      <c r="E91" s="35"/>
      <c r="F91" s="35"/>
      <c r="G91" s="35"/>
      <c r="H91" s="35"/>
      <c r="I91" s="47"/>
    </row>
    <row r="92" spans="1:9">
      <c r="A92" s="2"/>
      <c r="B92" s="756"/>
      <c r="C92" s="35"/>
      <c r="D92" s="35"/>
      <c r="E92" s="35"/>
      <c r="F92" s="35"/>
      <c r="G92" s="35"/>
      <c r="H92" s="35"/>
      <c r="I92" s="47"/>
    </row>
    <row r="93" spans="1:9">
      <c r="A93" s="2"/>
      <c r="B93" s="37"/>
      <c r="C93" s="35"/>
      <c r="D93" s="35"/>
      <c r="E93" s="35"/>
      <c r="F93" s="35"/>
      <c r="G93" s="35"/>
      <c r="H93" s="35"/>
      <c r="I93" s="36"/>
    </row>
    <row r="94" spans="1:9">
      <c r="A94" s="2"/>
      <c r="B94" s="42" t="s">
        <v>5</v>
      </c>
      <c r="C94" s="35"/>
      <c r="D94" s="35"/>
      <c r="E94" s="35"/>
      <c r="F94" s="35"/>
      <c r="G94" s="35"/>
      <c r="H94" s="35"/>
      <c r="I94" s="1166">
        <v>0</v>
      </c>
    </row>
    <row r="95" spans="1:9">
      <c r="A95" s="2"/>
      <c r="B95" s="33" t="s">
        <v>1283</v>
      </c>
      <c r="C95" s="35"/>
      <c r="D95" s="35"/>
      <c r="E95" s="35"/>
      <c r="F95" s="35"/>
      <c r="G95" s="35"/>
      <c r="H95" s="35"/>
      <c r="I95" s="47"/>
    </row>
    <row r="96" spans="1:9">
      <c r="A96" s="2"/>
      <c r="B96" s="37"/>
      <c r="C96" s="35"/>
      <c r="D96" s="35"/>
      <c r="E96" s="35"/>
      <c r="F96" s="35"/>
      <c r="G96" s="35"/>
      <c r="H96" s="35"/>
      <c r="I96" s="36"/>
    </row>
    <row r="97" spans="1:9">
      <c r="A97" s="2"/>
      <c r="B97" s="42" t="s">
        <v>20</v>
      </c>
      <c r="C97" s="35"/>
      <c r="D97" s="35"/>
      <c r="E97" s="35"/>
      <c r="F97" s="35"/>
      <c r="G97" s="35"/>
      <c r="H97" s="35"/>
      <c r="I97" s="1166">
        <v>0</v>
      </c>
    </row>
    <row r="98" spans="1:9">
      <c r="A98" s="2"/>
      <c r="B98" s="33" t="s">
        <v>104</v>
      </c>
      <c r="C98" s="35"/>
      <c r="D98" s="35"/>
      <c r="E98" s="35"/>
      <c r="F98" s="35"/>
      <c r="G98" s="35"/>
      <c r="H98" s="35"/>
      <c r="I98" s="36"/>
    </row>
    <row r="99" spans="1:9">
      <c r="A99" s="2"/>
      <c r="B99" s="40"/>
      <c r="C99" s="35"/>
      <c r="D99" s="35"/>
      <c r="E99" s="35"/>
      <c r="F99" s="35"/>
      <c r="G99" s="35"/>
      <c r="H99" s="35"/>
      <c r="I99" s="36"/>
    </row>
    <row r="100" spans="1:9">
      <c r="A100" s="2"/>
      <c r="B100" s="42" t="s">
        <v>473</v>
      </c>
      <c r="C100" s="35"/>
      <c r="D100" s="35"/>
      <c r="E100" s="35"/>
      <c r="F100" s="35"/>
      <c r="G100" s="35"/>
      <c r="H100" s="35"/>
      <c r="I100" s="1183">
        <f>+I40+I54+I75+I81+I87+I97</f>
        <v>12642.256934943503</v>
      </c>
    </row>
    <row r="101" spans="1:9" ht="15.75">
      <c r="A101" s="2"/>
      <c r="B101" s="33" t="s">
        <v>474</v>
      </c>
      <c r="C101" s="35"/>
      <c r="D101" s="35"/>
      <c r="E101" s="35"/>
      <c r="F101" s="35"/>
      <c r="G101" s="35"/>
      <c r="H101" s="35"/>
      <c r="I101" s="36"/>
    </row>
    <row r="102" spans="1:9">
      <c r="A102" s="2"/>
      <c r="B102" s="40"/>
      <c r="C102" s="35"/>
      <c r="D102" s="35"/>
      <c r="E102" s="35"/>
      <c r="F102" s="35"/>
      <c r="G102" s="35"/>
      <c r="H102" s="35"/>
      <c r="I102" s="36"/>
    </row>
    <row r="103" spans="1:9">
      <c r="A103" s="2"/>
      <c r="B103" s="43" t="s">
        <v>11</v>
      </c>
      <c r="C103" s="44"/>
      <c r="D103" s="44"/>
      <c r="E103" s="44"/>
      <c r="F103" s="44"/>
      <c r="G103" s="44"/>
      <c r="H103" s="44"/>
      <c r="I103" s="621">
        <f>SUM(I40:I97)</f>
        <v>12764.997293535187</v>
      </c>
    </row>
  </sheetData>
  <mergeCells count="4">
    <mergeCell ref="B1:D1"/>
    <mergeCell ref="E54:H54"/>
    <mergeCell ref="B71:I72"/>
    <mergeCell ref="B76:C76"/>
  </mergeCells>
  <pageMargins left="0.75" right="0.75" top="1" bottom="1" header="0.5" footer="0.5"/>
  <pageSetup scale="58" orientation="portrait" r:id="rId1"/>
  <headerFooter alignWithMargins="0"/>
</worksheet>
</file>

<file path=xl/worksheets/sheet49.xml><?xml version="1.0" encoding="utf-8"?>
<worksheet xmlns="http://schemas.openxmlformats.org/spreadsheetml/2006/main" xmlns:r="http://schemas.openxmlformats.org/officeDocument/2006/relationships">
  <sheetPr>
    <pageSetUpPr fitToPage="1"/>
  </sheetPr>
  <dimension ref="A1:L103"/>
  <sheetViews>
    <sheetView workbookViewId="0">
      <selection activeCell="A2" sqref="A2:XFD27"/>
    </sheetView>
  </sheetViews>
  <sheetFormatPr defaultRowHeight="12.75"/>
  <cols>
    <col min="1" max="1" width="1.85546875" customWidth="1"/>
    <col min="3" max="3" width="24.140625" customWidth="1"/>
    <col min="4" max="4" width="23.140625" customWidth="1"/>
    <col min="5" max="5" width="54" customWidth="1"/>
    <col min="6" max="6" width="10.42578125" customWidth="1"/>
    <col min="7" max="7" width="12.7109375" bestFit="1" customWidth="1"/>
    <col min="9" max="9" width="11.140625" bestFit="1" customWidth="1"/>
    <col min="10" max="10"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313</v>
      </c>
      <c r="C6" s="7" t="str">
        <f>+E12</f>
        <v>EQIP</v>
      </c>
      <c r="D6" s="53" t="s">
        <v>1272</v>
      </c>
      <c r="E6" s="53" t="s">
        <v>1286</v>
      </c>
      <c r="F6" s="7" t="str">
        <f>D36</f>
        <v>Each</v>
      </c>
      <c r="G6" s="85">
        <f>+I25</f>
        <v>13535.477036072627</v>
      </c>
    </row>
    <row r="7" spans="1:12" hidden="1">
      <c r="A7" s="2"/>
      <c r="B7" s="54">
        <f>+B6</f>
        <v>313</v>
      </c>
      <c r="C7" s="7" t="str">
        <f>+C6</f>
        <v>EQIP</v>
      </c>
      <c r="D7" s="53" t="s">
        <v>1272</v>
      </c>
      <c r="E7" s="53" t="str">
        <f>CONCATENATE(E6, "-HU")</f>
        <v>Wet System "Large" Operations, 200 to 500 AU-HU</v>
      </c>
      <c r="F7" s="7" t="str">
        <f>+F6</f>
        <v>Each</v>
      </c>
      <c r="G7" s="85">
        <f>+J25</f>
        <v>16242.572443287154</v>
      </c>
    </row>
    <row r="8" spans="1:12" hidden="1">
      <c r="A8" s="2"/>
      <c r="B8" s="54">
        <v>313</v>
      </c>
      <c r="C8" s="7" t="str">
        <f>+G12</f>
        <v>WHIP</v>
      </c>
      <c r="D8" s="53" t="s">
        <v>1272</v>
      </c>
      <c r="E8" s="53" t="s">
        <v>1286</v>
      </c>
      <c r="F8" s="7" t="str">
        <f>D36</f>
        <v>Each</v>
      </c>
      <c r="G8" s="85">
        <f>+K25</f>
        <v>0</v>
      </c>
    </row>
    <row r="9" spans="1:12" hidden="1">
      <c r="A9" s="2"/>
      <c r="B9" s="8">
        <f>+B8</f>
        <v>313</v>
      </c>
      <c r="C9" s="10" t="str">
        <f>+C8</f>
        <v>WHIP</v>
      </c>
      <c r="D9" s="9" t="s">
        <v>1272</v>
      </c>
      <c r="E9" s="9" t="str">
        <f>CONCATENATE(E6, "-HU")</f>
        <v>Wet System "Large" Operations, 200 to 500 AU-HU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52.778165835115225</v>
      </c>
      <c r="E16" s="160">
        <f>+'[10]Payment Factors'!D45</f>
        <v>0.75</v>
      </c>
      <c r="F16" s="160">
        <f>+'[10]Payment Factors'!E45</f>
        <v>0.9</v>
      </c>
      <c r="G16" s="160">
        <f>+'[10]Payment Factors'!F19</f>
        <v>0</v>
      </c>
      <c r="H16" s="160">
        <f>+'[10]Payment Factors'!G19</f>
        <v>0</v>
      </c>
      <c r="I16" s="1154">
        <f t="shared" ref="I16:L24" si="0">+$D16*E16</f>
        <v>39.583624376336417</v>
      </c>
      <c r="J16" s="1154">
        <f t="shared" si="0"/>
        <v>47.500349251603701</v>
      </c>
      <c r="K16" s="1154">
        <f t="shared" si="0"/>
        <v>0</v>
      </c>
      <c r="L16" s="1155">
        <f t="shared" si="0"/>
        <v>0</v>
      </c>
    </row>
    <row r="17" spans="1:12" hidden="1">
      <c r="A17" s="2"/>
      <c r="B17" s="15" t="s">
        <v>2</v>
      </c>
      <c r="C17" s="16"/>
      <c r="D17" s="24">
        <f>+I54</f>
        <v>15225.485339333334</v>
      </c>
      <c r="E17" s="160">
        <f t="shared" ref="E17:H19" si="1">+E16</f>
        <v>0.75</v>
      </c>
      <c r="F17" s="160">
        <f t="shared" si="1"/>
        <v>0.9</v>
      </c>
      <c r="G17" s="160">
        <f t="shared" si="1"/>
        <v>0</v>
      </c>
      <c r="H17" s="160">
        <f t="shared" si="1"/>
        <v>0</v>
      </c>
      <c r="I17" s="1154">
        <f t="shared" si="0"/>
        <v>11419.114004500001</v>
      </c>
      <c r="J17" s="1154">
        <f t="shared" si="0"/>
        <v>13702.936805400001</v>
      </c>
      <c r="K17" s="1154">
        <f t="shared" si="0"/>
        <v>0</v>
      </c>
      <c r="L17" s="1155">
        <f t="shared" si="0"/>
        <v>0</v>
      </c>
    </row>
    <row r="18" spans="1:12" hidden="1">
      <c r="A18" s="2"/>
      <c r="B18" s="15" t="s">
        <v>3</v>
      </c>
      <c r="C18" s="16"/>
      <c r="D18" s="24">
        <f>+I75</f>
        <v>2686.8503540000002</v>
      </c>
      <c r="E18" s="160">
        <f t="shared" si="1"/>
        <v>0.75</v>
      </c>
      <c r="F18" s="160">
        <f t="shared" si="1"/>
        <v>0.9</v>
      </c>
      <c r="G18" s="160">
        <f t="shared" si="1"/>
        <v>0</v>
      </c>
      <c r="H18" s="160">
        <f t="shared" si="1"/>
        <v>0</v>
      </c>
      <c r="I18" s="1154">
        <f t="shared" si="0"/>
        <v>2015.1377655000001</v>
      </c>
      <c r="J18" s="1154">
        <f t="shared" si="0"/>
        <v>2418.1653186000003</v>
      </c>
      <c r="K18" s="1154">
        <f t="shared" si="0"/>
        <v>0</v>
      </c>
      <c r="L18" s="1155">
        <f t="shared" si="0"/>
        <v>0</v>
      </c>
    </row>
    <row r="19" spans="1:12" hidden="1">
      <c r="A19" s="2"/>
      <c r="B19" s="15" t="s">
        <v>4</v>
      </c>
      <c r="C19" s="16"/>
      <c r="D19" s="24">
        <f>+I81</f>
        <v>82.188855595053454</v>
      </c>
      <c r="E19" s="160">
        <f t="shared" si="1"/>
        <v>0.75</v>
      </c>
      <c r="F19" s="160">
        <f t="shared" si="1"/>
        <v>0.9</v>
      </c>
      <c r="G19" s="160">
        <f t="shared" si="1"/>
        <v>0</v>
      </c>
      <c r="H19" s="160">
        <f t="shared" si="1"/>
        <v>0</v>
      </c>
      <c r="I19" s="1154">
        <f t="shared" si="0"/>
        <v>61.641641696290094</v>
      </c>
      <c r="J19" s="1154">
        <f t="shared" si="0"/>
        <v>73.969970035548116</v>
      </c>
      <c r="K19" s="1154">
        <f t="shared" si="0"/>
        <v>0</v>
      </c>
      <c r="L19" s="1155">
        <f t="shared" si="0"/>
        <v>0</v>
      </c>
    </row>
    <row r="20" spans="1:12" hidden="1">
      <c r="A20" s="2"/>
      <c r="B20" s="15" t="s">
        <v>26</v>
      </c>
      <c r="C20" s="16"/>
      <c r="D20" s="24">
        <f>+I84</f>
        <v>27.396285198351151</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+I87</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+I90</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+I94</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+I97</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18074.698999961856</v>
      </c>
      <c r="E25" s="1158"/>
      <c r="F25" s="1158"/>
      <c r="G25" s="28"/>
      <c r="H25" s="28"/>
      <c r="I25" s="1159">
        <f>SUM(I16:I24)</f>
        <v>13535.477036072627</v>
      </c>
      <c r="J25" s="1159">
        <f>SUM(J16:J24)</f>
        <v>16242.572443287154</v>
      </c>
      <c r="K25" s="1159">
        <f>SUM(K16:K24)</f>
        <v>0</v>
      </c>
      <c r="L25" s="1160">
        <f>SUM(L16:L24)</f>
        <v>0</v>
      </c>
    </row>
    <row r="26" spans="1:12" hidden="1"/>
    <row r="27" spans="1:12" ht="15.75">
      <c r="A27" s="2"/>
      <c r="B27" s="50" t="s">
        <v>28</v>
      </c>
      <c r="C27" s="2"/>
      <c r="D27" s="2"/>
      <c r="E27" s="2"/>
      <c r="F27" s="2"/>
      <c r="G27" s="2"/>
      <c r="H27" s="2"/>
      <c r="I27" s="5"/>
    </row>
    <row r="28" spans="1:12">
      <c r="A28" s="2"/>
      <c r="B28" s="29" t="s">
        <v>1287</v>
      </c>
      <c r="C28" s="30"/>
      <c r="D28" s="30"/>
      <c r="E28" s="31"/>
      <c r="F28" s="31"/>
      <c r="G28" s="31"/>
      <c r="H28" s="31"/>
      <c r="I28" s="32"/>
    </row>
    <row r="29" spans="1:12">
      <c r="A29" s="2"/>
      <c r="B29" s="1161" t="s">
        <v>1275</v>
      </c>
      <c r="C29" s="34"/>
      <c r="D29" s="34"/>
      <c r="E29" s="35"/>
      <c r="F29" s="35"/>
      <c r="G29" s="35"/>
      <c r="H29" s="35"/>
      <c r="I29" s="36"/>
    </row>
    <row r="30" spans="1:12">
      <c r="A30" s="2"/>
      <c r="B30" s="1161" t="s">
        <v>1276</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+'[10]Payment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+'[11]Core Rates'!C203</f>
        <v>8.75</v>
      </c>
      <c r="F43" s="1170">
        <v>0.4</v>
      </c>
      <c r="G43" s="1171">
        <f t="shared" si="2"/>
        <v>3.5</v>
      </c>
      <c r="H43" s="35"/>
      <c r="I43" s="36"/>
    </row>
    <row r="44" spans="1:9">
      <c r="A44" s="2"/>
      <c r="B44" s="1184" t="s">
        <v>453</v>
      </c>
      <c r="C44" s="6"/>
      <c r="D44" s="1185" t="s">
        <v>454</v>
      </c>
      <c r="E44" s="1169">
        <f>+'[11]Core Rates'!C228</f>
        <v>0.82427536231884069</v>
      </c>
      <c r="F44" s="1170">
        <v>10</v>
      </c>
      <c r="G44" s="1171">
        <f t="shared" si="2"/>
        <v>8.2427536231884062</v>
      </c>
      <c r="H44" s="35"/>
      <c r="I44" s="36"/>
    </row>
    <row r="45" spans="1:9">
      <c r="A45" s="2"/>
      <c r="B45" s="1186" t="s">
        <v>455</v>
      </c>
      <c r="C45" s="1187"/>
      <c r="D45" s="1185" t="s">
        <v>454</v>
      </c>
      <c r="E45" s="1169">
        <f>+'[11]Core Rates'!C235</f>
        <v>1.1702898550724636</v>
      </c>
      <c r="F45" s="1170">
        <v>10</v>
      </c>
      <c r="G45" s="1171">
        <f t="shared" si="2"/>
        <v>11.702898550724637</v>
      </c>
      <c r="H45" s="35"/>
      <c r="I45" s="36"/>
    </row>
    <row r="46" spans="1:9">
      <c r="A46" s="2"/>
      <c r="B46" s="1186" t="s">
        <v>456</v>
      </c>
      <c r="C46" s="1187"/>
      <c r="D46" s="1168" t="s">
        <v>454</v>
      </c>
      <c r="E46" s="1169">
        <f>+'[11]Core Rates'!C246</f>
        <v>0.58825136612021856</v>
      </c>
      <c r="F46" s="1170">
        <v>10</v>
      </c>
      <c r="G46" s="1171">
        <f t="shared" si="2"/>
        <v>5.8825136612021858</v>
      </c>
      <c r="H46" s="35"/>
      <c r="I46" s="36"/>
    </row>
    <row r="47" spans="1:9">
      <c r="A47" s="2"/>
      <c r="B47" s="1186" t="str">
        <f>+'[11]Core Rates'!A313</f>
        <v>Seed (Tall Fescue KY-31)</v>
      </c>
      <c r="C47" s="1187"/>
      <c r="D47" s="1185" t="s">
        <v>454</v>
      </c>
      <c r="E47" s="1169">
        <f>+'[11]Core Rates'!C313</f>
        <v>2.3449999999999998</v>
      </c>
      <c r="F47" s="1170">
        <v>10</v>
      </c>
      <c r="G47" s="1171">
        <f t="shared" si="2"/>
        <v>23.449999999999996</v>
      </c>
      <c r="H47" s="35"/>
      <c r="I47" s="36"/>
    </row>
    <row r="48" spans="1:9">
      <c r="A48" s="2"/>
      <c r="B48" s="1186" t="s">
        <v>480</v>
      </c>
      <c r="C48" s="1187"/>
      <c r="D48" s="1185" t="s">
        <v>454</v>
      </c>
      <c r="E48" s="1169">
        <f>+'[11]Core Rates'!C311</f>
        <v>2.0975000000000001</v>
      </c>
      <c r="F48" s="1170">
        <v>0</v>
      </c>
      <c r="G48" s="1171">
        <f t="shared" si="2"/>
        <v>0</v>
      </c>
      <c r="H48" s="35"/>
      <c r="I48" s="36"/>
    </row>
    <row r="49" spans="1:9">
      <c r="A49" s="2"/>
      <c r="B49" s="1186" t="s">
        <v>481</v>
      </c>
      <c r="C49" s="1187"/>
      <c r="D49" s="1185" t="s">
        <v>454</v>
      </c>
      <c r="E49" s="1169">
        <f>+'[11]Core Rates'!C312</f>
        <v>3.5</v>
      </c>
      <c r="F49" s="1170">
        <v>0</v>
      </c>
      <c r="G49" s="1171">
        <f t="shared" si="2"/>
        <v>0</v>
      </c>
      <c r="H49" s="35"/>
      <c r="I49" s="36"/>
    </row>
    <row r="50" spans="1:9">
      <c r="A50" s="2"/>
      <c r="B50" s="1184"/>
      <c r="C50" s="6"/>
      <c r="D50" s="1173"/>
      <c r="E50" s="1190"/>
      <c r="F50" s="35"/>
      <c r="G50" s="35"/>
      <c r="H50" s="35"/>
      <c r="I50" s="36"/>
    </row>
    <row r="51" spans="1:9">
      <c r="A51" s="2"/>
      <c r="B51" s="40" t="s">
        <v>1278</v>
      </c>
      <c r="C51" s="6"/>
      <c r="D51" s="1173"/>
      <c r="E51" s="1190"/>
      <c r="F51" s="35"/>
      <c r="G51" s="35"/>
      <c r="H51" s="35"/>
      <c r="I51" s="36"/>
    </row>
    <row r="52" spans="1:9">
      <c r="A52" s="2"/>
      <c r="B52" s="40" t="s">
        <v>1279</v>
      </c>
      <c r="C52" s="6"/>
      <c r="D52" s="1173"/>
      <c r="E52" s="35"/>
      <c r="F52" s="35"/>
      <c r="G52" s="35"/>
      <c r="H52" s="35"/>
      <c r="I52" s="3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(SUM(G56:G68)*0.85)</f>
        <v>15225.485339333334</v>
      </c>
    </row>
    <row r="55" spans="1:9">
      <c r="A55" s="2"/>
      <c r="B55" s="1174"/>
      <c r="C55" s="35"/>
      <c r="D55" s="1167" t="s">
        <v>447</v>
      </c>
      <c r="E55" s="1167" t="s">
        <v>448</v>
      </c>
      <c r="F55" s="1167" t="s">
        <v>449</v>
      </c>
      <c r="G55" s="1167" t="s">
        <v>450</v>
      </c>
      <c r="H55" s="35"/>
      <c r="I55" s="46"/>
    </row>
    <row r="56" spans="1:9">
      <c r="A56" s="2"/>
      <c r="B56" s="1186" t="str">
        <f>+'[11]Core Rates'!A56</f>
        <v>Construction Site Prep - Medium</v>
      </c>
      <c r="C56" s="6"/>
      <c r="D56" s="1168" t="s">
        <v>408</v>
      </c>
      <c r="E56" s="1169">
        <f>+'[11]Core Rates'!C56</f>
        <v>573.81119999999999</v>
      </c>
      <c r="F56" s="1170">
        <v>0.3</v>
      </c>
      <c r="G56" s="1171">
        <f t="shared" ref="G56:G68" si="3">+F56*E56</f>
        <v>172.14336</v>
      </c>
      <c r="H56" s="35"/>
      <c r="I56" s="47"/>
    </row>
    <row r="57" spans="1:9">
      <c r="A57" s="2"/>
      <c r="B57" s="1186" t="str">
        <f>+'[11]Core Rates'!A138</f>
        <v>Geologic Investigation (Equipment &amp; Operator)</v>
      </c>
      <c r="C57" s="1376"/>
      <c r="D57" s="1382" t="str">
        <f>+'[11]Core Rates'!B138</f>
        <v>Ea</v>
      </c>
      <c r="E57" s="1383">
        <f>+'[11]Core Rates'!C138</f>
        <v>321.3</v>
      </c>
      <c r="F57" s="1170">
        <v>1</v>
      </c>
      <c r="G57" s="1171">
        <f t="shared" si="3"/>
        <v>321.3</v>
      </c>
      <c r="H57" s="35"/>
      <c r="I57" s="47"/>
    </row>
    <row r="58" spans="1:9">
      <c r="A58" s="2"/>
      <c r="B58" s="1188" t="str">
        <f>+'[11]Core Rates'!A106</f>
        <v>Earthmoving: Design Storage Volume, Normal Conditions</v>
      </c>
      <c r="C58" s="6"/>
      <c r="D58" s="1384" t="str">
        <f>+'[11]Core Rates'!B106</f>
        <v>Cu Ft</v>
      </c>
      <c r="E58" s="1383">
        <f>+'[11]Core Rates'!C106</f>
        <v>7.6499999999999999E-2</v>
      </c>
      <c r="F58" s="1170">
        <v>144732</v>
      </c>
      <c r="G58" s="1171">
        <f t="shared" si="3"/>
        <v>11071.998</v>
      </c>
      <c r="H58" s="35"/>
      <c r="I58" s="47"/>
    </row>
    <row r="59" spans="1:9">
      <c r="A59" s="2"/>
      <c r="B59" s="1186" t="str">
        <f>+'[11]Core Rates'!A244</f>
        <v>Pond Liner: Compacted Clay (Installed)</v>
      </c>
      <c r="C59" s="6"/>
      <c r="D59" s="1382" t="str">
        <f>+'[11]Core Rates'!B244</f>
        <v>Cu Yd</v>
      </c>
      <c r="E59" s="1383">
        <f>+'[11]Core Rates'!C244</f>
        <v>2.2470000000000003</v>
      </c>
      <c r="F59" s="1170">
        <v>682</v>
      </c>
      <c r="G59" s="1171">
        <f t="shared" si="3"/>
        <v>1532.4540000000002</v>
      </c>
      <c r="H59" s="35"/>
      <c r="I59" s="47"/>
    </row>
    <row r="60" spans="1:9">
      <c r="A60" s="2"/>
      <c r="B60" s="1186" t="str">
        <f>+'[11]Core Rates'!A347</f>
        <v>Waste Structure Warning Sign: 12" x 10" Alum (Inst)</v>
      </c>
      <c r="C60" s="6"/>
      <c r="D60" s="1382" t="str">
        <f>+'[11]Core Rates'!B347</f>
        <v>Ea</v>
      </c>
      <c r="E60" s="1385">
        <f>+'[11]Core Rates'!C347</f>
        <v>1.21275</v>
      </c>
      <c r="F60" s="1170">
        <v>4</v>
      </c>
      <c r="G60" s="1171">
        <f t="shared" si="3"/>
        <v>4.851</v>
      </c>
      <c r="H60" s="35"/>
      <c r="I60" s="47"/>
    </row>
    <row r="61" spans="1:9">
      <c r="A61" s="2"/>
      <c r="B61" s="1186" t="str">
        <f>+'[11]Core Rates'!A280</f>
        <v>Schd 40 PVC Pipe: 8" (Installed)</v>
      </c>
      <c r="C61" s="6"/>
      <c r="D61" s="1382" t="str">
        <f>+'[11]Core Rates'!B280</f>
        <v>Lin Ft</v>
      </c>
      <c r="E61" s="1385">
        <f>+'[11]Core Rates'!C280</f>
        <v>7.4150999999999998</v>
      </c>
      <c r="F61" s="1170">
        <v>60</v>
      </c>
      <c r="G61" s="1171">
        <f t="shared" si="3"/>
        <v>444.90600000000001</v>
      </c>
      <c r="H61" s="35"/>
      <c r="I61" s="47"/>
    </row>
    <row r="62" spans="1:9">
      <c r="A62" s="2"/>
      <c r="B62" s="1186" t="str">
        <f>+'[11]Core Rates'!A51</f>
        <v>Concrete Walls Formed Surface (w/ one mat of steel reinforcement)</v>
      </c>
      <c r="C62" s="6"/>
      <c r="D62" s="1382" t="str">
        <f>+'[11]Core Rates'!B51</f>
        <v>Cu Yd</v>
      </c>
      <c r="E62" s="1385">
        <f>+'[11]Core Rates'!C51</f>
        <v>202.23000000000002</v>
      </c>
      <c r="F62" s="1170">
        <v>20</v>
      </c>
      <c r="G62" s="1171">
        <f t="shared" si="3"/>
        <v>4044.6000000000004</v>
      </c>
      <c r="H62" s="35"/>
      <c r="I62" s="47"/>
    </row>
    <row r="63" spans="1:9">
      <c r="A63" s="2"/>
      <c r="B63" s="1186" t="str">
        <f>+'[11]Core Rates'!A141</f>
        <v>Guard Rail Kit: 6" x 12' (Installed)</v>
      </c>
      <c r="C63" s="6"/>
      <c r="D63" s="1382" t="str">
        <f>+'[11]Core Rates'!B141</f>
        <v>Ea</v>
      </c>
      <c r="E63" s="1385">
        <f>+'[11]Core Rates'!C141</f>
        <v>121.27500000000001</v>
      </c>
      <c r="F63" s="1170">
        <v>1</v>
      </c>
      <c r="G63" s="1171">
        <f t="shared" si="3"/>
        <v>121.27500000000001</v>
      </c>
      <c r="H63" s="35"/>
      <c r="I63" s="47"/>
    </row>
    <row r="64" spans="1:9">
      <c r="A64" s="2"/>
      <c r="B64" s="40" t="s">
        <v>461</v>
      </c>
      <c r="C64" s="6"/>
      <c r="D64" s="1168" t="s">
        <v>408</v>
      </c>
      <c r="E64" s="1169">
        <f>+'[11]Core Rates'!C104</f>
        <v>20</v>
      </c>
      <c r="F64" s="1170">
        <v>0.2</v>
      </c>
      <c r="G64" s="1171">
        <f t="shared" si="3"/>
        <v>4</v>
      </c>
      <c r="H64" s="35"/>
      <c r="I64" s="47"/>
    </row>
    <row r="65" spans="1:9">
      <c r="A65" s="2"/>
      <c r="B65" s="40" t="s">
        <v>462</v>
      </c>
      <c r="C65" s="6"/>
      <c r="D65" s="1168" t="s">
        <v>408</v>
      </c>
      <c r="E65" s="1169">
        <f>+'[11]Core Rates'!AN33</f>
        <v>5.416666666666667</v>
      </c>
      <c r="F65" s="1170">
        <v>0.2</v>
      </c>
      <c r="G65" s="1171">
        <f t="shared" si="3"/>
        <v>1.0833333333333335</v>
      </c>
      <c r="H65" s="35"/>
      <c r="I65" s="47"/>
    </row>
    <row r="66" spans="1:9">
      <c r="A66" s="2"/>
      <c r="B66" s="40" t="s">
        <v>463</v>
      </c>
      <c r="C66" s="6"/>
      <c r="D66" s="1168" t="s">
        <v>452</v>
      </c>
      <c r="E66" s="1169">
        <f>+'[11]Core Rates'!AN34</f>
        <v>5.5</v>
      </c>
      <c r="F66" s="1170">
        <v>0.4</v>
      </c>
      <c r="G66" s="1171">
        <f t="shared" si="3"/>
        <v>2.2000000000000002</v>
      </c>
      <c r="H66" s="35"/>
      <c r="I66" s="47"/>
    </row>
    <row r="67" spans="1:9">
      <c r="A67" s="2"/>
      <c r="B67" s="40" t="s">
        <v>464</v>
      </c>
      <c r="C67" s="6"/>
      <c r="D67" s="1168" t="s">
        <v>452</v>
      </c>
      <c r="E67" s="1169">
        <f>+'[11]Core Rates'!AN32</f>
        <v>6.3125</v>
      </c>
      <c r="F67" s="1170">
        <v>0.4</v>
      </c>
      <c r="G67" s="1171">
        <f t="shared" si="3"/>
        <v>2.5250000000000004</v>
      </c>
      <c r="H67" s="35"/>
      <c r="I67" s="47"/>
    </row>
    <row r="68" spans="1:9">
      <c r="A68" s="2"/>
      <c r="B68" s="40" t="s">
        <v>1280</v>
      </c>
      <c r="C68" s="6"/>
      <c r="D68" s="1168" t="s">
        <v>619</v>
      </c>
      <c r="E68" s="1169">
        <f>+'[11]Core Rates'!C217</f>
        <v>472.5</v>
      </c>
      <c r="F68" s="1170">
        <v>0.4</v>
      </c>
      <c r="G68" s="1171">
        <f t="shared" si="3"/>
        <v>189</v>
      </c>
      <c r="H68" s="35"/>
      <c r="I68" s="47"/>
    </row>
    <row r="69" spans="1:9">
      <c r="A69" s="2"/>
      <c r="B69" s="40"/>
      <c r="C69" s="6"/>
      <c r="D69" s="63"/>
      <c r="E69" s="150"/>
      <c r="F69" s="150"/>
      <c r="G69" s="1169"/>
      <c r="H69" s="35"/>
      <c r="I69" s="47"/>
    </row>
    <row r="70" spans="1:9">
      <c r="A70" s="2"/>
      <c r="B70" s="37" t="s">
        <v>43</v>
      </c>
      <c r="C70" s="35"/>
      <c r="D70" s="35"/>
      <c r="E70" s="60"/>
      <c r="F70" s="60"/>
      <c r="G70" s="60"/>
      <c r="H70" s="35"/>
      <c r="I70" s="46"/>
    </row>
    <row r="71" spans="1:9" ht="12.75" customHeight="1">
      <c r="A71" s="2"/>
      <c r="B71" s="2004" t="s">
        <v>1281</v>
      </c>
      <c r="C71" s="2005"/>
      <c r="D71" s="2005"/>
      <c r="E71" s="2005"/>
      <c r="F71" s="2005"/>
      <c r="G71" s="2005"/>
      <c r="H71" s="2005"/>
      <c r="I71" s="2006"/>
    </row>
    <row r="72" spans="1:9">
      <c r="A72" s="2"/>
      <c r="B72" s="2004"/>
      <c r="C72" s="2005"/>
      <c r="D72" s="2005"/>
      <c r="E72" s="2005"/>
      <c r="F72" s="2005"/>
      <c r="G72" s="2005"/>
      <c r="H72" s="2005"/>
      <c r="I72" s="2006"/>
    </row>
    <row r="73" spans="1:9">
      <c r="A73" s="2"/>
      <c r="B73" s="1177"/>
      <c r="C73" s="1178"/>
      <c r="D73" s="1178"/>
      <c r="E73" s="1178"/>
      <c r="F73" s="1178"/>
      <c r="G73" s="1178"/>
      <c r="H73" s="1178"/>
      <c r="I73" s="1179"/>
    </row>
    <row r="74" spans="1:9">
      <c r="A74" s="2"/>
      <c r="B74" s="1177"/>
      <c r="C74" s="1178"/>
      <c r="D74" s="1178"/>
      <c r="E74" s="1178"/>
      <c r="F74" s="1178"/>
      <c r="G74" s="1178"/>
      <c r="H74" s="1178"/>
      <c r="I74" s="1179"/>
    </row>
    <row r="75" spans="1:9">
      <c r="A75" s="2"/>
      <c r="B75" s="42" t="s">
        <v>3</v>
      </c>
      <c r="C75" s="35"/>
      <c r="D75" s="35"/>
      <c r="E75" s="35"/>
      <c r="F75" s="39"/>
      <c r="G75" s="35"/>
      <c r="H75" s="35"/>
      <c r="I75" s="1182">
        <f>E77</f>
        <v>2686.8503540000002</v>
      </c>
    </row>
    <row r="76" spans="1:9">
      <c r="A76" s="2"/>
      <c r="B76" s="2007" t="s">
        <v>465</v>
      </c>
      <c r="C76" s="2008"/>
      <c r="D76" s="35"/>
      <c r="E76" s="35"/>
      <c r="F76" s="35"/>
      <c r="G76" s="35"/>
      <c r="H76" s="35"/>
      <c r="I76" s="48"/>
    </row>
    <row r="77" spans="1:9">
      <c r="A77" s="2"/>
      <c r="B77" s="37" t="s">
        <v>466</v>
      </c>
      <c r="C77" s="39"/>
      <c r="D77" s="39"/>
      <c r="E77" s="153">
        <f>SUM(G56:G68)*0.15</f>
        <v>2686.8503540000002</v>
      </c>
      <c r="F77" s="35"/>
      <c r="G77" s="35"/>
      <c r="H77" s="35"/>
      <c r="I77" s="46"/>
    </row>
    <row r="78" spans="1:9">
      <c r="A78" s="2"/>
      <c r="B78" s="37"/>
      <c r="C78" s="39"/>
      <c r="D78" s="1180"/>
      <c r="E78" s="153"/>
      <c r="F78" s="35"/>
      <c r="G78" s="35"/>
      <c r="H78" s="35"/>
      <c r="I78" s="46"/>
    </row>
    <row r="79" spans="1:9">
      <c r="A79" s="2"/>
      <c r="B79" s="37"/>
      <c r="C79" s="39"/>
      <c r="D79" s="1181"/>
      <c r="E79" s="153"/>
      <c r="F79" s="35"/>
      <c r="G79" s="35"/>
      <c r="H79" s="35"/>
      <c r="I79" s="46"/>
    </row>
    <row r="80" spans="1:9">
      <c r="A80" s="2"/>
      <c r="B80" s="33"/>
      <c r="C80" s="35"/>
      <c r="D80" s="35"/>
      <c r="E80" s="35"/>
      <c r="F80" s="35"/>
      <c r="G80" s="35"/>
      <c r="H80" s="35"/>
      <c r="I80" s="36"/>
    </row>
    <row r="81" spans="1:9">
      <c r="A81" s="2"/>
      <c r="B81" s="42" t="s">
        <v>4</v>
      </c>
      <c r="C81" s="35"/>
      <c r="D81" s="35"/>
      <c r="E81" s="35"/>
      <c r="F81" s="35"/>
      <c r="G81" s="35"/>
      <c r="H81" s="35"/>
      <c r="I81" s="1182">
        <f>0.03*(I40+I52+I75)</f>
        <v>82.188855595053454</v>
      </c>
    </row>
    <row r="82" spans="1:9">
      <c r="A82" s="2"/>
      <c r="B82" s="33" t="s">
        <v>467</v>
      </c>
      <c r="C82" s="35"/>
      <c r="D82" s="35"/>
      <c r="E82" s="35"/>
      <c r="F82" s="35"/>
      <c r="G82" s="35"/>
      <c r="H82" s="35"/>
      <c r="I82" s="36"/>
    </row>
    <row r="83" spans="1:9">
      <c r="A83" s="2"/>
      <c r="B83" s="37"/>
      <c r="C83" s="35"/>
      <c r="D83" s="35"/>
      <c r="E83" s="35"/>
      <c r="F83" s="35"/>
      <c r="G83" s="35"/>
      <c r="H83" s="35"/>
      <c r="I83" s="36"/>
    </row>
    <row r="84" spans="1:9">
      <c r="A84" s="2"/>
      <c r="B84" s="42" t="s">
        <v>468</v>
      </c>
      <c r="C84" s="35"/>
      <c r="D84" s="35"/>
      <c r="E84" s="35"/>
      <c r="F84" s="35"/>
      <c r="G84" s="35"/>
      <c r="H84" s="35"/>
      <c r="I84" s="1182">
        <f>0.01*(I40+I52+I75)</f>
        <v>27.396285198351151</v>
      </c>
    </row>
    <row r="85" spans="1:9">
      <c r="A85" s="2"/>
      <c r="B85" s="33" t="s">
        <v>749</v>
      </c>
      <c r="C85" s="35"/>
      <c r="D85" s="35"/>
      <c r="E85" s="35"/>
      <c r="F85" s="35"/>
      <c r="G85" s="35"/>
      <c r="H85" s="35"/>
      <c r="I85" s="36"/>
    </row>
    <row r="86" spans="1:9">
      <c r="A86" s="2"/>
      <c r="B86" s="37"/>
      <c r="C86" s="35"/>
      <c r="D86" s="35"/>
      <c r="E86" s="35"/>
      <c r="F86" s="35"/>
      <c r="G86" s="35"/>
      <c r="H86" s="35"/>
      <c r="I86" s="36"/>
    </row>
    <row r="87" spans="1:9">
      <c r="A87" s="2"/>
      <c r="B87" s="42" t="s">
        <v>7</v>
      </c>
      <c r="C87" s="35"/>
      <c r="D87" s="35"/>
      <c r="E87" s="35"/>
      <c r="F87" s="35"/>
      <c r="G87" s="35"/>
      <c r="H87" s="35"/>
      <c r="I87" s="1166">
        <v>0</v>
      </c>
    </row>
    <row r="88" spans="1:9">
      <c r="A88" s="2"/>
      <c r="B88" s="33" t="s">
        <v>1282</v>
      </c>
      <c r="C88" s="35"/>
      <c r="D88" s="35"/>
      <c r="E88" s="35"/>
      <c r="F88" s="35"/>
      <c r="G88" s="35"/>
      <c r="H88" s="35"/>
      <c r="I88" s="36"/>
    </row>
    <row r="89" spans="1:9">
      <c r="A89" s="2"/>
      <c r="B89" s="37"/>
      <c r="C89" s="35"/>
      <c r="D89" s="35"/>
      <c r="E89" s="35"/>
      <c r="F89" s="35"/>
      <c r="G89" s="35"/>
      <c r="H89" s="35"/>
      <c r="I89" s="36"/>
    </row>
    <row r="90" spans="1:9">
      <c r="A90" s="2"/>
      <c r="B90" s="42" t="s">
        <v>471</v>
      </c>
      <c r="C90" s="35"/>
      <c r="D90" s="35"/>
      <c r="E90" s="35"/>
      <c r="F90" s="39"/>
      <c r="G90" s="35"/>
      <c r="H90" s="35"/>
      <c r="I90" s="1166">
        <v>0</v>
      </c>
    </row>
    <row r="91" spans="1:9">
      <c r="A91" s="2"/>
      <c r="B91" s="756" t="s">
        <v>104</v>
      </c>
      <c r="C91" s="35"/>
      <c r="D91" s="35"/>
      <c r="E91" s="35"/>
      <c r="F91" s="35"/>
      <c r="G91" s="35"/>
      <c r="H91" s="35"/>
      <c r="I91" s="47"/>
    </row>
    <row r="92" spans="1:9">
      <c r="A92" s="2"/>
      <c r="B92" s="756"/>
      <c r="C92" s="35"/>
      <c r="D92" s="35"/>
      <c r="E92" s="35"/>
      <c r="F92" s="35"/>
      <c r="G92" s="35"/>
      <c r="H92" s="35"/>
      <c r="I92" s="47"/>
    </row>
    <row r="93" spans="1:9">
      <c r="A93" s="2"/>
      <c r="B93" s="37"/>
      <c r="C93" s="35"/>
      <c r="D93" s="35"/>
      <c r="E93" s="35"/>
      <c r="F93" s="35"/>
      <c r="G93" s="35"/>
      <c r="H93" s="35"/>
      <c r="I93" s="36"/>
    </row>
    <row r="94" spans="1:9">
      <c r="A94" s="2"/>
      <c r="B94" s="42" t="s">
        <v>5</v>
      </c>
      <c r="C94" s="35"/>
      <c r="D94" s="35"/>
      <c r="E94" s="35"/>
      <c r="F94" s="35"/>
      <c r="G94" s="35"/>
      <c r="H94" s="35"/>
      <c r="I94" s="1166">
        <v>0</v>
      </c>
    </row>
    <row r="95" spans="1:9">
      <c r="A95" s="2"/>
      <c r="B95" s="33" t="s">
        <v>1283</v>
      </c>
      <c r="C95" s="35"/>
      <c r="D95" s="35"/>
      <c r="E95" s="35"/>
      <c r="F95" s="35"/>
      <c r="G95" s="35"/>
      <c r="H95" s="35"/>
      <c r="I95" s="47"/>
    </row>
    <row r="96" spans="1:9">
      <c r="A96" s="2"/>
      <c r="B96" s="37"/>
      <c r="C96" s="35"/>
      <c r="D96" s="35"/>
      <c r="E96" s="35"/>
      <c r="F96" s="35"/>
      <c r="G96" s="35"/>
      <c r="H96" s="35"/>
      <c r="I96" s="36"/>
    </row>
    <row r="97" spans="1:9">
      <c r="A97" s="2"/>
      <c r="B97" s="42" t="s">
        <v>20</v>
      </c>
      <c r="C97" s="35"/>
      <c r="D97" s="35"/>
      <c r="E97" s="35"/>
      <c r="F97" s="35"/>
      <c r="G97" s="35"/>
      <c r="H97" s="35"/>
      <c r="I97" s="1166">
        <v>0</v>
      </c>
    </row>
    <row r="98" spans="1:9">
      <c r="A98" s="2"/>
      <c r="B98" s="33" t="s">
        <v>104</v>
      </c>
      <c r="C98" s="35"/>
      <c r="D98" s="35"/>
      <c r="E98" s="35"/>
      <c r="F98" s="35"/>
      <c r="G98" s="35"/>
      <c r="H98" s="35"/>
      <c r="I98" s="36"/>
    </row>
    <row r="99" spans="1:9">
      <c r="A99" s="2"/>
      <c r="B99" s="40"/>
      <c r="C99" s="35"/>
      <c r="D99" s="35"/>
      <c r="E99" s="35"/>
      <c r="F99" s="35"/>
      <c r="G99" s="35"/>
      <c r="H99" s="35"/>
      <c r="I99" s="36"/>
    </row>
    <row r="100" spans="1:9">
      <c r="A100" s="2"/>
      <c r="B100" s="42" t="s">
        <v>473</v>
      </c>
      <c r="C100" s="35"/>
      <c r="D100" s="35"/>
      <c r="E100" s="35"/>
      <c r="F100" s="35"/>
      <c r="G100" s="35"/>
      <c r="H100" s="35"/>
      <c r="I100" s="1183">
        <f>+I40+I54+I75+I81+I87+I97</f>
        <v>18047.302714763504</v>
      </c>
    </row>
    <row r="101" spans="1:9" ht="15.75">
      <c r="A101" s="2"/>
      <c r="B101" s="33" t="s">
        <v>474</v>
      </c>
      <c r="C101" s="35"/>
      <c r="D101" s="35"/>
      <c r="E101" s="35"/>
      <c r="F101" s="35"/>
      <c r="G101" s="35"/>
      <c r="H101" s="35"/>
      <c r="I101" s="36"/>
    </row>
    <row r="102" spans="1:9">
      <c r="A102" s="2"/>
      <c r="B102" s="40"/>
      <c r="C102" s="35"/>
      <c r="D102" s="35"/>
      <c r="E102" s="35"/>
      <c r="F102" s="35"/>
      <c r="G102" s="35"/>
      <c r="H102" s="35"/>
      <c r="I102" s="36"/>
    </row>
    <row r="103" spans="1:9">
      <c r="A103" s="2"/>
      <c r="B103" s="43" t="s">
        <v>11</v>
      </c>
      <c r="C103" s="44"/>
      <c r="D103" s="44"/>
      <c r="E103" s="44"/>
      <c r="F103" s="44"/>
      <c r="G103" s="44"/>
      <c r="H103" s="44"/>
      <c r="I103" s="621">
        <f>SUM(I40:I97)</f>
        <v>18074.698999961856</v>
      </c>
    </row>
  </sheetData>
  <mergeCells count="4">
    <mergeCell ref="B1:D1"/>
    <mergeCell ref="E54:H54"/>
    <mergeCell ref="B71:I72"/>
    <mergeCell ref="B76:C76"/>
  </mergeCells>
  <pageMargins left="0.75" right="0.75" top="1" bottom="1" header="0.5" footer="0.5"/>
  <pageSetup scale="58" orientation="portrait" r:id="rId1"/>
  <headerFooter alignWithMargins="0"/>
</worksheet>
</file>

<file path=xl/worksheets/sheet5.xml><?xml version="1.0" encoding="utf-8"?>
<worksheet xmlns="http://schemas.openxmlformats.org/spreadsheetml/2006/main" xmlns:r="http://schemas.openxmlformats.org/officeDocument/2006/relationships">
  <dimension ref="A1:L55"/>
  <sheetViews>
    <sheetView view="pageBreakPreview" topLeftCell="A19" zoomScaleNormal="100" workbookViewId="0">
      <selection activeCell="D42" sqref="D42"/>
    </sheetView>
  </sheetViews>
  <sheetFormatPr defaultRowHeight="12.75"/>
  <cols>
    <col min="2" max="2" width="20.85546875" customWidth="1"/>
    <col min="3" max="3" width="26.5703125" bestFit="1" customWidth="1"/>
    <col min="4" max="4" width="21.28515625" customWidth="1"/>
    <col min="5" max="5" width="15.28515625" customWidth="1"/>
    <col min="6" max="6" width="10.28515625" customWidth="1"/>
    <col min="7" max="7" width="13" customWidth="1"/>
    <col min="8" max="8" width="10.140625" customWidth="1"/>
    <col min="9" max="9" width="11" customWidth="1"/>
    <col min="10" max="10" width="11.28515625" customWidth="1"/>
    <col min="11" max="11" width="9.85546875" customWidth="1"/>
  </cols>
  <sheetData>
    <row r="1" spans="1:12">
      <c r="A1" s="2"/>
      <c r="B1" s="2"/>
      <c r="C1" s="2"/>
      <c r="D1" s="2"/>
      <c r="E1" s="2"/>
      <c r="F1" s="2"/>
      <c r="G1" s="2"/>
      <c r="H1" s="2"/>
      <c r="I1" s="2"/>
      <c r="J1" s="2"/>
      <c r="K1" s="2"/>
    </row>
    <row r="2" spans="1:12" ht="15.75">
      <c r="A2" s="118" t="s">
        <v>17</v>
      </c>
      <c r="B2" s="119"/>
      <c r="C2" s="119"/>
      <c r="D2" s="119"/>
      <c r="E2" s="119"/>
      <c r="F2" s="119"/>
      <c r="G2" s="2"/>
      <c r="H2" s="2"/>
      <c r="I2" s="2"/>
      <c r="J2" s="2"/>
      <c r="K2" s="2"/>
    </row>
    <row r="3" spans="1:12" ht="25.5">
      <c r="A3" s="120" t="s">
        <v>37</v>
      </c>
      <c r="B3" s="121" t="s">
        <v>75</v>
      </c>
      <c r="C3" s="122" t="s">
        <v>29</v>
      </c>
      <c r="D3" s="122" t="s">
        <v>30</v>
      </c>
      <c r="E3" s="121" t="s">
        <v>23</v>
      </c>
      <c r="F3" s="123" t="s">
        <v>76</v>
      </c>
      <c r="G3" s="124" t="s">
        <v>77</v>
      </c>
      <c r="K3" s="2"/>
    </row>
    <row r="4" spans="1:12" ht="25.5">
      <c r="A4" s="54">
        <v>102</v>
      </c>
      <c r="B4" s="7" t="s">
        <v>78</v>
      </c>
      <c r="C4" s="125" t="s">
        <v>79</v>
      </c>
      <c r="D4" s="110" t="s">
        <v>113</v>
      </c>
      <c r="E4" s="7" t="s">
        <v>81</v>
      </c>
      <c r="F4" s="85">
        <f>+F21</f>
        <v>3303</v>
      </c>
      <c r="G4" s="126" t="str">
        <f>+C26</f>
        <v>Statewide</v>
      </c>
      <c r="K4" s="2"/>
    </row>
    <row r="5" spans="1:12" ht="25.5">
      <c r="A5" s="8">
        <v>102</v>
      </c>
      <c r="B5" s="10" t="s">
        <v>78</v>
      </c>
      <c r="C5" s="127" t="s">
        <v>79</v>
      </c>
      <c r="D5" s="111" t="s">
        <v>114</v>
      </c>
      <c r="E5" s="10" t="s">
        <v>81</v>
      </c>
      <c r="F5" s="86">
        <f>G21</f>
        <v>3963.6</v>
      </c>
      <c r="G5" s="2" t="str">
        <f>+C26</f>
        <v>Statewide</v>
      </c>
      <c r="K5" s="2"/>
    </row>
    <row r="6" spans="1:12">
      <c r="A6" s="4"/>
      <c r="B6" s="3"/>
      <c r="C6" s="3"/>
      <c r="D6" s="2"/>
      <c r="E6" s="2"/>
      <c r="K6" s="2"/>
    </row>
    <row r="7" spans="1:12" ht="15.75">
      <c r="A7" s="1" t="s">
        <v>18</v>
      </c>
      <c r="B7" s="3"/>
      <c r="C7" s="3"/>
      <c r="D7" s="2"/>
      <c r="E7" s="2"/>
      <c r="I7" s="81"/>
      <c r="J7" s="81"/>
      <c r="K7" s="49"/>
      <c r="L7" s="81"/>
    </row>
    <row r="8" spans="1:12">
      <c r="A8" s="128"/>
      <c r="B8" s="11"/>
      <c r="C8" s="12"/>
      <c r="D8" s="13" t="s">
        <v>83</v>
      </c>
      <c r="E8" s="13" t="s">
        <v>84</v>
      </c>
      <c r="F8" s="13" t="s">
        <v>85</v>
      </c>
      <c r="G8" s="14" t="s">
        <v>15</v>
      </c>
      <c r="H8" s="87"/>
      <c r="I8" s="87"/>
      <c r="J8" s="81"/>
    </row>
    <row r="9" spans="1:12">
      <c r="A9" s="15"/>
      <c r="B9" s="67"/>
      <c r="C9" s="16"/>
      <c r="D9" s="17" t="s">
        <v>22</v>
      </c>
      <c r="E9" s="17" t="s">
        <v>22</v>
      </c>
      <c r="F9" s="17" t="s">
        <v>86</v>
      </c>
      <c r="G9" s="18" t="s">
        <v>87</v>
      </c>
      <c r="H9" s="87"/>
      <c r="I9" s="87"/>
      <c r="J9" s="81"/>
    </row>
    <row r="10" spans="1:12">
      <c r="A10" s="19"/>
      <c r="B10" s="16"/>
      <c r="C10" s="16"/>
      <c r="D10" s="17" t="s">
        <v>12</v>
      </c>
      <c r="E10" s="17" t="s">
        <v>12</v>
      </c>
      <c r="F10" s="17" t="s">
        <v>12</v>
      </c>
      <c r="G10" s="18" t="s">
        <v>12</v>
      </c>
      <c r="H10" s="87"/>
      <c r="I10" s="87"/>
      <c r="J10" s="81"/>
    </row>
    <row r="11" spans="1:12">
      <c r="A11" s="129" t="s">
        <v>16</v>
      </c>
      <c r="B11" s="16"/>
      <c r="C11" s="22" t="s">
        <v>6</v>
      </c>
      <c r="D11" s="22" t="s">
        <v>24</v>
      </c>
      <c r="E11" s="22" t="s">
        <v>24</v>
      </c>
      <c r="F11" s="22" t="s">
        <v>14</v>
      </c>
      <c r="G11" s="23" t="s">
        <v>14</v>
      </c>
      <c r="H11" s="88"/>
      <c r="I11" s="88"/>
      <c r="J11" s="81"/>
    </row>
    <row r="12" spans="1:12">
      <c r="A12" s="15" t="s">
        <v>0</v>
      </c>
      <c r="B12" s="16"/>
      <c r="C12" s="24">
        <f>+I34/C29</f>
        <v>204</v>
      </c>
      <c r="D12" s="130">
        <v>0.75</v>
      </c>
      <c r="E12" s="130">
        <v>0.9</v>
      </c>
      <c r="F12" s="73">
        <f t="shared" ref="F12:G20" si="0">+$C12*D12</f>
        <v>153</v>
      </c>
      <c r="G12" s="74">
        <f t="shared" si="0"/>
        <v>183.6</v>
      </c>
      <c r="H12" s="131"/>
      <c r="I12" s="132"/>
      <c r="J12" s="81"/>
    </row>
    <row r="13" spans="1:12">
      <c r="A13" s="15" t="s">
        <v>2</v>
      </c>
      <c r="B13" s="16"/>
      <c r="C13" s="24">
        <f>+I38/C29</f>
        <v>0</v>
      </c>
      <c r="D13" s="130">
        <v>0.75</v>
      </c>
      <c r="E13" s="130">
        <v>0.9</v>
      </c>
      <c r="F13" s="73">
        <f t="shared" si="0"/>
        <v>0</v>
      </c>
      <c r="G13" s="74">
        <f t="shared" si="0"/>
        <v>0</v>
      </c>
      <c r="H13" s="131"/>
      <c r="I13" s="132"/>
      <c r="J13" s="81"/>
    </row>
    <row r="14" spans="1:12">
      <c r="A14" s="15" t="s">
        <v>3</v>
      </c>
      <c r="B14" s="16"/>
      <c r="C14" s="24">
        <f>+I40/C29</f>
        <v>4000</v>
      </c>
      <c r="D14" s="130">
        <v>0.75</v>
      </c>
      <c r="E14" s="130">
        <v>0.9</v>
      </c>
      <c r="F14" s="73">
        <f t="shared" si="0"/>
        <v>3000</v>
      </c>
      <c r="G14" s="74">
        <f t="shared" si="0"/>
        <v>3600</v>
      </c>
      <c r="H14" s="131"/>
      <c r="I14" s="132"/>
      <c r="J14" s="81"/>
    </row>
    <row r="15" spans="1:12">
      <c r="A15" s="15" t="s">
        <v>4</v>
      </c>
      <c r="B15" s="16"/>
      <c r="C15" s="24">
        <f>+I43/C29</f>
        <v>200</v>
      </c>
      <c r="D15" s="130">
        <v>0.75</v>
      </c>
      <c r="E15" s="130">
        <v>0.9</v>
      </c>
      <c r="F15" s="73">
        <f t="shared" si="0"/>
        <v>150</v>
      </c>
      <c r="G15" s="74">
        <f t="shared" si="0"/>
        <v>180</v>
      </c>
      <c r="H15" s="131"/>
      <c r="I15" s="132"/>
      <c r="J15" s="81"/>
    </row>
    <row r="16" spans="1:12">
      <c r="A16" s="15" t="s">
        <v>26</v>
      </c>
      <c r="B16" s="16"/>
      <c r="C16" s="24">
        <f>+I45/C29</f>
        <v>0</v>
      </c>
      <c r="D16" s="130">
        <v>0</v>
      </c>
      <c r="E16" s="130">
        <v>0</v>
      </c>
      <c r="F16" s="73">
        <f t="shared" si="0"/>
        <v>0</v>
      </c>
      <c r="G16" s="74">
        <f t="shared" si="0"/>
        <v>0</v>
      </c>
      <c r="H16" s="131"/>
      <c r="I16" s="132"/>
      <c r="J16" s="81"/>
    </row>
    <row r="17" spans="1:12">
      <c r="A17" s="15" t="s">
        <v>7</v>
      </c>
      <c r="B17" s="16"/>
      <c r="C17" s="24">
        <f>+I47/C29</f>
        <v>0</v>
      </c>
      <c r="D17" s="130">
        <v>0</v>
      </c>
      <c r="E17" s="130">
        <v>0</v>
      </c>
      <c r="F17" s="73">
        <f t="shared" si="0"/>
        <v>0</v>
      </c>
      <c r="G17" s="74">
        <f t="shared" si="0"/>
        <v>0</v>
      </c>
      <c r="H17" s="131"/>
      <c r="I17" s="132"/>
      <c r="J17" s="81"/>
    </row>
    <row r="18" spans="1:12">
      <c r="A18" s="15" t="s">
        <v>27</v>
      </c>
      <c r="B18" s="16"/>
      <c r="C18" s="24">
        <f>+I49/C29</f>
        <v>0</v>
      </c>
      <c r="D18" s="130">
        <v>0</v>
      </c>
      <c r="E18" s="130">
        <v>0</v>
      </c>
      <c r="F18" s="73">
        <f t="shared" si="0"/>
        <v>0</v>
      </c>
      <c r="G18" s="74">
        <f t="shared" si="0"/>
        <v>0</v>
      </c>
      <c r="H18" s="131"/>
      <c r="I18" s="132"/>
      <c r="J18" s="81"/>
    </row>
    <row r="19" spans="1:12">
      <c r="A19" s="15" t="s">
        <v>5</v>
      </c>
      <c r="B19" s="16"/>
      <c r="C19" s="24">
        <f>+I51/C29</f>
        <v>0</v>
      </c>
      <c r="D19" s="130">
        <v>0</v>
      </c>
      <c r="E19" s="130">
        <v>0</v>
      </c>
      <c r="F19" s="73">
        <f t="shared" si="0"/>
        <v>0</v>
      </c>
      <c r="G19" s="74">
        <f t="shared" si="0"/>
        <v>0</v>
      </c>
      <c r="H19" s="131"/>
      <c r="I19" s="132"/>
      <c r="J19" s="81"/>
    </row>
    <row r="20" spans="1:12">
      <c r="A20" s="15" t="s">
        <v>88</v>
      </c>
      <c r="B20" s="16"/>
      <c r="C20" s="75">
        <f>+I53/C29</f>
        <v>0</v>
      </c>
      <c r="D20" s="130">
        <v>0</v>
      </c>
      <c r="E20" s="130">
        <v>0</v>
      </c>
      <c r="F20" s="133">
        <f t="shared" si="0"/>
        <v>0</v>
      </c>
      <c r="G20" s="134">
        <f t="shared" si="0"/>
        <v>0</v>
      </c>
      <c r="H20" s="135"/>
      <c r="I20" s="136"/>
      <c r="J20" s="81"/>
    </row>
    <row r="21" spans="1:12">
      <c r="A21" s="137" t="s">
        <v>19</v>
      </c>
      <c r="B21" s="27"/>
      <c r="C21" s="51">
        <f>SUM(C12:C20)</f>
        <v>4404</v>
      </c>
      <c r="D21" s="28"/>
      <c r="E21" s="28"/>
      <c r="F21" s="138">
        <f>SUM(F12:F20)</f>
        <v>3303</v>
      </c>
      <c r="G21" s="139">
        <f>SUM(G12:G20)</f>
        <v>3963.6</v>
      </c>
      <c r="H21" s="132"/>
      <c r="I21" s="132"/>
      <c r="J21" s="81"/>
    </row>
    <row r="22" spans="1:12">
      <c r="A22" s="2"/>
      <c r="B22" s="2"/>
      <c r="C22" s="2"/>
      <c r="D22" s="2"/>
      <c r="E22" s="2"/>
      <c r="F22" s="2"/>
      <c r="G22" s="2"/>
      <c r="H22" s="2"/>
      <c r="I22" s="49"/>
      <c r="J22" s="49"/>
      <c r="K22" s="49"/>
      <c r="L22" s="81"/>
    </row>
    <row r="23" spans="1:12" ht="15.75">
      <c r="A23" s="50" t="s">
        <v>28</v>
      </c>
      <c r="B23" s="2"/>
      <c r="C23" s="2"/>
      <c r="D23" s="2"/>
      <c r="E23" s="2"/>
      <c r="F23" s="2"/>
      <c r="G23" s="2"/>
      <c r="H23" s="2"/>
      <c r="I23" s="140"/>
      <c r="J23" s="2"/>
      <c r="K23" s="2"/>
    </row>
    <row r="24" spans="1:12">
      <c r="A24" s="29" t="s">
        <v>89</v>
      </c>
      <c r="B24" s="30"/>
      <c r="C24" s="30"/>
      <c r="D24" s="31"/>
      <c r="E24" s="31"/>
      <c r="F24" s="31"/>
      <c r="G24" s="31"/>
      <c r="H24" s="31"/>
      <c r="I24" s="32"/>
      <c r="J24" s="2"/>
      <c r="K24" s="2"/>
    </row>
    <row r="25" spans="1:12">
      <c r="A25" s="1943" t="s">
        <v>115</v>
      </c>
      <c r="B25" s="1944"/>
      <c r="C25" s="1944"/>
      <c r="D25" s="1944"/>
      <c r="E25" s="1944"/>
      <c r="F25" s="1944"/>
      <c r="G25" s="1944"/>
      <c r="H25" s="1944"/>
      <c r="I25" s="1945"/>
      <c r="J25" s="141"/>
      <c r="K25" s="2"/>
    </row>
    <row r="26" spans="1:12">
      <c r="A26" s="38" t="s">
        <v>25</v>
      </c>
      <c r="B26" s="34"/>
      <c r="C26" s="39" t="s">
        <v>91</v>
      </c>
      <c r="D26" s="6"/>
      <c r="E26" s="35"/>
      <c r="F26" s="35"/>
      <c r="G26" s="35"/>
      <c r="H26" s="35"/>
      <c r="I26" s="36"/>
      <c r="J26" s="49"/>
      <c r="K26" s="2"/>
    </row>
    <row r="27" spans="1:12">
      <c r="A27" s="37"/>
      <c r="B27" s="34"/>
      <c r="C27" s="35"/>
      <c r="D27" s="6"/>
      <c r="E27" s="35"/>
      <c r="F27" s="35"/>
      <c r="G27" s="35"/>
      <c r="H27" s="35"/>
      <c r="I27" s="36"/>
      <c r="J27" s="2"/>
      <c r="K27" s="2"/>
    </row>
    <row r="28" spans="1:12">
      <c r="A28" s="38" t="s">
        <v>8</v>
      </c>
      <c r="B28" s="34"/>
      <c r="C28" s="39" t="s">
        <v>81</v>
      </c>
      <c r="D28" s="6"/>
      <c r="E28" s="35"/>
      <c r="F28" s="35"/>
      <c r="G28" s="35"/>
      <c r="H28" s="35"/>
      <c r="I28" s="36"/>
      <c r="J28" s="2"/>
      <c r="K28" s="2"/>
    </row>
    <row r="29" spans="1:12">
      <c r="A29" s="38" t="s">
        <v>92</v>
      </c>
      <c r="B29" s="34"/>
      <c r="C29" s="144">
        <v>1</v>
      </c>
      <c r="D29" s="6"/>
      <c r="E29" s="145"/>
      <c r="F29" s="145"/>
      <c r="G29" s="145"/>
      <c r="H29" s="145"/>
      <c r="I29" s="146"/>
      <c r="J29" s="2"/>
      <c r="K29" s="2"/>
    </row>
    <row r="30" spans="1:12">
      <c r="A30" s="38" t="s">
        <v>9</v>
      </c>
      <c r="B30" s="34"/>
      <c r="C30" s="92">
        <v>1</v>
      </c>
      <c r="D30" s="6"/>
      <c r="E30" s="35"/>
      <c r="F30" s="35"/>
      <c r="G30" s="35"/>
      <c r="H30" s="35"/>
      <c r="I30" s="36"/>
      <c r="J30" s="2"/>
      <c r="K30" s="2"/>
    </row>
    <row r="31" spans="1:12">
      <c r="A31" s="38" t="s">
        <v>10</v>
      </c>
      <c r="B31" s="35"/>
      <c r="C31" s="93">
        <v>0.05</v>
      </c>
      <c r="D31" s="6"/>
      <c r="E31" s="35"/>
      <c r="F31" s="35"/>
      <c r="G31" s="35"/>
      <c r="H31" s="35"/>
      <c r="I31" s="147" t="s">
        <v>6</v>
      </c>
      <c r="J31" s="2"/>
      <c r="K31" s="2"/>
    </row>
    <row r="32" spans="1:12">
      <c r="A32" s="38" t="s">
        <v>93</v>
      </c>
      <c r="B32" s="35"/>
      <c r="C32" s="148">
        <f>SUM(I34,I38,I40,I43,I45,I46,I46,I47,I49,I51,I53)/C29</f>
        <v>4404</v>
      </c>
      <c r="D32" s="6"/>
      <c r="E32" s="35"/>
      <c r="F32" s="35"/>
      <c r="G32" s="35"/>
      <c r="H32" s="35"/>
      <c r="I32" s="147"/>
      <c r="J32" s="2"/>
      <c r="K32" s="2"/>
    </row>
    <row r="33" spans="1:11">
      <c r="A33" s="40"/>
      <c r="B33" s="35"/>
      <c r="C33" s="35"/>
      <c r="D33" s="41"/>
      <c r="E33" s="35"/>
      <c r="F33" s="35"/>
      <c r="G33" s="35"/>
      <c r="H33" s="35"/>
      <c r="I33" s="149"/>
      <c r="J33" s="2"/>
      <c r="K33" s="2"/>
    </row>
    <row r="34" spans="1:11">
      <c r="A34" s="42" t="s">
        <v>0</v>
      </c>
      <c r="B34" s="35"/>
      <c r="C34" s="35"/>
      <c r="D34" s="41"/>
      <c r="E34" s="35"/>
      <c r="F34" s="35"/>
      <c r="G34" s="35"/>
      <c r="H34" s="35"/>
      <c r="I34" s="46">
        <f>SUM(F36:F37)</f>
        <v>204</v>
      </c>
      <c r="J34" s="2"/>
      <c r="K34" s="2"/>
    </row>
    <row r="35" spans="1:11">
      <c r="A35" s="40" t="s">
        <v>94</v>
      </c>
      <c r="B35" s="35"/>
      <c r="C35" s="92"/>
      <c r="D35" s="41"/>
      <c r="E35" s="35"/>
      <c r="F35" s="35"/>
      <c r="G35" s="35"/>
      <c r="H35" s="35"/>
      <c r="I35" s="47"/>
      <c r="J35" s="2"/>
      <c r="K35" s="2"/>
    </row>
    <row r="36" spans="1:11">
      <c r="A36" s="1946" t="s">
        <v>95</v>
      </c>
      <c r="B36" s="1947"/>
      <c r="C36" s="150" t="s">
        <v>96</v>
      </c>
      <c r="D36" s="151">
        <v>17</v>
      </c>
      <c r="E36" s="152">
        <v>2</v>
      </c>
      <c r="F36" s="153">
        <f>D36*E36</f>
        <v>34</v>
      </c>
      <c r="G36" s="35"/>
      <c r="H36" s="35"/>
      <c r="I36" s="47"/>
      <c r="J36" s="2"/>
      <c r="K36" s="2"/>
    </row>
    <row r="37" spans="1:11">
      <c r="A37" s="1946" t="s">
        <v>97</v>
      </c>
      <c r="B37" s="1947"/>
      <c r="C37" s="150" t="s">
        <v>96</v>
      </c>
      <c r="D37" s="151">
        <v>17</v>
      </c>
      <c r="E37" s="152">
        <v>10</v>
      </c>
      <c r="F37" s="153">
        <f>D37*E37</f>
        <v>170</v>
      </c>
      <c r="G37" s="35"/>
      <c r="H37" s="35"/>
      <c r="I37" s="47"/>
      <c r="J37" s="2"/>
      <c r="K37" s="2"/>
    </row>
    <row r="38" spans="1:11">
      <c r="A38" s="42" t="s">
        <v>2</v>
      </c>
      <c r="B38" s="35"/>
      <c r="C38" s="35"/>
      <c r="D38" s="35"/>
      <c r="E38" s="35"/>
      <c r="F38" s="35"/>
      <c r="G38" s="35"/>
      <c r="H38" s="35"/>
      <c r="I38" s="46">
        <f>F39</f>
        <v>0</v>
      </c>
      <c r="J38" s="2"/>
      <c r="K38" s="2"/>
    </row>
    <row r="39" spans="1:11">
      <c r="A39" s="40" t="s">
        <v>98</v>
      </c>
      <c r="B39" s="35"/>
      <c r="C39" s="35"/>
      <c r="D39" s="35"/>
      <c r="E39" s="35"/>
      <c r="F39" s="35"/>
      <c r="G39" s="35"/>
      <c r="H39" s="35"/>
      <c r="I39" s="36"/>
      <c r="J39" s="2"/>
      <c r="K39" s="2"/>
    </row>
    <row r="40" spans="1:11">
      <c r="A40" s="42" t="s">
        <v>3</v>
      </c>
      <c r="B40" s="35"/>
      <c r="C40" s="35"/>
      <c r="D40" s="35"/>
      <c r="E40" s="35"/>
      <c r="F40" s="35"/>
      <c r="G40" s="35"/>
      <c r="H40" s="35"/>
      <c r="I40" s="46">
        <f>SUM(F42)</f>
        <v>4000</v>
      </c>
      <c r="J40" s="2"/>
      <c r="K40" s="2"/>
    </row>
    <row r="41" spans="1:11">
      <c r="A41" s="40" t="s">
        <v>99</v>
      </c>
      <c r="B41" s="35"/>
      <c r="C41" s="35"/>
      <c r="D41" s="35"/>
      <c r="E41" s="35"/>
      <c r="F41" s="35"/>
      <c r="G41" s="35"/>
      <c r="H41" s="35"/>
      <c r="I41" s="46"/>
      <c r="J41" s="2"/>
      <c r="K41" s="2"/>
    </row>
    <row r="42" spans="1:11" ht="25.5" customHeight="1">
      <c r="A42" s="1948" t="s">
        <v>116</v>
      </c>
      <c r="B42" s="1949"/>
      <c r="C42" s="150" t="s">
        <v>101</v>
      </c>
      <c r="D42" s="154">
        <v>4000</v>
      </c>
      <c r="E42" s="155">
        <v>1</v>
      </c>
      <c r="F42" s="156">
        <f>D42*E42</f>
        <v>4000</v>
      </c>
      <c r="G42" s="35"/>
      <c r="H42" s="35"/>
      <c r="I42" s="46"/>
      <c r="J42" s="2"/>
      <c r="K42" s="2"/>
    </row>
    <row r="43" spans="1:11">
      <c r="A43" s="42" t="s">
        <v>4</v>
      </c>
      <c r="B43" s="35"/>
      <c r="C43" s="35"/>
      <c r="D43" s="35"/>
      <c r="E43" s="35"/>
      <c r="F43" s="35"/>
      <c r="G43" s="35"/>
      <c r="H43" s="35"/>
      <c r="I43" s="48">
        <v>200</v>
      </c>
      <c r="J43" s="2"/>
      <c r="K43" s="2"/>
    </row>
    <row r="44" spans="1:11">
      <c r="A44" s="1950" t="s">
        <v>102</v>
      </c>
      <c r="B44" s="1953"/>
      <c r="C44" s="150" t="s">
        <v>103</v>
      </c>
      <c r="D44" s="157">
        <v>0.02</v>
      </c>
      <c r="E44" s="153">
        <f>SUM(I34,I38,I40)</f>
        <v>4204</v>
      </c>
      <c r="F44" s="153">
        <f>D44*E44</f>
        <v>84.08</v>
      </c>
      <c r="G44" s="35"/>
      <c r="H44" s="35"/>
      <c r="I44" s="48"/>
      <c r="J44" s="2"/>
      <c r="K44" s="2"/>
    </row>
    <row r="45" spans="1:11">
      <c r="A45" s="42" t="s">
        <v>26</v>
      </c>
      <c r="B45" s="35"/>
      <c r="C45" s="35"/>
      <c r="D45" s="35"/>
      <c r="E45" s="35"/>
      <c r="F45" s="35"/>
      <c r="G45" s="35"/>
      <c r="H45" s="35"/>
      <c r="I45" s="48">
        <f>F46</f>
        <v>0</v>
      </c>
      <c r="J45" s="2"/>
      <c r="K45" s="2"/>
    </row>
    <row r="46" spans="1:11">
      <c r="A46" s="37" t="s">
        <v>104</v>
      </c>
      <c r="B46" s="35"/>
      <c r="C46" s="35"/>
      <c r="D46" s="35"/>
      <c r="E46" s="35"/>
      <c r="F46" s="35"/>
      <c r="G46" s="35"/>
      <c r="H46" s="35"/>
      <c r="I46" s="48"/>
      <c r="J46" s="2"/>
      <c r="K46" s="2"/>
    </row>
    <row r="47" spans="1:11">
      <c r="A47" s="42" t="s">
        <v>7</v>
      </c>
      <c r="B47" s="35"/>
      <c r="C47" s="35"/>
      <c r="D47" s="35"/>
      <c r="E47" s="35"/>
      <c r="F47" s="35"/>
      <c r="G47" s="35"/>
      <c r="H47" s="35"/>
      <c r="I47" s="48">
        <f>F48</f>
        <v>0</v>
      </c>
      <c r="J47" s="2"/>
      <c r="K47" s="2"/>
    </row>
    <row r="48" spans="1:11">
      <c r="A48" s="37" t="s">
        <v>104</v>
      </c>
      <c r="B48" s="35"/>
      <c r="C48" s="35"/>
      <c r="D48" s="35"/>
      <c r="E48" s="35"/>
      <c r="F48" s="35"/>
      <c r="G48" s="35"/>
      <c r="H48" s="35"/>
      <c r="I48" s="48"/>
      <c r="J48" s="2"/>
      <c r="K48" s="2"/>
    </row>
    <row r="49" spans="1:11">
      <c r="A49" s="42" t="s">
        <v>27</v>
      </c>
      <c r="B49" s="35"/>
      <c r="C49" s="35"/>
      <c r="D49" s="35"/>
      <c r="E49" s="35"/>
      <c r="F49" s="35"/>
      <c r="G49" s="35"/>
      <c r="H49" s="35"/>
      <c r="I49" s="48">
        <f>F50</f>
        <v>0</v>
      </c>
      <c r="J49" s="2"/>
      <c r="K49" s="2"/>
    </row>
    <row r="50" spans="1:11">
      <c r="A50" s="37" t="s">
        <v>104</v>
      </c>
      <c r="B50" s="35"/>
      <c r="C50" s="35"/>
      <c r="D50" s="35"/>
      <c r="E50" s="35"/>
      <c r="F50" s="35"/>
      <c r="G50" s="35"/>
      <c r="H50" s="35"/>
      <c r="I50" s="48"/>
      <c r="J50" s="2"/>
      <c r="K50" s="2"/>
    </row>
    <row r="51" spans="1:11">
      <c r="A51" s="42" t="s">
        <v>5</v>
      </c>
      <c r="B51" s="35"/>
      <c r="C51" s="35"/>
      <c r="D51" s="35"/>
      <c r="E51" s="35"/>
      <c r="F51" s="35"/>
      <c r="G51" s="35"/>
      <c r="H51" s="35"/>
      <c r="I51" s="48">
        <f>F52</f>
        <v>0</v>
      </c>
      <c r="J51" s="2"/>
      <c r="K51" s="2"/>
    </row>
    <row r="52" spans="1:11">
      <c r="A52" s="37" t="s">
        <v>104</v>
      </c>
      <c r="B52" s="35"/>
      <c r="C52" s="35"/>
      <c r="D52" s="35"/>
      <c r="E52" s="35"/>
      <c r="F52" s="35"/>
      <c r="G52" s="35"/>
      <c r="H52" s="35"/>
      <c r="I52" s="48"/>
      <c r="J52" s="2"/>
      <c r="K52" s="2"/>
    </row>
    <row r="53" spans="1:11">
      <c r="A53" s="42" t="s">
        <v>20</v>
      </c>
      <c r="B53" s="35"/>
      <c r="C53" s="35"/>
      <c r="D53" s="35"/>
      <c r="E53" s="35"/>
      <c r="F53" s="35"/>
      <c r="G53" s="35"/>
      <c r="H53" s="35"/>
      <c r="I53" s="48">
        <f>F54</f>
        <v>0</v>
      </c>
      <c r="J53" s="2"/>
      <c r="K53" s="2"/>
    </row>
    <row r="54" spans="1:11">
      <c r="A54" s="37" t="s">
        <v>104</v>
      </c>
      <c r="B54" s="35"/>
      <c r="C54" s="35"/>
      <c r="D54" s="35"/>
      <c r="E54" s="35"/>
      <c r="F54" s="35"/>
      <c r="G54" s="35"/>
      <c r="H54" s="35"/>
      <c r="I54" s="36"/>
      <c r="J54" s="2"/>
      <c r="K54" s="2"/>
    </row>
    <row r="55" spans="1:11">
      <c r="A55" s="43" t="s">
        <v>11</v>
      </c>
      <c r="B55" s="44"/>
      <c r="C55" s="44"/>
      <c r="D55" s="44"/>
      <c r="E55" s="44"/>
      <c r="F55" s="44"/>
      <c r="G55" s="44"/>
      <c r="H55" s="44"/>
      <c r="I55" s="52">
        <f>+I53+I51+I49+I47+I45+I43+I40+I38+I34</f>
        <v>4404</v>
      </c>
      <c r="J55" s="2"/>
      <c r="K55" s="2"/>
    </row>
  </sheetData>
  <mergeCells count="5">
    <mergeCell ref="A25:I25"/>
    <mergeCell ref="A36:B36"/>
    <mergeCell ref="A37:B37"/>
    <mergeCell ref="A42:B42"/>
    <mergeCell ref="A44:B44"/>
  </mergeCells>
  <pageMargins left="0.75" right="0" top="0.25" bottom="0.25" header="0.25" footer="0.17"/>
  <pageSetup scale="75" orientation="landscape" horizontalDpi="300" verticalDpi="300" r:id="rId1"/>
  <headerFooter alignWithMargins="0">
    <oddHeader>&amp;CP 102 Comprehensive Nutrient Management Plan
Small Beef and Dairy</oddHeader>
  </headerFooter>
  <colBreaks count="1" manualBreakCount="1">
    <brk id="9" max="1048575" man="1"/>
  </colBreaks>
</worksheet>
</file>

<file path=xl/worksheets/sheet50.xml><?xml version="1.0" encoding="utf-8"?>
<worksheet xmlns="http://schemas.openxmlformats.org/spreadsheetml/2006/main" xmlns:r="http://schemas.openxmlformats.org/officeDocument/2006/relationships">
  <sheetPr>
    <pageSetUpPr fitToPage="1"/>
  </sheetPr>
  <dimension ref="A1:H106"/>
  <sheetViews>
    <sheetView topLeftCell="A10" zoomScale="75" zoomScaleNormal="75" workbookViewId="0">
      <selection activeCell="D27" sqref="D27"/>
    </sheetView>
  </sheetViews>
  <sheetFormatPr defaultColWidth="9.140625" defaultRowHeight="12.75"/>
  <cols>
    <col min="1" max="1" width="34.5703125" style="2" customWidth="1"/>
    <col min="2" max="2" width="25.42578125" style="2" customWidth="1"/>
    <col min="3" max="3" width="29.42578125" style="2" customWidth="1"/>
    <col min="4" max="4" width="28.5703125" style="2" customWidth="1"/>
    <col min="5" max="5" width="15.140625" style="2" customWidth="1"/>
    <col min="6" max="6" width="11" style="2" customWidth="1"/>
    <col min="7" max="7" width="10.7109375" style="2" bestFit="1" customWidth="1"/>
    <col min="8" max="8" width="10"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380</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384</v>
      </c>
      <c r="D8" s="461"/>
      <c r="E8" s="457"/>
      <c r="F8" s="457"/>
      <c r="G8" s="461"/>
    </row>
    <row r="9" spans="1:7" ht="67.5" customHeight="1">
      <c r="A9" s="454" t="s">
        <v>382</v>
      </c>
      <c r="B9" s="454" t="s">
        <v>385</v>
      </c>
      <c r="C9" s="2009" t="s">
        <v>386</v>
      </c>
      <c r="D9" s="2010"/>
      <c r="E9" s="2010"/>
      <c r="F9" s="2010"/>
      <c r="G9" s="2011"/>
    </row>
    <row r="10" spans="1:7" ht="51.75" customHeight="1">
      <c r="A10" s="454" t="s">
        <v>382</v>
      </c>
      <c r="B10" s="454" t="s">
        <v>387</v>
      </c>
      <c r="C10" s="2009" t="s">
        <v>388</v>
      </c>
      <c r="D10" s="2010"/>
      <c r="E10" s="2010"/>
      <c r="F10" s="2010"/>
      <c r="G10" s="2011"/>
    </row>
    <row r="11" spans="1:7" ht="51.75" customHeight="1">
      <c r="A11" s="454" t="s">
        <v>382</v>
      </c>
      <c r="B11" s="454" t="s">
        <v>389</v>
      </c>
      <c r="C11" s="2009" t="s">
        <v>390</v>
      </c>
      <c r="D11" s="2010"/>
      <c r="E11" s="2010"/>
      <c r="F11" s="2010"/>
      <c r="G11" s="2011"/>
    </row>
    <row r="12" spans="1:7" ht="51.75" customHeight="1">
      <c r="A12" s="454" t="s">
        <v>382</v>
      </c>
      <c r="B12" s="454" t="s">
        <v>391</v>
      </c>
      <c r="C12" s="2009" t="s">
        <v>392</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2</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137.5</v>
      </c>
      <c r="C18" s="466">
        <f>B18/C$14</f>
        <v>68.75</v>
      </c>
      <c r="D18" s="49"/>
      <c r="E18" s="89"/>
      <c r="F18" s="89"/>
      <c r="G18" s="49"/>
    </row>
    <row r="19" spans="1:8" ht="15">
      <c r="A19" s="454" t="s">
        <v>2</v>
      </c>
      <c r="B19" s="465">
        <f>SUM(H34:H36)</f>
        <v>50.908639287481463</v>
      </c>
      <c r="C19" s="466">
        <f t="shared" ref="C19:C26" si="0">B19/C$14</f>
        <v>25.454319643740732</v>
      </c>
      <c r="D19" s="49"/>
      <c r="E19" s="89"/>
      <c r="F19" s="89"/>
      <c r="G19" s="49"/>
    </row>
    <row r="20" spans="1:8" ht="15">
      <c r="A20" s="454" t="s">
        <v>3</v>
      </c>
      <c r="B20" s="465">
        <f>SUM(H37:H39)</f>
        <v>114.17611978609639</v>
      </c>
      <c r="C20" s="466">
        <f t="shared" si="0"/>
        <v>57.088059893048197</v>
      </c>
      <c r="D20" s="49"/>
      <c r="E20" s="89"/>
      <c r="F20" s="89"/>
      <c r="G20" s="49"/>
    </row>
    <row r="21" spans="1:8" ht="15">
      <c r="A21" s="454" t="s">
        <v>4</v>
      </c>
      <c r="B21" s="465">
        <f>H40</f>
        <v>15.15</v>
      </c>
      <c r="C21" s="466">
        <f t="shared" si="0"/>
        <v>7.5750000000000002</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317.73475907357783</v>
      </c>
      <c r="C27" s="466">
        <f>B27/C$14</f>
        <v>158.86737953678892</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27.75" customHeight="1">
      <c r="A30" s="452" t="s">
        <v>16</v>
      </c>
      <c r="B30" s="469" t="s">
        <v>401</v>
      </c>
      <c r="C30" s="469" t="s">
        <v>402</v>
      </c>
      <c r="D30" s="469" t="s">
        <v>403</v>
      </c>
      <c r="E30" s="469" t="s">
        <v>46</v>
      </c>
      <c r="F30" s="469" t="s">
        <v>404</v>
      </c>
      <c r="G30" s="469" t="s">
        <v>405</v>
      </c>
      <c r="H30" s="469" t="s">
        <v>397</v>
      </c>
    </row>
    <row r="31" spans="1:8" ht="15">
      <c r="A31" s="454" t="s">
        <v>0</v>
      </c>
      <c r="B31" s="470">
        <v>336</v>
      </c>
      <c r="C31" s="470" t="s">
        <v>406</v>
      </c>
      <c r="D31" s="471" t="s">
        <v>407</v>
      </c>
      <c r="E31" s="471" t="s">
        <v>408</v>
      </c>
      <c r="F31" s="472">
        <v>68.75</v>
      </c>
      <c r="G31" s="473">
        <v>2</v>
      </c>
      <c r="H31" s="474">
        <f>IF(G31&lt;=0, 0, F31*G31)</f>
        <v>137.5</v>
      </c>
    </row>
    <row r="32" spans="1:8" ht="15">
      <c r="A32" s="454" t="s">
        <v>0</v>
      </c>
      <c r="B32" s="470"/>
      <c r="C32" s="470"/>
      <c r="D32" s="471"/>
      <c r="E32" s="471"/>
      <c r="F32" s="472"/>
      <c r="G32" s="473"/>
      <c r="H32" s="474">
        <f t="shared" ref="H32:H49" si="1">IF(G32&lt;=0, 0, F32*G32)</f>
        <v>0</v>
      </c>
    </row>
    <row r="33" spans="1:8" ht="15">
      <c r="A33" s="454" t="s">
        <v>0</v>
      </c>
      <c r="B33" s="470"/>
      <c r="C33" s="470"/>
      <c r="D33" s="471"/>
      <c r="E33" s="471"/>
      <c r="F33" s="472"/>
      <c r="G33" s="473"/>
      <c r="H33" s="474">
        <f t="shared" si="1"/>
        <v>0</v>
      </c>
    </row>
    <row r="34" spans="1:8" ht="15">
      <c r="A34" s="454" t="s">
        <v>2</v>
      </c>
      <c r="B34" s="470">
        <v>965</v>
      </c>
      <c r="C34" s="475" t="s">
        <v>409</v>
      </c>
      <c r="D34" s="475" t="s">
        <v>410</v>
      </c>
      <c r="E34" s="475" t="s">
        <v>411</v>
      </c>
      <c r="F34" s="476">
        <v>9.7736279069767509</v>
      </c>
      <c r="G34" s="473">
        <v>4</v>
      </c>
      <c r="H34" s="474">
        <f t="shared" si="1"/>
        <v>39.094511627907004</v>
      </c>
    </row>
    <row r="35" spans="1:8" ht="15">
      <c r="A35" s="454" t="s">
        <v>2</v>
      </c>
      <c r="B35" s="477">
        <v>948</v>
      </c>
      <c r="C35" s="478" t="s">
        <v>412</v>
      </c>
      <c r="D35" s="478" t="s">
        <v>413</v>
      </c>
      <c r="E35" s="478" t="s">
        <v>408</v>
      </c>
      <c r="F35" s="479">
        <v>5.90706382978723</v>
      </c>
      <c r="G35" s="473">
        <v>2</v>
      </c>
      <c r="H35" s="474">
        <f t="shared" si="1"/>
        <v>11.81412765957446</v>
      </c>
    </row>
    <row r="36" spans="1:8" ht="15">
      <c r="A36" s="454" t="s">
        <v>2</v>
      </c>
      <c r="B36" s="470"/>
      <c r="C36" s="470"/>
      <c r="D36" s="471"/>
      <c r="E36" s="471"/>
      <c r="F36" s="472"/>
      <c r="G36" s="473"/>
      <c r="H36" s="474">
        <f t="shared" si="1"/>
        <v>0</v>
      </c>
    </row>
    <row r="37" spans="1:8" ht="15">
      <c r="A37" s="454" t="s">
        <v>3</v>
      </c>
      <c r="B37" s="480">
        <v>230</v>
      </c>
      <c r="C37" s="475" t="s">
        <v>414</v>
      </c>
      <c r="D37" s="475" t="s">
        <v>415</v>
      </c>
      <c r="E37" s="475" t="s">
        <v>411</v>
      </c>
      <c r="F37" s="476">
        <v>28.544029946524098</v>
      </c>
      <c r="G37" s="473">
        <v>4</v>
      </c>
      <c r="H37" s="474">
        <f t="shared" si="1"/>
        <v>114.17611978609639</v>
      </c>
    </row>
    <row r="38" spans="1:8" ht="15">
      <c r="A38" s="454" t="s">
        <v>3</v>
      </c>
      <c r="B38" s="470"/>
      <c r="C38" s="470"/>
      <c r="D38" s="471"/>
      <c r="E38" s="471"/>
      <c r="F38" s="472"/>
      <c r="G38" s="473"/>
      <c r="H38" s="474">
        <f t="shared" si="1"/>
        <v>0</v>
      </c>
    </row>
    <row r="39" spans="1:8" ht="15">
      <c r="A39" s="454" t="s">
        <v>3</v>
      </c>
      <c r="B39" s="470"/>
      <c r="C39" s="470"/>
      <c r="D39" s="471"/>
      <c r="E39" s="471"/>
      <c r="F39" s="472"/>
      <c r="G39" s="473"/>
      <c r="H39" s="474">
        <f t="shared" si="1"/>
        <v>0</v>
      </c>
    </row>
    <row r="40" spans="1:8" ht="15">
      <c r="A40" s="454" t="s">
        <v>4</v>
      </c>
      <c r="B40" s="470">
        <v>1043</v>
      </c>
      <c r="C40" s="470" t="s">
        <v>416</v>
      </c>
      <c r="D40" s="471" t="s">
        <v>417</v>
      </c>
      <c r="E40" s="471" t="s">
        <v>418</v>
      </c>
      <c r="F40" s="481">
        <v>0.05</v>
      </c>
      <c r="G40" s="473">
        <v>303</v>
      </c>
      <c r="H40" s="474">
        <f t="shared" si="1"/>
        <v>15.15</v>
      </c>
    </row>
    <row r="41" spans="1:8" ht="16.5" customHeight="1">
      <c r="A41" s="454" t="s">
        <v>419</v>
      </c>
      <c r="B41" s="470"/>
      <c r="C41" s="470" t="s">
        <v>416</v>
      </c>
      <c r="D41" s="471" t="s">
        <v>420</v>
      </c>
      <c r="E41" s="471" t="s">
        <v>418</v>
      </c>
      <c r="F41" s="472"/>
      <c r="G41" s="473"/>
      <c r="H41" s="474">
        <f t="shared" si="1"/>
        <v>0</v>
      </c>
    </row>
    <row r="42" spans="1:8" ht="15">
      <c r="A42" s="454" t="s">
        <v>7</v>
      </c>
      <c r="B42" s="470"/>
      <c r="C42" s="470"/>
      <c r="D42" s="471"/>
      <c r="E42" s="471"/>
      <c r="F42" s="472"/>
      <c r="G42" s="473"/>
      <c r="H42" s="474">
        <f t="shared" si="1"/>
        <v>0</v>
      </c>
    </row>
    <row r="43" spans="1:8" ht="15">
      <c r="A43" s="454" t="s">
        <v>7</v>
      </c>
      <c r="B43" s="470"/>
      <c r="C43" s="470"/>
      <c r="D43" s="471"/>
      <c r="E43" s="471"/>
      <c r="F43" s="472"/>
      <c r="G43" s="473"/>
      <c r="H43" s="474">
        <f t="shared" si="1"/>
        <v>0</v>
      </c>
    </row>
    <row r="44" spans="1:8" ht="15">
      <c r="A44" s="454" t="s">
        <v>7</v>
      </c>
      <c r="B44" s="470"/>
      <c r="C44" s="470"/>
      <c r="D44" s="471"/>
      <c r="E44" s="471"/>
      <c r="F44" s="472"/>
      <c r="G44" s="473"/>
      <c r="H44" s="474">
        <f t="shared" si="1"/>
        <v>0</v>
      </c>
    </row>
    <row r="45" spans="1:8" ht="15">
      <c r="A45" s="454" t="s">
        <v>421</v>
      </c>
      <c r="B45" s="470"/>
      <c r="C45" s="470"/>
      <c r="D45" s="471"/>
      <c r="E45" s="471"/>
      <c r="F45" s="472"/>
      <c r="G45" s="473"/>
      <c r="H45" s="474">
        <f t="shared" si="1"/>
        <v>0</v>
      </c>
    </row>
    <row r="46" spans="1:8" ht="15">
      <c r="A46" s="454" t="s">
        <v>421</v>
      </c>
      <c r="B46" s="470"/>
      <c r="C46" s="470"/>
      <c r="D46" s="471"/>
      <c r="E46" s="471"/>
      <c r="F46" s="472"/>
      <c r="G46" s="473"/>
      <c r="H46" s="474">
        <f t="shared" si="1"/>
        <v>0</v>
      </c>
    </row>
    <row r="47" spans="1:8" ht="15">
      <c r="A47" s="454" t="s">
        <v>421</v>
      </c>
      <c r="B47" s="470"/>
      <c r="C47" s="470"/>
      <c r="D47" s="471"/>
      <c r="E47" s="471"/>
      <c r="F47" s="472"/>
      <c r="G47" s="473"/>
      <c r="H47" s="474">
        <f t="shared" si="1"/>
        <v>0</v>
      </c>
    </row>
    <row r="48" spans="1:8" ht="15">
      <c r="A48" s="454" t="s">
        <v>5</v>
      </c>
      <c r="B48" s="470"/>
      <c r="C48" s="470"/>
      <c r="D48" s="471"/>
      <c r="E48" s="471"/>
      <c r="F48" s="472"/>
      <c r="G48" s="473"/>
      <c r="H48" s="474">
        <f t="shared" si="1"/>
        <v>0</v>
      </c>
    </row>
    <row r="49" spans="1:8" ht="15">
      <c r="A49" s="454" t="s">
        <v>20</v>
      </c>
      <c r="B49" s="470"/>
      <c r="C49" s="470"/>
      <c r="D49" s="471"/>
      <c r="E49" s="471"/>
      <c r="F49" s="472"/>
      <c r="G49" s="473"/>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51.xml><?xml version="1.0" encoding="utf-8"?>
<worksheet xmlns="http://schemas.openxmlformats.org/spreadsheetml/2006/main" xmlns:r="http://schemas.openxmlformats.org/officeDocument/2006/relationships">
  <dimension ref="A1:H106"/>
  <sheetViews>
    <sheetView topLeftCell="A16" zoomScale="75" zoomScaleNormal="75" workbookViewId="0">
      <selection activeCell="D27" sqref="D27"/>
    </sheetView>
  </sheetViews>
  <sheetFormatPr defaultColWidth="9.140625"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380</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422</v>
      </c>
      <c r="D8" s="461"/>
      <c r="E8" s="457"/>
      <c r="F8" s="457"/>
      <c r="G8" s="461"/>
    </row>
    <row r="9" spans="1:7" ht="101.25" customHeight="1">
      <c r="A9" s="454" t="s">
        <v>382</v>
      </c>
      <c r="B9" s="454" t="s">
        <v>385</v>
      </c>
      <c r="C9" s="2009" t="s">
        <v>423</v>
      </c>
      <c r="D9" s="2010"/>
      <c r="E9" s="2010"/>
      <c r="F9" s="2010"/>
      <c r="G9" s="2011"/>
    </row>
    <row r="10" spans="1:7" ht="67.150000000000006" customHeight="1">
      <c r="A10" s="454" t="s">
        <v>382</v>
      </c>
      <c r="B10" s="454" t="s">
        <v>387</v>
      </c>
      <c r="C10" s="2009" t="s">
        <v>424</v>
      </c>
      <c r="D10" s="2010"/>
      <c r="E10" s="2010"/>
      <c r="F10" s="2010"/>
      <c r="G10" s="2011"/>
    </row>
    <row r="11" spans="1:7" ht="51.75" customHeight="1">
      <c r="A11" s="454" t="s">
        <v>382</v>
      </c>
      <c r="B11" s="454" t="s">
        <v>389</v>
      </c>
      <c r="C11" s="2009" t="s">
        <v>425</v>
      </c>
      <c r="D11" s="2010"/>
      <c r="E11" s="2010"/>
      <c r="F11" s="2010"/>
      <c r="G11" s="2011"/>
    </row>
    <row r="12" spans="1:7" ht="51.75" customHeight="1">
      <c r="A12" s="454" t="s">
        <v>382</v>
      </c>
      <c r="B12" s="454" t="s">
        <v>391</v>
      </c>
      <c r="C12" s="2009" t="s">
        <v>426</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1</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12.395</v>
      </c>
      <c r="C18" s="466">
        <f>B18/C$14</f>
        <v>12.395</v>
      </c>
      <c r="D18" s="49"/>
      <c r="E18" s="89"/>
      <c r="F18" s="89"/>
      <c r="G18" s="49"/>
    </row>
    <row r="19" spans="1:8" ht="15">
      <c r="A19" s="454" t="s">
        <v>2</v>
      </c>
      <c r="B19" s="465">
        <f>SUM(H34:H36)</f>
        <v>160.425970212766</v>
      </c>
      <c r="C19" s="466">
        <f t="shared" ref="C19:C27" si="0">B19/C$14</f>
        <v>160.425970212766</v>
      </c>
      <c r="D19" s="49"/>
      <c r="E19" s="89"/>
      <c r="F19" s="89"/>
      <c r="G19" s="49"/>
    </row>
    <row r="20" spans="1:8" ht="15">
      <c r="A20" s="454" t="s">
        <v>3</v>
      </c>
      <c r="B20" s="465">
        <f>SUM(H37:H39)</f>
        <v>285.44029946524097</v>
      </c>
      <c r="C20" s="466">
        <f t="shared" si="0"/>
        <v>285.44029946524097</v>
      </c>
      <c r="D20" s="49"/>
      <c r="E20" s="89"/>
      <c r="F20" s="89"/>
      <c r="G20" s="49"/>
    </row>
    <row r="21" spans="1:8" ht="15">
      <c r="A21" s="454" t="s">
        <v>4</v>
      </c>
      <c r="B21" s="465">
        <f>H40</f>
        <v>22.900000000000002</v>
      </c>
      <c r="C21" s="466">
        <f t="shared" si="0"/>
        <v>22.900000000000002</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G48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481.16126967800699</v>
      </c>
      <c r="C27" s="466">
        <f t="shared" si="0"/>
        <v>481.16126967800699</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334</v>
      </c>
      <c r="C31" s="470" t="s">
        <v>427</v>
      </c>
      <c r="D31" s="471" t="s">
        <v>428</v>
      </c>
      <c r="E31" s="471" t="s">
        <v>408</v>
      </c>
      <c r="F31" s="472">
        <v>12.395</v>
      </c>
      <c r="G31" s="482">
        <v>1</v>
      </c>
      <c r="H31" s="474">
        <f>IF(G31&lt;=0, 0, F31*G31)</f>
        <v>12.395</v>
      </c>
    </row>
    <row r="32" spans="1:8" ht="15">
      <c r="A32" s="454" t="s">
        <v>0</v>
      </c>
      <c r="B32" s="470"/>
      <c r="C32" s="470"/>
      <c r="D32" s="471"/>
      <c r="E32" s="471"/>
      <c r="F32" s="472"/>
      <c r="G32" s="482"/>
      <c r="H32" s="474">
        <f t="shared" ref="H32:H49" si="1">IF(G32&lt;=0, 0, F32*G32)</f>
        <v>0</v>
      </c>
    </row>
    <row r="33" spans="1:8" ht="15">
      <c r="A33" s="454" t="s">
        <v>0</v>
      </c>
      <c r="B33" s="470"/>
      <c r="C33" s="470"/>
      <c r="D33" s="471"/>
      <c r="E33" s="471"/>
      <c r="F33" s="472"/>
      <c r="G33" s="482"/>
      <c r="H33" s="474">
        <f t="shared" si="1"/>
        <v>0</v>
      </c>
    </row>
    <row r="34" spans="1:8" ht="15">
      <c r="A34" s="454" t="s">
        <v>2</v>
      </c>
      <c r="B34" s="470">
        <v>937</v>
      </c>
      <c r="C34" s="470" t="s">
        <v>429</v>
      </c>
      <c r="D34" s="471" t="s">
        <v>430</v>
      </c>
      <c r="E34" s="471" t="s">
        <v>411</v>
      </c>
      <c r="F34" s="472">
        <v>5.9565970212766004</v>
      </c>
      <c r="G34" s="482">
        <v>10</v>
      </c>
      <c r="H34" s="474">
        <f t="shared" si="1"/>
        <v>59.565970212766004</v>
      </c>
    </row>
    <row r="35" spans="1:8" ht="15">
      <c r="A35" s="454" t="s">
        <v>2</v>
      </c>
      <c r="B35" s="470"/>
      <c r="C35" s="470"/>
      <c r="D35" s="471"/>
      <c r="E35" s="471"/>
      <c r="F35" s="472"/>
      <c r="G35" s="482"/>
      <c r="H35" s="474">
        <f t="shared" si="1"/>
        <v>0</v>
      </c>
    </row>
    <row r="36" spans="1:8" ht="15">
      <c r="A36" s="454" t="s">
        <v>2</v>
      </c>
      <c r="B36" s="483">
        <v>964</v>
      </c>
      <c r="C36" s="475" t="s">
        <v>431</v>
      </c>
      <c r="D36" s="475" t="s">
        <v>432</v>
      </c>
      <c r="E36" s="475" t="s">
        <v>411</v>
      </c>
      <c r="F36" s="476">
        <v>50.43</v>
      </c>
      <c r="G36" s="484">
        <v>2</v>
      </c>
      <c r="H36" s="474">
        <f t="shared" si="1"/>
        <v>100.86</v>
      </c>
    </row>
    <row r="37" spans="1:8" ht="15">
      <c r="A37" s="454" t="s">
        <v>3</v>
      </c>
      <c r="B37" s="470">
        <v>230</v>
      </c>
      <c r="C37" s="470" t="s">
        <v>414</v>
      </c>
      <c r="D37" s="471" t="s">
        <v>433</v>
      </c>
      <c r="E37" s="471" t="s">
        <v>411</v>
      </c>
      <c r="F37" s="472">
        <v>28.544029946524098</v>
      </c>
      <c r="G37" s="473">
        <v>10</v>
      </c>
      <c r="H37" s="474">
        <f t="shared" si="1"/>
        <v>285.44029946524097</v>
      </c>
    </row>
    <row r="38" spans="1:8" ht="15">
      <c r="A38" s="454" t="s">
        <v>3</v>
      </c>
      <c r="B38" s="470"/>
      <c r="C38" s="470"/>
      <c r="D38" s="471"/>
      <c r="E38" s="471"/>
      <c r="F38" s="472"/>
      <c r="G38" s="482"/>
      <c r="H38" s="474">
        <f t="shared" si="1"/>
        <v>0</v>
      </c>
    </row>
    <row r="39" spans="1:8" ht="15">
      <c r="A39" s="454" t="s">
        <v>3</v>
      </c>
      <c r="B39" s="470"/>
      <c r="C39" s="470"/>
      <c r="D39" s="471"/>
      <c r="E39" s="471"/>
      <c r="F39" s="472"/>
      <c r="G39" s="482"/>
      <c r="H39" s="474">
        <f t="shared" si="1"/>
        <v>0</v>
      </c>
    </row>
    <row r="40" spans="1:8" ht="15">
      <c r="A40" s="454" t="s">
        <v>4</v>
      </c>
      <c r="B40" s="470">
        <v>1043</v>
      </c>
      <c r="C40" s="470" t="s">
        <v>416</v>
      </c>
      <c r="D40" s="471" t="s">
        <v>417</v>
      </c>
      <c r="E40" s="471" t="s">
        <v>418</v>
      </c>
      <c r="F40" s="481">
        <v>0.05</v>
      </c>
      <c r="G40" s="485">
        <v>458</v>
      </c>
      <c r="H40" s="474">
        <f t="shared" si="1"/>
        <v>22.900000000000002</v>
      </c>
    </row>
    <row r="41" spans="1:8" ht="16.5" customHeight="1">
      <c r="A41" s="454" t="s">
        <v>419</v>
      </c>
      <c r="B41" s="470"/>
      <c r="C41" s="470" t="s">
        <v>416</v>
      </c>
      <c r="D41" s="471" t="s">
        <v>420</v>
      </c>
      <c r="E41" s="471" t="s">
        <v>418</v>
      </c>
      <c r="F41" s="481"/>
      <c r="G41" s="486"/>
      <c r="H41" s="474">
        <f t="shared" si="1"/>
        <v>0</v>
      </c>
    </row>
    <row r="42" spans="1:8" ht="15">
      <c r="A42" s="454" t="s">
        <v>7</v>
      </c>
      <c r="B42" s="470"/>
      <c r="C42" s="470"/>
      <c r="D42" s="471"/>
      <c r="E42" s="471"/>
      <c r="F42" s="472"/>
      <c r="G42" s="482"/>
      <c r="H42" s="474">
        <f t="shared" si="1"/>
        <v>0</v>
      </c>
    </row>
    <row r="43" spans="1:8" ht="15">
      <c r="A43" s="454" t="s">
        <v>7</v>
      </c>
      <c r="B43" s="470"/>
      <c r="C43" s="470"/>
      <c r="D43" s="471"/>
      <c r="E43" s="471"/>
      <c r="F43" s="472"/>
      <c r="G43" s="482"/>
      <c r="H43" s="474">
        <f t="shared" si="1"/>
        <v>0</v>
      </c>
    </row>
    <row r="44" spans="1:8" ht="15">
      <c r="A44" s="454" t="s">
        <v>7</v>
      </c>
      <c r="B44" s="470"/>
      <c r="C44" s="470"/>
      <c r="D44" s="471"/>
      <c r="E44" s="471"/>
      <c r="F44" s="472"/>
      <c r="G44" s="482"/>
      <c r="H44" s="474">
        <f t="shared" si="1"/>
        <v>0</v>
      </c>
    </row>
    <row r="45" spans="1:8" ht="15">
      <c r="A45" s="454" t="s">
        <v>421</v>
      </c>
      <c r="B45" s="470"/>
      <c r="C45" s="470"/>
      <c r="D45" s="471"/>
      <c r="E45" s="471"/>
      <c r="F45" s="472"/>
      <c r="G45" s="482"/>
      <c r="H45" s="474">
        <f t="shared" si="1"/>
        <v>0</v>
      </c>
    </row>
    <row r="46" spans="1:8" ht="15">
      <c r="A46" s="454" t="s">
        <v>421</v>
      </c>
      <c r="B46" s="470"/>
      <c r="C46" s="470"/>
      <c r="D46" s="471"/>
      <c r="E46" s="471"/>
      <c r="F46" s="472"/>
      <c r="G46" s="482"/>
      <c r="H46" s="474">
        <f t="shared" si="1"/>
        <v>0</v>
      </c>
    </row>
    <row r="47" spans="1:8" ht="15">
      <c r="A47" s="454" t="s">
        <v>421</v>
      </c>
      <c r="B47" s="470"/>
      <c r="C47" s="470"/>
      <c r="D47" s="471"/>
      <c r="E47" s="471"/>
      <c r="F47" s="472"/>
      <c r="G47" s="482"/>
      <c r="H47" s="474">
        <f t="shared" si="1"/>
        <v>0</v>
      </c>
    </row>
    <row r="48" spans="1:8" ht="15">
      <c r="A48" s="454" t="s">
        <v>5</v>
      </c>
      <c r="B48" s="470"/>
      <c r="C48" s="470"/>
      <c r="D48" s="471"/>
      <c r="E48" s="471"/>
      <c r="F48" s="472"/>
      <c r="G48" s="482"/>
      <c r="H48" s="474">
        <f t="shared" si="1"/>
        <v>0</v>
      </c>
    </row>
    <row r="49" spans="1:8" ht="15">
      <c r="A49" s="454" t="s">
        <v>20</v>
      </c>
      <c r="B49" s="470"/>
      <c r="C49" s="470"/>
      <c r="D49" s="471"/>
      <c r="E49" s="471"/>
      <c r="F49" s="472"/>
      <c r="G49" s="482"/>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sheetPr>
    <pageSetUpPr fitToPage="1"/>
  </sheetPr>
  <dimension ref="A1:H106"/>
  <sheetViews>
    <sheetView topLeftCell="A13" zoomScale="75" zoomScaleNormal="75" workbookViewId="0">
      <selection activeCell="J46" sqref="J46"/>
    </sheetView>
  </sheetViews>
  <sheetFormatPr defaultColWidth="9.140625" defaultRowHeight="12.75"/>
  <cols>
    <col min="1" max="1" width="34.5703125" style="487" customWidth="1"/>
    <col min="2" max="2" width="25.42578125" style="487" customWidth="1"/>
    <col min="3" max="3" width="29.42578125" style="487" customWidth="1"/>
    <col min="4" max="4" width="28.5703125" style="487" customWidth="1"/>
    <col min="5" max="5" width="15.140625" style="487" customWidth="1"/>
    <col min="6" max="6" width="11" style="487" customWidth="1"/>
    <col min="7" max="7" width="10.7109375" style="487" bestFit="1" customWidth="1"/>
    <col min="8" max="8" width="10" style="487" customWidth="1"/>
    <col min="9" max="16384" width="9.140625" style="487"/>
  </cols>
  <sheetData>
    <row r="1" spans="1:7" ht="18.75">
      <c r="A1" s="449" t="s">
        <v>373</v>
      </c>
    </row>
    <row r="3" spans="1:7" ht="15.75">
      <c r="A3" s="450" t="s">
        <v>374</v>
      </c>
      <c r="B3" s="451"/>
      <c r="C3" s="451"/>
    </row>
    <row r="4" spans="1:7" ht="21" customHeight="1">
      <c r="A4" s="452" t="s">
        <v>375</v>
      </c>
      <c r="B4" s="452" t="s">
        <v>376</v>
      </c>
      <c r="C4" s="453" t="s">
        <v>377</v>
      </c>
      <c r="D4" s="488"/>
      <c r="E4" s="488"/>
      <c r="F4" s="488"/>
      <c r="G4" s="488"/>
    </row>
    <row r="5" spans="1:7" ht="21" customHeight="1">
      <c r="A5" s="454" t="s">
        <v>1</v>
      </c>
      <c r="B5" s="454" t="s">
        <v>77</v>
      </c>
      <c r="C5" s="489" t="s">
        <v>378</v>
      </c>
      <c r="D5" s="490"/>
      <c r="E5" s="491"/>
      <c r="F5" s="492"/>
      <c r="G5" s="492"/>
    </row>
    <row r="6" spans="1:7" ht="21" customHeight="1">
      <c r="A6" s="454" t="s">
        <v>1</v>
      </c>
      <c r="B6" s="454" t="s">
        <v>379</v>
      </c>
      <c r="C6" s="493" t="s">
        <v>380</v>
      </c>
      <c r="D6" s="490"/>
      <c r="E6" s="491"/>
      <c r="F6" s="492"/>
      <c r="G6" s="492"/>
    </row>
    <row r="7" spans="1:7" ht="21" customHeight="1">
      <c r="A7" s="454" t="s">
        <v>1</v>
      </c>
      <c r="B7" s="454" t="s">
        <v>381</v>
      </c>
      <c r="C7" s="493">
        <v>1</v>
      </c>
      <c r="D7" s="490"/>
      <c r="E7" s="491"/>
      <c r="F7" s="492"/>
      <c r="G7" s="492"/>
    </row>
    <row r="8" spans="1:7" ht="21" customHeight="1">
      <c r="A8" s="454" t="s">
        <v>382</v>
      </c>
      <c r="B8" s="454" t="s">
        <v>383</v>
      </c>
      <c r="C8" s="494" t="s">
        <v>434</v>
      </c>
      <c r="D8" s="495"/>
      <c r="E8" s="491"/>
      <c r="F8" s="491"/>
      <c r="G8" s="495"/>
    </row>
    <row r="9" spans="1:7" ht="108.75" customHeight="1">
      <c r="A9" s="454" t="s">
        <v>382</v>
      </c>
      <c r="B9" s="454" t="s">
        <v>385</v>
      </c>
      <c r="C9" s="2012" t="s">
        <v>435</v>
      </c>
      <c r="D9" s="2013"/>
      <c r="E9" s="2013"/>
      <c r="F9" s="2013"/>
      <c r="G9" s="2014"/>
    </row>
    <row r="10" spans="1:7" ht="72" customHeight="1">
      <c r="A10" s="454" t="s">
        <v>382</v>
      </c>
      <c r="B10" s="454" t="s">
        <v>387</v>
      </c>
      <c r="C10" s="2012" t="s">
        <v>436</v>
      </c>
      <c r="D10" s="2013"/>
      <c r="E10" s="2013"/>
      <c r="F10" s="2013"/>
      <c r="G10" s="2014"/>
    </row>
    <row r="11" spans="1:7" ht="70.5" customHeight="1">
      <c r="A11" s="454" t="s">
        <v>382</v>
      </c>
      <c r="B11" s="454" t="s">
        <v>389</v>
      </c>
      <c r="C11" s="2012" t="s">
        <v>437</v>
      </c>
      <c r="D11" s="2013"/>
      <c r="E11" s="2013"/>
      <c r="F11" s="2013"/>
      <c r="G11" s="2014"/>
    </row>
    <row r="12" spans="1:7" ht="51.75" customHeight="1">
      <c r="A12" s="454" t="s">
        <v>382</v>
      </c>
      <c r="B12" s="454" t="s">
        <v>391</v>
      </c>
      <c r="C12" s="2012" t="s">
        <v>392</v>
      </c>
      <c r="D12" s="2013"/>
      <c r="E12" s="2013"/>
      <c r="F12" s="2013"/>
      <c r="G12" s="2014"/>
    </row>
    <row r="13" spans="1:7" ht="21" customHeight="1">
      <c r="A13" s="454" t="s">
        <v>382</v>
      </c>
      <c r="B13" s="454" t="s">
        <v>393</v>
      </c>
      <c r="C13" s="489" t="s">
        <v>394</v>
      </c>
      <c r="D13" s="490"/>
      <c r="E13" s="491"/>
      <c r="F13" s="491"/>
      <c r="G13" s="490"/>
    </row>
    <row r="14" spans="1:7" ht="21" customHeight="1">
      <c r="A14" s="454" t="s">
        <v>382</v>
      </c>
      <c r="B14" s="454" t="s">
        <v>395</v>
      </c>
      <c r="C14" s="493">
        <v>2</v>
      </c>
      <c r="D14" s="490"/>
      <c r="E14" s="491"/>
      <c r="F14" s="491"/>
      <c r="G14" s="490"/>
    </row>
    <row r="15" spans="1:7">
      <c r="A15" s="488"/>
      <c r="B15" s="488"/>
      <c r="C15" s="488"/>
      <c r="D15" s="488"/>
      <c r="E15" s="488"/>
      <c r="F15" s="488"/>
      <c r="G15" s="488"/>
    </row>
    <row r="16" spans="1:7" ht="15.75">
      <c r="A16" s="462" t="s">
        <v>396</v>
      </c>
      <c r="B16" s="463"/>
      <c r="C16" s="464"/>
      <c r="D16" s="496"/>
      <c r="E16" s="497"/>
      <c r="F16" s="497"/>
      <c r="G16" s="496"/>
    </row>
    <row r="17" spans="1:8" ht="15">
      <c r="A17" s="452" t="s">
        <v>16</v>
      </c>
      <c r="B17" s="453" t="s">
        <v>397</v>
      </c>
      <c r="C17" s="453" t="s">
        <v>398</v>
      </c>
      <c r="D17" s="496"/>
      <c r="E17" s="497"/>
      <c r="F17" s="497"/>
      <c r="G17" s="496"/>
    </row>
    <row r="18" spans="1:8" ht="15">
      <c r="A18" s="454" t="s">
        <v>0</v>
      </c>
      <c r="B18" s="465">
        <f>SUM(H31:H33)</f>
        <v>24.79</v>
      </c>
      <c r="C18" s="466">
        <f>B18/C$14</f>
        <v>12.395</v>
      </c>
      <c r="D18" s="496"/>
      <c r="E18" s="497"/>
      <c r="F18" s="497"/>
      <c r="G18" s="496"/>
    </row>
    <row r="19" spans="1:8" ht="15">
      <c r="A19" s="454" t="s">
        <v>2</v>
      </c>
      <c r="B19" s="465">
        <f>SUM(H34:H36)</f>
        <v>100.86</v>
      </c>
      <c r="C19" s="466">
        <f t="shared" ref="C19:C26" si="0">B19/C$14</f>
        <v>50.43</v>
      </c>
      <c r="D19" s="496"/>
      <c r="E19" s="497"/>
      <c r="F19" s="497"/>
      <c r="G19" s="496"/>
    </row>
    <row r="20" spans="1:8" ht="15">
      <c r="A20" s="454" t="s">
        <v>3</v>
      </c>
      <c r="B20" s="465">
        <f>SUM(H37:H39)</f>
        <v>0</v>
      </c>
      <c r="C20" s="466">
        <f t="shared" si="0"/>
        <v>0</v>
      </c>
      <c r="D20" s="496"/>
      <c r="E20" s="497"/>
      <c r="F20" s="497"/>
      <c r="G20" s="496"/>
    </row>
    <row r="21" spans="1:8" ht="15">
      <c r="A21" s="454" t="s">
        <v>4</v>
      </c>
      <c r="B21" s="465">
        <f>H40</f>
        <v>6.3000000000000007</v>
      </c>
      <c r="C21" s="466">
        <f t="shared" si="0"/>
        <v>3.1500000000000004</v>
      </c>
      <c r="D21" s="496"/>
      <c r="E21" s="497"/>
      <c r="F21" s="497"/>
      <c r="G21" s="496"/>
    </row>
    <row r="22" spans="1:8" ht="15">
      <c r="A22" s="454" t="s">
        <v>26</v>
      </c>
      <c r="B22" s="465">
        <f>H41</f>
        <v>0</v>
      </c>
      <c r="C22" s="466">
        <f t="shared" si="0"/>
        <v>0</v>
      </c>
      <c r="D22" s="496"/>
      <c r="E22" s="497"/>
      <c r="F22" s="497"/>
      <c r="G22" s="496"/>
    </row>
    <row r="23" spans="1:8" ht="15">
      <c r="A23" s="454" t="s">
        <v>7</v>
      </c>
      <c r="B23" s="465">
        <f>SUM(H42:H44)</f>
        <v>0</v>
      </c>
      <c r="C23" s="466">
        <f t="shared" si="0"/>
        <v>0</v>
      </c>
      <c r="D23" s="496"/>
      <c r="E23" s="497"/>
      <c r="F23" s="497"/>
      <c r="G23" s="496"/>
    </row>
    <row r="24" spans="1:8" ht="15">
      <c r="A24" s="454" t="s">
        <v>27</v>
      </c>
      <c r="B24" s="465">
        <f>SUM(H45:H47)</f>
        <v>0</v>
      </c>
      <c r="C24" s="466">
        <f t="shared" si="0"/>
        <v>0</v>
      </c>
      <c r="D24" s="496"/>
      <c r="E24" s="497"/>
      <c r="F24" s="497"/>
      <c r="G24" s="496"/>
    </row>
    <row r="25" spans="1:8" ht="15">
      <c r="A25" s="454" t="s">
        <v>5</v>
      </c>
      <c r="B25" s="465">
        <f>G48</f>
        <v>0</v>
      </c>
      <c r="C25" s="466">
        <f t="shared" si="0"/>
        <v>0</v>
      </c>
      <c r="D25" s="496"/>
      <c r="E25" s="497"/>
      <c r="F25" s="497"/>
      <c r="G25" s="496"/>
    </row>
    <row r="26" spans="1:8" ht="15">
      <c r="A26" s="454" t="s">
        <v>20</v>
      </c>
      <c r="B26" s="465">
        <f>H48</f>
        <v>0</v>
      </c>
      <c r="C26" s="466">
        <f t="shared" si="0"/>
        <v>0</v>
      </c>
      <c r="D26" s="496"/>
      <c r="E26" s="497"/>
      <c r="F26" s="497"/>
      <c r="G26" s="496"/>
    </row>
    <row r="27" spans="1:8" ht="15">
      <c r="A27" s="454" t="s">
        <v>399</v>
      </c>
      <c r="B27" s="465">
        <f>SUM(B18:B26)</f>
        <v>131.95000000000002</v>
      </c>
      <c r="C27" s="466">
        <f>B27/C$14</f>
        <v>65.975000000000009</v>
      </c>
      <c r="D27" s="496"/>
      <c r="E27" s="497"/>
      <c r="F27" s="497"/>
      <c r="G27" s="496"/>
    </row>
    <row r="28" spans="1:8">
      <c r="A28" s="498"/>
      <c r="B28" s="499"/>
      <c r="C28" s="499"/>
      <c r="D28" s="496"/>
      <c r="E28" s="496"/>
      <c r="F28" s="496"/>
      <c r="G28" s="496"/>
    </row>
    <row r="29" spans="1:8" ht="15.75">
      <c r="A29" s="468" t="s">
        <v>400</v>
      </c>
      <c r="B29" s="496"/>
      <c r="C29" s="496"/>
      <c r="D29" s="499"/>
      <c r="E29" s="496"/>
      <c r="F29" s="496"/>
      <c r="G29" s="496"/>
    </row>
    <row r="30" spans="1:8" ht="27.75" customHeight="1">
      <c r="A30" s="452" t="s">
        <v>16</v>
      </c>
      <c r="B30" s="469" t="s">
        <v>401</v>
      </c>
      <c r="C30" s="469" t="s">
        <v>402</v>
      </c>
      <c r="D30" s="469" t="s">
        <v>403</v>
      </c>
      <c r="E30" s="469" t="s">
        <v>46</v>
      </c>
      <c r="F30" s="469" t="s">
        <v>404</v>
      </c>
      <c r="G30" s="469" t="s">
        <v>405</v>
      </c>
      <c r="H30" s="469" t="s">
        <v>397</v>
      </c>
    </row>
    <row r="31" spans="1:8" ht="15">
      <c r="A31" s="454" t="s">
        <v>0</v>
      </c>
      <c r="B31" s="500"/>
      <c r="C31" s="500"/>
      <c r="D31" s="501"/>
      <c r="E31" s="501"/>
      <c r="F31" s="502"/>
      <c r="G31" s="473"/>
      <c r="H31" s="474">
        <f>IF(G31&lt;=0, 0, F31*G31)</f>
        <v>0</v>
      </c>
    </row>
    <row r="32" spans="1:8" ht="15">
      <c r="A32" s="454" t="s">
        <v>0</v>
      </c>
      <c r="B32" s="503">
        <v>334</v>
      </c>
      <c r="C32" s="504" t="s">
        <v>427</v>
      </c>
      <c r="D32" s="504" t="s">
        <v>428</v>
      </c>
      <c r="E32" s="504" t="s">
        <v>408</v>
      </c>
      <c r="F32" s="505">
        <v>12.395</v>
      </c>
      <c r="G32" s="473">
        <v>2</v>
      </c>
      <c r="H32" s="474">
        <f t="shared" ref="H32:H49" si="1">IF(G32&lt;=0, 0, F32*G32)</f>
        <v>24.79</v>
      </c>
    </row>
    <row r="33" spans="1:8" ht="15">
      <c r="A33" s="454" t="s">
        <v>0</v>
      </c>
      <c r="B33" s="500"/>
      <c r="C33" s="500"/>
      <c r="D33" s="501"/>
      <c r="E33" s="501"/>
      <c r="F33" s="502"/>
      <c r="G33" s="473"/>
      <c r="H33" s="474">
        <f t="shared" si="1"/>
        <v>0</v>
      </c>
    </row>
    <row r="34" spans="1:8" ht="15">
      <c r="A34" s="454" t="s">
        <v>2</v>
      </c>
      <c r="B34" s="500"/>
      <c r="C34" s="500"/>
      <c r="D34" s="501"/>
      <c r="E34" s="501"/>
      <c r="F34" s="506"/>
      <c r="G34" s="473"/>
      <c r="H34" s="474">
        <f t="shared" si="1"/>
        <v>0</v>
      </c>
    </row>
    <row r="35" spans="1:8" ht="15">
      <c r="A35" s="454" t="s">
        <v>2</v>
      </c>
      <c r="B35" s="480">
        <v>964</v>
      </c>
      <c r="C35" s="475" t="s">
        <v>431</v>
      </c>
      <c r="D35" s="475" t="s">
        <v>432</v>
      </c>
      <c r="E35" s="475" t="s">
        <v>411</v>
      </c>
      <c r="F35" s="476">
        <v>50.43</v>
      </c>
      <c r="G35" s="507">
        <v>2</v>
      </c>
      <c r="H35" s="474">
        <f t="shared" si="1"/>
        <v>100.86</v>
      </c>
    </row>
    <row r="36" spans="1:8" ht="15">
      <c r="A36" s="454" t="s">
        <v>2</v>
      </c>
      <c r="B36" s="508"/>
      <c r="C36" s="509"/>
      <c r="D36" s="509"/>
      <c r="E36" s="510"/>
      <c r="F36" s="511"/>
      <c r="G36" s="486"/>
      <c r="H36" s="474">
        <f t="shared" si="1"/>
        <v>0</v>
      </c>
    </row>
    <row r="37" spans="1:8" ht="15">
      <c r="A37" s="454" t="s">
        <v>3</v>
      </c>
      <c r="B37" s="500"/>
      <c r="C37" s="500"/>
      <c r="D37" s="501"/>
      <c r="E37" s="501"/>
      <c r="F37" s="502"/>
      <c r="G37" s="473"/>
      <c r="H37" s="474">
        <f t="shared" si="1"/>
        <v>0</v>
      </c>
    </row>
    <row r="38" spans="1:8" ht="15">
      <c r="A38" s="454" t="s">
        <v>3</v>
      </c>
      <c r="B38" s="470"/>
      <c r="C38" s="470"/>
      <c r="D38" s="471"/>
      <c r="E38" s="471"/>
      <c r="F38" s="472"/>
      <c r="G38" s="473"/>
      <c r="H38" s="474">
        <f t="shared" si="1"/>
        <v>0</v>
      </c>
    </row>
    <row r="39" spans="1:8" ht="15">
      <c r="A39" s="454" t="s">
        <v>3</v>
      </c>
      <c r="B39" s="500"/>
      <c r="C39" s="500"/>
      <c r="D39" s="501"/>
      <c r="E39" s="501"/>
      <c r="F39" s="502"/>
      <c r="G39" s="473"/>
      <c r="H39" s="474">
        <f t="shared" si="1"/>
        <v>0</v>
      </c>
    </row>
    <row r="40" spans="1:8" ht="15">
      <c r="A40" s="454" t="s">
        <v>4</v>
      </c>
      <c r="B40" s="470">
        <v>1043</v>
      </c>
      <c r="C40" s="470" t="s">
        <v>416</v>
      </c>
      <c r="D40" s="471" t="s">
        <v>417</v>
      </c>
      <c r="E40" s="471" t="s">
        <v>418</v>
      </c>
      <c r="F40" s="481">
        <v>0.05</v>
      </c>
      <c r="G40" s="512">
        <v>126</v>
      </c>
      <c r="H40" s="474">
        <f t="shared" si="1"/>
        <v>6.3000000000000007</v>
      </c>
    </row>
    <row r="41" spans="1:8" ht="16.5" customHeight="1">
      <c r="A41" s="454" t="s">
        <v>419</v>
      </c>
      <c r="B41" s="500"/>
      <c r="C41" s="500" t="s">
        <v>416</v>
      </c>
      <c r="D41" s="501" t="s">
        <v>420</v>
      </c>
      <c r="E41" s="501" t="s">
        <v>418</v>
      </c>
      <c r="F41" s="502"/>
      <c r="G41" s="473"/>
      <c r="H41" s="474">
        <f t="shared" si="1"/>
        <v>0</v>
      </c>
    </row>
    <row r="42" spans="1:8" ht="15">
      <c r="A42" s="454" t="s">
        <v>7</v>
      </c>
      <c r="B42" s="500"/>
      <c r="C42" s="500"/>
      <c r="D42" s="501"/>
      <c r="E42" s="501"/>
      <c r="F42" s="502"/>
      <c r="G42" s="473"/>
      <c r="H42" s="474">
        <f t="shared" si="1"/>
        <v>0</v>
      </c>
    </row>
    <row r="43" spans="1:8" ht="15">
      <c r="A43" s="454" t="s">
        <v>7</v>
      </c>
      <c r="B43" s="500"/>
      <c r="C43" s="500"/>
      <c r="D43" s="501"/>
      <c r="E43" s="501"/>
      <c r="F43" s="502"/>
      <c r="G43" s="473"/>
      <c r="H43" s="474">
        <f t="shared" si="1"/>
        <v>0</v>
      </c>
    </row>
    <row r="44" spans="1:8" ht="15">
      <c r="A44" s="454" t="s">
        <v>7</v>
      </c>
      <c r="B44" s="500"/>
      <c r="C44" s="500"/>
      <c r="D44" s="501"/>
      <c r="E44" s="501"/>
      <c r="F44" s="502"/>
      <c r="G44" s="473"/>
      <c r="H44" s="474">
        <f t="shared" si="1"/>
        <v>0</v>
      </c>
    </row>
    <row r="45" spans="1:8" ht="15">
      <c r="A45" s="454" t="s">
        <v>421</v>
      </c>
      <c r="B45" s="500"/>
      <c r="C45" s="500"/>
      <c r="D45" s="501"/>
      <c r="E45" s="501"/>
      <c r="F45" s="502"/>
      <c r="G45" s="473"/>
      <c r="H45" s="474">
        <f t="shared" si="1"/>
        <v>0</v>
      </c>
    </row>
    <row r="46" spans="1:8" ht="15">
      <c r="A46" s="454" t="s">
        <v>421</v>
      </c>
      <c r="B46" s="500"/>
      <c r="C46" s="500"/>
      <c r="D46" s="501"/>
      <c r="E46" s="501"/>
      <c r="F46" s="502"/>
      <c r="G46" s="473"/>
      <c r="H46" s="474">
        <f t="shared" si="1"/>
        <v>0</v>
      </c>
    </row>
    <row r="47" spans="1:8" ht="15">
      <c r="A47" s="454" t="s">
        <v>421</v>
      </c>
      <c r="B47" s="500"/>
      <c r="C47" s="500"/>
      <c r="D47" s="501"/>
      <c r="E47" s="501"/>
      <c r="F47" s="502"/>
      <c r="G47" s="473"/>
      <c r="H47" s="474">
        <f t="shared" si="1"/>
        <v>0</v>
      </c>
    </row>
    <row r="48" spans="1:8" ht="15">
      <c r="A48" s="454" t="s">
        <v>5</v>
      </c>
      <c r="B48" s="500"/>
      <c r="C48" s="500"/>
      <c r="D48" s="501"/>
      <c r="E48" s="501"/>
      <c r="F48" s="502"/>
      <c r="G48" s="473"/>
      <c r="H48" s="474">
        <f t="shared" si="1"/>
        <v>0</v>
      </c>
    </row>
    <row r="49" spans="1:8" ht="15">
      <c r="A49" s="454" t="s">
        <v>20</v>
      </c>
      <c r="B49" s="500"/>
      <c r="C49" s="500"/>
      <c r="D49" s="501"/>
      <c r="E49" s="501"/>
      <c r="F49" s="502"/>
      <c r="G49" s="473"/>
      <c r="H49" s="474">
        <f t="shared" si="1"/>
        <v>0</v>
      </c>
    </row>
    <row r="50" spans="1:8">
      <c r="A50" s="488"/>
      <c r="B50" s="488"/>
      <c r="C50" s="488"/>
      <c r="D50" s="488"/>
      <c r="E50" s="488"/>
      <c r="F50" s="488"/>
      <c r="G50" s="488"/>
    </row>
    <row r="51" spans="1:8">
      <c r="A51" s="488"/>
      <c r="B51" s="488"/>
      <c r="C51" s="488"/>
      <c r="D51" s="488"/>
      <c r="E51" s="488"/>
      <c r="F51" s="488"/>
      <c r="G51" s="488"/>
    </row>
    <row r="52" spans="1:8">
      <c r="A52" s="488"/>
      <c r="B52" s="488"/>
      <c r="C52" s="488"/>
      <c r="D52" s="488"/>
      <c r="E52" s="488"/>
      <c r="F52" s="488"/>
      <c r="G52" s="488"/>
    </row>
    <row r="53" spans="1:8">
      <c r="A53" s="488"/>
      <c r="B53" s="488"/>
      <c r="C53" s="488"/>
      <c r="D53" s="488"/>
      <c r="E53" s="488"/>
      <c r="F53" s="488"/>
      <c r="G53" s="488"/>
    </row>
    <row r="54" spans="1:8">
      <c r="A54" s="488"/>
      <c r="B54" s="488"/>
      <c r="C54" s="488"/>
      <c r="D54" s="488"/>
      <c r="E54" s="488"/>
      <c r="F54" s="488"/>
      <c r="G54" s="488"/>
    </row>
    <row r="55" spans="1:8">
      <c r="A55" s="488"/>
      <c r="B55" s="488"/>
      <c r="C55" s="488"/>
      <c r="D55" s="488"/>
      <c r="E55" s="488"/>
      <c r="F55" s="488"/>
      <c r="G55" s="488"/>
    </row>
    <row r="56" spans="1:8">
      <c r="A56" s="488"/>
      <c r="B56" s="488"/>
      <c r="C56" s="488"/>
      <c r="D56" s="488"/>
      <c r="E56" s="488"/>
      <c r="F56" s="488"/>
      <c r="G56" s="488"/>
    </row>
    <row r="57" spans="1:8">
      <c r="A57" s="488"/>
      <c r="B57" s="488"/>
      <c r="C57" s="488"/>
      <c r="D57" s="488"/>
      <c r="E57" s="488"/>
      <c r="F57" s="488"/>
      <c r="G57" s="488"/>
    </row>
    <row r="58" spans="1:8">
      <c r="A58" s="488"/>
      <c r="B58" s="488"/>
      <c r="C58" s="488"/>
      <c r="D58" s="488"/>
      <c r="E58" s="488"/>
      <c r="F58" s="488"/>
      <c r="G58" s="488"/>
    </row>
    <row r="59" spans="1:8">
      <c r="A59" s="488"/>
      <c r="B59" s="488"/>
      <c r="C59" s="488"/>
      <c r="D59" s="488"/>
      <c r="E59" s="488"/>
      <c r="F59" s="488"/>
      <c r="G59" s="488"/>
    </row>
    <row r="60" spans="1:8">
      <c r="A60" s="488"/>
      <c r="B60" s="488"/>
      <c r="C60" s="488"/>
      <c r="D60" s="488"/>
      <c r="E60" s="488"/>
      <c r="F60" s="488"/>
      <c r="G60" s="488"/>
    </row>
    <row r="61" spans="1:8">
      <c r="A61" s="488"/>
      <c r="B61" s="488"/>
      <c r="C61" s="488"/>
      <c r="D61" s="488"/>
      <c r="E61" s="488"/>
      <c r="F61" s="488"/>
      <c r="G61" s="488"/>
    </row>
    <row r="62" spans="1:8">
      <c r="A62" s="488"/>
      <c r="B62" s="488"/>
      <c r="C62" s="488"/>
      <c r="D62" s="488"/>
      <c r="E62" s="488"/>
      <c r="F62" s="488"/>
      <c r="G62" s="488"/>
    </row>
    <row r="63" spans="1:8">
      <c r="A63" s="488"/>
      <c r="B63" s="488"/>
      <c r="C63" s="488"/>
      <c r="D63" s="488"/>
      <c r="E63" s="488"/>
      <c r="F63" s="488"/>
      <c r="G63" s="488"/>
    </row>
    <row r="64" spans="1:8">
      <c r="A64" s="488"/>
      <c r="B64" s="488"/>
      <c r="C64" s="488"/>
      <c r="D64" s="488"/>
      <c r="E64" s="488"/>
      <c r="F64" s="488"/>
      <c r="G64" s="488"/>
    </row>
    <row r="65" spans="1:7">
      <c r="A65" s="488"/>
      <c r="B65" s="488"/>
      <c r="C65" s="488"/>
      <c r="D65" s="488"/>
      <c r="E65" s="488"/>
      <c r="F65" s="488"/>
      <c r="G65" s="488"/>
    </row>
    <row r="66" spans="1:7">
      <c r="A66" s="488"/>
      <c r="B66" s="488"/>
      <c r="C66" s="488"/>
      <c r="D66" s="488"/>
      <c r="E66" s="488"/>
      <c r="F66" s="488"/>
      <c r="G66" s="488"/>
    </row>
    <row r="67" spans="1:7">
      <c r="A67" s="488"/>
      <c r="B67" s="488"/>
      <c r="C67" s="488"/>
      <c r="D67" s="488"/>
      <c r="E67" s="488"/>
      <c r="F67" s="488"/>
      <c r="G67" s="488"/>
    </row>
    <row r="68" spans="1:7">
      <c r="A68" s="488"/>
      <c r="B68" s="488"/>
      <c r="C68" s="488"/>
      <c r="D68" s="488"/>
      <c r="E68" s="488"/>
      <c r="F68" s="488"/>
      <c r="G68" s="488"/>
    </row>
    <row r="69" spans="1:7">
      <c r="A69" s="488"/>
      <c r="B69" s="488"/>
      <c r="C69" s="488"/>
      <c r="D69" s="488"/>
      <c r="E69" s="488"/>
      <c r="F69" s="488"/>
      <c r="G69" s="488"/>
    </row>
    <row r="70" spans="1:7">
      <c r="A70" s="488"/>
      <c r="B70" s="488"/>
      <c r="C70" s="488"/>
      <c r="D70" s="488"/>
      <c r="E70" s="488"/>
      <c r="F70" s="488"/>
      <c r="G70" s="488"/>
    </row>
    <row r="71" spans="1:7">
      <c r="A71" s="488"/>
      <c r="B71" s="488"/>
      <c r="C71" s="488"/>
      <c r="D71" s="488"/>
      <c r="E71" s="488"/>
      <c r="F71" s="488"/>
      <c r="G71" s="488"/>
    </row>
    <row r="72" spans="1:7">
      <c r="A72" s="488"/>
      <c r="B72" s="488"/>
      <c r="C72" s="488"/>
      <c r="D72" s="488"/>
      <c r="E72" s="488"/>
      <c r="F72" s="488"/>
      <c r="G72" s="488"/>
    </row>
    <row r="73" spans="1:7">
      <c r="A73" s="488"/>
      <c r="B73" s="488"/>
      <c r="C73" s="488"/>
      <c r="D73" s="488"/>
      <c r="E73" s="488"/>
      <c r="F73" s="488"/>
      <c r="G73" s="488"/>
    </row>
    <row r="74" spans="1:7">
      <c r="A74" s="488"/>
      <c r="B74" s="488"/>
      <c r="C74" s="488"/>
      <c r="D74" s="488"/>
      <c r="E74" s="488"/>
      <c r="F74" s="488"/>
      <c r="G74" s="488"/>
    </row>
    <row r="75" spans="1:7">
      <c r="A75" s="488"/>
      <c r="B75" s="488"/>
      <c r="C75" s="488"/>
      <c r="D75" s="488"/>
      <c r="E75" s="488"/>
      <c r="F75" s="488"/>
      <c r="G75" s="488"/>
    </row>
    <row r="76" spans="1:7">
      <c r="A76" s="488"/>
      <c r="B76" s="488"/>
      <c r="C76" s="488"/>
      <c r="D76" s="488"/>
      <c r="E76" s="488"/>
      <c r="F76" s="488"/>
      <c r="G76" s="488"/>
    </row>
    <row r="77" spans="1:7">
      <c r="A77" s="488"/>
      <c r="B77" s="488"/>
      <c r="C77" s="488"/>
      <c r="D77" s="488"/>
      <c r="E77" s="488"/>
      <c r="F77" s="488"/>
      <c r="G77" s="488"/>
    </row>
    <row r="78" spans="1:7">
      <c r="A78" s="488"/>
      <c r="B78" s="488"/>
      <c r="C78" s="488"/>
      <c r="D78" s="488"/>
      <c r="E78" s="488"/>
      <c r="F78" s="488"/>
      <c r="G78" s="488"/>
    </row>
    <row r="79" spans="1:7">
      <c r="A79" s="488"/>
      <c r="B79" s="488"/>
      <c r="C79" s="488"/>
      <c r="D79" s="488"/>
      <c r="E79" s="488"/>
      <c r="F79" s="488"/>
      <c r="G79" s="488"/>
    </row>
    <row r="80" spans="1:7">
      <c r="A80" s="488"/>
      <c r="B80" s="488"/>
      <c r="C80" s="488"/>
      <c r="D80" s="488"/>
      <c r="E80" s="488"/>
      <c r="F80" s="488"/>
      <c r="G80" s="488"/>
    </row>
    <row r="81" spans="1:7">
      <c r="A81" s="488"/>
      <c r="B81" s="488"/>
      <c r="C81" s="488"/>
      <c r="D81" s="488"/>
      <c r="E81" s="488"/>
      <c r="F81" s="488"/>
      <c r="G81" s="488"/>
    </row>
    <row r="82" spans="1:7">
      <c r="A82" s="488"/>
      <c r="B82" s="488"/>
      <c r="C82" s="488"/>
      <c r="D82" s="488"/>
      <c r="E82" s="488"/>
      <c r="F82" s="488"/>
      <c r="G82" s="488"/>
    </row>
    <row r="83" spans="1:7">
      <c r="A83" s="488"/>
      <c r="B83" s="488"/>
      <c r="C83" s="488"/>
      <c r="D83" s="488"/>
      <c r="E83" s="488"/>
      <c r="F83" s="488"/>
      <c r="G83" s="488"/>
    </row>
    <row r="94" spans="1:7">
      <c r="D94" s="513"/>
    </row>
    <row r="95" spans="1:7">
      <c r="D95" s="513"/>
    </row>
    <row r="96" spans="1:7">
      <c r="D96" s="513"/>
    </row>
    <row r="97" spans="4:4">
      <c r="D97" s="513"/>
    </row>
    <row r="98" spans="4:4">
      <c r="D98" s="513"/>
    </row>
    <row r="99" spans="4:4">
      <c r="D99" s="513"/>
    </row>
    <row r="100" spans="4:4">
      <c r="D100" s="513"/>
    </row>
    <row r="102" spans="4:4">
      <c r="D102" s="513"/>
    </row>
    <row r="104" spans="4:4">
      <c r="D104" s="514"/>
    </row>
    <row r="106" spans="4:4">
      <c r="D106" s="513"/>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53.xml><?xml version="1.0" encoding="utf-8"?>
<worksheet xmlns="http://schemas.openxmlformats.org/spreadsheetml/2006/main" xmlns:r="http://schemas.openxmlformats.org/officeDocument/2006/relationships">
  <sheetPr>
    <pageSetUpPr fitToPage="1"/>
  </sheetPr>
  <dimension ref="A1:L75"/>
  <sheetViews>
    <sheetView zoomScale="75" zoomScaleNormal="75" workbookViewId="0">
      <selection activeCell="D49" sqref="D49"/>
    </sheetView>
  </sheetViews>
  <sheetFormatPr defaultRowHeight="12.75"/>
  <cols>
    <col min="1" max="1" width="1.85546875" customWidth="1"/>
    <col min="3" max="3" width="24.140625" customWidth="1"/>
    <col min="4" max="4" width="35" customWidth="1"/>
    <col min="5" max="5" width="61.8554687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315</v>
      </c>
      <c r="C6" s="7" t="str">
        <f>+E12</f>
        <v>EQIP</v>
      </c>
      <c r="D6" s="53" t="s">
        <v>1288</v>
      </c>
      <c r="E6" s="110" t="s">
        <v>1289</v>
      </c>
      <c r="F6" s="7" t="s">
        <v>394</v>
      </c>
      <c r="G6" s="85">
        <f>+I25</f>
        <v>11.973750000000001</v>
      </c>
    </row>
    <row r="7" spans="1:12">
      <c r="A7" s="2"/>
      <c r="B7" s="54">
        <v>315</v>
      </c>
      <c r="C7" s="7" t="str">
        <f>+C6</f>
        <v>EQIP</v>
      </c>
      <c r="D7" s="53" t="s">
        <v>1288</v>
      </c>
      <c r="E7" s="110" t="str">
        <f>CONCATENATE(E6, "-HU")</f>
        <v>Herbaceous Weed Control - Undesirable Species Control - Mowing-HU</v>
      </c>
      <c r="F7" s="7" t="s">
        <v>394</v>
      </c>
      <c r="G7" s="85">
        <f>+J25</f>
        <v>14.368499999999999</v>
      </c>
    </row>
    <row r="8" spans="1:12">
      <c r="A8" s="2"/>
      <c r="B8" s="54">
        <v>315</v>
      </c>
      <c r="C8" s="7" t="str">
        <f>+G12</f>
        <v>WHIP</v>
      </c>
      <c r="D8" s="53" t="s">
        <v>1288</v>
      </c>
      <c r="E8" s="110" t="s">
        <v>1290</v>
      </c>
      <c r="F8" s="7" t="s">
        <v>394</v>
      </c>
      <c r="G8" s="85">
        <f>+K25</f>
        <v>11.973750000000001</v>
      </c>
    </row>
    <row r="9" spans="1:12">
      <c r="A9" s="2"/>
      <c r="B9" s="54">
        <v>315</v>
      </c>
      <c r="C9" s="10" t="str">
        <f>+C8</f>
        <v>WHIP</v>
      </c>
      <c r="D9" s="53" t="s">
        <v>1288</v>
      </c>
      <c r="E9" s="111" t="str">
        <f>CONCATENATE(E6, "-HU")</f>
        <v>Herbaceous Weed Control - Undesirable Species Control - Mowing-HU</v>
      </c>
      <c r="F9" s="10" t="s">
        <v>394</v>
      </c>
      <c r="G9" s="86">
        <f>+L25</f>
        <v>14.368499999999999</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+I39</f>
        <v>0</v>
      </c>
      <c r="E16" s="160">
        <f>+'[12]Payment Factors'!D43</f>
        <v>0.75</v>
      </c>
      <c r="F16" s="160">
        <f>+'[12]Payment Factors'!E43</f>
        <v>0.9</v>
      </c>
      <c r="G16" s="160">
        <f>+'[12]Payment Factors'!F43</f>
        <v>0.75</v>
      </c>
      <c r="H16" s="160">
        <f>+'[12]Payment Factors'!G43</f>
        <v>0.9</v>
      </c>
      <c r="I16" s="1154">
        <f t="shared" ref="I16:L24" si="0">+$D16*E16</f>
        <v>0</v>
      </c>
      <c r="J16" s="1154">
        <f t="shared" si="0"/>
        <v>0</v>
      </c>
      <c r="K16" s="1154">
        <f t="shared" si="0"/>
        <v>0</v>
      </c>
      <c r="L16" s="1155">
        <f t="shared" si="0"/>
        <v>0</v>
      </c>
    </row>
    <row r="17" spans="1:12">
      <c r="A17" s="2"/>
      <c r="B17" s="15" t="s">
        <v>2</v>
      </c>
      <c r="C17" s="16"/>
      <c r="D17" s="24">
        <f>+I42</f>
        <v>13.174999999999999</v>
      </c>
      <c r="E17" s="160">
        <f t="shared" ref="E17:H19" si="1">+E16</f>
        <v>0.75</v>
      </c>
      <c r="F17" s="160">
        <f t="shared" si="1"/>
        <v>0.9</v>
      </c>
      <c r="G17" s="160">
        <f t="shared" si="1"/>
        <v>0.75</v>
      </c>
      <c r="H17" s="160">
        <f t="shared" si="1"/>
        <v>0.9</v>
      </c>
      <c r="I17" s="1154">
        <f t="shared" si="0"/>
        <v>9.8812499999999996</v>
      </c>
      <c r="J17" s="1154">
        <f t="shared" si="0"/>
        <v>11.8575</v>
      </c>
      <c r="K17" s="1154">
        <f t="shared" si="0"/>
        <v>9.8812499999999996</v>
      </c>
      <c r="L17" s="1155">
        <f t="shared" si="0"/>
        <v>11.8575</v>
      </c>
    </row>
    <row r="18" spans="1:12">
      <c r="A18" s="2"/>
      <c r="B18" s="15" t="s">
        <v>3</v>
      </c>
      <c r="C18" s="16"/>
      <c r="D18" s="24">
        <f>+I50</f>
        <v>2.3249999999999997</v>
      </c>
      <c r="E18" s="160">
        <f t="shared" si="1"/>
        <v>0.75</v>
      </c>
      <c r="F18" s="160">
        <f t="shared" si="1"/>
        <v>0.9</v>
      </c>
      <c r="G18" s="160">
        <f t="shared" si="1"/>
        <v>0.75</v>
      </c>
      <c r="H18" s="160">
        <f t="shared" si="1"/>
        <v>0.9</v>
      </c>
      <c r="I18" s="1154">
        <f t="shared" si="0"/>
        <v>1.7437499999999999</v>
      </c>
      <c r="J18" s="1154">
        <f t="shared" si="0"/>
        <v>2.0924999999999998</v>
      </c>
      <c r="K18" s="1154">
        <f t="shared" si="0"/>
        <v>1.7437499999999999</v>
      </c>
      <c r="L18" s="1155">
        <f t="shared" si="0"/>
        <v>2.0924999999999998</v>
      </c>
    </row>
    <row r="19" spans="1:12">
      <c r="A19" s="2"/>
      <c r="B19" s="15" t="s">
        <v>4</v>
      </c>
      <c r="C19" s="16"/>
      <c r="D19" s="24">
        <f>+I54</f>
        <v>0.46499999999999991</v>
      </c>
      <c r="E19" s="160">
        <f t="shared" si="1"/>
        <v>0.75</v>
      </c>
      <c r="F19" s="160">
        <f t="shared" si="1"/>
        <v>0.9</v>
      </c>
      <c r="G19" s="160">
        <f t="shared" si="1"/>
        <v>0.75</v>
      </c>
      <c r="H19" s="160">
        <f t="shared" si="1"/>
        <v>0.9</v>
      </c>
      <c r="I19" s="1154">
        <f t="shared" si="0"/>
        <v>0.34874999999999995</v>
      </c>
      <c r="J19" s="1154">
        <f t="shared" si="0"/>
        <v>0.41849999999999993</v>
      </c>
      <c r="K19" s="1154">
        <f t="shared" si="0"/>
        <v>0.34874999999999995</v>
      </c>
      <c r="L19" s="1155">
        <f t="shared" si="0"/>
        <v>0.41849999999999993</v>
      </c>
    </row>
    <row r="20" spans="1:12">
      <c r="A20" s="2"/>
      <c r="B20" s="15" t="s">
        <v>26</v>
      </c>
      <c r="C20" s="16"/>
      <c r="D20" s="24">
        <f>+I57</f>
        <v>0</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+I66</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+I69</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15.964999999999998</v>
      </c>
      <c r="E25" s="1158"/>
      <c r="F25" s="1158"/>
      <c r="G25" s="28"/>
      <c r="H25" s="28"/>
      <c r="I25" s="1159">
        <f>SUM(I16:I24)</f>
        <v>11.973750000000001</v>
      </c>
      <c r="J25" s="1159">
        <f>SUM(J16:J24)</f>
        <v>14.368499999999999</v>
      </c>
      <c r="K25" s="1159">
        <f>SUM(K16:K24)</f>
        <v>11.973750000000001</v>
      </c>
      <c r="L25" s="1160">
        <f>SUM(L16:L24)</f>
        <v>14.368499999999999</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1291</v>
      </c>
      <c r="C29" s="34"/>
      <c r="D29" s="34"/>
      <c r="E29" s="35"/>
      <c r="F29" s="35"/>
      <c r="G29" s="35"/>
      <c r="H29" s="35"/>
      <c r="I29" s="36"/>
    </row>
    <row r="30" spans="1:12">
      <c r="A30" s="2"/>
      <c r="B30" s="37" t="s">
        <v>1292</v>
      </c>
      <c r="C30" s="34"/>
      <c r="D30" s="34"/>
      <c r="E30" s="35"/>
      <c r="F30" s="1163"/>
      <c r="G30" s="35"/>
      <c r="H30" s="35"/>
      <c r="I30" s="36"/>
    </row>
    <row r="31" spans="1:12">
      <c r="A31" s="2"/>
      <c r="B31" s="1161" t="s">
        <v>1293</v>
      </c>
      <c r="C31" s="34"/>
      <c r="D31" s="34"/>
      <c r="E31" s="35"/>
      <c r="F31" s="35"/>
      <c r="G31" s="35"/>
      <c r="H31" s="35"/>
      <c r="I31" s="36"/>
    </row>
    <row r="32" spans="1:12">
      <c r="A32" s="2"/>
      <c r="B32" s="33"/>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v>5</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f>SUM(G41:G41)</f>
        <v>0</v>
      </c>
    </row>
    <row r="40" spans="1:9">
      <c r="A40" s="2"/>
      <c r="B40" s="33" t="s">
        <v>104</v>
      </c>
      <c r="C40" s="35"/>
      <c r="D40" s="1167"/>
      <c r="E40" s="1167"/>
      <c r="F40" s="1167"/>
      <c r="G40" s="1167"/>
      <c r="H40" s="35"/>
      <c r="I40" s="46"/>
    </row>
    <row r="41" spans="1:9">
      <c r="A41" s="2"/>
      <c r="B41" s="40"/>
      <c r="C41" s="6"/>
      <c r="D41" s="1168"/>
      <c r="E41" s="1169"/>
      <c r="F41" s="1170"/>
      <c r="G41" s="1171"/>
      <c r="H41" s="35"/>
      <c r="I41" s="47"/>
    </row>
    <row r="42" spans="1:9">
      <c r="A42" s="2"/>
      <c r="B42" s="42" t="s">
        <v>2</v>
      </c>
      <c r="C42" s="35"/>
      <c r="D42" s="35"/>
      <c r="E42" s="2003" t="s">
        <v>459</v>
      </c>
      <c r="F42" s="2003"/>
      <c r="G42" s="2003"/>
      <c r="H42" s="2003"/>
      <c r="I42" s="1166">
        <f>(SUM(G44:G45)*0.85)</f>
        <v>13.174999999999999</v>
      </c>
    </row>
    <row r="43" spans="1:9">
      <c r="A43" s="2"/>
      <c r="B43" s="1174"/>
      <c r="C43" s="35"/>
      <c r="D43" s="1167" t="s">
        <v>447</v>
      </c>
      <c r="E43" s="1167" t="s">
        <v>448</v>
      </c>
      <c r="F43" s="1167" t="s">
        <v>449</v>
      </c>
      <c r="G43" s="1167" t="s">
        <v>450</v>
      </c>
      <c r="H43" s="35"/>
      <c r="I43" s="46"/>
    </row>
    <row r="44" spans="1:9">
      <c r="A44" s="2"/>
      <c r="B44" s="1386" t="str">
        <f>+'[13]Core Rates'!A146:A146</f>
        <v>Herbicide Application (Including Selective Post-emergent Herbicide)</v>
      </c>
      <c r="C44" s="6"/>
      <c r="D44" s="1168" t="s">
        <v>408</v>
      </c>
      <c r="E44" s="1169">
        <f>+'[13]Core Rates'!C146</f>
        <v>25.741666666666667</v>
      </c>
      <c r="F44" s="1170">
        <v>0</v>
      </c>
      <c r="G44" s="1171">
        <f>+F44*E44</f>
        <v>0</v>
      </c>
      <c r="H44" s="35"/>
      <c r="I44" s="47"/>
    </row>
    <row r="45" spans="1:9">
      <c r="A45" s="2"/>
      <c r="B45" s="1374" t="str">
        <f>+'[13]Core Rates'!A216</f>
        <v>Mowing</v>
      </c>
      <c r="C45" s="6"/>
      <c r="D45" s="1168" t="s">
        <v>408</v>
      </c>
      <c r="E45" s="1169">
        <f>+'[13]Core Rates'!C216</f>
        <v>15.5</v>
      </c>
      <c r="F45" s="1170">
        <v>1</v>
      </c>
      <c r="G45" s="1171">
        <f>+F45*E45</f>
        <v>15.5</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1161" t="s">
        <v>457</v>
      </c>
      <c r="C48" s="1178"/>
      <c r="D48" s="1178"/>
      <c r="E48" s="1178"/>
      <c r="F48" s="1178"/>
      <c r="G48" s="1178"/>
      <c r="H48" s="1178"/>
      <c r="I48" s="1179"/>
    </row>
    <row r="49" spans="1:9">
      <c r="A49" s="2"/>
      <c r="B49" s="1177"/>
      <c r="C49" s="1178"/>
      <c r="D49" s="1178"/>
      <c r="E49" s="1178"/>
      <c r="F49" s="1178"/>
      <c r="G49" s="1178"/>
      <c r="H49" s="1178"/>
      <c r="I49" s="1179"/>
    </row>
    <row r="50" spans="1:9">
      <c r="A50" s="2"/>
      <c r="B50" s="42" t="s">
        <v>3</v>
      </c>
      <c r="C50" s="35"/>
      <c r="D50" s="35"/>
      <c r="E50" s="35"/>
      <c r="F50" s="39"/>
      <c r="G50" s="35"/>
      <c r="H50" s="35"/>
      <c r="I50" s="1182">
        <f>E52</f>
        <v>2.3249999999999997</v>
      </c>
    </row>
    <row r="51" spans="1:9">
      <c r="A51" s="2"/>
      <c r="B51" s="2007" t="s">
        <v>465</v>
      </c>
      <c r="C51" s="2008"/>
      <c r="D51" s="35"/>
      <c r="E51" s="35"/>
      <c r="F51" s="35"/>
      <c r="G51" s="35"/>
      <c r="H51" s="35"/>
      <c r="I51" s="48"/>
    </row>
    <row r="52" spans="1:9">
      <c r="A52" s="2"/>
      <c r="B52" s="37" t="s">
        <v>466</v>
      </c>
      <c r="C52" s="39"/>
      <c r="D52" s="39"/>
      <c r="E52" s="153">
        <f>SUM(G44:G45)*0.15</f>
        <v>2.3249999999999997</v>
      </c>
      <c r="F52" s="35"/>
      <c r="G52" s="35"/>
      <c r="H52" s="35"/>
      <c r="I52" s="46"/>
    </row>
    <row r="53" spans="1:9">
      <c r="A53" s="2"/>
      <c r="B53" s="33"/>
      <c r="C53" s="35"/>
      <c r="D53" s="35"/>
      <c r="E53" s="35"/>
      <c r="F53" s="35"/>
      <c r="G53" s="35"/>
      <c r="H53" s="35"/>
      <c r="I53" s="36"/>
    </row>
    <row r="54" spans="1:9">
      <c r="A54" s="2"/>
      <c r="B54" s="42" t="s">
        <v>4</v>
      </c>
      <c r="C54" s="35"/>
      <c r="D54" s="35"/>
      <c r="E54" s="35"/>
      <c r="F54" s="35"/>
      <c r="G54" s="35"/>
      <c r="H54" s="35"/>
      <c r="I54" s="1182">
        <f>0.03*(I39+I42+I50)</f>
        <v>0.46499999999999991</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v>0</v>
      </c>
    </row>
    <row r="58" spans="1:9">
      <c r="A58" s="2"/>
      <c r="B58" s="33" t="s">
        <v>104</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33" t="s">
        <v>104</v>
      </c>
      <c r="C64" s="35"/>
      <c r="D64" s="35"/>
      <c r="E64" s="35"/>
      <c r="F64" s="35"/>
      <c r="G64" s="35"/>
      <c r="H64" s="35"/>
      <c r="I64" s="47"/>
    </row>
    <row r="65" spans="1:9">
      <c r="A65" s="2"/>
      <c r="B65" s="37"/>
      <c r="C65" s="35"/>
      <c r="D65" s="35"/>
      <c r="E65" s="35"/>
      <c r="F65" s="35"/>
      <c r="G65" s="35"/>
      <c r="H65" s="35"/>
      <c r="I65" s="36"/>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+I39+I42+I50+I54+I60+I69</f>
        <v>15.964999999999998</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SUM(I26:I69)</f>
        <v>15.964999999999998</v>
      </c>
    </row>
  </sheetData>
  <mergeCells count="3">
    <mergeCell ref="B1:D1"/>
    <mergeCell ref="E42:H42"/>
    <mergeCell ref="B51:C51"/>
  </mergeCells>
  <pageMargins left="0.75" right="0.75" top="1" bottom="1" header="0.5" footer="0.5"/>
  <pageSetup scale="46" orientation="portrait"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L75"/>
  <sheetViews>
    <sheetView topLeftCell="A4" zoomScale="75" zoomScaleNormal="75" workbookViewId="0">
      <selection activeCell="D49" sqref="D49"/>
    </sheetView>
  </sheetViews>
  <sheetFormatPr defaultRowHeight="12.75"/>
  <cols>
    <col min="1" max="1" width="1.85546875" customWidth="1"/>
    <col min="3" max="3" width="24.140625" customWidth="1"/>
    <col min="4" max="4" width="35" customWidth="1"/>
    <col min="5" max="5" width="69"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315</v>
      </c>
      <c r="C6" s="7" t="str">
        <f>+E12</f>
        <v>EQIP</v>
      </c>
      <c r="D6" s="53" t="s">
        <v>1288</v>
      </c>
      <c r="E6" s="110" t="s">
        <v>1294</v>
      </c>
      <c r="F6" s="7" t="s">
        <v>394</v>
      </c>
      <c r="G6" s="85">
        <f>+I25</f>
        <v>40.17</v>
      </c>
    </row>
    <row r="7" spans="1:12" ht="25.5">
      <c r="A7" s="2"/>
      <c r="B7" s="54">
        <f>+B6</f>
        <v>315</v>
      </c>
      <c r="C7" s="7" t="str">
        <f>+C6</f>
        <v>EQIP</v>
      </c>
      <c r="D7" s="53" t="s">
        <v>1288</v>
      </c>
      <c r="E7" s="110" t="str">
        <f>CONCATENATE(E6, "-HU")</f>
        <v xml:space="preserve"> Herbaceous Weed Control - Undesirable Species Control - Mowing + Herbicide-HU</v>
      </c>
      <c r="F7" s="7" t="s">
        <v>394</v>
      </c>
      <c r="G7" s="85">
        <f>+J25</f>
        <v>48.203999999999994</v>
      </c>
    </row>
    <row r="8" spans="1:12">
      <c r="A8" s="2"/>
      <c r="B8" s="54">
        <f t="shared" ref="B8:B9" si="0">+B7</f>
        <v>315</v>
      </c>
      <c r="C8" s="7" t="str">
        <f>+G12</f>
        <v>WHIP</v>
      </c>
      <c r="D8" s="53" t="s">
        <v>1288</v>
      </c>
      <c r="E8" s="110" t="s">
        <v>1294</v>
      </c>
      <c r="F8" s="7" t="s">
        <v>394</v>
      </c>
      <c r="G8" s="85">
        <f>+K25</f>
        <v>40.17</v>
      </c>
    </row>
    <row r="9" spans="1:12" ht="25.5">
      <c r="A9" s="2"/>
      <c r="B9" s="54">
        <f t="shared" si="0"/>
        <v>315</v>
      </c>
      <c r="C9" s="10" t="str">
        <f>+C8</f>
        <v>WHIP</v>
      </c>
      <c r="D9" s="53" t="s">
        <v>1288</v>
      </c>
      <c r="E9" s="111" t="str">
        <f>CONCATENATE(E6, "-HU")</f>
        <v xml:space="preserve"> Herbaceous Weed Control - Undesirable Species Control - Mowing + Herbicide-HU</v>
      </c>
      <c r="F9" s="10" t="s">
        <v>394</v>
      </c>
      <c r="G9" s="86">
        <f>+L25</f>
        <v>48.203999999999994</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+I39</f>
        <v>0</v>
      </c>
      <c r="E16" s="160">
        <f>+'[12]Payment Factors'!D43</f>
        <v>0.75</v>
      </c>
      <c r="F16" s="160">
        <f>+'[12]Payment Factors'!E43</f>
        <v>0.9</v>
      </c>
      <c r="G16" s="160">
        <f>+'[12]Payment Factors'!F43</f>
        <v>0.75</v>
      </c>
      <c r="H16" s="160">
        <f>+'[12]Payment Factors'!G43</f>
        <v>0.9</v>
      </c>
      <c r="I16" s="1154">
        <f t="shared" ref="I16:L24" si="1">+$D16*E16</f>
        <v>0</v>
      </c>
      <c r="J16" s="1154">
        <f t="shared" si="1"/>
        <v>0</v>
      </c>
      <c r="K16" s="1154">
        <f t="shared" si="1"/>
        <v>0</v>
      </c>
      <c r="L16" s="1155">
        <f t="shared" si="1"/>
        <v>0</v>
      </c>
    </row>
    <row r="17" spans="1:12">
      <c r="A17" s="2"/>
      <c r="B17" s="15" t="s">
        <v>2</v>
      </c>
      <c r="C17" s="16"/>
      <c r="D17" s="24">
        <f>+I42</f>
        <v>44.199999999999996</v>
      </c>
      <c r="E17" s="160">
        <f t="shared" ref="E17:H19" si="2">+E16</f>
        <v>0.75</v>
      </c>
      <c r="F17" s="160">
        <f t="shared" si="2"/>
        <v>0.9</v>
      </c>
      <c r="G17" s="160">
        <f t="shared" si="2"/>
        <v>0.75</v>
      </c>
      <c r="H17" s="160">
        <f t="shared" si="2"/>
        <v>0.9</v>
      </c>
      <c r="I17" s="1154">
        <f t="shared" si="1"/>
        <v>33.15</v>
      </c>
      <c r="J17" s="1154">
        <f t="shared" si="1"/>
        <v>39.779999999999994</v>
      </c>
      <c r="K17" s="1154">
        <f t="shared" si="1"/>
        <v>33.15</v>
      </c>
      <c r="L17" s="1155">
        <f t="shared" si="1"/>
        <v>39.779999999999994</v>
      </c>
    </row>
    <row r="18" spans="1:12">
      <c r="A18" s="2"/>
      <c r="B18" s="15" t="s">
        <v>3</v>
      </c>
      <c r="C18" s="16"/>
      <c r="D18" s="24">
        <f>+I50</f>
        <v>7.8</v>
      </c>
      <c r="E18" s="160">
        <f t="shared" si="2"/>
        <v>0.75</v>
      </c>
      <c r="F18" s="160">
        <f t="shared" si="2"/>
        <v>0.9</v>
      </c>
      <c r="G18" s="160">
        <f t="shared" si="2"/>
        <v>0.75</v>
      </c>
      <c r="H18" s="160">
        <f t="shared" si="2"/>
        <v>0.9</v>
      </c>
      <c r="I18" s="1154">
        <f t="shared" si="1"/>
        <v>5.85</v>
      </c>
      <c r="J18" s="1154">
        <f t="shared" si="1"/>
        <v>7.02</v>
      </c>
      <c r="K18" s="1154">
        <f t="shared" si="1"/>
        <v>5.85</v>
      </c>
      <c r="L18" s="1155">
        <f t="shared" si="1"/>
        <v>7.02</v>
      </c>
    </row>
    <row r="19" spans="1:12">
      <c r="A19" s="2"/>
      <c r="B19" s="15" t="s">
        <v>4</v>
      </c>
      <c r="C19" s="16"/>
      <c r="D19" s="24">
        <f>+I54</f>
        <v>1.5599999999999998</v>
      </c>
      <c r="E19" s="160">
        <f t="shared" si="2"/>
        <v>0.75</v>
      </c>
      <c r="F19" s="160">
        <f t="shared" si="2"/>
        <v>0.9</v>
      </c>
      <c r="G19" s="160">
        <f t="shared" si="2"/>
        <v>0.75</v>
      </c>
      <c r="H19" s="160">
        <f t="shared" si="2"/>
        <v>0.9</v>
      </c>
      <c r="I19" s="1154">
        <f t="shared" si="1"/>
        <v>1.17</v>
      </c>
      <c r="J19" s="1154">
        <f t="shared" si="1"/>
        <v>1.4039999999999999</v>
      </c>
      <c r="K19" s="1154">
        <f t="shared" si="1"/>
        <v>1.17</v>
      </c>
      <c r="L19" s="1155">
        <f t="shared" si="1"/>
        <v>1.4039999999999999</v>
      </c>
    </row>
    <row r="20" spans="1:12">
      <c r="A20" s="2"/>
      <c r="B20" s="15" t="s">
        <v>26</v>
      </c>
      <c r="C20" s="16"/>
      <c r="D20" s="24">
        <f>+I57</f>
        <v>0</v>
      </c>
      <c r="E20" s="160">
        <v>0</v>
      </c>
      <c r="F20" s="160">
        <v>0</v>
      </c>
      <c r="G20" s="160">
        <v>0</v>
      </c>
      <c r="H20" s="160">
        <v>0</v>
      </c>
      <c r="I20" s="1154">
        <f t="shared" si="1"/>
        <v>0</v>
      </c>
      <c r="J20" s="1154">
        <f t="shared" si="1"/>
        <v>0</v>
      </c>
      <c r="K20" s="1154">
        <f t="shared" si="1"/>
        <v>0</v>
      </c>
      <c r="L20" s="1155">
        <f t="shared" si="1"/>
        <v>0</v>
      </c>
    </row>
    <row r="21" spans="1:12">
      <c r="A21" s="2"/>
      <c r="B21" s="15" t="s">
        <v>7</v>
      </c>
      <c r="C21" s="16"/>
      <c r="D21" s="24">
        <f>+I60</f>
        <v>0</v>
      </c>
      <c r="E21" s="160">
        <v>0</v>
      </c>
      <c r="F21" s="160">
        <v>0</v>
      </c>
      <c r="G21" s="160">
        <v>0</v>
      </c>
      <c r="H21" s="160">
        <v>0</v>
      </c>
      <c r="I21" s="1154">
        <f t="shared" si="1"/>
        <v>0</v>
      </c>
      <c r="J21" s="1154">
        <f t="shared" si="1"/>
        <v>0</v>
      </c>
      <c r="K21" s="1154">
        <f t="shared" si="1"/>
        <v>0</v>
      </c>
      <c r="L21" s="1155">
        <f t="shared" si="1"/>
        <v>0</v>
      </c>
    </row>
    <row r="22" spans="1:12">
      <c r="A22" s="2"/>
      <c r="B22" s="15" t="s">
        <v>27</v>
      </c>
      <c r="C22" s="16"/>
      <c r="D22" s="24">
        <f>+I63</f>
        <v>0</v>
      </c>
      <c r="E22" s="160">
        <v>0</v>
      </c>
      <c r="F22" s="160">
        <v>0</v>
      </c>
      <c r="G22" s="160">
        <v>0</v>
      </c>
      <c r="H22" s="160">
        <v>0</v>
      </c>
      <c r="I22" s="1154">
        <f t="shared" si="1"/>
        <v>0</v>
      </c>
      <c r="J22" s="1154">
        <f t="shared" si="1"/>
        <v>0</v>
      </c>
      <c r="K22" s="1154">
        <f t="shared" si="1"/>
        <v>0</v>
      </c>
      <c r="L22" s="1155">
        <f t="shared" si="1"/>
        <v>0</v>
      </c>
    </row>
    <row r="23" spans="1:12">
      <c r="A23" s="2"/>
      <c r="B23" s="15" t="s">
        <v>5</v>
      </c>
      <c r="C23" s="16"/>
      <c r="D23" s="24">
        <f>+I66</f>
        <v>0</v>
      </c>
      <c r="E23" s="160">
        <v>0</v>
      </c>
      <c r="F23" s="160">
        <v>0</v>
      </c>
      <c r="G23" s="160">
        <v>0</v>
      </c>
      <c r="H23" s="160">
        <v>0</v>
      </c>
      <c r="I23" s="1154">
        <f t="shared" si="1"/>
        <v>0</v>
      </c>
      <c r="J23" s="1154">
        <f t="shared" si="1"/>
        <v>0</v>
      </c>
      <c r="K23" s="1154">
        <f t="shared" si="1"/>
        <v>0</v>
      </c>
      <c r="L23" s="1155">
        <f t="shared" si="1"/>
        <v>0</v>
      </c>
    </row>
    <row r="24" spans="1:12">
      <c r="A24" s="2"/>
      <c r="B24" s="15" t="s">
        <v>20</v>
      </c>
      <c r="C24" s="16"/>
      <c r="D24" s="75">
        <f>+I69</f>
        <v>0</v>
      </c>
      <c r="E24" s="160">
        <v>0</v>
      </c>
      <c r="F24" s="160">
        <v>0</v>
      </c>
      <c r="G24" s="160">
        <v>0</v>
      </c>
      <c r="H24" s="160">
        <v>0</v>
      </c>
      <c r="I24" s="1156">
        <f t="shared" si="1"/>
        <v>0</v>
      </c>
      <c r="J24" s="1156">
        <f t="shared" si="1"/>
        <v>0</v>
      </c>
      <c r="K24" s="1156">
        <f t="shared" si="1"/>
        <v>0</v>
      </c>
      <c r="L24" s="1157">
        <f t="shared" si="1"/>
        <v>0</v>
      </c>
    </row>
    <row r="25" spans="1:12">
      <c r="A25" s="2"/>
      <c r="B25" s="26" t="s">
        <v>19</v>
      </c>
      <c r="C25" s="27"/>
      <c r="D25" s="51">
        <f>SUM(D16:D24)</f>
        <v>53.559999999999995</v>
      </c>
      <c r="E25" s="1158"/>
      <c r="F25" s="1158"/>
      <c r="G25" s="28"/>
      <c r="H25" s="28"/>
      <c r="I25" s="1159">
        <f>SUM(I16:I24)</f>
        <v>40.17</v>
      </c>
      <c r="J25" s="1159">
        <f>SUM(J16:J24)</f>
        <v>48.203999999999994</v>
      </c>
      <c r="K25" s="1159">
        <f>SUM(K16:K24)</f>
        <v>40.17</v>
      </c>
      <c r="L25" s="1160">
        <f>SUM(L16:L24)</f>
        <v>48.203999999999994</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1295</v>
      </c>
      <c r="C29" s="34"/>
      <c r="D29" s="34"/>
      <c r="E29" s="35"/>
      <c r="F29" s="35"/>
      <c r="G29" s="35"/>
      <c r="H29" s="35"/>
      <c r="I29" s="36"/>
    </row>
    <row r="30" spans="1:12">
      <c r="A30" s="2"/>
      <c r="B30" s="37" t="s">
        <v>1296</v>
      </c>
      <c r="C30" s="34"/>
      <c r="D30" s="34"/>
      <c r="E30" s="35"/>
      <c r="F30" s="1163"/>
      <c r="G30" s="35"/>
      <c r="H30" s="35"/>
      <c r="I30" s="36"/>
    </row>
    <row r="31" spans="1:12">
      <c r="A31" s="2"/>
      <c r="B31" s="1161" t="s">
        <v>1293</v>
      </c>
      <c r="C31" s="34"/>
      <c r="D31" s="34"/>
      <c r="E31" s="35"/>
      <c r="F31" s="35"/>
      <c r="G31" s="35"/>
      <c r="H31" s="35"/>
      <c r="I31" s="36"/>
    </row>
    <row r="32" spans="1:12">
      <c r="A32" s="2"/>
      <c r="B32" s="33"/>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v>5</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f>SUM(G41:G41)</f>
        <v>0</v>
      </c>
    </row>
    <row r="40" spans="1:9">
      <c r="A40" s="2"/>
      <c r="B40" s="33" t="s">
        <v>104</v>
      </c>
      <c r="C40" s="35"/>
      <c r="D40" s="1167"/>
      <c r="E40" s="1167"/>
      <c r="F40" s="1167"/>
      <c r="G40" s="1167"/>
      <c r="H40" s="35"/>
      <c r="I40" s="46"/>
    </row>
    <row r="41" spans="1:9">
      <c r="A41" s="2"/>
      <c r="B41" s="40"/>
      <c r="C41" s="6"/>
      <c r="D41" s="1168"/>
      <c r="E41" s="1169"/>
      <c r="F41" s="1170"/>
      <c r="G41" s="1171"/>
      <c r="H41" s="35"/>
      <c r="I41" s="47"/>
    </row>
    <row r="42" spans="1:9">
      <c r="A42" s="2"/>
      <c r="B42" s="42" t="s">
        <v>2</v>
      </c>
      <c r="C42" s="35"/>
      <c r="D42" s="35"/>
      <c r="E42" s="2003" t="s">
        <v>459</v>
      </c>
      <c r="F42" s="2003"/>
      <c r="G42" s="2003"/>
      <c r="H42" s="2003"/>
      <c r="I42" s="1166">
        <f>(SUM(G44:G45)*0.85)</f>
        <v>44.199999999999996</v>
      </c>
    </row>
    <row r="43" spans="1:9">
      <c r="A43" s="2"/>
      <c r="B43" s="1174"/>
      <c r="C43" s="35"/>
      <c r="D43" s="1167" t="s">
        <v>447</v>
      </c>
      <c r="E43" s="1167" t="s">
        <v>448</v>
      </c>
      <c r="F43" s="1167" t="s">
        <v>449</v>
      </c>
      <c r="G43" s="1167" t="s">
        <v>450</v>
      </c>
      <c r="H43" s="35"/>
      <c r="I43" s="46"/>
    </row>
    <row r="44" spans="1:9">
      <c r="A44" s="2"/>
      <c r="B44" s="1386" t="str">
        <f>+'[13]Core Rates'!A146:A146</f>
        <v>Herbicide Application (Including Selective Post-emergent Herbicide)</v>
      </c>
      <c r="C44" s="6"/>
      <c r="D44" s="1168" t="s">
        <v>408</v>
      </c>
      <c r="E44" s="1169">
        <f>+'[13]Core Rates 2011'!BE146</f>
        <v>36.5</v>
      </c>
      <c r="F44" s="1170">
        <v>1</v>
      </c>
      <c r="G44" s="1171">
        <f>+F44*E44</f>
        <v>36.5</v>
      </c>
      <c r="H44" s="35"/>
      <c r="I44" s="47"/>
    </row>
    <row r="45" spans="1:9">
      <c r="A45" s="2"/>
      <c r="B45" s="1374" t="str">
        <f>+'[13]Core Rates'!A216</f>
        <v>Mowing</v>
      </c>
      <c r="C45" s="6"/>
      <c r="D45" s="1168" t="s">
        <v>408</v>
      </c>
      <c r="E45" s="1169">
        <f>+'[13]Core Rates'!C216</f>
        <v>15.5</v>
      </c>
      <c r="F45" s="1170">
        <v>1</v>
      </c>
      <c r="G45" s="1171">
        <f>+F45*E45</f>
        <v>15.5</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1161" t="s">
        <v>457</v>
      </c>
      <c r="C48" s="1178"/>
      <c r="D48" s="1178"/>
      <c r="E48" s="1178"/>
      <c r="F48" s="1178"/>
      <c r="G48" s="1178"/>
      <c r="H48" s="1178"/>
      <c r="I48" s="1179"/>
    </row>
    <row r="49" spans="1:9">
      <c r="A49" s="2"/>
      <c r="B49" s="1177"/>
      <c r="C49" s="1178"/>
      <c r="D49" s="1178"/>
      <c r="E49" s="1178"/>
      <c r="F49" s="1178"/>
      <c r="G49" s="1178"/>
      <c r="H49" s="1178"/>
      <c r="I49" s="1179"/>
    </row>
    <row r="50" spans="1:9">
      <c r="A50" s="2"/>
      <c r="B50" s="42" t="s">
        <v>3</v>
      </c>
      <c r="C50" s="35"/>
      <c r="D50" s="35"/>
      <c r="E50" s="35"/>
      <c r="F50" s="39"/>
      <c r="G50" s="35"/>
      <c r="H50" s="35"/>
      <c r="I50" s="1182">
        <f>E52</f>
        <v>7.8</v>
      </c>
    </row>
    <row r="51" spans="1:9">
      <c r="A51" s="2"/>
      <c r="B51" s="2007" t="s">
        <v>465</v>
      </c>
      <c r="C51" s="2008"/>
      <c r="D51" s="35"/>
      <c r="E51" s="35"/>
      <c r="F51" s="35"/>
      <c r="G51" s="35"/>
      <c r="H51" s="35"/>
      <c r="I51" s="48"/>
    </row>
    <row r="52" spans="1:9">
      <c r="A52" s="2"/>
      <c r="B52" s="37" t="s">
        <v>466</v>
      </c>
      <c r="C52" s="39"/>
      <c r="D52" s="39"/>
      <c r="E52" s="153">
        <f>SUM(G44:G45)*0.15</f>
        <v>7.8</v>
      </c>
      <c r="F52" s="35"/>
      <c r="G52" s="35"/>
      <c r="H52" s="35"/>
      <c r="I52" s="46"/>
    </row>
    <row r="53" spans="1:9">
      <c r="A53" s="2"/>
      <c r="B53" s="37"/>
      <c r="C53" s="39"/>
      <c r="D53" s="1180"/>
      <c r="E53" s="153"/>
      <c r="F53" s="35"/>
      <c r="G53" s="35"/>
      <c r="H53" s="35"/>
      <c r="I53" s="46"/>
    </row>
    <row r="54" spans="1:9">
      <c r="A54" s="2"/>
      <c r="B54" s="42" t="s">
        <v>4</v>
      </c>
      <c r="C54" s="35"/>
      <c r="D54" s="35"/>
      <c r="E54" s="35"/>
      <c r="F54" s="35"/>
      <c r="G54" s="35"/>
      <c r="H54" s="35"/>
      <c r="I54" s="1182">
        <f>0.03*(I39+I42+I50)</f>
        <v>1.5599999999999998</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v>0</v>
      </c>
    </row>
    <row r="58" spans="1:9">
      <c r="A58" s="2"/>
      <c r="B58" s="33" t="s">
        <v>104</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33" t="s">
        <v>104</v>
      </c>
      <c r="C64" s="35"/>
      <c r="D64" s="35"/>
      <c r="E64" s="35"/>
      <c r="F64" s="35"/>
      <c r="G64" s="35"/>
      <c r="H64" s="35"/>
      <c r="I64" s="47"/>
    </row>
    <row r="65" spans="1:9">
      <c r="A65" s="2"/>
      <c r="B65" s="756"/>
      <c r="C65" s="35"/>
      <c r="D65" s="35"/>
      <c r="E65" s="35"/>
      <c r="F65" s="35"/>
      <c r="G65" s="35"/>
      <c r="H65" s="35"/>
      <c r="I65" s="47"/>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+I39+I42+I50+I54+I60+I69</f>
        <v>53.559999999999995</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SUM(I38:I69)</f>
        <v>53.559999999999995</v>
      </c>
    </row>
  </sheetData>
  <mergeCells count="3">
    <mergeCell ref="B1:D1"/>
    <mergeCell ref="E42:H42"/>
    <mergeCell ref="B51:C51"/>
  </mergeCells>
  <pageMargins left="0.75" right="0.75" top="1" bottom="1" header="0.5" footer="0.5"/>
  <pageSetup scale="44" orientation="portrait" r:id="rId1"/>
  <headerFooter alignWithMargins="0"/>
</worksheet>
</file>

<file path=xl/worksheets/sheet55.xml><?xml version="1.0" encoding="utf-8"?>
<worksheet xmlns="http://schemas.openxmlformats.org/spreadsheetml/2006/main" xmlns:r="http://schemas.openxmlformats.org/officeDocument/2006/relationships">
  <sheetPr>
    <pageSetUpPr fitToPage="1"/>
  </sheetPr>
  <dimension ref="A1:L75"/>
  <sheetViews>
    <sheetView topLeftCell="A13" zoomScale="75" zoomScaleNormal="75" workbookViewId="0">
      <selection activeCell="D49" sqref="D49"/>
    </sheetView>
  </sheetViews>
  <sheetFormatPr defaultRowHeight="12.75"/>
  <cols>
    <col min="1" max="1" width="1.85546875" customWidth="1"/>
    <col min="3" max="3" width="24.140625" customWidth="1"/>
    <col min="4" max="4" width="35" customWidth="1"/>
    <col min="5" max="5" width="72.140625"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315</v>
      </c>
      <c r="C6" s="7" t="str">
        <f>+E12</f>
        <v>EQIP</v>
      </c>
      <c r="D6" s="53" t="s">
        <v>1288</v>
      </c>
      <c r="E6" s="110" t="s">
        <v>1297</v>
      </c>
      <c r="F6" s="7" t="s">
        <v>394</v>
      </c>
      <c r="G6" s="85">
        <f>+I25</f>
        <v>68.366249999999994</v>
      </c>
    </row>
    <row r="7" spans="1:12" ht="25.5">
      <c r="A7" s="2"/>
      <c r="B7" s="54">
        <f>+B6</f>
        <v>315</v>
      </c>
      <c r="C7" s="7" t="str">
        <f>+C6</f>
        <v>EQIP</v>
      </c>
      <c r="D7" s="53" t="s">
        <v>1288</v>
      </c>
      <c r="E7" s="110" t="str">
        <f>CONCATENATE(E6, "-HU")</f>
        <v>Herbaceous Weed Control - Undesirable Species Control - Mowing + 2X Herbicide-HU</v>
      </c>
      <c r="F7" s="7" t="s">
        <v>394</v>
      </c>
      <c r="G7" s="85">
        <f>+J25</f>
        <v>82.039500000000004</v>
      </c>
    </row>
    <row r="8" spans="1:12">
      <c r="A8" s="2"/>
      <c r="B8" s="54">
        <v>315</v>
      </c>
      <c r="C8" s="7" t="str">
        <f>+G12</f>
        <v>WHIP</v>
      </c>
      <c r="D8" s="53" t="s">
        <v>1288</v>
      </c>
      <c r="E8" s="110" t="s">
        <v>1297</v>
      </c>
      <c r="F8" s="7" t="s">
        <v>394</v>
      </c>
      <c r="G8" s="85">
        <f>+K25</f>
        <v>68.366249999999994</v>
      </c>
    </row>
    <row r="9" spans="1:12" ht="25.5">
      <c r="A9" s="2"/>
      <c r="B9" s="8">
        <f>+B8</f>
        <v>315</v>
      </c>
      <c r="C9" s="10" t="str">
        <f>+C8</f>
        <v>WHIP</v>
      </c>
      <c r="D9" s="53" t="s">
        <v>1288</v>
      </c>
      <c r="E9" s="111" t="str">
        <f>CONCATENATE(E6, "-HU")</f>
        <v>Herbaceous Weed Control - Undesirable Species Control - Mowing + 2X Herbicide-HU</v>
      </c>
      <c r="F9" s="10" t="s">
        <v>394</v>
      </c>
      <c r="G9" s="86">
        <f>+L25</f>
        <v>82.039500000000004</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+I39</f>
        <v>0</v>
      </c>
      <c r="E16" s="160">
        <f>+'[12]Payment Factors'!D43</f>
        <v>0.75</v>
      </c>
      <c r="F16" s="160">
        <f>+'[12]Payment Factors'!E43</f>
        <v>0.9</v>
      </c>
      <c r="G16" s="160">
        <f>+'[12]Payment Factors'!F43</f>
        <v>0.75</v>
      </c>
      <c r="H16" s="160">
        <f>+'[12]Payment Factors'!G43</f>
        <v>0.9</v>
      </c>
      <c r="I16" s="1154">
        <f t="shared" ref="I16:L24" si="0">+$D16*E16</f>
        <v>0</v>
      </c>
      <c r="J16" s="1154">
        <f t="shared" si="0"/>
        <v>0</v>
      </c>
      <c r="K16" s="1154">
        <f t="shared" si="0"/>
        <v>0</v>
      </c>
      <c r="L16" s="1155">
        <f t="shared" si="0"/>
        <v>0</v>
      </c>
    </row>
    <row r="17" spans="1:12">
      <c r="A17" s="2"/>
      <c r="B17" s="15" t="s">
        <v>2</v>
      </c>
      <c r="C17" s="16"/>
      <c r="D17" s="24">
        <f>+I42</f>
        <v>75.224999999999994</v>
      </c>
      <c r="E17" s="160">
        <f t="shared" ref="E17:H19" si="1">+E16</f>
        <v>0.75</v>
      </c>
      <c r="F17" s="160">
        <f t="shared" si="1"/>
        <v>0.9</v>
      </c>
      <c r="G17" s="160">
        <f t="shared" si="1"/>
        <v>0.75</v>
      </c>
      <c r="H17" s="160">
        <f t="shared" si="1"/>
        <v>0.9</v>
      </c>
      <c r="I17" s="1154">
        <f t="shared" si="0"/>
        <v>56.418749999999996</v>
      </c>
      <c r="J17" s="1154">
        <f t="shared" si="0"/>
        <v>67.702500000000001</v>
      </c>
      <c r="K17" s="1154">
        <f t="shared" si="0"/>
        <v>56.418749999999996</v>
      </c>
      <c r="L17" s="1155">
        <f t="shared" si="0"/>
        <v>67.702500000000001</v>
      </c>
    </row>
    <row r="18" spans="1:12">
      <c r="A18" s="2"/>
      <c r="B18" s="15" t="s">
        <v>3</v>
      </c>
      <c r="C18" s="16"/>
      <c r="D18" s="24">
        <f>+I50</f>
        <v>13.275</v>
      </c>
      <c r="E18" s="160">
        <f t="shared" si="1"/>
        <v>0.75</v>
      </c>
      <c r="F18" s="160">
        <f t="shared" si="1"/>
        <v>0.9</v>
      </c>
      <c r="G18" s="160">
        <f t="shared" si="1"/>
        <v>0.75</v>
      </c>
      <c r="H18" s="160">
        <f t="shared" si="1"/>
        <v>0.9</v>
      </c>
      <c r="I18" s="1154">
        <f t="shared" si="0"/>
        <v>9.9562500000000007</v>
      </c>
      <c r="J18" s="1154">
        <f t="shared" si="0"/>
        <v>11.9475</v>
      </c>
      <c r="K18" s="1154">
        <f t="shared" si="0"/>
        <v>9.9562500000000007</v>
      </c>
      <c r="L18" s="1155">
        <f t="shared" si="0"/>
        <v>11.9475</v>
      </c>
    </row>
    <row r="19" spans="1:12">
      <c r="A19" s="2"/>
      <c r="B19" s="15" t="s">
        <v>4</v>
      </c>
      <c r="C19" s="16"/>
      <c r="D19" s="24">
        <f>+I54</f>
        <v>2.6549999999999998</v>
      </c>
      <c r="E19" s="160">
        <f t="shared" si="1"/>
        <v>0.75</v>
      </c>
      <c r="F19" s="160">
        <f t="shared" si="1"/>
        <v>0.9</v>
      </c>
      <c r="G19" s="160">
        <f t="shared" si="1"/>
        <v>0.75</v>
      </c>
      <c r="H19" s="160">
        <f t="shared" si="1"/>
        <v>0.9</v>
      </c>
      <c r="I19" s="1154">
        <f t="shared" si="0"/>
        <v>1.99125</v>
      </c>
      <c r="J19" s="1154">
        <f t="shared" si="0"/>
        <v>2.3895</v>
      </c>
      <c r="K19" s="1154">
        <f t="shared" si="0"/>
        <v>1.99125</v>
      </c>
      <c r="L19" s="1155">
        <f t="shared" si="0"/>
        <v>2.3895</v>
      </c>
    </row>
    <row r="20" spans="1:12">
      <c r="A20" s="2"/>
      <c r="B20" s="15" t="s">
        <v>26</v>
      </c>
      <c r="C20" s="16"/>
      <c r="D20" s="24">
        <f>+I57</f>
        <v>0</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+I60</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+I63</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+I66</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+I69</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91.155000000000001</v>
      </c>
      <c r="E25" s="1158"/>
      <c r="F25" s="1158"/>
      <c r="G25" s="28"/>
      <c r="H25" s="28"/>
      <c r="I25" s="1159">
        <f>SUM(I16:I24)</f>
        <v>68.366249999999994</v>
      </c>
      <c r="J25" s="1159">
        <f>SUM(J16:J24)</f>
        <v>82.039500000000004</v>
      </c>
      <c r="K25" s="1159">
        <f>SUM(K16:K24)</f>
        <v>68.366249999999994</v>
      </c>
      <c r="L25" s="1160">
        <f>SUM(L16:L24)</f>
        <v>82.039500000000004</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s="1373" customFormat="1">
      <c r="A29" s="82"/>
      <c r="B29" s="1161" t="s">
        <v>1298</v>
      </c>
      <c r="C29" s="34"/>
      <c r="D29" s="34"/>
      <c r="E29" s="35"/>
      <c r="F29" s="35"/>
      <c r="G29" s="35"/>
      <c r="H29" s="35"/>
      <c r="I29" s="36"/>
    </row>
    <row r="30" spans="1:12" s="1373" customFormat="1">
      <c r="A30" s="82"/>
      <c r="B30" s="37" t="s">
        <v>1296</v>
      </c>
      <c r="C30" s="34"/>
      <c r="D30" s="34"/>
      <c r="E30" s="35"/>
      <c r="F30" s="1163"/>
      <c r="G30" s="35"/>
      <c r="H30" s="35"/>
      <c r="I30" s="36"/>
    </row>
    <row r="31" spans="1:12" s="1373" customFormat="1">
      <c r="A31" s="82"/>
      <c r="B31" s="1161" t="s">
        <v>1293</v>
      </c>
      <c r="C31" s="34"/>
      <c r="D31" s="34"/>
      <c r="E31" s="35"/>
      <c r="F31" s="35"/>
      <c r="G31" s="35"/>
      <c r="H31" s="35"/>
      <c r="I31" s="36"/>
    </row>
    <row r="32" spans="1:12">
      <c r="A32" s="2"/>
      <c r="B32" s="33"/>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v>5</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f>SUM(G41:G41)</f>
        <v>0</v>
      </c>
    </row>
    <row r="40" spans="1:9">
      <c r="A40" s="2"/>
      <c r="B40" s="33" t="s">
        <v>104</v>
      </c>
      <c r="C40" s="35"/>
      <c r="D40" s="1167"/>
      <c r="E40" s="1167"/>
      <c r="F40" s="1167"/>
      <c r="G40" s="1167"/>
      <c r="H40" s="35"/>
      <c r="I40" s="46"/>
    </row>
    <row r="41" spans="1:9">
      <c r="A41" s="2"/>
      <c r="B41" s="40"/>
      <c r="C41" s="6"/>
      <c r="D41" s="1168"/>
      <c r="E41" s="1169"/>
      <c r="F41" s="1170"/>
      <c r="G41" s="1171"/>
      <c r="H41" s="35"/>
      <c r="I41" s="47"/>
    </row>
    <row r="42" spans="1:9">
      <c r="A42" s="2"/>
      <c r="B42" s="42" t="s">
        <v>2</v>
      </c>
      <c r="C42" s="35"/>
      <c r="D42" s="35"/>
      <c r="E42" s="2003" t="s">
        <v>459</v>
      </c>
      <c r="F42" s="2003"/>
      <c r="G42" s="2003"/>
      <c r="H42" s="2003"/>
      <c r="I42" s="1166">
        <f>(SUM(G44:G45)*0.85)</f>
        <v>75.224999999999994</v>
      </c>
    </row>
    <row r="43" spans="1:9">
      <c r="A43" s="2"/>
      <c r="B43" s="1174"/>
      <c r="C43" s="35"/>
      <c r="D43" s="1167" t="s">
        <v>447</v>
      </c>
      <c r="E43" s="1167" t="s">
        <v>448</v>
      </c>
      <c r="F43" s="1167" t="s">
        <v>449</v>
      </c>
      <c r="G43" s="1167" t="s">
        <v>450</v>
      </c>
      <c r="H43" s="35"/>
      <c r="I43" s="46"/>
    </row>
    <row r="44" spans="1:9">
      <c r="A44" s="2"/>
      <c r="B44" s="1386" t="str">
        <f>+'[13]Core Rates'!A146:A146</f>
        <v>Herbicide Application (Including Selective Post-emergent Herbicide)</v>
      </c>
      <c r="C44" s="6"/>
      <c r="D44" s="1168" t="s">
        <v>408</v>
      </c>
      <c r="E44" s="1169">
        <f>+'[13]Core Rates 2011'!BE146</f>
        <v>36.5</v>
      </c>
      <c r="F44" s="1170">
        <v>2</v>
      </c>
      <c r="G44" s="1171">
        <f>+F44*E44</f>
        <v>73</v>
      </c>
      <c r="H44" s="35"/>
      <c r="I44" s="47"/>
    </row>
    <row r="45" spans="1:9">
      <c r="A45" s="2"/>
      <c r="B45" s="1374" t="str">
        <f>+'[13]Core Rates'!A216</f>
        <v>Mowing</v>
      </c>
      <c r="C45" s="6"/>
      <c r="D45" s="1168" t="s">
        <v>408</v>
      </c>
      <c r="E45" s="1169">
        <f>+'[13]Core Rates'!C216</f>
        <v>15.5</v>
      </c>
      <c r="F45" s="1170">
        <v>1</v>
      </c>
      <c r="G45" s="1171">
        <f>+F45*E45</f>
        <v>15.5</v>
      </c>
      <c r="H45" s="35"/>
      <c r="I45" s="47"/>
    </row>
    <row r="46" spans="1:9">
      <c r="A46" s="2"/>
      <c r="B46" s="40"/>
      <c r="C46" s="6"/>
      <c r="D46" s="63"/>
      <c r="E46" s="150"/>
      <c r="F46" s="150"/>
      <c r="G46" s="1169"/>
      <c r="H46" s="35"/>
      <c r="I46" s="47"/>
    </row>
    <row r="47" spans="1:9">
      <c r="A47" s="2"/>
      <c r="B47" s="37" t="s">
        <v>43</v>
      </c>
      <c r="C47" s="35"/>
      <c r="D47" s="35"/>
      <c r="E47" s="60"/>
      <c r="F47" s="60"/>
      <c r="G47" s="60"/>
      <c r="H47" s="35"/>
      <c r="I47" s="46"/>
    </row>
    <row r="48" spans="1:9">
      <c r="A48" s="2"/>
      <c r="B48" s="1161" t="s">
        <v>457</v>
      </c>
      <c r="C48" s="1178"/>
      <c r="D48" s="1178"/>
      <c r="E48" s="1178"/>
      <c r="F48" s="1178"/>
      <c r="G48" s="1178"/>
      <c r="H48" s="1178"/>
      <c r="I48" s="1179"/>
    </row>
    <row r="49" spans="1:9">
      <c r="A49" s="2"/>
      <c r="B49" s="1177"/>
      <c r="C49" s="1178"/>
      <c r="D49" s="1178"/>
      <c r="E49" s="1178"/>
      <c r="F49" s="1178"/>
      <c r="G49" s="1178"/>
      <c r="H49" s="1178"/>
      <c r="I49" s="1179"/>
    </row>
    <row r="50" spans="1:9">
      <c r="A50" s="2"/>
      <c r="B50" s="42" t="s">
        <v>3</v>
      </c>
      <c r="C50" s="35"/>
      <c r="D50" s="35"/>
      <c r="E50" s="35"/>
      <c r="F50" s="39"/>
      <c r="G50" s="35"/>
      <c r="H50" s="35"/>
      <c r="I50" s="1182">
        <f>E52</f>
        <v>13.275</v>
      </c>
    </row>
    <row r="51" spans="1:9">
      <c r="A51" s="2"/>
      <c r="B51" s="2007" t="s">
        <v>465</v>
      </c>
      <c r="C51" s="2008"/>
      <c r="D51" s="35"/>
      <c r="E51" s="35"/>
      <c r="F51" s="35"/>
      <c r="G51" s="35"/>
      <c r="H51" s="35"/>
      <c r="I51" s="48"/>
    </row>
    <row r="52" spans="1:9">
      <c r="A52" s="2"/>
      <c r="B52" s="37" t="s">
        <v>466</v>
      </c>
      <c r="C52" s="39"/>
      <c r="D52" s="39"/>
      <c r="E52" s="153">
        <f>SUM(G44:G45)*0.15</f>
        <v>13.275</v>
      </c>
      <c r="F52" s="35"/>
      <c r="G52" s="35"/>
      <c r="H52" s="35"/>
      <c r="I52" s="46"/>
    </row>
    <row r="53" spans="1:9">
      <c r="A53" s="2"/>
      <c r="B53" s="37"/>
      <c r="C53" s="39"/>
      <c r="D53" s="1180"/>
      <c r="E53" s="153"/>
      <c r="F53" s="35"/>
      <c r="G53" s="35"/>
      <c r="H53" s="35"/>
      <c r="I53" s="46"/>
    </row>
    <row r="54" spans="1:9">
      <c r="A54" s="2"/>
      <c r="B54" s="42" t="s">
        <v>4</v>
      </c>
      <c r="C54" s="35"/>
      <c r="D54" s="35"/>
      <c r="E54" s="35"/>
      <c r="F54" s="35"/>
      <c r="G54" s="35"/>
      <c r="H54" s="35"/>
      <c r="I54" s="1182">
        <f>0.03*(I39+I42+I50)</f>
        <v>2.6549999999999998</v>
      </c>
    </row>
    <row r="55" spans="1:9">
      <c r="A55" s="2"/>
      <c r="B55" s="33" t="s">
        <v>467</v>
      </c>
      <c r="C55" s="35"/>
      <c r="D55" s="35"/>
      <c r="E55" s="35"/>
      <c r="F55" s="35"/>
      <c r="G55" s="35"/>
      <c r="H55" s="35"/>
      <c r="I55" s="36"/>
    </row>
    <row r="56" spans="1:9">
      <c r="A56" s="2"/>
      <c r="B56" s="37"/>
      <c r="C56" s="35"/>
      <c r="D56" s="35"/>
      <c r="E56" s="35"/>
      <c r="F56" s="35"/>
      <c r="G56" s="35"/>
      <c r="H56" s="35"/>
      <c r="I56" s="36"/>
    </row>
    <row r="57" spans="1:9">
      <c r="A57" s="2"/>
      <c r="B57" s="42" t="s">
        <v>468</v>
      </c>
      <c r="C57" s="35"/>
      <c r="D57" s="35"/>
      <c r="E57" s="35"/>
      <c r="F57" s="35"/>
      <c r="G57" s="35"/>
      <c r="H57" s="35"/>
      <c r="I57" s="1182">
        <v>0</v>
      </c>
    </row>
    <row r="58" spans="1:9">
      <c r="A58" s="2"/>
      <c r="B58" s="33" t="s">
        <v>104</v>
      </c>
      <c r="C58" s="35"/>
      <c r="D58" s="35"/>
      <c r="E58" s="35"/>
      <c r="F58" s="35"/>
      <c r="G58" s="35"/>
      <c r="H58" s="35"/>
      <c r="I58" s="36"/>
    </row>
    <row r="59" spans="1:9">
      <c r="A59" s="2"/>
      <c r="B59" s="37"/>
      <c r="C59" s="35"/>
      <c r="D59" s="35"/>
      <c r="E59" s="35"/>
      <c r="F59" s="35"/>
      <c r="G59" s="35"/>
      <c r="H59" s="35"/>
      <c r="I59" s="36"/>
    </row>
    <row r="60" spans="1:9">
      <c r="A60" s="2"/>
      <c r="B60" s="42" t="s">
        <v>7</v>
      </c>
      <c r="C60" s="35"/>
      <c r="D60" s="35"/>
      <c r="E60" s="35"/>
      <c r="F60" s="35"/>
      <c r="G60" s="35"/>
      <c r="H60" s="35"/>
      <c r="I60" s="1166">
        <v>0</v>
      </c>
    </row>
    <row r="61" spans="1:9">
      <c r="A61" s="2"/>
      <c r="B61" s="33" t="s">
        <v>104</v>
      </c>
      <c r="C61" s="35"/>
      <c r="D61" s="35"/>
      <c r="E61" s="35"/>
      <c r="F61" s="35"/>
      <c r="G61" s="35"/>
      <c r="H61" s="35"/>
      <c r="I61" s="36"/>
    </row>
    <row r="62" spans="1:9">
      <c r="A62" s="2"/>
      <c r="B62" s="37"/>
      <c r="C62" s="35"/>
      <c r="D62" s="35"/>
      <c r="E62" s="35"/>
      <c r="F62" s="35"/>
      <c r="G62" s="35"/>
      <c r="H62" s="35"/>
      <c r="I62" s="36"/>
    </row>
    <row r="63" spans="1:9">
      <c r="A63" s="2"/>
      <c r="B63" s="42" t="s">
        <v>471</v>
      </c>
      <c r="C63" s="35"/>
      <c r="D63" s="35"/>
      <c r="E63" s="35"/>
      <c r="F63" s="39"/>
      <c r="G63" s="35"/>
      <c r="H63" s="35"/>
      <c r="I63" s="1166">
        <v>0</v>
      </c>
    </row>
    <row r="64" spans="1:9">
      <c r="A64" s="2"/>
      <c r="B64" s="33" t="s">
        <v>104</v>
      </c>
      <c r="C64" s="35"/>
      <c r="D64" s="35"/>
      <c r="E64" s="35"/>
      <c r="F64" s="35"/>
      <c r="G64" s="35"/>
      <c r="H64" s="35"/>
      <c r="I64" s="47"/>
    </row>
    <row r="65" spans="1:9">
      <c r="A65" s="2"/>
      <c r="B65" s="37"/>
      <c r="C65" s="35"/>
      <c r="D65" s="35"/>
      <c r="E65" s="35"/>
      <c r="F65" s="35"/>
      <c r="G65" s="35"/>
      <c r="H65" s="35"/>
      <c r="I65" s="36"/>
    </row>
    <row r="66" spans="1:9">
      <c r="A66" s="2"/>
      <c r="B66" s="42" t="s">
        <v>5</v>
      </c>
      <c r="C66" s="35"/>
      <c r="D66" s="35"/>
      <c r="E66" s="35"/>
      <c r="F66" s="35"/>
      <c r="G66" s="35"/>
      <c r="H66" s="35"/>
      <c r="I66" s="1166">
        <v>0</v>
      </c>
    </row>
    <row r="67" spans="1:9">
      <c r="A67" s="2"/>
      <c r="B67" s="33" t="s">
        <v>104</v>
      </c>
      <c r="C67" s="35"/>
      <c r="D67" s="35"/>
      <c r="E67" s="35"/>
      <c r="F67" s="35"/>
      <c r="G67" s="35"/>
      <c r="H67" s="35"/>
      <c r="I67" s="47"/>
    </row>
    <row r="68" spans="1:9">
      <c r="A68" s="2"/>
      <c r="B68" s="37"/>
      <c r="C68" s="35"/>
      <c r="D68" s="35"/>
      <c r="E68" s="35"/>
      <c r="F68" s="35"/>
      <c r="G68" s="35"/>
      <c r="H68" s="35"/>
      <c r="I68" s="36"/>
    </row>
    <row r="69" spans="1:9">
      <c r="A69" s="2"/>
      <c r="B69" s="42" t="s">
        <v>20</v>
      </c>
      <c r="C69" s="35"/>
      <c r="D69" s="35"/>
      <c r="E69" s="35"/>
      <c r="F69" s="35"/>
      <c r="G69" s="35"/>
      <c r="H69" s="35"/>
      <c r="I69" s="1166">
        <v>0</v>
      </c>
    </row>
    <row r="70" spans="1:9">
      <c r="A70" s="2"/>
      <c r="B70" s="33" t="s">
        <v>104</v>
      </c>
      <c r="C70" s="35"/>
      <c r="D70" s="35"/>
      <c r="E70" s="35"/>
      <c r="F70" s="35"/>
      <c r="G70" s="35"/>
      <c r="H70" s="35"/>
      <c r="I70" s="36"/>
    </row>
    <row r="71" spans="1:9">
      <c r="A71" s="2"/>
      <c r="B71" s="40"/>
      <c r="C71" s="35"/>
      <c r="D71" s="35"/>
      <c r="E71" s="35"/>
      <c r="F71" s="35"/>
      <c r="G71" s="35"/>
      <c r="H71" s="35"/>
      <c r="I71" s="36"/>
    </row>
    <row r="72" spans="1:9">
      <c r="A72" s="2"/>
      <c r="B72" s="42" t="s">
        <v>473</v>
      </c>
      <c r="C72" s="35"/>
      <c r="D72" s="35"/>
      <c r="E72" s="35"/>
      <c r="F72" s="35"/>
      <c r="G72" s="35"/>
      <c r="H72" s="35"/>
      <c r="I72" s="1183">
        <f>+I39+I42+I50+I54+I60+I69</f>
        <v>91.155000000000001</v>
      </c>
    </row>
    <row r="73" spans="1:9" ht="15.75">
      <c r="A73" s="2"/>
      <c r="B73" s="33" t="s">
        <v>474</v>
      </c>
      <c r="C73" s="35"/>
      <c r="D73" s="35"/>
      <c r="E73" s="35"/>
      <c r="F73" s="35"/>
      <c r="G73" s="35"/>
      <c r="H73" s="35"/>
      <c r="I73" s="36"/>
    </row>
    <row r="74" spans="1:9">
      <c r="A74" s="2"/>
      <c r="B74" s="40"/>
      <c r="C74" s="35"/>
      <c r="D74" s="35"/>
      <c r="E74" s="35"/>
      <c r="F74" s="35"/>
      <c r="G74" s="35"/>
      <c r="H74" s="35"/>
      <c r="I74" s="36"/>
    </row>
    <row r="75" spans="1:9">
      <c r="A75" s="2"/>
      <c r="B75" s="43" t="s">
        <v>11</v>
      </c>
      <c r="C75" s="44"/>
      <c r="D75" s="44"/>
      <c r="E75" s="44"/>
      <c r="F75" s="44"/>
      <c r="G75" s="44"/>
      <c r="H75" s="44"/>
      <c r="I75" s="621">
        <f>SUM(I38:I69)</f>
        <v>91.155000000000001</v>
      </c>
    </row>
  </sheetData>
  <mergeCells count="3">
    <mergeCell ref="B1:D1"/>
    <mergeCell ref="E42:H42"/>
    <mergeCell ref="B51:C51"/>
  </mergeCells>
  <pageMargins left="0.75" right="0.75" top="1" bottom="1" header="0.5" footer="0.5"/>
  <pageSetup scale="43" orientation="portrait" r:id="rId1"/>
  <headerFooter alignWithMargins="0"/>
</worksheet>
</file>

<file path=xl/worksheets/sheet56.xml><?xml version="1.0" encoding="utf-8"?>
<worksheet xmlns="http://schemas.openxmlformats.org/spreadsheetml/2006/main" xmlns:r="http://schemas.openxmlformats.org/officeDocument/2006/relationships">
  <sheetPr>
    <pageSetUpPr fitToPage="1"/>
  </sheetPr>
  <dimension ref="A1:L98"/>
  <sheetViews>
    <sheetView zoomScale="75" zoomScaleNormal="75" workbookViewId="0">
      <selection activeCell="B54" sqref="B54:I55"/>
    </sheetView>
  </sheetViews>
  <sheetFormatPr defaultRowHeight="12.75"/>
  <cols>
    <col min="1" max="1" width="1.85546875" customWidth="1"/>
    <col min="2" max="2" width="9.28515625" bestFit="1" customWidth="1"/>
    <col min="3" max="3" width="24.140625" customWidth="1"/>
    <col min="4" max="4" width="23.140625" customWidth="1"/>
    <col min="5" max="5" width="54" customWidth="1"/>
    <col min="6" max="6" width="10.42578125" customWidth="1"/>
    <col min="7" max="8" width="9.28515625" bestFit="1" customWidth="1"/>
    <col min="9" max="9" width="11" bestFit="1" customWidth="1"/>
    <col min="10" max="10" width="10.28515625" bestFit="1" customWidth="1"/>
    <col min="11" max="12" width="9.28515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c r="A6" s="2"/>
      <c r="B6" s="54">
        <v>317</v>
      </c>
      <c r="C6" s="7" t="str">
        <f>+E12</f>
        <v>EQIP</v>
      </c>
      <c r="D6" s="53" t="s">
        <v>1299</v>
      </c>
      <c r="E6" s="110" t="s">
        <v>1300</v>
      </c>
      <c r="F6" s="7" t="str">
        <f>D36</f>
        <v>Each</v>
      </c>
      <c r="G6" s="85">
        <f>+I25</f>
        <v>3766.3411306076259</v>
      </c>
    </row>
    <row r="7" spans="1:12" ht="25.5">
      <c r="A7" s="2"/>
      <c r="B7" s="54">
        <f>+B6</f>
        <v>317</v>
      </c>
      <c r="C7" s="7" t="str">
        <f>+C6</f>
        <v>EQIP</v>
      </c>
      <c r="D7" s="53" t="s">
        <v>1299</v>
      </c>
      <c r="E7" s="110" t="str">
        <f>CONCATENATE(E6, "-HU")</f>
        <v>Mortality Composter/ 2 Broiler Hs/ up to 250 Sow/Farrow/wood-HU</v>
      </c>
      <c r="F7" s="7" t="str">
        <f>+F6</f>
        <v>Each</v>
      </c>
      <c r="G7" s="85">
        <f>+J25</f>
        <v>4519.6093567291518</v>
      </c>
    </row>
    <row r="8" spans="1:12">
      <c r="A8" s="2"/>
      <c r="B8" s="54">
        <v>317</v>
      </c>
      <c r="C8" s="7" t="str">
        <f>+G12</f>
        <v>WHIP</v>
      </c>
      <c r="D8" s="53" t="s">
        <v>1299</v>
      </c>
      <c r="E8" s="110" t="s">
        <v>1300</v>
      </c>
      <c r="F8" s="7" t="str">
        <f>D36</f>
        <v>Each</v>
      </c>
      <c r="G8" s="85">
        <f>+K25</f>
        <v>0</v>
      </c>
    </row>
    <row r="9" spans="1:12" ht="25.5">
      <c r="A9" s="2"/>
      <c r="B9" s="8">
        <f>+B8</f>
        <v>317</v>
      </c>
      <c r="C9" s="10" t="str">
        <f>+C8</f>
        <v>WHIP</v>
      </c>
      <c r="D9" s="9" t="s">
        <v>1299</v>
      </c>
      <c r="E9" s="111" t="str">
        <f>CONCATENATE(E6, "-HU")</f>
        <v>Mortality Composter/ 2 Broiler Hs/ up to 250 Sow/Farrow/wood-HU</v>
      </c>
      <c r="F9" s="10" t="str">
        <f>+F8</f>
        <v>Each</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52.778165835115225</v>
      </c>
      <c r="E16" s="160">
        <f>+'[12]Payment Factors'!D45</f>
        <v>0.75</v>
      </c>
      <c r="F16" s="160">
        <f>+'[12]Payment Factors'!E45</f>
        <v>0.9</v>
      </c>
      <c r="G16" s="160">
        <f>+'[12]Payment Factors'!F19</f>
        <v>0</v>
      </c>
      <c r="H16" s="160">
        <f>+'[12]Payment Factors'!G19</f>
        <v>0</v>
      </c>
      <c r="I16" s="1154">
        <f t="shared" ref="I16:L24" si="0">+$D16*E16</f>
        <v>39.583624376336417</v>
      </c>
      <c r="J16" s="1154">
        <f t="shared" si="0"/>
        <v>47.500349251603701</v>
      </c>
      <c r="K16" s="1154">
        <f t="shared" si="0"/>
        <v>0</v>
      </c>
      <c r="L16" s="1155">
        <f t="shared" si="0"/>
        <v>0</v>
      </c>
    </row>
    <row r="17" spans="1:12">
      <c r="A17" s="2"/>
      <c r="B17" s="15" t="s">
        <v>2</v>
      </c>
      <c r="C17" s="16"/>
      <c r="D17" s="24">
        <f>+I52</f>
        <v>4099.3326833333331</v>
      </c>
      <c r="E17" s="160">
        <f t="shared" ref="E17:H19" si="1">+E16</f>
        <v>0.75</v>
      </c>
      <c r="F17" s="160">
        <f t="shared" si="1"/>
        <v>0.9</v>
      </c>
      <c r="G17" s="160">
        <f t="shared" si="1"/>
        <v>0</v>
      </c>
      <c r="H17" s="160">
        <f t="shared" si="1"/>
        <v>0</v>
      </c>
      <c r="I17" s="1154">
        <f t="shared" si="0"/>
        <v>3074.4995124999996</v>
      </c>
      <c r="J17" s="1154">
        <f t="shared" si="0"/>
        <v>3689.3994149999999</v>
      </c>
      <c r="K17" s="1154">
        <f t="shared" si="0"/>
        <v>0</v>
      </c>
      <c r="L17" s="1155">
        <f t="shared" si="0"/>
        <v>0</v>
      </c>
    </row>
    <row r="18" spans="1:12">
      <c r="A18" s="2"/>
      <c r="B18" s="15" t="s">
        <v>3</v>
      </c>
      <c r="C18" s="16"/>
      <c r="D18" s="24">
        <f>+I70</f>
        <v>723.4116499999999</v>
      </c>
      <c r="E18" s="160">
        <f t="shared" si="1"/>
        <v>0.75</v>
      </c>
      <c r="F18" s="160">
        <f t="shared" si="1"/>
        <v>0.9</v>
      </c>
      <c r="G18" s="160">
        <f t="shared" si="1"/>
        <v>0</v>
      </c>
      <c r="H18" s="160">
        <f t="shared" si="1"/>
        <v>0</v>
      </c>
      <c r="I18" s="1154">
        <f t="shared" si="0"/>
        <v>542.55873749999989</v>
      </c>
      <c r="J18" s="1154">
        <f t="shared" si="0"/>
        <v>651.07048499999996</v>
      </c>
      <c r="K18" s="1154">
        <f t="shared" si="0"/>
        <v>0</v>
      </c>
      <c r="L18" s="1155">
        <f t="shared" si="0"/>
        <v>0</v>
      </c>
    </row>
    <row r="19" spans="1:12">
      <c r="A19" s="2"/>
      <c r="B19" s="15" t="s">
        <v>4</v>
      </c>
      <c r="C19" s="16"/>
      <c r="D19" s="24">
        <f>+I76</f>
        <v>146.26567497505343</v>
      </c>
      <c r="E19" s="160">
        <f t="shared" si="1"/>
        <v>0.75</v>
      </c>
      <c r="F19" s="160">
        <f t="shared" si="1"/>
        <v>0.9</v>
      </c>
      <c r="G19" s="160">
        <f t="shared" si="1"/>
        <v>0</v>
      </c>
      <c r="H19" s="160">
        <f t="shared" si="1"/>
        <v>0</v>
      </c>
      <c r="I19" s="1154">
        <f t="shared" si="0"/>
        <v>109.69925623129006</v>
      </c>
      <c r="J19" s="1154">
        <f t="shared" si="0"/>
        <v>131.63910747754809</v>
      </c>
      <c r="K19" s="1154">
        <f t="shared" si="0"/>
        <v>0</v>
      </c>
      <c r="L19" s="1155">
        <f t="shared" si="0"/>
        <v>0</v>
      </c>
    </row>
    <row r="20" spans="1:12">
      <c r="A20" s="2"/>
      <c r="B20" s="15" t="s">
        <v>26</v>
      </c>
      <c r="C20" s="16"/>
      <c r="D20" s="24">
        <f>+I79</f>
        <v>48.755224991684486</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5070.5433991351856</v>
      </c>
      <c r="E25" s="1158"/>
      <c r="F25" s="1158"/>
      <c r="G25" s="28"/>
      <c r="H25" s="28"/>
      <c r="I25" s="1159">
        <f>SUM(I16:I24)</f>
        <v>3766.3411306076259</v>
      </c>
      <c r="J25" s="1159">
        <f>SUM(J16:J24)</f>
        <v>4519.6093567291518</v>
      </c>
      <c r="K25" s="1159">
        <f>SUM(K16:K24)</f>
        <v>0</v>
      </c>
      <c r="L25" s="1160">
        <f>SUM(L16:L24)</f>
        <v>0</v>
      </c>
    </row>
    <row r="27" spans="1:12" ht="15.75">
      <c r="A27" s="2"/>
      <c r="B27" s="50" t="s">
        <v>28</v>
      </c>
      <c r="C27" s="2"/>
      <c r="D27" s="2"/>
      <c r="E27" s="2"/>
      <c r="F27" s="2"/>
      <c r="G27" s="2"/>
      <c r="H27" s="2"/>
      <c r="I27" s="5"/>
    </row>
    <row r="28" spans="1:12">
      <c r="A28" s="2"/>
      <c r="B28" s="29" t="s">
        <v>1301</v>
      </c>
      <c r="C28" s="30"/>
      <c r="D28" s="30"/>
      <c r="E28" s="31"/>
      <c r="F28" s="31"/>
      <c r="G28" s="31"/>
      <c r="H28" s="31"/>
      <c r="I28" s="32"/>
    </row>
    <row r="29" spans="1:12">
      <c r="A29" s="2"/>
      <c r="B29" s="1161" t="s">
        <v>1302</v>
      </c>
      <c r="C29" s="34"/>
      <c r="D29" s="34"/>
      <c r="E29" s="35"/>
      <c r="F29" s="35"/>
      <c r="G29" s="35"/>
      <c r="H29" s="35"/>
      <c r="I29" s="36"/>
    </row>
    <row r="30" spans="1:12">
      <c r="A30" s="2"/>
      <c r="B30" s="1161" t="s">
        <v>1303</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+'[12]Payment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+'[14]Core Rates'!C203</f>
        <v>8.75</v>
      </c>
      <c r="F43" s="1170">
        <v>0.4</v>
      </c>
      <c r="G43" s="1171">
        <f t="shared" si="2"/>
        <v>3.5</v>
      </c>
      <c r="H43" s="35"/>
      <c r="I43" s="36"/>
    </row>
    <row r="44" spans="1:9">
      <c r="A44" s="2"/>
      <c r="B44" s="1184" t="s">
        <v>453</v>
      </c>
      <c r="C44" s="6"/>
      <c r="D44" s="1185" t="s">
        <v>454</v>
      </c>
      <c r="E44" s="1169">
        <f>+'[14]Core Rates'!C228</f>
        <v>0.82427536231884069</v>
      </c>
      <c r="F44" s="1170">
        <v>10</v>
      </c>
      <c r="G44" s="1171">
        <f t="shared" si="2"/>
        <v>8.2427536231884062</v>
      </c>
      <c r="H44" s="35"/>
      <c r="I44" s="36"/>
    </row>
    <row r="45" spans="1:9">
      <c r="A45" s="2"/>
      <c r="B45" s="1186" t="s">
        <v>455</v>
      </c>
      <c r="C45" s="1187"/>
      <c r="D45" s="1185" t="s">
        <v>454</v>
      </c>
      <c r="E45" s="1169">
        <f>+'[14]Core Rates'!C235</f>
        <v>1.1702898550724636</v>
      </c>
      <c r="F45" s="1170">
        <v>10</v>
      </c>
      <c r="G45" s="1171">
        <f t="shared" si="2"/>
        <v>11.702898550724637</v>
      </c>
      <c r="H45" s="35"/>
      <c r="I45" s="36"/>
    </row>
    <row r="46" spans="1:9">
      <c r="A46" s="2"/>
      <c r="B46" s="1186" t="s">
        <v>456</v>
      </c>
      <c r="C46" s="1187"/>
      <c r="D46" s="1168" t="s">
        <v>454</v>
      </c>
      <c r="E46" s="1169">
        <f>+'[14]Core Rates'!C246</f>
        <v>0.58825136612021856</v>
      </c>
      <c r="F46" s="1170">
        <v>10</v>
      </c>
      <c r="G46" s="1171">
        <f t="shared" si="2"/>
        <v>5.8825136612021858</v>
      </c>
      <c r="H46" s="35"/>
      <c r="I46" s="36"/>
    </row>
    <row r="47" spans="1:9">
      <c r="A47" s="2"/>
      <c r="B47" s="1186" t="str">
        <f>+'[14]Core Rates'!A313</f>
        <v>Seed (Tall Fescue KY-31)</v>
      </c>
      <c r="C47" s="1187"/>
      <c r="D47" s="1185" t="s">
        <v>454</v>
      </c>
      <c r="E47" s="1169">
        <f>+'[14]Core Rates'!C313</f>
        <v>2.3449999999999998</v>
      </c>
      <c r="F47" s="1170">
        <v>10</v>
      </c>
      <c r="G47" s="1171">
        <f t="shared" si="2"/>
        <v>23.449999999999996</v>
      </c>
      <c r="H47" s="35"/>
      <c r="I47" s="36"/>
    </row>
    <row r="48" spans="1:9">
      <c r="A48" s="2"/>
      <c r="B48" s="1186" t="s">
        <v>480</v>
      </c>
      <c r="C48" s="1187"/>
      <c r="D48" s="1185" t="s">
        <v>454</v>
      </c>
      <c r="E48" s="1169">
        <f>+'[14]Core Rates'!C311</f>
        <v>2.0975000000000001</v>
      </c>
      <c r="F48" s="1170">
        <v>0</v>
      </c>
      <c r="G48" s="1171">
        <f t="shared" si="2"/>
        <v>0</v>
      </c>
      <c r="H48" s="35"/>
      <c r="I48" s="36"/>
    </row>
    <row r="49" spans="1:9">
      <c r="A49" s="2"/>
      <c r="B49" s="1186" t="s">
        <v>481</v>
      </c>
      <c r="C49" s="1187"/>
      <c r="D49" s="1185" t="s">
        <v>454</v>
      </c>
      <c r="E49" s="1169">
        <f>+'[14]Core Rates'!C312</f>
        <v>3.5</v>
      </c>
      <c r="F49" s="1170">
        <v>0</v>
      </c>
      <c r="G49" s="1171">
        <f t="shared" si="2"/>
        <v>0</v>
      </c>
      <c r="H49" s="35"/>
      <c r="I49" s="36"/>
    </row>
    <row r="50" spans="1:9">
      <c r="A50" s="2"/>
      <c r="B50" s="1184"/>
      <c r="C50" s="6"/>
      <c r="D50" s="1173"/>
      <c r="E50" s="1190"/>
      <c r="F50" s="35"/>
      <c r="G50" s="35"/>
      <c r="H50" s="35"/>
      <c r="I50" s="36"/>
    </row>
    <row r="51" spans="1:9">
      <c r="A51" s="2"/>
      <c r="B51" s="1172"/>
      <c r="C51" s="6"/>
      <c r="D51" s="1173"/>
      <c r="E51" s="35"/>
      <c r="F51" s="35"/>
      <c r="G51" s="35"/>
      <c r="H51" s="35"/>
      <c r="I51" s="36"/>
    </row>
    <row r="52" spans="1:9">
      <c r="A52" s="2"/>
      <c r="B52" s="42" t="s">
        <v>2</v>
      </c>
      <c r="C52" s="35"/>
      <c r="D52" s="35"/>
      <c r="E52" s="2003" t="s">
        <v>459</v>
      </c>
      <c r="F52" s="2003"/>
      <c r="G52" s="2003"/>
      <c r="H52" s="2003"/>
      <c r="I52" s="1166">
        <f>(SUM(G54:G63)*0.85)</f>
        <v>4099.3326833333331</v>
      </c>
    </row>
    <row r="53" spans="1:9">
      <c r="A53" s="2"/>
      <c r="B53" s="1174"/>
      <c r="C53" s="35"/>
      <c r="D53" s="1167" t="s">
        <v>447</v>
      </c>
      <c r="E53" s="1167" t="s">
        <v>448</v>
      </c>
      <c r="F53" s="1167" t="s">
        <v>449</v>
      </c>
      <c r="G53" s="1167" t="s">
        <v>450</v>
      </c>
      <c r="H53" s="35"/>
      <c r="I53" s="46"/>
    </row>
    <row r="54" spans="1:9">
      <c r="A54" s="2"/>
      <c r="B54" s="1387" t="str">
        <f>+'[14]Core Rates'!A111</f>
        <v>Earthmoving: Medium grading/shaping (2-6 hrs/ac)</v>
      </c>
      <c r="C54" s="6"/>
      <c r="D54" s="1168" t="s">
        <v>408</v>
      </c>
      <c r="E54" s="1169">
        <f>+'[14]Core Rates'!C111</f>
        <v>503.625</v>
      </c>
      <c r="F54" s="1170">
        <v>0.2</v>
      </c>
      <c r="G54" s="1171">
        <f t="shared" ref="G54:G62" si="3">+F54*E54</f>
        <v>100.72500000000001</v>
      </c>
      <c r="H54" s="35"/>
      <c r="I54" s="47"/>
    </row>
    <row r="55" spans="1:9">
      <c r="A55" s="2"/>
      <c r="B55" s="1186" t="str">
        <f>+'[14]Core Rates'!A241</f>
        <v>Pole Barn Type Structure (w/o floor or walls) *</v>
      </c>
      <c r="C55" s="1376"/>
      <c r="D55" s="1382" t="str">
        <f>+'[14]Core Rates'!B241</f>
        <v>Sq Ft</v>
      </c>
      <c r="E55" s="1383">
        <f>+'[14]Core Rates'!C241</f>
        <v>5.8983750000000006</v>
      </c>
      <c r="F55" s="1170">
        <v>272</v>
      </c>
      <c r="G55" s="1171">
        <f t="shared" si="3"/>
        <v>1604.3580000000002</v>
      </c>
      <c r="H55" s="35"/>
      <c r="I55" s="47"/>
    </row>
    <row r="56" spans="1:9">
      <c r="A56" s="2"/>
      <c r="B56" s="1186" t="str">
        <f>+'[14]Core Rates'!A351</f>
        <v>Wood Wall (4 1/2' ht w/ 2" PT timbers): Installed</v>
      </c>
      <c r="C56" s="6"/>
      <c r="D56" s="1382" t="str">
        <f>+'[14]Core Rates'!B351</f>
        <v>Lin Ft</v>
      </c>
      <c r="E56" s="1383">
        <f>+'[14]Core Rates'!C351</f>
        <v>26.964000000000002</v>
      </c>
      <c r="F56" s="1170">
        <v>73</v>
      </c>
      <c r="G56" s="1171">
        <f t="shared" si="3"/>
        <v>1968.3720000000001</v>
      </c>
      <c r="H56" s="35"/>
      <c r="I56" s="47"/>
    </row>
    <row r="57" spans="1:9">
      <c r="A57" s="2"/>
      <c r="B57" s="1186" t="str">
        <f>+'[14]Core Rates'!A39</f>
        <v>Concrete (Slab in Place, includes wire mesh or fiber)</v>
      </c>
      <c r="C57" s="6"/>
      <c r="D57" s="1382" t="str">
        <f>+'[14]Core Rates'!B39</f>
        <v>Cu Yd</v>
      </c>
      <c r="E57" s="1383">
        <f>+'[14]Core Rates'!C39</f>
        <v>146.05500000000001</v>
      </c>
      <c r="F57" s="1170">
        <v>4.2</v>
      </c>
      <c r="G57" s="1171">
        <f t="shared" si="3"/>
        <v>613.43100000000004</v>
      </c>
      <c r="H57" s="35"/>
      <c r="I57" s="47"/>
    </row>
    <row r="58" spans="1:9">
      <c r="A58" s="2"/>
      <c r="B58" s="1186" t="str">
        <f>+'[14]Core Rates'!A266</f>
        <v>Rock/Geo-Textile (Installed)</v>
      </c>
      <c r="C58" s="6"/>
      <c r="D58" s="1382" t="str">
        <f>+'[14]Core Rates'!B266</f>
        <v>Sq Ft</v>
      </c>
      <c r="E58" s="1385">
        <f>+'[14]Core Rates'!C266</f>
        <v>1.3482000000000001</v>
      </c>
      <c r="F58" s="1170">
        <v>250</v>
      </c>
      <c r="G58" s="1171">
        <f>+F58*E58</f>
        <v>337.05</v>
      </c>
      <c r="H58" s="35"/>
      <c r="I58" s="47"/>
    </row>
    <row r="59" spans="1:9">
      <c r="A59" s="2"/>
      <c r="B59" s="40" t="s">
        <v>461</v>
      </c>
      <c r="C59" s="6"/>
      <c r="D59" s="1168" t="s">
        <v>408</v>
      </c>
      <c r="E59" s="1169">
        <f>+'[14]Core Rates'!C104</f>
        <v>20</v>
      </c>
      <c r="F59" s="1170">
        <v>0.2</v>
      </c>
      <c r="G59" s="1171">
        <f t="shared" si="3"/>
        <v>4</v>
      </c>
      <c r="H59" s="35"/>
      <c r="I59" s="47"/>
    </row>
    <row r="60" spans="1:9">
      <c r="A60" s="2"/>
      <c r="B60" s="40" t="s">
        <v>462</v>
      </c>
      <c r="C60" s="6"/>
      <c r="D60" s="1168" t="s">
        <v>408</v>
      </c>
      <c r="E60" s="1169">
        <f>+'[14]Core Rates'!AN33</f>
        <v>5.416666666666667</v>
      </c>
      <c r="F60" s="1170">
        <v>0.2</v>
      </c>
      <c r="G60" s="1171">
        <f t="shared" si="3"/>
        <v>1.0833333333333335</v>
      </c>
      <c r="H60" s="35"/>
      <c r="I60" s="47"/>
    </row>
    <row r="61" spans="1:9">
      <c r="A61" s="2"/>
      <c r="B61" s="40" t="s">
        <v>463</v>
      </c>
      <c r="C61" s="6"/>
      <c r="D61" s="1168" t="s">
        <v>452</v>
      </c>
      <c r="E61" s="1169">
        <f>+'[14]Core Rates'!AN34</f>
        <v>5.5</v>
      </c>
      <c r="F61" s="1170">
        <v>0.4</v>
      </c>
      <c r="G61" s="1171">
        <f t="shared" si="3"/>
        <v>2.2000000000000002</v>
      </c>
      <c r="H61" s="35"/>
      <c r="I61" s="47"/>
    </row>
    <row r="62" spans="1:9">
      <c r="A62" s="2"/>
      <c r="B62" s="40" t="s">
        <v>464</v>
      </c>
      <c r="C62" s="6"/>
      <c r="D62" s="1168" t="s">
        <v>452</v>
      </c>
      <c r="E62" s="1169">
        <f>+'[14]Core Rates'!AN32</f>
        <v>6.3125</v>
      </c>
      <c r="F62" s="1170">
        <v>0.4</v>
      </c>
      <c r="G62" s="1171">
        <f t="shared" si="3"/>
        <v>2.5250000000000004</v>
      </c>
      <c r="H62" s="35"/>
      <c r="I62" s="47"/>
    </row>
    <row r="63" spans="1:9">
      <c r="A63" s="2"/>
      <c r="B63" s="40" t="s">
        <v>1280</v>
      </c>
      <c r="C63" s="6"/>
      <c r="D63" s="1168" t="s">
        <v>619</v>
      </c>
      <c r="E63" s="1169">
        <f>+'[14]Core Rates'!C217</f>
        <v>472.5</v>
      </c>
      <c r="F63" s="1170">
        <v>0.4</v>
      </c>
      <c r="G63" s="1171">
        <f>+F63*E63</f>
        <v>189</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1304</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723.4116499999999</v>
      </c>
    </row>
    <row r="71" spans="1:9">
      <c r="A71" s="2"/>
      <c r="B71" s="2007" t="s">
        <v>465</v>
      </c>
      <c r="C71" s="2008"/>
      <c r="D71" s="35"/>
      <c r="E71" s="35"/>
      <c r="F71" s="35"/>
      <c r="G71" s="35"/>
      <c r="H71" s="35"/>
      <c r="I71" s="48"/>
    </row>
    <row r="72" spans="1:9">
      <c r="A72" s="2"/>
      <c r="B72" s="37" t="s">
        <v>466</v>
      </c>
      <c r="C72" s="39"/>
      <c r="D72" s="39"/>
      <c r="E72" s="153">
        <f>SUM(G54:G63)*0.15</f>
        <v>723.4116499999999</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0.03*(I40+I52+I70)</f>
        <v>146.26567497505343</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0.01*(I40+I52+I70)</f>
        <v>48.755224991684486</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1283</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1283</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+I40+I52+I70+I76+I82+I92</f>
        <v>5021.7881741435012</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5070.5433991351856</v>
      </c>
    </row>
  </sheetData>
  <mergeCells count="4">
    <mergeCell ref="B1:D1"/>
    <mergeCell ref="E52:H52"/>
    <mergeCell ref="B66:I67"/>
    <mergeCell ref="B71:C71"/>
  </mergeCells>
  <pageMargins left="0.75" right="0.75" top="1" bottom="1" header="0.5" footer="0.5"/>
  <pageSetup scale="50" orientation="portrait" r:id="rId1"/>
  <headerFooter alignWithMargins="0"/>
</worksheet>
</file>

<file path=xl/worksheets/sheet57.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23.140625" customWidth="1"/>
    <col min="5" max="5" width="54"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317</v>
      </c>
      <c r="C6" s="7" t="str">
        <f>+E12</f>
        <v>EQIP</v>
      </c>
      <c r="D6" s="53" t="s">
        <v>1299</v>
      </c>
      <c r="E6" s="110" t="s">
        <v>1305</v>
      </c>
      <c r="F6" s="7" t="str">
        <f>D36</f>
        <v>Each</v>
      </c>
      <c r="G6" s="85">
        <f>+I25</f>
        <v>6490.6910018576245</v>
      </c>
    </row>
    <row r="7" spans="1:12" ht="25.5" hidden="1">
      <c r="A7" s="2"/>
      <c r="B7" s="54">
        <f>+B6</f>
        <v>317</v>
      </c>
      <c r="C7" s="7" t="str">
        <f>+C6</f>
        <v>EQIP</v>
      </c>
      <c r="D7" s="53" t="s">
        <v>1299</v>
      </c>
      <c r="E7" s="110" t="str">
        <f>CONCATENATE(E6, "-HU")</f>
        <v>Mortality Composter/ 4 Broiler Hs/ up to 530 Sow/Farrow/wood-HU</v>
      </c>
      <c r="F7" s="7" t="str">
        <f>+F6</f>
        <v>Each</v>
      </c>
      <c r="G7" s="85">
        <f>+J25</f>
        <v>7788.8292022291507</v>
      </c>
    </row>
    <row r="8" spans="1:12" hidden="1">
      <c r="A8" s="2"/>
      <c r="B8" s="54">
        <v>317</v>
      </c>
      <c r="C8" s="7" t="str">
        <f>+G12</f>
        <v>WHIP</v>
      </c>
      <c r="D8" s="53" t="s">
        <v>1299</v>
      </c>
      <c r="E8" s="110" t="s">
        <v>1305</v>
      </c>
      <c r="F8" s="7" t="str">
        <f>D36</f>
        <v>Each</v>
      </c>
      <c r="G8" s="85">
        <f>+K25</f>
        <v>0</v>
      </c>
    </row>
    <row r="9" spans="1:12" ht="25.5" hidden="1">
      <c r="A9" s="2"/>
      <c r="B9" s="8">
        <f>+B8</f>
        <v>317</v>
      </c>
      <c r="C9" s="10" t="str">
        <f>+C8</f>
        <v>WHIP</v>
      </c>
      <c r="D9" s="9" t="s">
        <v>1299</v>
      </c>
      <c r="E9" s="111" t="str">
        <f>CONCATENATE(E6, "-HU")</f>
        <v>Mortality Composter/ 4 Broiler Hs/ up to 530 Sow/Farrow/wood-HU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52.778165835115225</v>
      </c>
      <c r="E16" s="160">
        <f>+'[12]Payment Factors'!D45</f>
        <v>0.75</v>
      </c>
      <c r="F16" s="160">
        <f>+'[12]Payment Factors'!E45</f>
        <v>0.9</v>
      </c>
      <c r="G16" s="160">
        <f>+'[12]Payment Factors'!F19</f>
        <v>0</v>
      </c>
      <c r="H16" s="160">
        <f>+'[12]Payment Factors'!G19</f>
        <v>0</v>
      </c>
      <c r="I16" s="1154">
        <f t="shared" ref="I16:L24" si="0">+$D16*E16</f>
        <v>39.583624376336417</v>
      </c>
      <c r="J16" s="1154">
        <f t="shared" si="0"/>
        <v>47.500349251603701</v>
      </c>
      <c r="K16" s="1154">
        <f t="shared" si="0"/>
        <v>0</v>
      </c>
      <c r="L16" s="1155">
        <f t="shared" si="0"/>
        <v>0</v>
      </c>
    </row>
    <row r="17" spans="1:12" hidden="1">
      <c r="A17" s="2"/>
      <c r="B17" s="15" t="s">
        <v>2</v>
      </c>
      <c r="C17" s="16"/>
      <c r="D17" s="24">
        <f>+I52</f>
        <v>7096.9992083333318</v>
      </c>
      <c r="E17" s="160">
        <f t="shared" ref="E17:H19" si="1">+E16</f>
        <v>0.75</v>
      </c>
      <c r="F17" s="160">
        <f t="shared" si="1"/>
        <v>0.9</v>
      </c>
      <c r="G17" s="160">
        <f t="shared" si="1"/>
        <v>0</v>
      </c>
      <c r="H17" s="160">
        <f t="shared" si="1"/>
        <v>0</v>
      </c>
      <c r="I17" s="1154">
        <f t="shared" si="0"/>
        <v>5322.7494062499991</v>
      </c>
      <c r="J17" s="1154">
        <f t="shared" si="0"/>
        <v>6387.2992874999991</v>
      </c>
      <c r="K17" s="1154">
        <f t="shared" si="0"/>
        <v>0</v>
      </c>
      <c r="L17" s="1155">
        <f t="shared" si="0"/>
        <v>0</v>
      </c>
    </row>
    <row r="18" spans="1:12" hidden="1">
      <c r="A18" s="2"/>
      <c r="B18" s="15" t="s">
        <v>3</v>
      </c>
      <c r="C18" s="16"/>
      <c r="D18" s="24">
        <f>+I70</f>
        <v>1252.4116249999997</v>
      </c>
      <c r="E18" s="160">
        <f t="shared" si="1"/>
        <v>0.75</v>
      </c>
      <c r="F18" s="160">
        <f t="shared" si="1"/>
        <v>0.9</v>
      </c>
      <c r="G18" s="160">
        <f t="shared" si="1"/>
        <v>0</v>
      </c>
      <c r="H18" s="160">
        <f t="shared" si="1"/>
        <v>0</v>
      </c>
      <c r="I18" s="1154">
        <f t="shared" si="0"/>
        <v>939.3087187499998</v>
      </c>
      <c r="J18" s="1154">
        <f t="shared" si="0"/>
        <v>1127.1704624999998</v>
      </c>
      <c r="K18" s="1154">
        <f t="shared" si="0"/>
        <v>0</v>
      </c>
      <c r="L18" s="1155">
        <f t="shared" si="0"/>
        <v>0</v>
      </c>
    </row>
    <row r="19" spans="1:12" hidden="1">
      <c r="A19" s="2"/>
      <c r="B19" s="15" t="s">
        <v>4</v>
      </c>
      <c r="C19" s="16"/>
      <c r="D19" s="24">
        <f>+I76</f>
        <v>252.06566997505342</v>
      </c>
      <c r="E19" s="160">
        <f t="shared" si="1"/>
        <v>0.75</v>
      </c>
      <c r="F19" s="160">
        <f t="shared" si="1"/>
        <v>0.9</v>
      </c>
      <c r="G19" s="160">
        <f t="shared" si="1"/>
        <v>0</v>
      </c>
      <c r="H19" s="160">
        <f t="shared" si="1"/>
        <v>0</v>
      </c>
      <c r="I19" s="1154">
        <f t="shared" si="0"/>
        <v>189.04925248129007</v>
      </c>
      <c r="J19" s="1154">
        <f t="shared" si="0"/>
        <v>226.85910297754808</v>
      </c>
      <c r="K19" s="1154">
        <f t="shared" si="0"/>
        <v>0</v>
      </c>
      <c r="L19" s="1155">
        <f t="shared" si="0"/>
        <v>0</v>
      </c>
    </row>
    <row r="20" spans="1:12" hidden="1">
      <c r="A20" s="2"/>
      <c r="B20" s="15" t="s">
        <v>26</v>
      </c>
      <c r="C20" s="16"/>
      <c r="D20" s="24">
        <f>+I79</f>
        <v>84.021889991684475</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8738.2765591351854</v>
      </c>
      <c r="E25" s="1158"/>
      <c r="F25" s="1158"/>
      <c r="G25" s="28"/>
      <c r="H25" s="28"/>
      <c r="I25" s="1159">
        <f>SUM(I16:I24)</f>
        <v>6490.6910018576245</v>
      </c>
      <c r="J25" s="1159">
        <f>SUM(J16:J24)</f>
        <v>7788.8292022291507</v>
      </c>
      <c r="K25" s="1159">
        <f>SUM(K16:K24)</f>
        <v>0</v>
      </c>
      <c r="L25" s="1160">
        <f>SUM(L16:L24)</f>
        <v>0</v>
      </c>
    </row>
    <row r="26" spans="1:12" hidden="1"/>
    <row r="27" spans="1:12" ht="15.75">
      <c r="A27" s="2"/>
      <c r="B27" s="50" t="s">
        <v>28</v>
      </c>
      <c r="C27" s="2"/>
      <c r="D27" s="2"/>
      <c r="E27" s="2"/>
      <c r="F27" s="2"/>
      <c r="G27" s="2"/>
      <c r="H27" s="2"/>
      <c r="I27" s="5"/>
    </row>
    <row r="28" spans="1:12">
      <c r="A28" s="2"/>
      <c r="B28" s="29" t="s">
        <v>1306</v>
      </c>
      <c r="C28" s="30"/>
      <c r="D28" s="30"/>
      <c r="E28" s="31"/>
      <c r="F28" s="31"/>
      <c r="G28" s="31"/>
      <c r="H28" s="31"/>
      <c r="I28" s="32"/>
    </row>
    <row r="29" spans="1:12">
      <c r="A29" s="2"/>
      <c r="B29" s="1161" t="s">
        <v>1302</v>
      </c>
      <c r="C29" s="34"/>
      <c r="D29" s="34"/>
      <c r="E29" s="35"/>
      <c r="F29" s="35"/>
      <c r="G29" s="35"/>
      <c r="H29" s="35"/>
      <c r="I29" s="36"/>
    </row>
    <row r="30" spans="1:12">
      <c r="A30" s="2"/>
      <c r="B30" s="1161" t="s">
        <v>1303</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+'[12]Payment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+'[14]Core Rates'!C203</f>
        <v>8.75</v>
      </c>
      <c r="F43" s="1170">
        <v>0.4</v>
      </c>
      <c r="G43" s="1171">
        <f t="shared" si="2"/>
        <v>3.5</v>
      </c>
      <c r="H43" s="35"/>
      <c r="I43" s="36"/>
    </row>
    <row r="44" spans="1:9">
      <c r="A44" s="2"/>
      <c r="B44" s="1184" t="s">
        <v>453</v>
      </c>
      <c r="C44" s="6"/>
      <c r="D44" s="1185" t="s">
        <v>454</v>
      </c>
      <c r="E44" s="1169">
        <f>+'[14]Core Rates'!C228</f>
        <v>0.82427536231884069</v>
      </c>
      <c r="F44" s="1170">
        <v>10</v>
      </c>
      <c r="G44" s="1171">
        <f t="shared" si="2"/>
        <v>8.2427536231884062</v>
      </c>
      <c r="H44" s="35"/>
      <c r="I44" s="36"/>
    </row>
    <row r="45" spans="1:9">
      <c r="A45" s="2"/>
      <c r="B45" s="1186" t="s">
        <v>455</v>
      </c>
      <c r="C45" s="1187"/>
      <c r="D45" s="1185" t="s">
        <v>454</v>
      </c>
      <c r="E45" s="1169">
        <f>+'[14]Core Rates'!C235</f>
        <v>1.1702898550724636</v>
      </c>
      <c r="F45" s="1170">
        <v>10</v>
      </c>
      <c r="G45" s="1171">
        <f t="shared" si="2"/>
        <v>11.702898550724637</v>
      </c>
      <c r="H45" s="35"/>
      <c r="I45" s="36"/>
    </row>
    <row r="46" spans="1:9">
      <c r="A46" s="2"/>
      <c r="B46" s="1186" t="s">
        <v>456</v>
      </c>
      <c r="C46" s="1187"/>
      <c r="D46" s="1168" t="s">
        <v>454</v>
      </c>
      <c r="E46" s="1169">
        <f>+'[14]Core Rates'!C246</f>
        <v>0.58825136612021856</v>
      </c>
      <c r="F46" s="1170">
        <v>10</v>
      </c>
      <c r="G46" s="1171">
        <f t="shared" si="2"/>
        <v>5.8825136612021858</v>
      </c>
      <c r="H46" s="35"/>
      <c r="I46" s="36"/>
    </row>
    <row r="47" spans="1:9">
      <c r="A47" s="2"/>
      <c r="B47" s="1186" t="str">
        <f>+'[14]Core Rates'!A313</f>
        <v>Seed (Tall Fescue KY-31)</v>
      </c>
      <c r="C47" s="1187"/>
      <c r="D47" s="1185" t="s">
        <v>454</v>
      </c>
      <c r="E47" s="1169">
        <f>+'[14]Core Rates'!C313</f>
        <v>2.3449999999999998</v>
      </c>
      <c r="F47" s="1170">
        <v>10</v>
      </c>
      <c r="G47" s="1171">
        <f t="shared" si="2"/>
        <v>23.449999999999996</v>
      </c>
      <c r="H47" s="35"/>
      <c r="I47" s="36"/>
    </row>
    <row r="48" spans="1:9">
      <c r="A48" s="2"/>
      <c r="B48" s="1186" t="s">
        <v>480</v>
      </c>
      <c r="C48" s="1187"/>
      <c r="D48" s="1185" t="s">
        <v>454</v>
      </c>
      <c r="E48" s="1169">
        <f>+'[14]Core Rates'!C311</f>
        <v>2.0975000000000001</v>
      </c>
      <c r="F48" s="1170">
        <v>0</v>
      </c>
      <c r="G48" s="1171">
        <f t="shared" si="2"/>
        <v>0</v>
      </c>
      <c r="H48" s="35"/>
      <c r="I48" s="36"/>
    </row>
    <row r="49" spans="1:9">
      <c r="A49" s="2"/>
      <c r="B49" s="1186" t="s">
        <v>481</v>
      </c>
      <c r="C49" s="1187"/>
      <c r="D49" s="1185" t="s">
        <v>454</v>
      </c>
      <c r="E49" s="1169">
        <f>+'[14]Core Rates'!C312</f>
        <v>3.5</v>
      </c>
      <c r="F49" s="1170">
        <v>0</v>
      </c>
      <c r="G49" s="1171">
        <f t="shared" si="2"/>
        <v>0</v>
      </c>
      <c r="H49" s="35"/>
      <c r="I49" s="36"/>
    </row>
    <row r="50" spans="1:9">
      <c r="A50" s="2"/>
      <c r="B50" s="1184"/>
      <c r="C50" s="6"/>
      <c r="D50" s="1173"/>
      <c r="E50" s="1190"/>
      <c r="F50" s="35"/>
      <c r="G50" s="35"/>
      <c r="H50" s="35"/>
      <c r="I50" s="36"/>
    </row>
    <row r="51" spans="1:9">
      <c r="A51" s="2"/>
      <c r="B51" s="1172"/>
      <c r="C51" s="6"/>
      <c r="D51" s="1173"/>
      <c r="E51" s="35"/>
      <c r="F51" s="35"/>
      <c r="G51" s="35"/>
      <c r="H51" s="35"/>
      <c r="I51" s="36"/>
    </row>
    <row r="52" spans="1:9">
      <c r="A52" s="2"/>
      <c r="B52" s="42" t="s">
        <v>2</v>
      </c>
      <c r="C52" s="35"/>
      <c r="D52" s="35"/>
      <c r="E52" s="2003" t="s">
        <v>459</v>
      </c>
      <c r="F52" s="2003"/>
      <c r="G52" s="2003"/>
      <c r="H52" s="2003"/>
      <c r="I52" s="1166">
        <f>(SUM(G54:G63)*0.85)</f>
        <v>7096.9992083333318</v>
      </c>
    </row>
    <row r="53" spans="1:9">
      <c r="A53" s="2"/>
      <c r="B53" s="1174"/>
      <c r="C53" s="35"/>
      <c r="D53" s="1167" t="s">
        <v>447</v>
      </c>
      <c r="E53" s="1167" t="s">
        <v>448</v>
      </c>
      <c r="F53" s="1167" t="s">
        <v>449</v>
      </c>
      <c r="G53" s="1167" t="s">
        <v>450</v>
      </c>
      <c r="H53" s="35"/>
      <c r="I53" s="46"/>
    </row>
    <row r="54" spans="1:9">
      <c r="A54" s="2"/>
      <c r="B54" s="1387" t="str">
        <f>+'[14]Core Rates'!A111</f>
        <v>Earthmoving: Medium grading/shaping (2-6 hrs/ac)</v>
      </c>
      <c r="C54" s="6"/>
      <c r="D54" s="1168" t="s">
        <v>408</v>
      </c>
      <c r="E54" s="1169">
        <f>+'[14]Core Rates'!C111</f>
        <v>503.625</v>
      </c>
      <c r="F54" s="1170">
        <v>0.2</v>
      </c>
      <c r="G54" s="1171">
        <f t="shared" ref="G54:G63" si="3">+F54*E54</f>
        <v>100.72500000000001</v>
      </c>
      <c r="H54" s="35"/>
      <c r="I54" s="47"/>
    </row>
    <row r="55" spans="1:9">
      <c r="A55" s="2"/>
      <c r="B55" s="1186" t="str">
        <f>+'[14]Core Rates'!A241</f>
        <v>Pole Barn Type Structure (w/o floor or walls) *</v>
      </c>
      <c r="C55" s="1376"/>
      <c r="D55" s="1382" t="str">
        <f>+'[14]Core Rates'!B241</f>
        <v>Sq Ft</v>
      </c>
      <c r="E55" s="1383">
        <f>+'[14]Core Rates'!C241</f>
        <v>5.8983750000000006</v>
      </c>
      <c r="F55" s="1170">
        <v>544</v>
      </c>
      <c r="G55" s="1171">
        <f t="shared" si="3"/>
        <v>3208.7160000000003</v>
      </c>
      <c r="H55" s="35"/>
      <c r="I55" s="47"/>
    </row>
    <row r="56" spans="1:9">
      <c r="A56" s="2"/>
      <c r="B56" s="1186" t="str">
        <f>+'[14]Core Rates'!A351</f>
        <v>Wood Wall (4 1/2' ht w/ 2" PT timbers): Installed</v>
      </c>
      <c r="C56" s="6"/>
      <c r="D56" s="1382" t="str">
        <f>+'[14]Core Rates'!B351</f>
        <v>Lin Ft</v>
      </c>
      <c r="E56" s="1383">
        <f>+'[14]Core Rates'!C351</f>
        <v>26.964000000000002</v>
      </c>
      <c r="F56" s="1170">
        <v>113</v>
      </c>
      <c r="G56" s="1171">
        <f t="shared" si="3"/>
        <v>3046.9320000000002</v>
      </c>
      <c r="H56" s="35"/>
      <c r="I56" s="47"/>
    </row>
    <row r="57" spans="1:9">
      <c r="A57" s="2"/>
      <c r="B57" s="1186" t="str">
        <f>+'[14]Core Rates'!A39</f>
        <v>Concrete (Slab in Place, includes wire mesh or fiber)</v>
      </c>
      <c r="C57" s="6"/>
      <c r="D57" s="1382" t="str">
        <f>+'[14]Core Rates'!B39</f>
        <v>Cu Yd</v>
      </c>
      <c r="E57" s="1383">
        <f>+'[14]Core Rates'!C39</f>
        <v>146.05500000000001</v>
      </c>
      <c r="F57" s="1170">
        <v>8.5</v>
      </c>
      <c r="G57" s="1171">
        <f t="shared" si="3"/>
        <v>1241.4675</v>
      </c>
      <c r="H57" s="35"/>
      <c r="I57" s="47"/>
    </row>
    <row r="58" spans="1:9">
      <c r="A58" s="2"/>
      <c r="B58" s="1186" t="str">
        <f>+'[14]Core Rates'!A266</f>
        <v>Rock/Geo-Textile (Installed)</v>
      </c>
      <c r="C58" s="6"/>
      <c r="D58" s="1382" t="str">
        <f>+'[14]Core Rates'!B266</f>
        <v>Sq Ft</v>
      </c>
      <c r="E58" s="1385">
        <f>+'[14]Core Rates'!C266</f>
        <v>1.3482000000000001</v>
      </c>
      <c r="F58" s="1170">
        <v>410</v>
      </c>
      <c r="G58" s="1171">
        <f t="shared" si="3"/>
        <v>552.76200000000006</v>
      </c>
      <c r="H58" s="35"/>
      <c r="I58" s="47"/>
    </row>
    <row r="59" spans="1:9">
      <c r="A59" s="2"/>
      <c r="B59" s="40" t="s">
        <v>461</v>
      </c>
      <c r="C59" s="6"/>
      <c r="D59" s="1168" t="s">
        <v>408</v>
      </c>
      <c r="E59" s="1169">
        <f>+'[14]Core Rates'!C104</f>
        <v>20</v>
      </c>
      <c r="F59" s="1170">
        <v>0.2</v>
      </c>
      <c r="G59" s="1171">
        <f t="shared" si="3"/>
        <v>4</v>
      </c>
      <c r="H59" s="35"/>
      <c r="I59" s="47"/>
    </row>
    <row r="60" spans="1:9">
      <c r="A60" s="2"/>
      <c r="B60" s="40" t="s">
        <v>462</v>
      </c>
      <c r="C60" s="6"/>
      <c r="D60" s="1168" t="s">
        <v>408</v>
      </c>
      <c r="E60" s="1169">
        <f>+'[14]Core Rates'!AN33</f>
        <v>5.416666666666667</v>
      </c>
      <c r="F60" s="1170">
        <v>0.2</v>
      </c>
      <c r="G60" s="1171">
        <f t="shared" si="3"/>
        <v>1.0833333333333335</v>
      </c>
      <c r="H60" s="35"/>
      <c r="I60" s="47"/>
    </row>
    <row r="61" spans="1:9">
      <c r="A61" s="2"/>
      <c r="B61" s="40" t="s">
        <v>463</v>
      </c>
      <c r="C61" s="6"/>
      <c r="D61" s="1168" t="s">
        <v>452</v>
      </c>
      <c r="E61" s="1169">
        <f>+'[14]Core Rates'!AN34</f>
        <v>5.5</v>
      </c>
      <c r="F61" s="1170">
        <v>0.4</v>
      </c>
      <c r="G61" s="1171">
        <f t="shared" si="3"/>
        <v>2.2000000000000002</v>
      </c>
      <c r="H61" s="35"/>
      <c r="I61" s="47"/>
    </row>
    <row r="62" spans="1:9">
      <c r="A62" s="2"/>
      <c r="B62" s="40" t="s">
        <v>464</v>
      </c>
      <c r="C62" s="6"/>
      <c r="D62" s="1168" t="s">
        <v>452</v>
      </c>
      <c r="E62" s="1169">
        <f>+'[14]Core Rates'!AN32</f>
        <v>6.3125</v>
      </c>
      <c r="F62" s="1170">
        <v>0.4</v>
      </c>
      <c r="G62" s="1171">
        <f t="shared" si="3"/>
        <v>2.5250000000000004</v>
      </c>
      <c r="H62" s="35"/>
      <c r="I62" s="47"/>
    </row>
    <row r="63" spans="1:9">
      <c r="A63" s="2"/>
      <c r="B63" s="40" t="s">
        <v>1280</v>
      </c>
      <c r="C63" s="6"/>
      <c r="D63" s="1168" t="s">
        <v>619</v>
      </c>
      <c r="E63" s="1169">
        <f>+'[14]Core Rates'!C217</f>
        <v>472.5</v>
      </c>
      <c r="F63" s="1170">
        <v>0.4</v>
      </c>
      <c r="G63" s="1171">
        <f t="shared" si="3"/>
        <v>189</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1304</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1252.4116249999997</v>
      </c>
    </row>
    <row r="71" spans="1:9">
      <c r="A71" s="2"/>
      <c r="B71" s="2007" t="s">
        <v>465</v>
      </c>
      <c r="C71" s="2008"/>
      <c r="D71" s="35"/>
      <c r="E71" s="35"/>
      <c r="F71" s="35"/>
      <c r="G71" s="35"/>
      <c r="H71" s="35"/>
      <c r="I71" s="48"/>
    </row>
    <row r="72" spans="1:9">
      <c r="A72" s="2"/>
      <c r="B72" s="37" t="s">
        <v>466</v>
      </c>
      <c r="C72" s="39"/>
      <c r="D72" s="39"/>
      <c r="E72" s="153">
        <f>SUM(G54:G63)*0.15</f>
        <v>1252.4116249999997</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0.03*(I40+I52+I70)</f>
        <v>252.06566997505342</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0.01*(I40+I52+I70)</f>
        <v>84.021889991684475</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1283</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1283</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+I40+I52+I70+I76+I82+I92</f>
        <v>8654.2546691435018</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8738.2765591351854</v>
      </c>
    </row>
  </sheetData>
  <mergeCells count="4">
    <mergeCell ref="B1:D1"/>
    <mergeCell ref="E52:H52"/>
    <mergeCell ref="B66:I67"/>
    <mergeCell ref="B71:C71"/>
  </mergeCells>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23.140625" customWidth="1"/>
    <col min="5" max="5" width="54" customWidth="1"/>
    <col min="6" max="6" width="10.42578125" customWidth="1"/>
    <col min="7" max="7" width="11.42578125" bestFit="1" customWidth="1"/>
    <col min="9" max="9" width="11.140625" bestFit="1" customWidth="1"/>
    <col min="10" max="10"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317</v>
      </c>
      <c r="C6" s="7" t="str">
        <f>+E12</f>
        <v>EQIP</v>
      </c>
      <c r="D6" s="53" t="s">
        <v>1299</v>
      </c>
      <c r="E6" s="110" t="s">
        <v>1307</v>
      </c>
      <c r="F6" s="7" t="str">
        <f>D36</f>
        <v>Each</v>
      </c>
      <c r="G6" s="85">
        <f>+I25</f>
        <v>9370.3956443576262</v>
      </c>
    </row>
    <row r="7" spans="1:12" ht="25.5" hidden="1">
      <c r="A7" s="2"/>
      <c r="B7" s="54">
        <f>+B6</f>
        <v>317</v>
      </c>
      <c r="C7" s="7" t="str">
        <f>+C6</f>
        <v>EQIP</v>
      </c>
      <c r="D7" s="53" t="s">
        <v>1299</v>
      </c>
      <c r="E7" s="110" t="str">
        <f>CONCATENATE(E6, "-HU")</f>
        <v>Mortality Composter/ 6 Broiler Hs/ up to 790 Sow/Farrow/wood-HU</v>
      </c>
      <c r="F7" s="7" t="str">
        <f>+F6</f>
        <v>Each</v>
      </c>
      <c r="G7" s="85">
        <f>+J25</f>
        <v>11244.474773229153</v>
      </c>
    </row>
    <row r="8" spans="1:12" hidden="1">
      <c r="A8" s="2"/>
      <c r="B8" s="54">
        <v>317</v>
      </c>
      <c r="C8" s="7" t="str">
        <f>+G12</f>
        <v>WHIP</v>
      </c>
      <c r="D8" s="53" t="s">
        <v>1299</v>
      </c>
      <c r="E8" s="110" t="s">
        <v>1307</v>
      </c>
      <c r="F8" s="7" t="str">
        <f>D36</f>
        <v>Each</v>
      </c>
      <c r="G8" s="85">
        <f>+K25</f>
        <v>0</v>
      </c>
    </row>
    <row r="9" spans="1:12" ht="25.5" hidden="1">
      <c r="A9" s="2"/>
      <c r="B9" s="8">
        <f>+B8</f>
        <v>317</v>
      </c>
      <c r="C9" s="10" t="str">
        <f>+C8</f>
        <v>WHIP</v>
      </c>
      <c r="D9" s="9" t="s">
        <v>1299</v>
      </c>
      <c r="E9" s="111" t="str">
        <f>CONCATENATE(E6, "-HU")</f>
        <v>Mortality Composter/ 6 Broiler Hs/ up to 790 Sow/Farrow/wood-HU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52.778165835115225</v>
      </c>
      <c r="E16" s="160">
        <f>+'[12]Payment Factors'!D45</f>
        <v>0.75</v>
      </c>
      <c r="F16" s="160">
        <f>+'[12]Payment Factors'!E45</f>
        <v>0.9</v>
      </c>
      <c r="G16" s="160">
        <f>+'[12]Payment Factors'!F19</f>
        <v>0</v>
      </c>
      <c r="H16" s="160">
        <f>+'[12]Payment Factors'!G19</f>
        <v>0</v>
      </c>
      <c r="I16" s="1154">
        <f t="shared" ref="I16:L24" si="0">+$D16*E16</f>
        <v>39.583624376336417</v>
      </c>
      <c r="J16" s="1154">
        <f t="shared" si="0"/>
        <v>47.500349251603701</v>
      </c>
      <c r="K16" s="1154">
        <f t="shared" si="0"/>
        <v>0</v>
      </c>
      <c r="L16" s="1155">
        <f t="shared" si="0"/>
        <v>0</v>
      </c>
    </row>
    <row r="17" spans="1:12" hidden="1">
      <c r="A17" s="2"/>
      <c r="B17" s="15" t="s">
        <v>2</v>
      </c>
      <c r="C17" s="16"/>
      <c r="D17" s="24">
        <f>+I52</f>
        <v>10265.606258333333</v>
      </c>
      <c r="E17" s="160">
        <f t="shared" ref="E17:H19" si="1">+E16</f>
        <v>0.75</v>
      </c>
      <c r="F17" s="160">
        <f t="shared" si="1"/>
        <v>0.9</v>
      </c>
      <c r="G17" s="160">
        <f t="shared" si="1"/>
        <v>0</v>
      </c>
      <c r="H17" s="160">
        <f t="shared" si="1"/>
        <v>0</v>
      </c>
      <c r="I17" s="1154">
        <f t="shared" si="0"/>
        <v>7699.2046937499999</v>
      </c>
      <c r="J17" s="1154">
        <f t="shared" si="0"/>
        <v>9239.0456324999996</v>
      </c>
      <c r="K17" s="1154">
        <f t="shared" si="0"/>
        <v>0</v>
      </c>
      <c r="L17" s="1155">
        <f t="shared" si="0"/>
        <v>0</v>
      </c>
    </row>
    <row r="18" spans="1:12" hidden="1">
      <c r="A18" s="2"/>
      <c r="B18" s="15" t="s">
        <v>3</v>
      </c>
      <c r="C18" s="16"/>
      <c r="D18" s="24">
        <f>+I70</f>
        <v>1811.577575</v>
      </c>
      <c r="E18" s="160">
        <f t="shared" si="1"/>
        <v>0.75</v>
      </c>
      <c r="F18" s="160">
        <f t="shared" si="1"/>
        <v>0.9</v>
      </c>
      <c r="G18" s="160">
        <f t="shared" si="1"/>
        <v>0</v>
      </c>
      <c r="H18" s="160">
        <f t="shared" si="1"/>
        <v>0</v>
      </c>
      <c r="I18" s="1154">
        <f t="shared" si="0"/>
        <v>1358.68318125</v>
      </c>
      <c r="J18" s="1154">
        <f t="shared" si="0"/>
        <v>1630.4198175000001</v>
      </c>
      <c r="K18" s="1154">
        <f t="shared" si="0"/>
        <v>0</v>
      </c>
      <c r="L18" s="1155">
        <f t="shared" si="0"/>
        <v>0</v>
      </c>
    </row>
    <row r="19" spans="1:12" hidden="1">
      <c r="A19" s="2"/>
      <c r="B19" s="15" t="s">
        <v>4</v>
      </c>
      <c r="C19" s="16"/>
      <c r="D19" s="24">
        <f>+I76</f>
        <v>363.89885997505343</v>
      </c>
      <c r="E19" s="160">
        <f t="shared" si="1"/>
        <v>0.75</v>
      </c>
      <c r="F19" s="160">
        <f t="shared" si="1"/>
        <v>0.9</v>
      </c>
      <c r="G19" s="160">
        <f t="shared" si="1"/>
        <v>0</v>
      </c>
      <c r="H19" s="160">
        <f t="shared" si="1"/>
        <v>0</v>
      </c>
      <c r="I19" s="1154">
        <f t="shared" si="0"/>
        <v>272.92414498129006</v>
      </c>
      <c r="J19" s="1154">
        <f t="shared" si="0"/>
        <v>327.50897397754807</v>
      </c>
      <c r="K19" s="1154">
        <f t="shared" si="0"/>
        <v>0</v>
      </c>
      <c r="L19" s="1155">
        <f t="shared" si="0"/>
        <v>0</v>
      </c>
    </row>
    <row r="20" spans="1:12" hidden="1">
      <c r="A20" s="2"/>
      <c r="B20" s="15" t="s">
        <v>26</v>
      </c>
      <c r="C20" s="16"/>
      <c r="D20" s="24">
        <f>+I79</f>
        <v>121.29961999168449</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12615.160479135187</v>
      </c>
      <c r="E25" s="1158"/>
      <c r="F25" s="1158"/>
      <c r="G25" s="28"/>
      <c r="H25" s="28"/>
      <c r="I25" s="1159">
        <f>SUM(I16:I24)</f>
        <v>9370.3956443576262</v>
      </c>
      <c r="J25" s="1159">
        <f>SUM(J16:J24)</f>
        <v>11244.474773229153</v>
      </c>
      <c r="K25" s="1159">
        <f>SUM(K16:K24)</f>
        <v>0</v>
      </c>
      <c r="L25" s="1160">
        <f>SUM(L16:L24)</f>
        <v>0</v>
      </c>
    </row>
    <row r="26" spans="1:12" hidden="1"/>
    <row r="27" spans="1:12" ht="15.75">
      <c r="A27" s="2"/>
      <c r="B27" s="50" t="s">
        <v>28</v>
      </c>
      <c r="C27" s="2"/>
      <c r="D27" s="2"/>
      <c r="E27" s="2"/>
      <c r="F27" s="2"/>
      <c r="G27" s="2"/>
      <c r="H27" s="2"/>
      <c r="I27" s="5"/>
    </row>
    <row r="28" spans="1:12">
      <c r="A28" s="2"/>
      <c r="B28" s="29" t="s">
        <v>1308</v>
      </c>
      <c r="C28" s="30"/>
      <c r="D28" s="30"/>
      <c r="E28" s="31"/>
      <c r="F28" s="31"/>
      <c r="G28" s="31"/>
      <c r="H28" s="31"/>
      <c r="I28" s="32"/>
    </row>
    <row r="29" spans="1:12">
      <c r="A29" s="2"/>
      <c r="B29" s="1161" t="s">
        <v>1302</v>
      </c>
      <c r="C29" s="34"/>
      <c r="D29" s="34"/>
      <c r="E29" s="35"/>
      <c r="F29" s="35"/>
      <c r="G29" s="35"/>
      <c r="H29" s="35"/>
      <c r="I29" s="36"/>
    </row>
    <row r="30" spans="1:12">
      <c r="A30" s="2"/>
      <c r="B30" s="1161" t="s">
        <v>1303</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+'[12]Payment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+'[14]Core Rates'!C203</f>
        <v>8.75</v>
      </c>
      <c r="F43" s="1170">
        <v>0.4</v>
      </c>
      <c r="G43" s="1171">
        <f t="shared" si="2"/>
        <v>3.5</v>
      </c>
      <c r="H43" s="35"/>
      <c r="I43" s="36"/>
    </row>
    <row r="44" spans="1:9">
      <c r="A44" s="2"/>
      <c r="B44" s="1184" t="s">
        <v>453</v>
      </c>
      <c r="C44" s="6"/>
      <c r="D44" s="1185" t="s">
        <v>454</v>
      </c>
      <c r="E44" s="1169">
        <f>+'[14]Core Rates'!C228</f>
        <v>0.82427536231884069</v>
      </c>
      <c r="F44" s="1170">
        <v>10</v>
      </c>
      <c r="G44" s="1171">
        <f t="shared" si="2"/>
        <v>8.2427536231884062</v>
      </c>
      <c r="H44" s="35"/>
      <c r="I44" s="36"/>
    </row>
    <row r="45" spans="1:9">
      <c r="A45" s="2"/>
      <c r="B45" s="1186" t="s">
        <v>455</v>
      </c>
      <c r="C45" s="1187"/>
      <c r="D45" s="1185" t="s">
        <v>454</v>
      </c>
      <c r="E45" s="1169">
        <f>+'[14]Core Rates'!C235</f>
        <v>1.1702898550724636</v>
      </c>
      <c r="F45" s="1170">
        <v>10</v>
      </c>
      <c r="G45" s="1171">
        <f t="shared" si="2"/>
        <v>11.702898550724637</v>
      </c>
      <c r="H45" s="35"/>
      <c r="I45" s="36"/>
    </row>
    <row r="46" spans="1:9">
      <c r="A46" s="2"/>
      <c r="B46" s="1186" t="s">
        <v>456</v>
      </c>
      <c r="C46" s="1187"/>
      <c r="D46" s="1168" t="s">
        <v>454</v>
      </c>
      <c r="E46" s="1169">
        <f>+'[14]Core Rates'!C246</f>
        <v>0.58825136612021856</v>
      </c>
      <c r="F46" s="1170">
        <v>10</v>
      </c>
      <c r="G46" s="1171">
        <f t="shared" si="2"/>
        <v>5.8825136612021858</v>
      </c>
      <c r="H46" s="35"/>
      <c r="I46" s="36"/>
    </row>
    <row r="47" spans="1:9">
      <c r="A47" s="2"/>
      <c r="B47" s="1186" t="str">
        <f>+'[14]Core Rates'!A313</f>
        <v>Seed (Tall Fescue KY-31)</v>
      </c>
      <c r="C47" s="1187"/>
      <c r="D47" s="1185" t="s">
        <v>454</v>
      </c>
      <c r="E47" s="1169">
        <f>+'[14]Core Rates'!C313</f>
        <v>2.3449999999999998</v>
      </c>
      <c r="F47" s="1170">
        <v>10</v>
      </c>
      <c r="G47" s="1171">
        <f t="shared" si="2"/>
        <v>23.449999999999996</v>
      </c>
      <c r="H47" s="35"/>
      <c r="I47" s="36"/>
    </row>
    <row r="48" spans="1:9">
      <c r="A48" s="2"/>
      <c r="B48" s="1186" t="s">
        <v>480</v>
      </c>
      <c r="C48" s="1187"/>
      <c r="D48" s="1185" t="s">
        <v>454</v>
      </c>
      <c r="E48" s="1169">
        <f>+'[14]Core Rates'!C311</f>
        <v>2.0975000000000001</v>
      </c>
      <c r="F48" s="1170">
        <v>0</v>
      </c>
      <c r="G48" s="1171">
        <f t="shared" si="2"/>
        <v>0</v>
      </c>
      <c r="H48" s="35"/>
      <c r="I48" s="36"/>
    </row>
    <row r="49" spans="1:9">
      <c r="A49" s="2"/>
      <c r="B49" s="1186" t="s">
        <v>481</v>
      </c>
      <c r="C49" s="1187"/>
      <c r="D49" s="1185" t="s">
        <v>454</v>
      </c>
      <c r="E49" s="1169">
        <f>+'[14]Core Rates'!C312</f>
        <v>3.5</v>
      </c>
      <c r="F49" s="1170">
        <v>0</v>
      </c>
      <c r="G49" s="1171">
        <f t="shared" si="2"/>
        <v>0</v>
      </c>
      <c r="H49" s="35"/>
      <c r="I49" s="36"/>
    </row>
    <row r="50" spans="1:9">
      <c r="A50" s="2"/>
      <c r="B50" s="1184"/>
      <c r="C50" s="6"/>
      <c r="D50" s="1173"/>
      <c r="E50" s="1190"/>
      <c r="F50" s="35"/>
      <c r="G50" s="35"/>
      <c r="H50" s="35"/>
      <c r="I50" s="36"/>
    </row>
    <row r="51" spans="1:9">
      <c r="A51" s="2"/>
      <c r="B51" s="1172"/>
      <c r="C51" s="6"/>
      <c r="D51" s="1173"/>
      <c r="E51" s="35"/>
      <c r="F51" s="35"/>
      <c r="G51" s="35"/>
      <c r="H51" s="35"/>
      <c r="I51" s="36"/>
    </row>
    <row r="52" spans="1:9">
      <c r="A52" s="2"/>
      <c r="B52" s="42" t="s">
        <v>2</v>
      </c>
      <c r="C52" s="35"/>
      <c r="D52" s="35"/>
      <c r="E52" s="2003" t="s">
        <v>459</v>
      </c>
      <c r="F52" s="2003"/>
      <c r="G52" s="2003"/>
      <c r="H52" s="2003"/>
      <c r="I52" s="1166">
        <f>(SUM(G54:G63)*0.85)</f>
        <v>10265.606258333333</v>
      </c>
    </row>
    <row r="53" spans="1:9">
      <c r="A53" s="2"/>
      <c r="B53" s="1174"/>
      <c r="C53" s="35"/>
      <c r="D53" s="1167" t="s">
        <v>447</v>
      </c>
      <c r="E53" s="1167" t="s">
        <v>448</v>
      </c>
      <c r="F53" s="1167" t="s">
        <v>449</v>
      </c>
      <c r="G53" s="1167" t="s">
        <v>450</v>
      </c>
      <c r="H53" s="35"/>
      <c r="I53" s="46"/>
    </row>
    <row r="54" spans="1:9">
      <c r="A54" s="2"/>
      <c r="B54" s="1387" t="str">
        <f>+'[14]Core Rates'!A111</f>
        <v>Earthmoving: Medium grading/shaping (2-6 hrs/ac)</v>
      </c>
      <c r="C54" s="6"/>
      <c r="D54" s="1168" t="s">
        <v>408</v>
      </c>
      <c r="E54" s="1169">
        <f>+'[14]Core Rates'!C111</f>
        <v>503.625</v>
      </c>
      <c r="F54" s="1170">
        <v>0.2</v>
      </c>
      <c r="G54" s="1171">
        <f t="shared" ref="G54:G63" si="3">+F54*E54</f>
        <v>100.72500000000001</v>
      </c>
      <c r="H54" s="35"/>
      <c r="I54" s="47"/>
    </row>
    <row r="55" spans="1:9">
      <c r="A55" s="2"/>
      <c r="B55" s="1186" t="str">
        <f>+'[14]Core Rates'!A241</f>
        <v>Pole Barn Type Structure (w/o floor or walls) *</v>
      </c>
      <c r="C55" s="1376"/>
      <c r="D55" s="1382" t="str">
        <f>+'[14]Core Rates'!B241</f>
        <v>Sq Ft</v>
      </c>
      <c r="E55" s="1383">
        <f>+'[14]Core Rates'!C241</f>
        <v>5.8983750000000006</v>
      </c>
      <c r="F55" s="1170">
        <v>816</v>
      </c>
      <c r="G55" s="1171">
        <f t="shared" si="3"/>
        <v>4813.0740000000005</v>
      </c>
      <c r="H55" s="35"/>
      <c r="I55" s="47"/>
    </row>
    <row r="56" spans="1:9">
      <c r="A56" s="2"/>
      <c r="B56" s="1186" t="str">
        <f>+'[14]Core Rates'!A351</f>
        <v>Wood Wall (4 1/2' ht w/ 2" PT timbers): Installed</v>
      </c>
      <c r="C56" s="6"/>
      <c r="D56" s="1382" t="str">
        <f>+'[14]Core Rates'!B351</f>
        <v>Lin Ft</v>
      </c>
      <c r="E56" s="1383">
        <f>+'[14]Core Rates'!C351</f>
        <v>26.964000000000002</v>
      </c>
      <c r="F56" s="1170">
        <v>161</v>
      </c>
      <c r="G56" s="1171">
        <f t="shared" si="3"/>
        <v>4341.2040000000006</v>
      </c>
      <c r="H56" s="35"/>
      <c r="I56" s="47"/>
    </row>
    <row r="57" spans="1:9">
      <c r="A57" s="2"/>
      <c r="B57" s="1186" t="str">
        <f>+'[14]Core Rates'!A39</f>
        <v>Concrete (Slab in Place, includes wire mesh or fiber)</v>
      </c>
      <c r="C57" s="6"/>
      <c r="D57" s="1382" t="str">
        <f>+'[14]Core Rates'!B39</f>
        <v>Cu Yd</v>
      </c>
      <c r="E57" s="1383">
        <f>+'[14]Core Rates'!C39</f>
        <v>146.05500000000001</v>
      </c>
      <c r="F57" s="1170">
        <v>12.7</v>
      </c>
      <c r="G57" s="1171">
        <f t="shared" si="3"/>
        <v>1854.8985</v>
      </c>
      <c r="H57" s="35"/>
      <c r="I57" s="47"/>
    </row>
    <row r="58" spans="1:9">
      <c r="A58" s="2"/>
      <c r="B58" s="1186" t="str">
        <f>+'[14]Core Rates'!A266</f>
        <v>Rock/Geo-Textile (Installed)</v>
      </c>
      <c r="C58" s="6"/>
      <c r="D58" s="1382" t="str">
        <f>+'[14]Core Rates'!B266</f>
        <v>Sq Ft</v>
      </c>
      <c r="E58" s="1385">
        <f>+'[14]Core Rates'!C266</f>
        <v>1.3482000000000001</v>
      </c>
      <c r="F58" s="1170">
        <v>570</v>
      </c>
      <c r="G58" s="1171">
        <f t="shared" si="3"/>
        <v>768.47400000000005</v>
      </c>
      <c r="H58" s="35"/>
      <c r="I58" s="47"/>
    </row>
    <row r="59" spans="1:9">
      <c r="A59" s="2"/>
      <c r="B59" s="40" t="s">
        <v>461</v>
      </c>
      <c r="C59" s="6"/>
      <c r="D59" s="1168" t="s">
        <v>408</v>
      </c>
      <c r="E59" s="1169">
        <f>+'[14]Core Rates'!C104</f>
        <v>20</v>
      </c>
      <c r="F59" s="1170">
        <v>0.2</v>
      </c>
      <c r="G59" s="1171">
        <f t="shared" si="3"/>
        <v>4</v>
      </c>
      <c r="H59" s="35"/>
      <c r="I59" s="47"/>
    </row>
    <row r="60" spans="1:9">
      <c r="A60" s="2"/>
      <c r="B60" s="40" t="s">
        <v>462</v>
      </c>
      <c r="C60" s="6"/>
      <c r="D60" s="1168" t="s">
        <v>408</v>
      </c>
      <c r="E60" s="1169">
        <f>+'[14]Core Rates'!AN33</f>
        <v>5.416666666666667</v>
      </c>
      <c r="F60" s="1170">
        <v>0.2</v>
      </c>
      <c r="G60" s="1171">
        <f t="shared" si="3"/>
        <v>1.0833333333333335</v>
      </c>
      <c r="H60" s="35"/>
      <c r="I60" s="47"/>
    </row>
    <row r="61" spans="1:9">
      <c r="A61" s="2"/>
      <c r="B61" s="40" t="s">
        <v>463</v>
      </c>
      <c r="C61" s="6"/>
      <c r="D61" s="1168" t="s">
        <v>452</v>
      </c>
      <c r="E61" s="1169">
        <f>+'[14]Core Rates'!AN34</f>
        <v>5.5</v>
      </c>
      <c r="F61" s="1170">
        <v>0.4</v>
      </c>
      <c r="G61" s="1171">
        <f t="shared" si="3"/>
        <v>2.2000000000000002</v>
      </c>
      <c r="H61" s="35"/>
      <c r="I61" s="47"/>
    </row>
    <row r="62" spans="1:9">
      <c r="A62" s="2"/>
      <c r="B62" s="40" t="s">
        <v>464</v>
      </c>
      <c r="C62" s="6"/>
      <c r="D62" s="1168" t="s">
        <v>452</v>
      </c>
      <c r="E62" s="1169">
        <f>+'[14]Core Rates'!AN32</f>
        <v>6.3125</v>
      </c>
      <c r="F62" s="1170">
        <v>0.4</v>
      </c>
      <c r="G62" s="1171">
        <f t="shared" si="3"/>
        <v>2.5250000000000004</v>
      </c>
      <c r="H62" s="35"/>
      <c r="I62" s="47"/>
    </row>
    <row r="63" spans="1:9">
      <c r="A63" s="2"/>
      <c r="B63" s="40" t="s">
        <v>1280</v>
      </c>
      <c r="C63" s="6"/>
      <c r="D63" s="1168" t="s">
        <v>619</v>
      </c>
      <c r="E63" s="1169">
        <f>+'[14]Core Rates'!C217</f>
        <v>472.5</v>
      </c>
      <c r="F63" s="1170">
        <v>0.4</v>
      </c>
      <c r="G63" s="1171">
        <f t="shared" si="3"/>
        <v>189</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1304</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1811.577575</v>
      </c>
    </row>
    <row r="71" spans="1:9">
      <c r="A71" s="2"/>
      <c r="B71" s="2007" t="s">
        <v>465</v>
      </c>
      <c r="C71" s="2008"/>
      <c r="D71" s="35"/>
      <c r="E71" s="35"/>
      <c r="F71" s="35"/>
      <c r="G71" s="35"/>
      <c r="H71" s="35"/>
      <c r="I71" s="48"/>
    </row>
    <row r="72" spans="1:9">
      <c r="A72" s="2"/>
      <c r="B72" s="37" t="s">
        <v>466</v>
      </c>
      <c r="C72" s="39"/>
      <c r="D72" s="39"/>
      <c r="E72" s="153">
        <f>SUM(G54:G63)*0.15</f>
        <v>1811.577575</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0.03*(I40+I52+I70)</f>
        <v>363.89885997505343</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0.01*(I40+I52+I70)</f>
        <v>121.29961999168449</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1283</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1283</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+I40+I52+I70+I76+I82+I92</f>
        <v>12493.860859143502</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12615.160479135187</v>
      </c>
    </row>
  </sheetData>
  <mergeCells count="4">
    <mergeCell ref="B1:D1"/>
    <mergeCell ref="E52:H52"/>
    <mergeCell ref="B66:I67"/>
    <mergeCell ref="B71:C71"/>
  </mergeCells>
  <pageMargins left="0.75" right="0.75" top="1" bottom="1" header="0.5" footer="0.5"/>
  <pageSetup scale="59" orientation="portrait" r:id="rId1"/>
  <headerFooter alignWithMargins="0"/>
</worksheet>
</file>

<file path=xl/worksheets/sheet59.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23.140625" customWidth="1"/>
    <col min="5" max="5" width="54" customWidth="1"/>
    <col min="6" max="6" width="10.42578125" customWidth="1"/>
    <col min="7" max="7" width="10.140625" bestFit="1" customWidth="1"/>
    <col min="9" max="9" width="11.140625" bestFit="1" customWidth="1"/>
    <col min="10" max="10"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317</v>
      </c>
      <c r="C6" s="7" t="str">
        <f>+E12</f>
        <v>EQIP</v>
      </c>
      <c r="D6" s="53" t="s">
        <v>1299</v>
      </c>
      <c r="E6" s="110" t="s">
        <v>1309</v>
      </c>
      <c r="F6" s="7" t="str">
        <f>D36</f>
        <v>Each</v>
      </c>
      <c r="G6" s="85">
        <f>+I25</f>
        <v>12261.383035607629</v>
      </c>
    </row>
    <row r="7" spans="1:12" ht="25.5" hidden="1">
      <c r="A7" s="2"/>
      <c r="B7" s="54">
        <f>+B6</f>
        <v>317</v>
      </c>
      <c r="C7" s="7" t="str">
        <f>+C6</f>
        <v>EQIP</v>
      </c>
      <c r="D7" s="53" t="s">
        <v>1299</v>
      </c>
      <c r="E7" s="110" t="str">
        <f>CONCATENATE(E6, "-HU")</f>
        <v>Mortality Composter/ 8 Broiler Hs/ up to 1060 Sow/Farrow/wood-HU</v>
      </c>
      <c r="F7" s="7" t="str">
        <f>+F6</f>
        <v>Each</v>
      </c>
      <c r="G7" s="85">
        <f>+J25</f>
        <v>14713.659642729153</v>
      </c>
    </row>
    <row r="8" spans="1:12" ht="25.5" hidden="1">
      <c r="A8" s="2"/>
      <c r="B8" s="54">
        <v>317</v>
      </c>
      <c r="C8" s="7" t="str">
        <f>+G12</f>
        <v>WHIP</v>
      </c>
      <c r="D8" s="53" t="s">
        <v>1299</v>
      </c>
      <c r="E8" s="110" t="s">
        <v>1309</v>
      </c>
      <c r="F8" s="7" t="str">
        <f>D36</f>
        <v>Each</v>
      </c>
      <c r="G8" s="85">
        <f>+K25</f>
        <v>0</v>
      </c>
    </row>
    <row r="9" spans="1:12" ht="25.5" hidden="1">
      <c r="A9" s="2"/>
      <c r="B9" s="8">
        <f>+B8</f>
        <v>317</v>
      </c>
      <c r="C9" s="10" t="str">
        <f>+C8</f>
        <v>WHIP</v>
      </c>
      <c r="D9" s="9" t="s">
        <v>1299</v>
      </c>
      <c r="E9" s="111" t="str">
        <f>CONCATENATE(E6, "-HU")</f>
        <v>Mortality Composter/ 8 Broiler Hs/ up to 1060 Sow/Farrow/wood-HU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52.778165835115225</v>
      </c>
      <c r="E16" s="160">
        <f>+'[12]Payment Factors'!D45</f>
        <v>0.75</v>
      </c>
      <c r="F16" s="160">
        <f>+'[12]Payment Factors'!E45</f>
        <v>0.9</v>
      </c>
      <c r="G16" s="160">
        <f>+'[12]Payment Factors'!F19</f>
        <v>0</v>
      </c>
      <c r="H16" s="160">
        <f>+'[12]Payment Factors'!G19</f>
        <v>0</v>
      </c>
      <c r="I16" s="1154">
        <f t="shared" ref="I16:L24" si="0">+$D16*E16</f>
        <v>39.583624376336417</v>
      </c>
      <c r="J16" s="1154">
        <f t="shared" si="0"/>
        <v>47.500349251603701</v>
      </c>
      <c r="K16" s="1154">
        <f t="shared" si="0"/>
        <v>0</v>
      </c>
      <c r="L16" s="1155">
        <f t="shared" si="0"/>
        <v>0</v>
      </c>
    </row>
    <row r="17" spans="1:12" hidden="1">
      <c r="A17" s="2"/>
      <c r="B17" s="15" t="s">
        <v>2</v>
      </c>
      <c r="C17" s="16"/>
      <c r="D17" s="24">
        <f>+I52</f>
        <v>13446.627983333334</v>
      </c>
      <c r="E17" s="160">
        <f t="shared" ref="E17:H19" si="1">+E16</f>
        <v>0.75</v>
      </c>
      <c r="F17" s="160">
        <f t="shared" si="1"/>
        <v>0.9</v>
      </c>
      <c r="G17" s="160">
        <f t="shared" si="1"/>
        <v>0</v>
      </c>
      <c r="H17" s="160">
        <f t="shared" si="1"/>
        <v>0</v>
      </c>
      <c r="I17" s="1154">
        <f t="shared" si="0"/>
        <v>10084.970987500001</v>
      </c>
      <c r="J17" s="1154">
        <f t="shared" si="0"/>
        <v>12101.965185000001</v>
      </c>
      <c r="K17" s="1154">
        <f t="shared" si="0"/>
        <v>0</v>
      </c>
      <c r="L17" s="1155">
        <f t="shared" si="0"/>
        <v>0</v>
      </c>
    </row>
    <row r="18" spans="1:12" hidden="1">
      <c r="A18" s="2"/>
      <c r="B18" s="15" t="s">
        <v>3</v>
      </c>
      <c r="C18" s="16"/>
      <c r="D18" s="24">
        <f>+I70</f>
        <v>2372.93435</v>
      </c>
      <c r="E18" s="160">
        <f t="shared" si="1"/>
        <v>0.75</v>
      </c>
      <c r="F18" s="160">
        <f t="shared" si="1"/>
        <v>0.9</v>
      </c>
      <c r="G18" s="160">
        <f t="shared" si="1"/>
        <v>0</v>
      </c>
      <c r="H18" s="160">
        <f t="shared" si="1"/>
        <v>0</v>
      </c>
      <c r="I18" s="1154">
        <f t="shared" si="0"/>
        <v>1779.7007625000001</v>
      </c>
      <c r="J18" s="1154">
        <f t="shared" si="0"/>
        <v>2135.6409149999999</v>
      </c>
      <c r="K18" s="1154">
        <f t="shared" si="0"/>
        <v>0</v>
      </c>
      <c r="L18" s="1155">
        <f t="shared" si="0"/>
        <v>0</v>
      </c>
    </row>
    <row r="19" spans="1:12" hidden="1">
      <c r="A19" s="2"/>
      <c r="B19" s="15" t="s">
        <v>4</v>
      </c>
      <c r="C19" s="16"/>
      <c r="D19" s="24">
        <f>+I76</f>
        <v>476.17021497505345</v>
      </c>
      <c r="E19" s="160">
        <f t="shared" si="1"/>
        <v>0.75</v>
      </c>
      <c r="F19" s="160">
        <f t="shared" si="1"/>
        <v>0.9</v>
      </c>
      <c r="G19" s="160">
        <f t="shared" si="1"/>
        <v>0</v>
      </c>
      <c r="H19" s="160">
        <f t="shared" si="1"/>
        <v>0</v>
      </c>
      <c r="I19" s="1154">
        <f t="shared" si="0"/>
        <v>357.12766123129006</v>
      </c>
      <c r="J19" s="1154">
        <f t="shared" si="0"/>
        <v>428.55319347754812</v>
      </c>
      <c r="K19" s="1154">
        <f t="shared" si="0"/>
        <v>0</v>
      </c>
      <c r="L19" s="1155">
        <f t="shared" si="0"/>
        <v>0</v>
      </c>
    </row>
    <row r="20" spans="1:12" hidden="1">
      <c r="A20" s="2"/>
      <c r="B20" s="15" t="s">
        <v>26</v>
      </c>
      <c r="C20" s="16"/>
      <c r="D20" s="24">
        <f>+I79</f>
        <v>158.7234049916845</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16507.234119135188</v>
      </c>
      <c r="E25" s="1158"/>
      <c r="F25" s="1158"/>
      <c r="G25" s="28"/>
      <c r="H25" s="28"/>
      <c r="I25" s="1159">
        <f>SUM(I16:I24)</f>
        <v>12261.383035607629</v>
      </c>
      <c r="J25" s="1159">
        <f>SUM(J16:J24)</f>
        <v>14713.659642729153</v>
      </c>
      <c r="K25" s="1159">
        <f>SUM(K16:K24)</f>
        <v>0</v>
      </c>
      <c r="L25" s="1160">
        <f>SUM(L16:L24)</f>
        <v>0</v>
      </c>
    </row>
    <row r="26" spans="1:12" hidden="1"/>
    <row r="27" spans="1:12" ht="15.75">
      <c r="A27" s="2"/>
      <c r="B27" s="50" t="s">
        <v>28</v>
      </c>
      <c r="C27" s="2"/>
      <c r="D27" s="2"/>
      <c r="E27" s="2"/>
      <c r="F27" s="2"/>
      <c r="G27" s="2"/>
      <c r="H27" s="2"/>
      <c r="I27" s="5"/>
    </row>
    <row r="28" spans="1:12">
      <c r="A28" s="2"/>
      <c r="B28" s="29" t="s">
        <v>1310</v>
      </c>
      <c r="C28" s="30"/>
      <c r="D28" s="30"/>
      <c r="E28" s="31"/>
      <c r="F28" s="31"/>
      <c r="G28" s="31"/>
      <c r="H28" s="31"/>
      <c r="I28" s="32"/>
    </row>
    <row r="29" spans="1:12">
      <c r="A29" s="2"/>
      <c r="B29" s="1161" t="s">
        <v>1302</v>
      </c>
      <c r="C29" s="34"/>
      <c r="D29" s="34"/>
      <c r="E29" s="35"/>
      <c r="F29" s="35"/>
      <c r="G29" s="35"/>
      <c r="H29" s="35"/>
      <c r="I29" s="36"/>
    </row>
    <row r="30" spans="1:12">
      <c r="A30" s="2"/>
      <c r="B30" s="1161" t="s">
        <v>1303</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+'[12]Payment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+'[14]Core Rates'!C203</f>
        <v>8.75</v>
      </c>
      <c r="F43" s="1170">
        <v>0.4</v>
      </c>
      <c r="G43" s="1171">
        <f t="shared" si="2"/>
        <v>3.5</v>
      </c>
      <c r="H43" s="35"/>
      <c r="I43" s="36"/>
    </row>
    <row r="44" spans="1:9">
      <c r="A44" s="2"/>
      <c r="B44" s="1184" t="s">
        <v>453</v>
      </c>
      <c r="C44" s="6"/>
      <c r="D44" s="1185" t="s">
        <v>454</v>
      </c>
      <c r="E44" s="1169">
        <f>+'[14]Core Rates'!C228</f>
        <v>0.82427536231884069</v>
      </c>
      <c r="F44" s="1170">
        <v>10</v>
      </c>
      <c r="G44" s="1171">
        <f t="shared" si="2"/>
        <v>8.2427536231884062</v>
      </c>
      <c r="H44" s="35"/>
      <c r="I44" s="36"/>
    </row>
    <row r="45" spans="1:9">
      <c r="A45" s="2"/>
      <c r="B45" s="1186" t="s">
        <v>455</v>
      </c>
      <c r="C45" s="1187"/>
      <c r="D45" s="1185" t="s">
        <v>454</v>
      </c>
      <c r="E45" s="1169">
        <f>+'[14]Core Rates'!C235</f>
        <v>1.1702898550724636</v>
      </c>
      <c r="F45" s="1170">
        <v>10</v>
      </c>
      <c r="G45" s="1171">
        <f t="shared" si="2"/>
        <v>11.702898550724637</v>
      </c>
      <c r="H45" s="35"/>
      <c r="I45" s="36"/>
    </row>
    <row r="46" spans="1:9">
      <c r="A46" s="2"/>
      <c r="B46" s="1186" t="s">
        <v>456</v>
      </c>
      <c r="C46" s="1187"/>
      <c r="D46" s="1168" t="s">
        <v>454</v>
      </c>
      <c r="E46" s="1169">
        <f>+'[14]Core Rates'!C246</f>
        <v>0.58825136612021856</v>
      </c>
      <c r="F46" s="1170">
        <v>10</v>
      </c>
      <c r="G46" s="1171">
        <f t="shared" si="2"/>
        <v>5.8825136612021858</v>
      </c>
      <c r="H46" s="35"/>
      <c r="I46" s="36"/>
    </row>
    <row r="47" spans="1:9">
      <c r="A47" s="2"/>
      <c r="B47" s="1186" t="str">
        <f>+'[14]Core Rates'!A313</f>
        <v>Seed (Tall Fescue KY-31)</v>
      </c>
      <c r="C47" s="1187"/>
      <c r="D47" s="1185" t="s">
        <v>454</v>
      </c>
      <c r="E47" s="1169">
        <f>+'[14]Core Rates'!C313</f>
        <v>2.3449999999999998</v>
      </c>
      <c r="F47" s="1170">
        <v>10</v>
      </c>
      <c r="G47" s="1171">
        <f t="shared" si="2"/>
        <v>23.449999999999996</v>
      </c>
      <c r="H47" s="35"/>
      <c r="I47" s="36"/>
    </row>
    <row r="48" spans="1:9">
      <c r="A48" s="2"/>
      <c r="B48" s="1186" t="s">
        <v>480</v>
      </c>
      <c r="C48" s="1187"/>
      <c r="D48" s="1185" t="s">
        <v>454</v>
      </c>
      <c r="E48" s="1169">
        <f>+'[14]Core Rates'!C311</f>
        <v>2.0975000000000001</v>
      </c>
      <c r="F48" s="1170">
        <v>0</v>
      </c>
      <c r="G48" s="1171">
        <f t="shared" si="2"/>
        <v>0</v>
      </c>
      <c r="H48" s="35"/>
      <c r="I48" s="36"/>
    </row>
    <row r="49" spans="1:9">
      <c r="A49" s="2"/>
      <c r="B49" s="1186" t="s">
        <v>481</v>
      </c>
      <c r="C49" s="1187"/>
      <c r="D49" s="1185" t="s">
        <v>454</v>
      </c>
      <c r="E49" s="1169">
        <f>+'[14]Core Rates'!C312</f>
        <v>3.5</v>
      </c>
      <c r="F49" s="1170">
        <v>0</v>
      </c>
      <c r="G49" s="1171">
        <f t="shared" si="2"/>
        <v>0</v>
      </c>
      <c r="H49" s="35"/>
      <c r="I49" s="36"/>
    </row>
    <row r="50" spans="1:9">
      <c r="A50" s="2"/>
      <c r="B50" s="1184"/>
      <c r="C50" s="6"/>
      <c r="D50" s="1173"/>
      <c r="E50" s="1190"/>
      <c r="F50" s="35"/>
      <c r="G50" s="35"/>
      <c r="H50" s="35"/>
      <c r="I50" s="36"/>
    </row>
    <row r="51" spans="1:9">
      <c r="A51" s="2"/>
      <c r="B51" s="1172"/>
      <c r="C51" s="6"/>
      <c r="D51" s="1173"/>
      <c r="E51" s="35"/>
      <c r="F51" s="35"/>
      <c r="G51" s="35"/>
      <c r="H51" s="35"/>
      <c r="I51" s="36"/>
    </row>
    <row r="52" spans="1:9">
      <c r="A52" s="2"/>
      <c r="B52" s="42" t="s">
        <v>2</v>
      </c>
      <c r="C52" s="35"/>
      <c r="D52" s="35"/>
      <c r="E52" s="2003" t="s">
        <v>459</v>
      </c>
      <c r="F52" s="2003"/>
      <c r="G52" s="2003"/>
      <c r="H52" s="2003"/>
      <c r="I52" s="1166">
        <f>(SUM(G54:G63)*0.85)</f>
        <v>13446.627983333334</v>
      </c>
    </row>
    <row r="53" spans="1:9">
      <c r="A53" s="2"/>
      <c r="B53" s="1174"/>
      <c r="C53" s="35"/>
      <c r="D53" s="1167" t="s">
        <v>447</v>
      </c>
      <c r="E53" s="1167" t="s">
        <v>448</v>
      </c>
      <c r="F53" s="1167" t="s">
        <v>449</v>
      </c>
      <c r="G53" s="1167" t="s">
        <v>450</v>
      </c>
      <c r="H53" s="35"/>
      <c r="I53" s="46"/>
    </row>
    <row r="54" spans="1:9">
      <c r="A54" s="2"/>
      <c r="B54" s="1387" t="str">
        <f>+'[14]Core Rates'!A111</f>
        <v>Earthmoving: Medium grading/shaping (2-6 hrs/ac)</v>
      </c>
      <c r="C54" s="6"/>
      <c r="D54" s="1168" t="s">
        <v>408</v>
      </c>
      <c r="E54" s="1169">
        <f>+'[14]Core Rates'!C111</f>
        <v>503.625</v>
      </c>
      <c r="F54" s="1170">
        <v>0.2</v>
      </c>
      <c r="G54" s="1171">
        <f t="shared" ref="G54:G63" si="3">+F54*E54</f>
        <v>100.72500000000001</v>
      </c>
      <c r="H54" s="35"/>
      <c r="I54" s="47"/>
    </row>
    <row r="55" spans="1:9">
      <c r="A55" s="2"/>
      <c r="B55" s="1186" t="str">
        <f>+'[14]Core Rates'!A241</f>
        <v>Pole Barn Type Structure (w/o floor or walls) *</v>
      </c>
      <c r="C55" s="1376"/>
      <c r="D55" s="1382" t="str">
        <f>+'[14]Core Rates'!B241</f>
        <v>Sq Ft</v>
      </c>
      <c r="E55" s="1383">
        <f>+'[14]Core Rates'!C241</f>
        <v>5.8983750000000006</v>
      </c>
      <c r="F55" s="1170">
        <v>1088</v>
      </c>
      <c r="G55" s="1171">
        <f t="shared" si="3"/>
        <v>6417.4320000000007</v>
      </c>
      <c r="H55" s="35"/>
      <c r="I55" s="47"/>
    </row>
    <row r="56" spans="1:9">
      <c r="A56" s="2"/>
      <c r="B56" s="1186" t="str">
        <f>+'[14]Core Rates'!A351</f>
        <v>Wood Wall (4 1/2' ht w/ 2" PT timbers): Installed</v>
      </c>
      <c r="C56" s="6"/>
      <c r="D56" s="1382" t="str">
        <f>+'[14]Core Rates'!B351</f>
        <v>Lin Ft</v>
      </c>
      <c r="E56" s="1383">
        <f>+'[14]Core Rates'!C351</f>
        <v>26.964000000000002</v>
      </c>
      <c r="F56" s="1170">
        <v>209</v>
      </c>
      <c r="G56" s="1171">
        <f t="shared" si="3"/>
        <v>5635.4760000000006</v>
      </c>
      <c r="H56" s="35"/>
      <c r="I56" s="47"/>
    </row>
    <row r="57" spans="1:9">
      <c r="A57" s="2"/>
      <c r="B57" s="1186" t="str">
        <f>+'[14]Core Rates'!A39</f>
        <v>Concrete (Slab in Place, includes wire mesh or fiber)</v>
      </c>
      <c r="C57" s="6"/>
      <c r="D57" s="1382" t="str">
        <f>+'[14]Core Rates'!B39</f>
        <v>Cu Yd</v>
      </c>
      <c r="E57" s="1383">
        <f>+'[14]Core Rates'!C39</f>
        <v>146.05500000000001</v>
      </c>
      <c r="F57" s="1170">
        <v>17</v>
      </c>
      <c r="G57" s="1171">
        <f t="shared" si="3"/>
        <v>2482.9349999999999</v>
      </c>
      <c r="H57" s="35"/>
      <c r="I57" s="47"/>
    </row>
    <row r="58" spans="1:9">
      <c r="A58" s="2"/>
      <c r="B58" s="1186" t="str">
        <f>+'[14]Core Rates'!A266</f>
        <v>Rock/Geo-Textile (Installed)</v>
      </c>
      <c r="C58" s="6"/>
      <c r="D58" s="1382" t="str">
        <f>+'[14]Core Rates'!B266</f>
        <v>Sq Ft</v>
      </c>
      <c r="E58" s="1385">
        <f>+'[14]Core Rates'!C266</f>
        <v>1.3482000000000001</v>
      </c>
      <c r="F58" s="1170">
        <v>730</v>
      </c>
      <c r="G58" s="1171">
        <f t="shared" si="3"/>
        <v>984.18600000000004</v>
      </c>
      <c r="H58" s="35"/>
      <c r="I58" s="47"/>
    </row>
    <row r="59" spans="1:9">
      <c r="A59" s="2"/>
      <c r="B59" s="40" t="s">
        <v>461</v>
      </c>
      <c r="C59" s="6"/>
      <c r="D59" s="1168" t="s">
        <v>408</v>
      </c>
      <c r="E59" s="1169">
        <f>+'[14]Core Rates'!C104</f>
        <v>20</v>
      </c>
      <c r="F59" s="1170">
        <v>0.2</v>
      </c>
      <c r="G59" s="1171">
        <f t="shared" si="3"/>
        <v>4</v>
      </c>
      <c r="H59" s="35"/>
      <c r="I59" s="47"/>
    </row>
    <row r="60" spans="1:9">
      <c r="A60" s="2"/>
      <c r="B60" s="40" t="s">
        <v>462</v>
      </c>
      <c r="C60" s="6"/>
      <c r="D60" s="1168" t="s">
        <v>408</v>
      </c>
      <c r="E60" s="1169">
        <f>+'[14]Core Rates'!AN33</f>
        <v>5.416666666666667</v>
      </c>
      <c r="F60" s="1170">
        <v>0.2</v>
      </c>
      <c r="G60" s="1171">
        <f t="shared" si="3"/>
        <v>1.0833333333333335</v>
      </c>
      <c r="H60" s="35"/>
      <c r="I60" s="47"/>
    </row>
    <row r="61" spans="1:9">
      <c r="A61" s="2"/>
      <c r="B61" s="40" t="s">
        <v>463</v>
      </c>
      <c r="C61" s="6"/>
      <c r="D61" s="1168" t="s">
        <v>452</v>
      </c>
      <c r="E61" s="1169">
        <f>+'[14]Core Rates'!AN34</f>
        <v>5.5</v>
      </c>
      <c r="F61" s="1170">
        <v>0.4</v>
      </c>
      <c r="G61" s="1171">
        <f t="shared" si="3"/>
        <v>2.2000000000000002</v>
      </c>
      <c r="H61" s="35"/>
      <c r="I61" s="47"/>
    </row>
    <row r="62" spans="1:9">
      <c r="A62" s="2"/>
      <c r="B62" s="40" t="s">
        <v>464</v>
      </c>
      <c r="C62" s="6"/>
      <c r="D62" s="1168" t="s">
        <v>452</v>
      </c>
      <c r="E62" s="1169">
        <f>+'[14]Core Rates'!AN32</f>
        <v>6.3125</v>
      </c>
      <c r="F62" s="1170">
        <v>0.4</v>
      </c>
      <c r="G62" s="1171">
        <f t="shared" si="3"/>
        <v>2.5250000000000004</v>
      </c>
      <c r="H62" s="35"/>
      <c r="I62" s="47"/>
    </row>
    <row r="63" spans="1:9">
      <c r="A63" s="2"/>
      <c r="B63" s="40" t="s">
        <v>1280</v>
      </c>
      <c r="C63" s="6"/>
      <c r="D63" s="1168" t="s">
        <v>619</v>
      </c>
      <c r="E63" s="1169">
        <f>+'[14]Core Rates'!C217</f>
        <v>472.5</v>
      </c>
      <c r="F63" s="1170">
        <v>0.4</v>
      </c>
      <c r="G63" s="1171">
        <f t="shared" si="3"/>
        <v>189</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1304</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2372.93435</v>
      </c>
    </row>
    <row r="71" spans="1:9">
      <c r="A71" s="2"/>
      <c r="B71" s="2007" t="s">
        <v>465</v>
      </c>
      <c r="C71" s="2008"/>
      <c r="D71" s="35"/>
      <c r="E71" s="35"/>
      <c r="F71" s="35"/>
      <c r="G71" s="35"/>
      <c r="H71" s="35"/>
      <c r="I71" s="48"/>
    </row>
    <row r="72" spans="1:9">
      <c r="A72" s="2"/>
      <c r="B72" s="37" t="s">
        <v>466</v>
      </c>
      <c r="C72" s="39"/>
      <c r="D72" s="39"/>
      <c r="E72" s="153">
        <f>SUM(G54:G63)*0.15</f>
        <v>2372.93435</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0.03*(I40+I52+I70)</f>
        <v>476.17021497505345</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0.01*(I40+I52+I70)</f>
        <v>158.7234049916845</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1283</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1283</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+I40+I52+I70+I76+I82+I92</f>
        <v>16348.510714143502</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16507.234119135188</v>
      </c>
    </row>
  </sheetData>
  <mergeCells count="4">
    <mergeCell ref="B1:D1"/>
    <mergeCell ref="E52:H52"/>
    <mergeCell ref="B66:I67"/>
    <mergeCell ref="B71:C71"/>
  </mergeCells>
  <pageMargins left="0.75" right="0.75" top="1" bottom="1" header="0.5" footer="0.5"/>
  <pageSetup scale="59" orientation="portrait" r:id="rId1"/>
  <headerFooter alignWithMargins="0"/>
</worksheet>
</file>

<file path=xl/worksheets/sheet6.xml><?xml version="1.0" encoding="utf-8"?>
<worksheet xmlns="http://schemas.openxmlformats.org/spreadsheetml/2006/main" xmlns:r="http://schemas.openxmlformats.org/officeDocument/2006/relationships">
  <dimension ref="A1:L55"/>
  <sheetViews>
    <sheetView view="pageBreakPreview" topLeftCell="A16" zoomScaleNormal="100" workbookViewId="0">
      <selection activeCell="D42" sqref="D42"/>
    </sheetView>
  </sheetViews>
  <sheetFormatPr defaultRowHeight="12.75"/>
  <cols>
    <col min="2" max="2" width="20.85546875" customWidth="1"/>
    <col min="3" max="3" width="26.5703125" bestFit="1" customWidth="1"/>
    <col min="4" max="4" width="21.28515625" customWidth="1"/>
    <col min="5" max="5" width="15.28515625" customWidth="1"/>
    <col min="6" max="6" width="10.28515625" customWidth="1"/>
    <col min="7" max="7" width="13" customWidth="1"/>
    <col min="8" max="8" width="10.140625" customWidth="1"/>
    <col min="9" max="9" width="11" customWidth="1"/>
    <col min="10" max="10" width="11.28515625" customWidth="1"/>
    <col min="11" max="11" width="9.85546875" customWidth="1"/>
  </cols>
  <sheetData>
    <row r="1" spans="1:12">
      <c r="A1" s="2"/>
      <c r="B1" s="2"/>
      <c r="C1" s="2"/>
      <c r="D1" s="2"/>
      <c r="E1" s="2"/>
      <c r="F1" s="2"/>
      <c r="G1" s="2"/>
      <c r="H1" s="2"/>
      <c r="I1" s="2"/>
      <c r="J1" s="2"/>
      <c r="K1" s="2"/>
    </row>
    <row r="2" spans="1:12" ht="15.75">
      <c r="A2" s="118" t="s">
        <v>17</v>
      </c>
      <c r="B2" s="119"/>
      <c r="C2" s="119"/>
      <c r="D2" s="119"/>
      <c r="E2" s="119"/>
      <c r="F2" s="119"/>
      <c r="G2" s="2"/>
      <c r="H2" s="2"/>
      <c r="I2" s="2"/>
      <c r="J2" s="2"/>
      <c r="K2" s="2"/>
    </row>
    <row r="3" spans="1:12" ht="25.5">
      <c r="A3" s="120" t="s">
        <v>37</v>
      </c>
      <c r="B3" s="121" t="s">
        <v>75</v>
      </c>
      <c r="C3" s="122" t="s">
        <v>29</v>
      </c>
      <c r="D3" s="122" t="s">
        <v>30</v>
      </c>
      <c r="E3" s="121" t="s">
        <v>23</v>
      </c>
      <c r="F3" s="123" t="s">
        <v>76</v>
      </c>
      <c r="G3" s="124" t="s">
        <v>77</v>
      </c>
      <c r="K3" s="2"/>
    </row>
    <row r="4" spans="1:12" ht="25.5">
      <c r="A4" s="54">
        <v>102</v>
      </c>
      <c r="B4" s="7" t="s">
        <v>78</v>
      </c>
      <c r="C4" s="125" t="s">
        <v>79</v>
      </c>
      <c r="D4" s="110" t="s">
        <v>117</v>
      </c>
      <c r="E4" s="7" t="s">
        <v>81</v>
      </c>
      <c r="F4" s="85">
        <f>+F21</f>
        <v>4956</v>
      </c>
      <c r="G4" s="126" t="str">
        <f>+C26</f>
        <v>Statewide</v>
      </c>
      <c r="K4" s="2"/>
    </row>
    <row r="5" spans="1:12" ht="25.5">
      <c r="A5" s="8">
        <v>102</v>
      </c>
      <c r="B5" s="10" t="s">
        <v>78</v>
      </c>
      <c r="C5" s="127" t="s">
        <v>79</v>
      </c>
      <c r="D5" s="111" t="s">
        <v>118</v>
      </c>
      <c r="E5" s="10" t="s">
        <v>81</v>
      </c>
      <c r="F5" s="86">
        <f>G21</f>
        <v>5947.2</v>
      </c>
      <c r="G5" s="2" t="str">
        <f>+C26</f>
        <v>Statewide</v>
      </c>
      <c r="K5" s="2"/>
    </row>
    <row r="6" spans="1:12">
      <c r="A6" s="4"/>
      <c r="B6" s="3"/>
      <c r="C6" s="3"/>
      <c r="D6" s="2"/>
      <c r="E6" s="2"/>
      <c r="K6" s="2"/>
    </row>
    <row r="7" spans="1:12" ht="15.75">
      <c r="A7" s="1" t="s">
        <v>18</v>
      </c>
      <c r="B7" s="3"/>
      <c r="C7" s="3"/>
      <c r="D7" s="2"/>
      <c r="E7" s="2"/>
      <c r="I7" s="81"/>
      <c r="J7" s="81"/>
      <c r="K7" s="49"/>
      <c r="L7" s="81"/>
    </row>
    <row r="8" spans="1:12">
      <c r="A8" s="128"/>
      <c r="B8" s="11"/>
      <c r="C8" s="12"/>
      <c r="D8" s="13" t="s">
        <v>83</v>
      </c>
      <c r="E8" s="13" t="s">
        <v>84</v>
      </c>
      <c r="F8" s="13" t="s">
        <v>85</v>
      </c>
      <c r="G8" s="14" t="s">
        <v>15</v>
      </c>
      <c r="H8" s="87"/>
      <c r="I8" s="87"/>
      <c r="J8" s="81"/>
    </row>
    <row r="9" spans="1:12">
      <c r="A9" s="15"/>
      <c r="B9" s="67"/>
      <c r="C9" s="16"/>
      <c r="D9" s="17" t="s">
        <v>22</v>
      </c>
      <c r="E9" s="17" t="s">
        <v>22</v>
      </c>
      <c r="F9" s="17" t="s">
        <v>86</v>
      </c>
      <c r="G9" s="18" t="s">
        <v>87</v>
      </c>
      <c r="H9" s="87"/>
      <c r="I9" s="87"/>
      <c r="J9" s="81"/>
    </row>
    <row r="10" spans="1:12">
      <c r="A10" s="19"/>
      <c r="B10" s="16"/>
      <c r="C10" s="16"/>
      <c r="D10" s="17" t="s">
        <v>12</v>
      </c>
      <c r="E10" s="17" t="s">
        <v>12</v>
      </c>
      <c r="F10" s="17" t="s">
        <v>12</v>
      </c>
      <c r="G10" s="18" t="s">
        <v>12</v>
      </c>
      <c r="H10" s="87"/>
      <c r="I10" s="87"/>
      <c r="J10" s="81"/>
    </row>
    <row r="11" spans="1:12">
      <c r="A11" s="129" t="s">
        <v>16</v>
      </c>
      <c r="B11" s="16"/>
      <c r="C11" s="22" t="s">
        <v>6</v>
      </c>
      <c r="D11" s="22" t="s">
        <v>24</v>
      </c>
      <c r="E11" s="22" t="s">
        <v>24</v>
      </c>
      <c r="F11" s="22" t="s">
        <v>14</v>
      </c>
      <c r="G11" s="23" t="s">
        <v>14</v>
      </c>
      <c r="H11" s="88"/>
      <c r="I11" s="88"/>
      <c r="J11" s="81"/>
    </row>
    <row r="12" spans="1:12">
      <c r="A12" s="15" t="s">
        <v>0</v>
      </c>
      <c r="B12" s="16"/>
      <c r="C12" s="24">
        <f>+I34/C29</f>
        <v>408</v>
      </c>
      <c r="D12" s="130">
        <v>0.75</v>
      </c>
      <c r="E12" s="130">
        <v>0.9</v>
      </c>
      <c r="F12" s="73">
        <f t="shared" ref="F12:G20" si="0">+$C12*D12</f>
        <v>306</v>
      </c>
      <c r="G12" s="74">
        <f t="shared" si="0"/>
        <v>367.2</v>
      </c>
      <c r="H12" s="131"/>
      <c r="I12" s="132"/>
      <c r="J12" s="81"/>
    </row>
    <row r="13" spans="1:12">
      <c r="A13" s="15" t="s">
        <v>2</v>
      </c>
      <c r="B13" s="16"/>
      <c r="C13" s="24">
        <f>+I38/C29</f>
        <v>0</v>
      </c>
      <c r="D13" s="130">
        <v>0.75</v>
      </c>
      <c r="E13" s="130">
        <v>0.9</v>
      </c>
      <c r="F13" s="73">
        <f t="shared" si="0"/>
        <v>0</v>
      </c>
      <c r="G13" s="74">
        <f t="shared" si="0"/>
        <v>0</v>
      </c>
      <c r="H13" s="131"/>
      <c r="I13" s="132"/>
      <c r="J13" s="81"/>
    </row>
    <row r="14" spans="1:12">
      <c r="A14" s="15" t="s">
        <v>3</v>
      </c>
      <c r="B14" s="16"/>
      <c r="C14" s="24">
        <f>+I40/C29</f>
        <v>6000</v>
      </c>
      <c r="D14" s="130">
        <v>0.75</v>
      </c>
      <c r="E14" s="130">
        <v>0.9</v>
      </c>
      <c r="F14" s="73">
        <f t="shared" si="0"/>
        <v>4500</v>
      </c>
      <c r="G14" s="74">
        <f t="shared" si="0"/>
        <v>5400</v>
      </c>
      <c r="H14" s="131"/>
      <c r="I14" s="132"/>
      <c r="J14" s="81"/>
    </row>
    <row r="15" spans="1:12">
      <c r="A15" s="15" t="s">
        <v>4</v>
      </c>
      <c r="B15" s="16"/>
      <c r="C15" s="24">
        <f>+I43/C29</f>
        <v>200</v>
      </c>
      <c r="D15" s="130">
        <v>0.75</v>
      </c>
      <c r="E15" s="130">
        <v>0.9</v>
      </c>
      <c r="F15" s="73">
        <f t="shared" si="0"/>
        <v>150</v>
      </c>
      <c r="G15" s="74">
        <f t="shared" si="0"/>
        <v>180</v>
      </c>
      <c r="H15" s="131"/>
      <c r="I15" s="132"/>
      <c r="J15" s="81"/>
    </row>
    <row r="16" spans="1:12">
      <c r="A16" s="15" t="s">
        <v>26</v>
      </c>
      <c r="B16" s="16"/>
      <c r="C16" s="24">
        <f>+I45/C29</f>
        <v>0</v>
      </c>
      <c r="D16" s="130">
        <v>0</v>
      </c>
      <c r="E16" s="130">
        <v>0</v>
      </c>
      <c r="F16" s="73">
        <f t="shared" si="0"/>
        <v>0</v>
      </c>
      <c r="G16" s="74">
        <f t="shared" si="0"/>
        <v>0</v>
      </c>
      <c r="H16" s="131"/>
      <c r="I16" s="132"/>
      <c r="J16" s="81"/>
    </row>
    <row r="17" spans="1:12">
      <c r="A17" s="15" t="s">
        <v>7</v>
      </c>
      <c r="B17" s="16"/>
      <c r="C17" s="24">
        <f>+I47/C29</f>
        <v>0</v>
      </c>
      <c r="D17" s="130">
        <v>0</v>
      </c>
      <c r="E17" s="130">
        <v>0</v>
      </c>
      <c r="F17" s="73">
        <f t="shared" si="0"/>
        <v>0</v>
      </c>
      <c r="G17" s="74">
        <f t="shared" si="0"/>
        <v>0</v>
      </c>
      <c r="H17" s="131"/>
      <c r="I17" s="132"/>
      <c r="J17" s="81"/>
    </row>
    <row r="18" spans="1:12">
      <c r="A18" s="15" t="s">
        <v>27</v>
      </c>
      <c r="B18" s="16"/>
      <c r="C18" s="24">
        <f>+I49/C29</f>
        <v>0</v>
      </c>
      <c r="D18" s="130">
        <v>0</v>
      </c>
      <c r="E18" s="130">
        <v>0</v>
      </c>
      <c r="F18" s="73">
        <f t="shared" si="0"/>
        <v>0</v>
      </c>
      <c r="G18" s="74">
        <f t="shared" si="0"/>
        <v>0</v>
      </c>
      <c r="H18" s="131"/>
      <c r="I18" s="132"/>
      <c r="J18" s="81"/>
    </row>
    <row r="19" spans="1:12">
      <c r="A19" s="15" t="s">
        <v>5</v>
      </c>
      <c r="B19" s="16"/>
      <c r="C19" s="24">
        <f>+I51/C29</f>
        <v>0</v>
      </c>
      <c r="D19" s="130">
        <v>0</v>
      </c>
      <c r="E19" s="130">
        <v>0</v>
      </c>
      <c r="F19" s="73">
        <f t="shared" si="0"/>
        <v>0</v>
      </c>
      <c r="G19" s="74">
        <f t="shared" si="0"/>
        <v>0</v>
      </c>
      <c r="H19" s="131"/>
      <c r="I19" s="132"/>
      <c r="J19" s="81"/>
    </row>
    <row r="20" spans="1:12">
      <c r="A20" s="15" t="s">
        <v>88</v>
      </c>
      <c r="B20" s="16"/>
      <c r="C20" s="75">
        <f>+I53/C29</f>
        <v>0</v>
      </c>
      <c r="D20" s="130">
        <v>0</v>
      </c>
      <c r="E20" s="130">
        <v>0</v>
      </c>
      <c r="F20" s="133">
        <f t="shared" si="0"/>
        <v>0</v>
      </c>
      <c r="G20" s="134">
        <f t="shared" si="0"/>
        <v>0</v>
      </c>
      <c r="H20" s="135"/>
      <c r="I20" s="136"/>
      <c r="J20" s="81"/>
    </row>
    <row r="21" spans="1:12">
      <c r="A21" s="137" t="s">
        <v>19</v>
      </c>
      <c r="B21" s="27"/>
      <c r="C21" s="51">
        <f>SUM(C12:C20)</f>
        <v>6608</v>
      </c>
      <c r="D21" s="28"/>
      <c r="E21" s="28"/>
      <c r="F21" s="138">
        <f>SUM(F12:F20)</f>
        <v>4956</v>
      </c>
      <c r="G21" s="139">
        <f>SUM(G12:G20)</f>
        <v>5947.2</v>
      </c>
      <c r="H21" s="132"/>
      <c r="I21" s="132"/>
      <c r="J21" s="81"/>
    </row>
    <row r="22" spans="1:12">
      <c r="A22" s="2"/>
      <c r="B22" s="2"/>
      <c r="C22" s="2"/>
      <c r="D22" s="2"/>
      <c r="E22" s="2"/>
      <c r="F22" s="2"/>
      <c r="G22" s="2"/>
      <c r="H22" s="2"/>
      <c r="I22" s="49"/>
      <c r="J22" s="49"/>
      <c r="K22" s="49"/>
      <c r="L22" s="81"/>
    </row>
    <row r="23" spans="1:12" ht="15.75">
      <c r="A23" s="50" t="s">
        <v>28</v>
      </c>
      <c r="B23" s="2"/>
      <c r="C23" s="2"/>
      <c r="D23" s="2"/>
      <c r="E23" s="2"/>
      <c r="F23" s="2"/>
      <c r="G23" s="2"/>
      <c r="H23" s="2"/>
      <c r="I23" s="140"/>
      <c r="J23" s="2"/>
      <c r="K23" s="2"/>
    </row>
    <row r="24" spans="1:12">
      <c r="A24" s="29" t="s">
        <v>89</v>
      </c>
      <c r="B24" s="30"/>
      <c r="C24" s="30"/>
      <c r="D24" s="31"/>
      <c r="E24" s="31"/>
      <c r="F24" s="31"/>
      <c r="G24" s="31"/>
      <c r="H24" s="31"/>
      <c r="I24" s="32"/>
      <c r="J24" s="2"/>
      <c r="K24" s="2"/>
    </row>
    <row r="25" spans="1:12" ht="25.5" customHeight="1">
      <c r="A25" s="1943" t="s">
        <v>119</v>
      </c>
      <c r="B25" s="1944"/>
      <c r="C25" s="1944"/>
      <c r="D25" s="1944"/>
      <c r="E25" s="1944"/>
      <c r="F25" s="1944"/>
      <c r="G25" s="1944"/>
      <c r="H25" s="1944"/>
      <c r="I25" s="1945"/>
      <c r="J25" s="141"/>
      <c r="K25" s="2"/>
    </row>
    <row r="26" spans="1:12">
      <c r="A26" s="38" t="s">
        <v>25</v>
      </c>
      <c r="B26" s="34"/>
      <c r="C26" s="39" t="s">
        <v>91</v>
      </c>
      <c r="D26" s="6"/>
      <c r="E26" s="35"/>
      <c r="F26" s="35"/>
      <c r="G26" s="35"/>
      <c r="H26" s="35"/>
      <c r="I26" s="36"/>
      <c r="J26" s="49"/>
      <c r="K26" s="2"/>
    </row>
    <row r="27" spans="1:12">
      <c r="A27" s="37"/>
      <c r="B27" s="34"/>
      <c r="C27" s="35"/>
      <c r="D27" s="6"/>
      <c r="E27" s="35"/>
      <c r="F27" s="35"/>
      <c r="G27" s="35"/>
      <c r="H27" s="35"/>
      <c r="I27" s="36"/>
      <c r="J27" s="2"/>
      <c r="K27" s="2"/>
    </row>
    <row r="28" spans="1:12">
      <c r="A28" s="38" t="s">
        <v>8</v>
      </c>
      <c r="B28" s="34"/>
      <c r="C28" s="39" t="s">
        <v>81</v>
      </c>
      <c r="D28" s="6"/>
      <c r="E28" s="35"/>
      <c r="F28" s="35"/>
      <c r="G28" s="35"/>
      <c r="H28" s="35"/>
      <c r="I28" s="36"/>
      <c r="J28" s="2"/>
      <c r="K28" s="2"/>
    </row>
    <row r="29" spans="1:12">
      <c r="A29" s="38" t="s">
        <v>92</v>
      </c>
      <c r="B29" s="34"/>
      <c r="C29" s="144">
        <v>1</v>
      </c>
      <c r="D29" s="6"/>
      <c r="E29" s="145"/>
      <c r="F29" s="145"/>
      <c r="G29" s="145"/>
      <c r="H29" s="145"/>
      <c r="I29" s="146"/>
      <c r="J29" s="2"/>
      <c r="K29" s="2"/>
    </row>
    <row r="30" spans="1:12">
      <c r="A30" s="38" t="s">
        <v>9</v>
      </c>
      <c r="B30" s="34"/>
      <c r="C30" s="92">
        <v>1</v>
      </c>
      <c r="D30" s="6"/>
      <c r="E30" s="35"/>
      <c r="F30" s="35"/>
      <c r="G30" s="35"/>
      <c r="H30" s="35"/>
      <c r="I30" s="36"/>
      <c r="J30" s="2"/>
      <c r="K30" s="2"/>
    </row>
    <row r="31" spans="1:12">
      <c r="A31" s="38" t="s">
        <v>10</v>
      </c>
      <c r="B31" s="35"/>
      <c r="C31" s="93">
        <v>0.05</v>
      </c>
      <c r="D31" s="6"/>
      <c r="E31" s="35"/>
      <c r="F31" s="35"/>
      <c r="G31" s="35"/>
      <c r="H31" s="35"/>
      <c r="I31" s="147" t="s">
        <v>6</v>
      </c>
      <c r="J31" s="2"/>
      <c r="K31" s="2"/>
    </row>
    <row r="32" spans="1:12">
      <c r="A32" s="38" t="s">
        <v>93</v>
      </c>
      <c r="B32" s="35"/>
      <c r="C32" s="148">
        <f>SUM(I34,I38,I40,I43,I45,I46,I46,I47,I49,I51,I53)/C29</f>
        <v>6608</v>
      </c>
      <c r="D32" s="6"/>
      <c r="E32" s="35"/>
      <c r="F32" s="35"/>
      <c r="G32" s="35"/>
      <c r="H32" s="35"/>
      <c r="I32" s="147"/>
      <c r="J32" s="2"/>
      <c r="K32" s="2"/>
    </row>
    <row r="33" spans="1:11">
      <c r="A33" s="40"/>
      <c r="B33" s="35"/>
      <c r="C33" s="35"/>
      <c r="D33" s="41"/>
      <c r="E33" s="35"/>
      <c r="F33" s="35"/>
      <c r="G33" s="35"/>
      <c r="H33" s="35"/>
      <c r="I33" s="149"/>
      <c r="J33" s="2"/>
      <c r="K33" s="2"/>
    </row>
    <row r="34" spans="1:11">
      <c r="A34" s="42" t="s">
        <v>0</v>
      </c>
      <c r="B34" s="35"/>
      <c r="C34" s="35"/>
      <c r="D34" s="41"/>
      <c r="E34" s="35"/>
      <c r="F34" s="35"/>
      <c r="G34" s="35"/>
      <c r="H34" s="35"/>
      <c r="I34" s="46">
        <f>SUM(F36:F37)</f>
        <v>408</v>
      </c>
      <c r="J34" s="2"/>
      <c r="K34" s="2"/>
    </row>
    <row r="35" spans="1:11">
      <c r="A35" s="40" t="s">
        <v>94</v>
      </c>
      <c r="B35" s="35"/>
      <c r="C35" s="92"/>
      <c r="D35" s="41"/>
      <c r="E35" s="35"/>
      <c r="F35" s="35"/>
      <c r="G35" s="35"/>
      <c r="H35" s="35"/>
      <c r="I35" s="47"/>
      <c r="J35" s="2"/>
      <c r="K35" s="2"/>
    </row>
    <row r="36" spans="1:11">
      <c r="A36" s="1946" t="s">
        <v>95</v>
      </c>
      <c r="B36" s="1947"/>
      <c r="C36" s="150" t="s">
        <v>96</v>
      </c>
      <c r="D36" s="151">
        <v>17</v>
      </c>
      <c r="E36" s="152">
        <v>4</v>
      </c>
      <c r="F36" s="153">
        <f>D36*E36</f>
        <v>68</v>
      </c>
      <c r="G36" s="35"/>
      <c r="H36" s="35"/>
      <c r="I36" s="47"/>
      <c r="J36" s="2"/>
      <c r="K36" s="2"/>
    </row>
    <row r="37" spans="1:11">
      <c r="A37" s="1946" t="s">
        <v>97</v>
      </c>
      <c r="B37" s="1947"/>
      <c r="C37" s="150" t="s">
        <v>96</v>
      </c>
      <c r="D37" s="151">
        <v>17</v>
      </c>
      <c r="E37" s="152">
        <v>20</v>
      </c>
      <c r="F37" s="153">
        <f>D37*E37</f>
        <v>340</v>
      </c>
      <c r="G37" s="35"/>
      <c r="H37" s="35"/>
      <c r="I37" s="47"/>
      <c r="J37" s="2"/>
      <c r="K37" s="2"/>
    </row>
    <row r="38" spans="1:11">
      <c r="A38" s="42" t="s">
        <v>2</v>
      </c>
      <c r="B38" s="35"/>
      <c r="C38" s="35"/>
      <c r="D38" s="35"/>
      <c r="E38" s="35"/>
      <c r="F38" s="35"/>
      <c r="G38" s="35"/>
      <c r="H38" s="35"/>
      <c r="I38" s="46">
        <f>F39</f>
        <v>0</v>
      </c>
      <c r="J38" s="2"/>
      <c r="K38" s="2"/>
    </row>
    <row r="39" spans="1:11">
      <c r="A39" s="40" t="s">
        <v>98</v>
      </c>
      <c r="B39" s="35"/>
      <c r="C39" s="35"/>
      <c r="D39" s="35"/>
      <c r="E39" s="35"/>
      <c r="F39" s="35"/>
      <c r="G39" s="35"/>
      <c r="H39" s="35"/>
      <c r="I39" s="36"/>
      <c r="J39" s="2"/>
      <c r="K39" s="2"/>
    </row>
    <row r="40" spans="1:11">
      <c r="A40" s="42" t="s">
        <v>3</v>
      </c>
      <c r="B40" s="35"/>
      <c r="C40" s="35"/>
      <c r="D40" s="35"/>
      <c r="E40" s="35"/>
      <c r="F40" s="35"/>
      <c r="G40" s="35"/>
      <c r="H40" s="35"/>
      <c r="I40" s="46">
        <f>SUM(F42)</f>
        <v>6000</v>
      </c>
      <c r="J40" s="2"/>
      <c r="K40" s="2"/>
    </row>
    <row r="41" spans="1:11">
      <c r="A41" s="40" t="s">
        <v>99</v>
      </c>
      <c r="B41" s="35"/>
      <c r="C41" s="35"/>
      <c r="D41" s="35"/>
      <c r="E41" s="35"/>
      <c r="F41" s="35"/>
      <c r="G41" s="35"/>
      <c r="H41" s="35"/>
      <c r="I41" s="46"/>
      <c r="J41" s="2"/>
      <c r="K41" s="2"/>
    </row>
    <row r="42" spans="1:11" ht="25.5" customHeight="1">
      <c r="A42" s="1948" t="s">
        <v>120</v>
      </c>
      <c r="B42" s="1949"/>
      <c r="C42" s="150" t="s">
        <v>101</v>
      </c>
      <c r="D42" s="154">
        <v>6000</v>
      </c>
      <c r="E42" s="155">
        <v>1</v>
      </c>
      <c r="F42" s="156">
        <f>D42*E42</f>
        <v>6000</v>
      </c>
      <c r="G42" s="35"/>
      <c r="H42" s="35"/>
      <c r="I42" s="46"/>
      <c r="J42" s="2"/>
      <c r="K42" s="2"/>
    </row>
    <row r="43" spans="1:11">
      <c r="A43" s="42" t="s">
        <v>4</v>
      </c>
      <c r="B43" s="35"/>
      <c r="C43" s="35"/>
      <c r="D43" s="35"/>
      <c r="E43" s="35"/>
      <c r="F43" s="35"/>
      <c r="G43" s="35"/>
      <c r="H43" s="35"/>
      <c r="I43" s="48">
        <v>200</v>
      </c>
      <c r="J43" s="2"/>
      <c r="K43" s="2"/>
    </row>
    <row r="44" spans="1:11">
      <c r="A44" s="1950" t="s">
        <v>102</v>
      </c>
      <c r="B44" s="1953"/>
      <c r="C44" s="150" t="s">
        <v>103</v>
      </c>
      <c r="D44" s="157">
        <v>0.02</v>
      </c>
      <c r="E44" s="153">
        <f>SUM(I34,I38,I40)</f>
        <v>6408</v>
      </c>
      <c r="F44" s="153">
        <f>D44*E44</f>
        <v>128.16</v>
      </c>
      <c r="G44" s="35"/>
      <c r="H44" s="35"/>
      <c r="I44" s="48"/>
      <c r="J44" s="2"/>
      <c r="K44" s="2"/>
    </row>
    <row r="45" spans="1:11">
      <c r="A45" s="42" t="s">
        <v>26</v>
      </c>
      <c r="B45" s="35"/>
      <c r="C45" s="35"/>
      <c r="D45" s="35"/>
      <c r="E45" s="35"/>
      <c r="F45" s="35"/>
      <c r="G45" s="35"/>
      <c r="H45" s="35"/>
      <c r="I45" s="48">
        <f>F46</f>
        <v>0</v>
      </c>
      <c r="J45" s="2"/>
      <c r="K45" s="2"/>
    </row>
    <row r="46" spans="1:11">
      <c r="A46" s="37" t="s">
        <v>104</v>
      </c>
      <c r="B46" s="35"/>
      <c r="C46" s="35"/>
      <c r="D46" s="35"/>
      <c r="E46" s="35"/>
      <c r="F46" s="35"/>
      <c r="G46" s="35"/>
      <c r="H46" s="35"/>
      <c r="I46" s="48"/>
      <c r="J46" s="2"/>
      <c r="K46" s="2"/>
    </row>
    <row r="47" spans="1:11">
      <c r="A47" s="42" t="s">
        <v>7</v>
      </c>
      <c r="B47" s="35"/>
      <c r="C47" s="35"/>
      <c r="D47" s="35"/>
      <c r="E47" s="35"/>
      <c r="F47" s="35"/>
      <c r="G47" s="35"/>
      <c r="H47" s="35"/>
      <c r="I47" s="48">
        <f>F48</f>
        <v>0</v>
      </c>
      <c r="J47" s="2"/>
      <c r="K47" s="2"/>
    </row>
    <row r="48" spans="1:11">
      <c r="A48" s="37" t="s">
        <v>104</v>
      </c>
      <c r="B48" s="35"/>
      <c r="C48" s="35"/>
      <c r="D48" s="35"/>
      <c r="E48" s="35"/>
      <c r="F48" s="35"/>
      <c r="G48" s="35"/>
      <c r="H48" s="35"/>
      <c r="I48" s="48"/>
      <c r="J48" s="2"/>
      <c r="K48" s="2"/>
    </row>
    <row r="49" spans="1:11">
      <c r="A49" s="42" t="s">
        <v>27</v>
      </c>
      <c r="B49" s="35"/>
      <c r="C49" s="35"/>
      <c r="D49" s="35"/>
      <c r="E49" s="35"/>
      <c r="F49" s="35"/>
      <c r="G49" s="35"/>
      <c r="H49" s="35"/>
      <c r="I49" s="48">
        <f>F50</f>
        <v>0</v>
      </c>
      <c r="J49" s="2"/>
      <c r="K49" s="2"/>
    </row>
    <row r="50" spans="1:11">
      <c r="A50" s="37" t="s">
        <v>104</v>
      </c>
      <c r="B50" s="35"/>
      <c r="C50" s="35"/>
      <c r="D50" s="35"/>
      <c r="E50" s="35"/>
      <c r="F50" s="35"/>
      <c r="G50" s="35"/>
      <c r="H50" s="35"/>
      <c r="I50" s="48"/>
      <c r="J50" s="2"/>
      <c r="K50" s="2"/>
    </row>
    <row r="51" spans="1:11">
      <c r="A51" s="42" t="s">
        <v>5</v>
      </c>
      <c r="B51" s="35"/>
      <c r="C51" s="35"/>
      <c r="D51" s="35"/>
      <c r="E51" s="35"/>
      <c r="F51" s="35"/>
      <c r="G51" s="35"/>
      <c r="H51" s="35"/>
      <c r="I51" s="48">
        <f>F52</f>
        <v>0</v>
      </c>
      <c r="J51" s="2"/>
      <c r="K51" s="2"/>
    </row>
    <row r="52" spans="1:11">
      <c r="A52" s="37" t="s">
        <v>104</v>
      </c>
      <c r="B52" s="35"/>
      <c r="C52" s="35"/>
      <c r="D52" s="35"/>
      <c r="E52" s="35"/>
      <c r="F52" s="35"/>
      <c r="G52" s="35"/>
      <c r="H52" s="35"/>
      <c r="I52" s="48"/>
      <c r="J52" s="2"/>
      <c r="K52" s="2"/>
    </row>
    <row r="53" spans="1:11">
      <c r="A53" s="42" t="s">
        <v>20</v>
      </c>
      <c r="B53" s="35"/>
      <c r="C53" s="35"/>
      <c r="D53" s="35"/>
      <c r="E53" s="35"/>
      <c r="F53" s="35"/>
      <c r="G53" s="35"/>
      <c r="H53" s="35"/>
      <c r="I53" s="48">
        <f>F54</f>
        <v>0</v>
      </c>
      <c r="J53" s="2"/>
      <c r="K53" s="2"/>
    </row>
    <row r="54" spans="1:11">
      <c r="A54" s="37" t="s">
        <v>104</v>
      </c>
      <c r="B54" s="35"/>
      <c r="C54" s="35"/>
      <c r="D54" s="35"/>
      <c r="E54" s="35"/>
      <c r="F54" s="35"/>
      <c r="G54" s="35"/>
      <c r="H54" s="35"/>
      <c r="I54" s="36"/>
      <c r="J54" s="2"/>
      <c r="K54" s="2"/>
    </row>
    <row r="55" spans="1:11">
      <c r="A55" s="43" t="s">
        <v>11</v>
      </c>
      <c r="B55" s="44"/>
      <c r="C55" s="44"/>
      <c r="D55" s="44"/>
      <c r="E55" s="44"/>
      <c r="F55" s="44"/>
      <c r="G55" s="44"/>
      <c r="H55" s="44"/>
      <c r="I55" s="52">
        <f>+I53+I51+I49+I47+I45+I43+I40+I38+I34</f>
        <v>6608</v>
      </c>
      <c r="J55" s="2"/>
      <c r="K55" s="2"/>
    </row>
  </sheetData>
  <mergeCells count="5">
    <mergeCell ref="A25:I25"/>
    <mergeCell ref="A36:B36"/>
    <mergeCell ref="A37:B37"/>
    <mergeCell ref="A42:B42"/>
    <mergeCell ref="A44:B44"/>
  </mergeCells>
  <pageMargins left="0.75" right="0" top="0.25" bottom="0.25" header="0.25" footer="0.17"/>
  <pageSetup scale="75" orientation="landscape" horizontalDpi="300" verticalDpi="300" r:id="rId1"/>
  <headerFooter alignWithMargins="0">
    <oddHeader>&amp;CP 102 Comprehensive Nutrient Management Plan
Medium Beef and Dairy</oddHeader>
  </headerFooter>
  <colBreaks count="1" manualBreakCount="1">
    <brk id="9" max="1048575" man="1"/>
  </colBreaks>
</worksheet>
</file>

<file path=xl/worksheets/sheet60.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23.140625" customWidth="1"/>
    <col min="5" max="5" width="57"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317</v>
      </c>
      <c r="C6" s="7" t="str">
        <f>+E12</f>
        <v>EQIP</v>
      </c>
      <c r="D6" s="53" t="s">
        <v>1299</v>
      </c>
      <c r="E6" s="110" t="s">
        <v>1311</v>
      </c>
      <c r="F6" s="7" t="str">
        <f>D36</f>
        <v>Each</v>
      </c>
      <c r="G6" s="85">
        <f>+I25</f>
        <v>4653.3387631076266</v>
      </c>
    </row>
    <row r="7" spans="1:12" ht="25.5" hidden="1">
      <c r="A7" s="2"/>
      <c r="B7" s="54">
        <f>+B6</f>
        <v>317</v>
      </c>
      <c r="C7" s="7" t="str">
        <f>+C6</f>
        <v>EQIP</v>
      </c>
      <c r="D7" s="53" t="s">
        <v>1299</v>
      </c>
      <c r="E7" s="110" t="str">
        <f>CONCATENATE(E6, "-HU")</f>
        <v>Mortality Composter/ 2 Broiler Hs/ up to 250 Sow/Farrow/concrete-HU</v>
      </c>
      <c r="F7" s="7" t="str">
        <f>+F6</f>
        <v>Each</v>
      </c>
      <c r="G7" s="85">
        <f>+J25</f>
        <v>5584.0065157291529</v>
      </c>
    </row>
    <row r="8" spans="1:12" hidden="1">
      <c r="A8" s="2"/>
      <c r="B8" s="54">
        <v>317</v>
      </c>
      <c r="C8" s="7" t="str">
        <f>+G12</f>
        <v>WHIP</v>
      </c>
      <c r="D8" s="53" t="s">
        <v>1299</v>
      </c>
      <c r="E8" s="110" t="s">
        <v>1311</v>
      </c>
      <c r="F8" s="7" t="str">
        <f>D36</f>
        <v>Each</v>
      </c>
      <c r="G8" s="85">
        <f>+K25</f>
        <v>0</v>
      </c>
    </row>
    <row r="9" spans="1:12" ht="25.5" hidden="1">
      <c r="A9" s="2"/>
      <c r="B9" s="8">
        <f>+B8</f>
        <v>317</v>
      </c>
      <c r="C9" s="10" t="str">
        <f>+C8</f>
        <v>WHIP</v>
      </c>
      <c r="D9" s="9" t="s">
        <v>1299</v>
      </c>
      <c r="E9" s="111" t="str">
        <f>CONCATENATE(E6, "-HU")</f>
        <v>Mortality Composter/ 2 Broiler Hs/ up to 250 Sow/Farrow/concrete-HU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52.778165835115225</v>
      </c>
      <c r="E16" s="160">
        <f>+'[12]Payment Factors'!D45</f>
        <v>0.75</v>
      </c>
      <c r="F16" s="160">
        <f>+'[12]Payment Factors'!E45</f>
        <v>0.9</v>
      </c>
      <c r="G16" s="160">
        <f>+'[12]Payment Factors'!F19</f>
        <v>0</v>
      </c>
      <c r="H16" s="160">
        <f>+'[12]Payment Factors'!G19</f>
        <v>0</v>
      </c>
      <c r="I16" s="1154">
        <f t="shared" ref="I16:L24" si="0">+$D16*E16</f>
        <v>39.583624376336417</v>
      </c>
      <c r="J16" s="1154">
        <f t="shared" si="0"/>
        <v>47.500349251603701</v>
      </c>
      <c r="K16" s="1154">
        <f t="shared" si="0"/>
        <v>0</v>
      </c>
      <c r="L16" s="1155">
        <f t="shared" si="0"/>
        <v>0</v>
      </c>
    </row>
    <row r="17" spans="1:12" hidden="1">
      <c r="A17" s="2"/>
      <c r="B17" s="15" t="s">
        <v>2</v>
      </c>
      <c r="C17" s="16"/>
      <c r="D17" s="24">
        <f>+I52</f>
        <v>5075.3171333333339</v>
      </c>
      <c r="E17" s="160">
        <f t="shared" ref="E17:H19" si="1">+E16</f>
        <v>0.75</v>
      </c>
      <c r="F17" s="160">
        <f t="shared" si="1"/>
        <v>0.9</v>
      </c>
      <c r="G17" s="160">
        <f t="shared" si="1"/>
        <v>0</v>
      </c>
      <c r="H17" s="160">
        <f t="shared" si="1"/>
        <v>0</v>
      </c>
      <c r="I17" s="1154">
        <f t="shared" si="0"/>
        <v>3806.4878500000004</v>
      </c>
      <c r="J17" s="1154">
        <f t="shared" si="0"/>
        <v>4567.7854200000011</v>
      </c>
      <c r="K17" s="1154">
        <f t="shared" si="0"/>
        <v>0</v>
      </c>
      <c r="L17" s="1155">
        <f t="shared" si="0"/>
        <v>0</v>
      </c>
    </row>
    <row r="18" spans="1:12" hidden="1">
      <c r="A18" s="2"/>
      <c r="B18" s="15" t="s">
        <v>3</v>
      </c>
      <c r="C18" s="16"/>
      <c r="D18" s="24">
        <f>+I70</f>
        <v>895.64420000000007</v>
      </c>
      <c r="E18" s="160">
        <f t="shared" si="1"/>
        <v>0.75</v>
      </c>
      <c r="F18" s="160">
        <f t="shared" si="1"/>
        <v>0.9</v>
      </c>
      <c r="G18" s="160">
        <f t="shared" si="1"/>
        <v>0</v>
      </c>
      <c r="H18" s="160">
        <f t="shared" si="1"/>
        <v>0</v>
      </c>
      <c r="I18" s="1154">
        <f t="shared" si="0"/>
        <v>671.73315000000002</v>
      </c>
      <c r="J18" s="1154">
        <f t="shared" si="0"/>
        <v>806.07978000000003</v>
      </c>
      <c r="K18" s="1154">
        <f t="shared" si="0"/>
        <v>0</v>
      </c>
      <c r="L18" s="1155">
        <f t="shared" si="0"/>
        <v>0</v>
      </c>
    </row>
    <row r="19" spans="1:12" hidden="1">
      <c r="A19" s="2"/>
      <c r="B19" s="15" t="s">
        <v>4</v>
      </c>
      <c r="C19" s="16"/>
      <c r="D19" s="24">
        <f>+I76</f>
        <v>180.71218497505345</v>
      </c>
      <c r="E19" s="160">
        <f t="shared" si="1"/>
        <v>0.75</v>
      </c>
      <c r="F19" s="160">
        <f t="shared" si="1"/>
        <v>0.9</v>
      </c>
      <c r="G19" s="160">
        <f t="shared" si="1"/>
        <v>0</v>
      </c>
      <c r="H19" s="160">
        <f t="shared" si="1"/>
        <v>0</v>
      </c>
      <c r="I19" s="1154">
        <f t="shared" si="0"/>
        <v>135.53413873129008</v>
      </c>
      <c r="J19" s="1154">
        <f t="shared" si="0"/>
        <v>162.64096647754812</v>
      </c>
      <c r="K19" s="1154">
        <f t="shared" si="0"/>
        <v>0</v>
      </c>
      <c r="L19" s="1155">
        <f t="shared" si="0"/>
        <v>0</v>
      </c>
    </row>
    <row r="20" spans="1:12" hidden="1">
      <c r="A20" s="2"/>
      <c r="B20" s="15" t="s">
        <v>26</v>
      </c>
      <c r="C20" s="16"/>
      <c r="D20" s="24">
        <f>+I79</f>
        <v>60.237394991684489</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6264.6890791351871</v>
      </c>
      <c r="E25" s="1158"/>
      <c r="F25" s="1158"/>
      <c r="G25" s="28"/>
      <c r="H25" s="28"/>
      <c r="I25" s="1159">
        <f>SUM(I16:I24)</f>
        <v>4653.3387631076266</v>
      </c>
      <c r="J25" s="1159">
        <f>SUM(J16:J24)</f>
        <v>5584.0065157291529</v>
      </c>
      <c r="K25" s="1159">
        <f>SUM(K16:K24)</f>
        <v>0</v>
      </c>
      <c r="L25" s="1160">
        <f>SUM(L16:L24)</f>
        <v>0</v>
      </c>
    </row>
    <row r="26" spans="1:12" hidden="1"/>
    <row r="27" spans="1:12" ht="15.75">
      <c r="A27" s="2"/>
      <c r="B27" s="50" t="s">
        <v>28</v>
      </c>
      <c r="C27" s="2"/>
      <c r="D27" s="2"/>
      <c r="E27" s="2"/>
      <c r="F27" s="2"/>
      <c r="G27" s="2"/>
      <c r="H27" s="2"/>
      <c r="I27" s="5"/>
    </row>
    <row r="28" spans="1:12">
      <c r="A28" s="2"/>
      <c r="B28" s="29" t="s">
        <v>1301</v>
      </c>
      <c r="C28" s="30"/>
      <c r="D28" s="30"/>
      <c r="E28" s="31"/>
      <c r="F28" s="31"/>
      <c r="G28" s="31"/>
      <c r="H28" s="31"/>
      <c r="I28" s="32"/>
    </row>
    <row r="29" spans="1:12">
      <c r="A29" s="2"/>
      <c r="B29" s="1161" t="s">
        <v>1312</v>
      </c>
      <c r="C29" s="34"/>
      <c r="D29" s="34"/>
      <c r="E29" s="35"/>
      <c r="F29" s="35"/>
      <c r="G29" s="35"/>
      <c r="H29" s="35"/>
      <c r="I29" s="36"/>
    </row>
    <row r="30" spans="1:12">
      <c r="A30" s="2"/>
      <c r="B30" s="1161" t="s">
        <v>1303</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+'[12]Payment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+'[14]Core Rates'!C203</f>
        <v>8.75</v>
      </c>
      <c r="F43" s="1170">
        <v>0.4</v>
      </c>
      <c r="G43" s="1171">
        <f t="shared" si="2"/>
        <v>3.5</v>
      </c>
      <c r="H43" s="35"/>
      <c r="I43" s="36"/>
    </row>
    <row r="44" spans="1:9">
      <c r="A44" s="2"/>
      <c r="B44" s="1184" t="s">
        <v>453</v>
      </c>
      <c r="C44" s="6"/>
      <c r="D44" s="1185" t="s">
        <v>454</v>
      </c>
      <c r="E44" s="1169">
        <f>+'[14]Core Rates'!C228</f>
        <v>0.82427536231884069</v>
      </c>
      <c r="F44" s="1170">
        <v>10</v>
      </c>
      <c r="G44" s="1171">
        <f t="shared" si="2"/>
        <v>8.2427536231884062</v>
      </c>
      <c r="H44" s="35"/>
      <c r="I44" s="36"/>
    </row>
    <row r="45" spans="1:9">
      <c r="A45" s="2"/>
      <c r="B45" s="1186" t="s">
        <v>455</v>
      </c>
      <c r="C45" s="1187"/>
      <c r="D45" s="1185" t="s">
        <v>454</v>
      </c>
      <c r="E45" s="1169">
        <f>+'[14]Core Rates'!C235</f>
        <v>1.1702898550724636</v>
      </c>
      <c r="F45" s="1170">
        <v>10</v>
      </c>
      <c r="G45" s="1171">
        <f t="shared" si="2"/>
        <v>11.702898550724637</v>
      </c>
      <c r="H45" s="35"/>
      <c r="I45" s="36"/>
    </row>
    <row r="46" spans="1:9">
      <c r="A46" s="2"/>
      <c r="B46" s="1186" t="s">
        <v>456</v>
      </c>
      <c r="C46" s="1187"/>
      <c r="D46" s="1168" t="s">
        <v>454</v>
      </c>
      <c r="E46" s="1169">
        <f>+'[14]Core Rates'!C246</f>
        <v>0.58825136612021856</v>
      </c>
      <c r="F46" s="1170">
        <v>10</v>
      </c>
      <c r="G46" s="1171">
        <f t="shared" si="2"/>
        <v>5.8825136612021858</v>
      </c>
      <c r="H46" s="35"/>
      <c r="I46" s="36"/>
    </row>
    <row r="47" spans="1:9">
      <c r="A47" s="2"/>
      <c r="B47" s="1186" t="str">
        <f>+'[14]Core Rates'!A313</f>
        <v>Seed (Tall Fescue KY-31)</v>
      </c>
      <c r="C47" s="1187"/>
      <c r="D47" s="1185" t="s">
        <v>454</v>
      </c>
      <c r="E47" s="1169">
        <f>+'[14]Core Rates'!C313</f>
        <v>2.3449999999999998</v>
      </c>
      <c r="F47" s="1170">
        <v>10</v>
      </c>
      <c r="G47" s="1171">
        <f t="shared" si="2"/>
        <v>23.449999999999996</v>
      </c>
      <c r="H47" s="35"/>
      <c r="I47" s="36"/>
    </row>
    <row r="48" spans="1:9">
      <c r="A48" s="2"/>
      <c r="B48" s="1186" t="s">
        <v>480</v>
      </c>
      <c r="C48" s="1187"/>
      <c r="D48" s="1185" t="s">
        <v>454</v>
      </c>
      <c r="E48" s="1169">
        <f>+'[14]Core Rates'!C311</f>
        <v>2.0975000000000001</v>
      </c>
      <c r="F48" s="1170">
        <v>0</v>
      </c>
      <c r="G48" s="1171">
        <f t="shared" si="2"/>
        <v>0</v>
      </c>
      <c r="H48" s="35"/>
      <c r="I48" s="36"/>
    </row>
    <row r="49" spans="1:9">
      <c r="A49" s="2"/>
      <c r="B49" s="1186" t="s">
        <v>481</v>
      </c>
      <c r="C49" s="1187"/>
      <c r="D49" s="1185" t="s">
        <v>454</v>
      </c>
      <c r="E49" s="1169">
        <f>+'[14]Core Rates'!C312</f>
        <v>3.5</v>
      </c>
      <c r="F49" s="1170">
        <v>0</v>
      </c>
      <c r="G49" s="1171">
        <f t="shared" si="2"/>
        <v>0</v>
      </c>
      <c r="H49" s="35"/>
      <c r="I49" s="36"/>
    </row>
    <row r="50" spans="1:9">
      <c r="A50" s="2"/>
      <c r="B50" s="1184"/>
      <c r="C50" s="6"/>
      <c r="D50" s="1173"/>
      <c r="E50" s="1190"/>
      <c r="F50" s="35"/>
      <c r="G50" s="35"/>
      <c r="H50" s="35"/>
      <c r="I50" s="36"/>
    </row>
    <row r="51" spans="1:9">
      <c r="A51" s="2"/>
      <c r="B51" s="1172"/>
      <c r="C51" s="6"/>
      <c r="D51" s="1173"/>
      <c r="E51" s="35"/>
      <c r="F51" s="35"/>
      <c r="G51" s="35"/>
      <c r="H51" s="35"/>
      <c r="I51" s="36"/>
    </row>
    <row r="52" spans="1:9">
      <c r="A52" s="2"/>
      <c r="B52" s="42" t="s">
        <v>2</v>
      </c>
      <c r="C52" s="35"/>
      <c r="D52" s="35"/>
      <c r="E52" s="2003" t="s">
        <v>459</v>
      </c>
      <c r="F52" s="2003"/>
      <c r="G52" s="2003"/>
      <c r="H52" s="2003"/>
      <c r="I52" s="1166">
        <f>(SUM(G54:G63)*0.85)</f>
        <v>5075.3171333333339</v>
      </c>
    </row>
    <row r="53" spans="1:9">
      <c r="A53" s="2"/>
      <c r="B53" s="1174"/>
      <c r="C53" s="35"/>
      <c r="D53" s="1167" t="s">
        <v>447</v>
      </c>
      <c r="E53" s="1167" t="s">
        <v>448</v>
      </c>
      <c r="F53" s="1167" t="s">
        <v>449</v>
      </c>
      <c r="G53" s="1167" t="s">
        <v>450</v>
      </c>
      <c r="H53" s="35"/>
      <c r="I53" s="46"/>
    </row>
    <row r="54" spans="1:9">
      <c r="A54" s="2"/>
      <c r="B54" s="1387" t="str">
        <f>+'[14]Core Rates'!A111</f>
        <v>Earthmoving: Medium grading/shaping (2-6 hrs/ac)</v>
      </c>
      <c r="C54" s="6"/>
      <c r="D54" s="1168" t="s">
        <v>408</v>
      </c>
      <c r="E54" s="1169">
        <f>+'[14]Core Rates'!C111</f>
        <v>503.625</v>
      </c>
      <c r="F54" s="1170">
        <v>0.2</v>
      </c>
      <c r="G54" s="1171">
        <f t="shared" ref="G54:G63" si="3">+F54*E54</f>
        <v>100.72500000000001</v>
      </c>
      <c r="H54" s="35"/>
      <c r="I54" s="47"/>
    </row>
    <row r="55" spans="1:9">
      <c r="A55" s="2"/>
      <c r="B55" s="1186" t="str">
        <f>+'[14]Core Rates'!A241</f>
        <v>Pole Barn Type Structure (w/o floor or walls) *</v>
      </c>
      <c r="C55" s="1376"/>
      <c r="D55" s="1382" t="str">
        <f>+'[14]Core Rates'!B241</f>
        <v>Sq Ft</v>
      </c>
      <c r="E55" s="1383">
        <f>+'[14]Core Rates'!C241</f>
        <v>5.8983750000000006</v>
      </c>
      <c r="F55" s="1170">
        <v>272</v>
      </c>
      <c r="G55" s="1171">
        <f t="shared" si="3"/>
        <v>1604.3580000000002</v>
      </c>
      <c r="H55" s="35"/>
      <c r="I55" s="47"/>
    </row>
    <row r="56" spans="1:9">
      <c r="A56" s="2"/>
      <c r="B56" s="1186" t="str">
        <f>+'[14]Core Rates'!A50</f>
        <v>Concrete Wall (4' ht. x 6" wide): Installed</v>
      </c>
      <c r="C56" s="6"/>
      <c r="D56" s="1382" t="str">
        <f>+'[14]Core Rates'!B50</f>
        <v>Lin Ft</v>
      </c>
      <c r="E56" s="1383">
        <f>+'[14]Core Rates'!C50</f>
        <v>42.692999999999998</v>
      </c>
      <c r="F56" s="1170">
        <v>73</v>
      </c>
      <c r="G56" s="1171">
        <f t="shared" si="3"/>
        <v>3116.5889999999999</v>
      </c>
      <c r="H56" s="35"/>
      <c r="I56" s="47"/>
    </row>
    <row r="57" spans="1:9">
      <c r="A57" s="2"/>
      <c r="B57" s="1186" t="str">
        <f>+'[14]Core Rates'!A39</f>
        <v>Concrete (Slab in Place, includes wire mesh or fiber)</v>
      </c>
      <c r="C57" s="6"/>
      <c r="D57" s="1382" t="str">
        <f>+'[14]Core Rates'!B39</f>
        <v>Cu Yd</v>
      </c>
      <c r="E57" s="1383">
        <f>+'[14]Core Rates'!C39</f>
        <v>146.05500000000001</v>
      </c>
      <c r="F57" s="1170">
        <v>4.2</v>
      </c>
      <c r="G57" s="1171">
        <f t="shared" si="3"/>
        <v>613.43100000000004</v>
      </c>
      <c r="H57" s="35"/>
      <c r="I57" s="47"/>
    </row>
    <row r="58" spans="1:9">
      <c r="A58" s="2"/>
      <c r="B58" s="1186" t="str">
        <f>+'[14]Core Rates'!A266</f>
        <v>Rock/Geo-Textile (Installed)</v>
      </c>
      <c r="C58" s="6"/>
      <c r="D58" s="1382" t="str">
        <f>+'[14]Core Rates'!B266</f>
        <v>Sq Ft</v>
      </c>
      <c r="E58" s="1385">
        <f>+'[14]Core Rates'!C266</f>
        <v>1.3482000000000001</v>
      </c>
      <c r="F58" s="1170">
        <v>250</v>
      </c>
      <c r="G58" s="1171">
        <f t="shared" si="3"/>
        <v>337.05</v>
      </c>
      <c r="H58" s="35"/>
      <c r="I58" s="47"/>
    </row>
    <row r="59" spans="1:9">
      <c r="A59" s="2"/>
      <c r="B59" s="40" t="s">
        <v>461</v>
      </c>
      <c r="C59" s="6"/>
      <c r="D59" s="1168" t="s">
        <v>408</v>
      </c>
      <c r="E59" s="1169">
        <f>+'[14]Core Rates'!C104</f>
        <v>20</v>
      </c>
      <c r="F59" s="1170">
        <v>0.2</v>
      </c>
      <c r="G59" s="1171">
        <f t="shared" si="3"/>
        <v>4</v>
      </c>
      <c r="H59" s="35"/>
      <c r="I59" s="47"/>
    </row>
    <row r="60" spans="1:9">
      <c r="A60" s="2"/>
      <c r="B60" s="40" t="s">
        <v>462</v>
      </c>
      <c r="C60" s="6"/>
      <c r="D60" s="1168" t="s">
        <v>408</v>
      </c>
      <c r="E60" s="1169">
        <f>+'[14]Core Rates'!AN33</f>
        <v>5.416666666666667</v>
      </c>
      <c r="F60" s="1170">
        <v>0.2</v>
      </c>
      <c r="G60" s="1171">
        <f t="shared" si="3"/>
        <v>1.0833333333333335</v>
      </c>
      <c r="H60" s="35"/>
      <c r="I60" s="47"/>
    </row>
    <row r="61" spans="1:9">
      <c r="A61" s="2"/>
      <c r="B61" s="40" t="s">
        <v>463</v>
      </c>
      <c r="C61" s="6"/>
      <c r="D61" s="1168" t="s">
        <v>452</v>
      </c>
      <c r="E61" s="1169">
        <f>+'[14]Core Rates'!AN34</f>
        <v>5.5</v>
      </c>
      <c r="F61" s="1170">
        <v>0.4</v>
      </c>
      <c r="G61" s="1171">
        <f t="shared" si="3"/>
        <v>2.2000000000000002</v>
      </c>
      <c r="H61" s="35"/>
      <c r="I61" s="47"/>
    </row>
    <row r="62" spans="1:9">
      <c r="A62" s="2"/>
      <c r="B62" s="40" t="s">
        <v>464</v>
      </c>
      <c r="C62" s="6"/>
      <c r="D62" s="1168" t="s">
        <v>452</v>
      </c>
      <c r="E62" s="1169">
        <f>+'[14]Core Rates'!AN32</f>
        <v>6.3125</v>
      </c>
      <c r="F62" s="1170">
        <v>0.4</v>
      </c>
      <c r="G62" s="1171">
        <f t="shared" si="3"/>
        <v>2.5250000000000004</v>
      </c>
      <c r="H62" s="35"/>
      <c r="I62" s="47"/>
    </row>
    <row r="63" spans="1:9">
      <c r="A63" s="2"/>
      <c r="B63" s="40" t="s">
        <v>1280</v>
      </c>
      <c r="C63" s="6"/>
      <c r="D63" s="1168" t="s">
        <v>619</v>
      </c>
      <c r="E63" s="1169">
        <f>+'[14]Core Rates'!C217</f>
        <v>472.5</v>
      </c>
      <c r="F63" s="1170">
        <v>0.4</v>
      </c>
      <c r="G63" s="1171">
        <f t="shared" si="3"/>
        <v>189</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1304</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895.64420000000007</v>
      </c>
    </row>
    <row r="71" spans="1:9">
      <c r="A71" s="2"/>
      <c r="B71" s="2007" t="s">
        <v>465</v>
      </c>
      <c r="C71" s="2008"/>
      <c r="D71" s="35"/>
      <c r="E71" s="35"/>
      <c r="F71" s="35"/>
      <c r="G71" s="35"/>
      <c r="H71" s="35"/>
      <c r="I71" s="48"/>
    </row>
    <row r="72" spans="1:9">
      <c r="A72" s="2"/>
      <c r="B72" s="37" t="s">
        <v>466</v>
      </c>
      <c r="C72" s="39"/>
      <c r="D72" s="39"/>
      <c r="E72" s="153">
        <f>SUM(G54:G63)*0.15</f>
        <v>895.64420000000007</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0.03*(I40+I52+I70)</f>
        <v>180.71218497505345</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0.01*(I40+I52+I70)</f>
        <v>60.237394991684489</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1283</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1283</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+I40+I52+I70+I76+I82+I92</f>
        <v>6204.4516841435025</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6264.6890791351871</v>
      </c>
    </row>
  </sheetData>
  <mergeCells count="4">
    <mergeCell ref="B1:D1"/>
    <mergeCell ref="E52:H52"/>
    <mergeCell ref="B66:I67"/>
    <mergeCell ref="B71:C71"/>
  </mergeCells>
  <pageMargins left="0.75" right="0.75" top="1" bottom="1" header="0.5" footer="0.5"/>
  <pageSetup scale="59" orientation="portrait" r:id="rId1"/>
  <headerFooter alignWithMargins="0"/>
</worksheet>
</file>

<file path=xl/worksheets/sheet61.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23.140625" customWidth="1"/>
    <col min="5" max="5" width="57"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317</v>
      </c>
      <c r="C6" s="7" t="str">
        <f>+E12</f>
        <v>EQIP</v>
      </c>
      <c r="D6" s="53" t="s">
        <v>1299</v>
      </c>
      <c r="E6" s="110" t="s">
        <v>1313</v>
      </c>
      <c r="F6" s="7" t="str">
        <f>D36</f>
        <v>Each</v>
      </c>
      <c r="G6" s="85">
        <f>+I25</f>
        <v>7863.7147343576271</v>
      </c>
    </row>
    <row r="7" spans="1:12" ht="25.5" hidden="1">
      <c r="A7" s="2"/>
      <c r="B7" s="54">
        <f>+B6</f>
        <v>317</v>
      </c>
      <c r="C7" s="7" t="str">
        <f>+C6</f>
        <v>EQIP</v>
      </c>
      <c r="D7" s="53" t="s">
        <v>1299</v>
      </c>
      <c r="E7" s="110" t="str">
        <f>CONCATENATE(E6, "-HU")</f>
        <v>Mortality Composter/ 4 Broiler Hs/ up to 530 Sow/Farrow/concrete-HU</v>
      </c>
      <c r="F7" s="7" t="str">
        <f>+F6</f>
        <v>Each</v>
      </c>
      <c r="G7" s="85">
        <f>+J25</f>
        <v>9436.4576812291543</v>
      </c>
    </row>
    <row r="8" spans="1:12" hidden="1">
      <c r="A8" s="2"/>
      <c r="B8" s="54">
        <v>317</v>
      </c>
      <c r="C8" s="7" t="str">
        <f>+G12</f>
        <v>WHIP</v>
      </c>
      <c r="D8" s="53" t="s">
        <v>1299</v>
      </c>
      <c r="E8" s="110" t="s">
        <v>1313</v>
      </c>
      <c r="F8" s="7" t="str">
        <f>D36</f>
        <v>Each</v>
      </c>
      <c r="G8" s="85">
        <f>+K25</f>
        <v>0</v>
      </c>
    </row>
    <row r="9" spans="1:12" ht="25.5" hidden="1">
      <c r="A9" s="2"/>
      <c r="B9" s="8">
        <f>+B8</f>
        <v>317</v>
      </c>
      <c r="C9" s="10" t="str">
        <f>+C8</f>
        <v>WHIP</v>
      </c>
      <c r="D9" s="9" t="s">
        <v>1299</v>
      </c>
      <c r="E9" s="111" t="str">
        <f>CONCATENATE(E6, "-HU")</f>
        <v>Mortality Composter/ 4 Broiler Hs/ up to 530 Sow/Farrow/concrete-HU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52.778165835115225</v>
      </c>
      <c r="E16" s="160">
        <f>+'[12]Payment Factors'!D45</f>
        <v>0.75</v>
      </c>
      <c r="F16" s="160">
        <f>+'[12]Payment Factors'!E45</f>
        <v>0.9</v>
      </c>
      <c r="G16" s="160">
        <f>+'[12]Payment Factors'!F19</f>
        <v>0</v>
      </c>
      <c r="H16" s="160">
        <f>+'[12]Payment Factors'!G19</f>
        <v>0</v>
      </c>
      <c r="I16" s="1154">
        <f t="shared" ref="I16:L24" si="0">+$D16*E16</f>
        <v>39.583624376336417</v>
      </c>
      <c r="J16" s="1154">
        <f t="shared" si="0"/>
        <v>47.500349251603701</v>
      </c>
      <c r="K16" s="1154">
        <f t="shared" si="0"/>
        <v>0</v>
      </c>
      <c r="L16" s="1155">
        <f t="shared" si="0"/>
        <v>0</v>
      </c>
    </row>
    <row r="17" spans="1:12" hidden="1">
      <c r="A17" s="2"/>
      <c r="B17" s="15" t="s">
        <v>2</v>
      </c>
      <c r="C17" s="16"/>
      <c r="D17" s="24">
        <f>+I52</f>
        <v>8607.7696583333345</v>
      </c>
      <c r="E17" s="160">
        <f t="shared" ref="E17:H19" si="1">+E16</f>
        <v>0.75</v>
      </c>
      <c r="F17" s="160">
        <f t="shared" si="1"/>
        <v>0.9</v>
      </c>
      <c r="G17" s="160">
        <f t="shared" si="1"/>
        <v>0</v>
      </c>
      <c r="H17" s="160">
        <f t="shared" si="1"/>
        <v>0</v>
      </c>
      <c r="I17" s="1154">
        <f t="shared" si="0"/>
        <v>6455.8272437500009</v>
      </c>
      <c r="J17" s="1154">
        <f t="shared" si="0"/>
        <v>7746.9926925000009</v>
      </c>
      <c r="K17" s="1154">
        <f t="shared" si="0"/>
        <v>0</v>
      </c>
      <c r="L17" s="1155">
        <f t="shared" si="0"/>
        <v>0</v>
      </c>
    </row>
    <row r="18" spans="1:12" hidden="1">
      <c r="A18" s="2"/>
      <c r="B18" s="15" t="s">
        <v>3</v>
      </c>
      <c r="C18" s="16"/>
      <c r="D18" s="24">
        <f>+I70</f>
        <v>1519.0181750000004</v>
      </c>
      <c r="E18" s="160">
        <f t="shared" si="1"/>
        <v>0.75</v>
      </c>
      <c r="F18" s="160">
        <f t="shared" si="1"/>
        <v>0.9</v>
      </c>
      <c r="G18" s="160">
        <f t="shared" si="1"/>
        <v>0</v>
      </c>
      <c r="H18" s="160">
        <f t="shared" si="1"/>
        <v>0</v>
      </c>
      <c r="I18" s="1154">
        <f t="shared" si="0"/>
        <v>1139.2636312500003</v>
      </c>
      <c r="J18" s="1154">
        <f t="shared" si="0"/>
        <v>1367.1163575000003</v>
      </c>
      <c r="K18" s="1154">
        <f t="shared" si="0"/>
        <v>0</v>
      </c>
      <c r="L18" s="1155">
        <f t="shared" si="0"/>
        <v>0</v>
      </c>
    </row>
    <row r="19" spans="1:12" hidden="1">
      <c r="A19" s="2"/>
      <c r="B19" s="15" t="s">
        <v>4</v>
      </c>
      <c r="C19" s="16"/>
      <c r="D19" s="24">
        <f>+I76</f>
        <v>305.38697997505352</v>
      </c>
      <c r="E19" s="160">
        <f t="shared" si="1"/>
        <v>0.75</v>
      </c>
      <c r="F19" s="160">
        <f t="shared" si="1"/>
        <v>0.9</v>
      </c>
      <c r="G19" s="160">
        <f t="shared" si="1"/>
        <v>0</v>
      </c>
      <c r="H19" s="160">
        <f t="shared" si="1"/>
        <v>0</v>
      </c>
      <c r="I19" s="1154">
        <f t="shared" si="0"/>
        <v>229.04023498129015</v>
      </c>
      <c r="J19" s="1154">
        <f t="shared" si="0"/>
        <v>274.8482819775482</v>
      </c>
      <c r="K19" s="1154">
        <f t="shared" si="0"/>
        <v>0</v>
      </c>
      <c r="L19" s="1155">
        <f t="shared" si="0"/>
        <v>0</v>
      </c>
    </row>
    <row r="20" spans="1:12" hidden="1">
      <c r="A20" s="2"/>
      <c r="B20" s="15" t="s">
        <v>26</v>
      </c>
      <c r="C20" s="16"/>
      <c r="D20" s="24">
        <f>+I79</f>
        <v>101.79565999168452</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10586.74863913519</v>
      </c>
      <c r="E25" s="1158"/>
      <c r="F25" s="1158"/>
      <c r="G25" s="28"/>
      <c r="H25" s="28"/>
      <c r="I25" s="1159">
        <f>SUM(I16:I24)</f>
        <v>7863.7147343576271</v>
      </c>
      <c r="J25" s="1159">
        <f>SUM(J16:J24)</f>
        <v>9436.4576812291543</v>
      </c>
      <c r="K25" s="1159">
        <f>SUM(K16:K24)</f>
        <v>0</v>
      </c>
      <c r="L25" s="1160">
        <f>SUM(L16:L24)</f>
        <v>0</v>
      </c>
    </row>
    <row r="26" spans="1:12" hidden="1"/>
    <row r="27" spans="1:12" ht="15.75">
      <c r="A27" s="2"/>
      <c r="B27" s="50" t="s">
        <v>28</v>
      </c>
      <c r="C27" s="2"/>
      <c r="D27" s="2"/>
      <c r="E27" s="2"/>
      <c r="F27" s="2"/>
      <c r="G27" s="2"/>
      <c r="H27" s="2"/>
      <c r="I27" s="5"/>
    </row>
    <row r="28" spans="1:12">
      <c r="A28" s="2"/>
      <c r="B28" s="29" t="s">
        <v>1306</v>
      </c>
      <c r="C28" s="30"/>
      <c r="D28" s="30"/>
      <c r="E28" s="31"/>
      <c r="F28" s="31"/>
      <c r="G28" s="31"/>
      <c r="H28" s="31"/>
      <c r="I28" s="32"/>
    </row>
    <row r="29" spans="1:12">
      <c r="A29" s="2"/>
      <c r="B29" s="1161" t="s">
        <v>1314</v>
      </c>
      <c r="C29" s="34"/>
      <c r="D29" s="34"/>
      <c r="E29" s="35"/>
      <c r="F29" s="35"/>
      <c r="G29" s="35"/>
      <c r="H29" s="35"/>
      <c r="I29" s="36"/>
    </row>
    <row r="30" spans="1:12">
      <c r="A30" s="2"/>
      <c r="B30" s="1161" t="s">
        <v>1303</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+'[12]Payment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+'[14]Core Rates'!C203</f>
        <v>8.75</v>
      </c>
      <c r="F43" s="1170">
        <v>0.4</v>
      </c>
      <c r="G43" s="1171">
        <f t="shared" si="2"/>
        <v>3.5</v>
      </c>
      <c r="H43" s="35"/>
      <c r="I43" s="36"/>
    </row>
    <row r="44" spans="1:9">
      <c r="A44" s="2"/>
      <c r="B44" s="1184" t="s">
        <v>453</v>
      </c>
      <c r="C44" s="6"/>
      <c r="D44" s="1185" t="s">
        <v>454</v>
      </c>
      <c r="E44" s="1169">
        <f>+'[14]Core Rates'!C228</f>
        <v>0.82427536231884069</v>
      </c>
      <c r="F44" s="1170">
        <v>10</v>
      </c>
      <c r="G44" s="1171">
        <f t="shared" si="2"/>
        <v>8.2427536231884062</v>
      </c>
      <c r="H44" s="35"/>
      <c r="I44" s="36"/>
    </row>
    <row r="45" spans="1:9">
      <c r="A45" s="2"/>
      <c r="B45" s="1186" t="s">
        <v>455</v>
      </c>
      <c r="C45" s="1187"/>
      <c r="D45" s="1185" t="s">
        <v>454</v>
      </c>
      <c r="E45" s="1169">
        <f>+'[14]Core Rates'!C235</f>
        <v>1.1702898550724636</v>
      </c>
      <c r="F45" s="1170">
        <v>10</v>
      </c>
      <c r="G45" s="1171">
        <f t="shared" si="2"/>
        <v>11.702898550724637</v>
      </c>
      <c r="H45" s="35"/>
      <c r="I45" s="36"/>
    </row>
    <row r="46" spans="1:9">
      <c r="A46" s="2"/>
      <c r="B46" s="1186" t="s">
        <v>456</v>
      </c>
      <c r="C46" s="1187"/>
      <c r="D46" s="1168" t="s">
        <v>454</v>
      </c>
      <c r="E46" s="1169">
        <f>+'[14]Core Rates'!C246</f>
        <v>0.58825136612021856</v>
      </c>
      <c r="F46" s="1170">
        <v>10</v>
      </c>
      <c r="G46" s="1171">
        <f t="shared" si="2"/>
        <v>5.8825136612021858</v>
      </c>
      <c r="H46" s="35"/>
      <c r="I46" s="36"/>
    </row>
    <row r="47" spans="1:9">
      <c r="A47" s="2"/>
      <c r="B47" s="1186" t="str">
        <f>+'[14]Core Rates'!A313</f>
        <v>Seed (Tall Fescue KY-31)</v>
      </c>
      <c r="C47" s="1187"/>
      <c r="D47" s="1185" t="s">
        <v>454</v>
      </c>
      <c r="E47" s="1169">
        <f>+'[14]Core Rates'!C313</f>
        <v>2.3449999999999998</v>
      </c>
      <c r="F47" s="1170">
        <v>10</v>
      </c>
      <c r="G47" s="1171">
        <f t="shared" si="2"/>
        <v>23.449999999999996</v>
      </c>
      <c r="H47" s="35"/>
      <c r="I47" s="36"/>
    </row>
    <row r="48" spans="1:9">
      <c r="A48" s="2"/>
      <c r="B48" s="1186" t="s">
        <v>480</v>
      </c>
      <c r="C48" s="1187"/>
      <c r="D48" s="1185" t="s">
        <v>454</v>
      </c>
      <c r="E48" s="1169">
        <f>+'[14]Core Rates'!C311</f>
        <v>2.0975000000000001</v>
      </c>
      <c r="F48" s="1170">
        <v>0</v>
      </c>
      <c r="G48" s="1171">
        <f t="shared" si="2"/>
        <v>0</v>
      </c>
      <c r="H48" s="35"/>
      <c r="I48" s="36"/>
    </row>
    <row r="49" spans="1:9">
      <c r="A49" s="2"/>
      <c r="B49" s="1186" t="s">
        <v>481</v>
      </c>
      <c r="C49" s="1187"/>
      <c r="D49" s="1185" t="s">
        <v>454</v>
      </c>
      <c r="E49" s="1169">
        <f>+'[14]Core Rates'!C312</f>
        <v>3.5</v>
      </c>
      <c r="F49" s="1170">
        <v>0</v>
      </c>
      <c r="G49" s="1171">
        <f t="shared" si="2"/>
        <v>0</v>
      </c>
      <c r="H49" s="35"/>
      <c r="I49" s="36"/>
    </row>
    <row r="50" spans="1:9">
      <c r="A50" s="2"/>
      <c r="B50" s="1184"/>
      <c r="C50" s="6"/>
      <c r="D50" s="1173"/>
      <c r="E50" s="1190"/>
      <c r="F50" s="35"/>
      <c r="G50" s="35"/>
      <c r="H50" s="35"/>
      <c r="I50" s="36"/>
    </row>
    <row r="51" spans="1:9">
      <c r="A51" s="2"/>
      <c r="B51" s="1172"/>
      <c r="C51" s="6"/>
      <c r="D51" s="1173"/>
      <c r="E51" s="35"/>
      <c r="F51" s="35"/>
      <c r="G51" s="35"/>
      <c r="H51" s="35"/>
      <c r="I51" s="36"/>
    </row>
    <row r="52" spans="1:9">
      <c r="A52" s="2"/>
      <c r="B52" s="42" t="s">
        <v>2</v>
      </c>
      <c r="C52" s="35"/>
      <c r="D52" s="35"/>
      <c r="E52" s="2003" t="s">
        <v>459</v>
      </c>
      <c r="F52" s="2003"/>
      <c r="G52" s="2003"/>
      <c r="H52" s="2003"/>
      <c r="I52" s="1166">
        <f>(SUM(G54:G63)*0.85)</f>
        <v>8607.7696583333345</v>
      </c>
    </row>
    <row r="53" spans="1:9">
      <c r="A53" s="2"/>
      <c r="B53" s="1174"/>
      <c r="C53" s="35"/>
      <c r="D53" s="1167" t="s">
        <v>447</v>
      </c>
      <c r="E53" s="1167" t="s">
        <v>448</v>
      </c>
      <c r="F53" s="1167" t="s">
        <v>449</v>
      </c>
      <c r="G53" s="1167" t="s">
        <v>450</v>
      </c>
      <c r="H53" s="35"/>
      <c r="I53" s="46"/>
    </row>
    <row r="54" spans="1:9">
      <c r="A54" s="2"/>
      <c r="B54" s="1387" t="str">
        <f>+'[14]Core Rates'!A111</f>
        <v>Earthmoving: Medium grading/shaping (2-6 hrs/ac)</v>
      </c>
      <c r="C54" s="6"/>
      <c r="D54" s="1168" t="s">
        <v>408</v>
      </c>
      <c r="E54" s="1169">
        <f>+'[14]Core Rates'!C111</f>
        <v>503.625</v>
      </c>
      <c r="F54" s="1170">
        <v>0.2</v>
      </c>
      <c r="G54" s="1171">
        <f t="shared" ref="G54:G63" si="3">+F54*E54</f>
        <v>100.72500000000001</v>
      </c>
      <c r="H54" s="35"/>
      <c r="I54" s="47"/>
    </row>
    <row r="55" spans="1:9">
      <c r="A55" s="2"/>
      <c r="B55" s="1186" t="str">
        <f>+'[14]Core Rates'!A241</f>
        <v>Pole Barn Type Structure (w/o floor or walls) *</v>
      </c>
      <c r="C55" s="1376"/>
      <c r="D55" s="1382" t="str">
        <f>+'[14]Core Rates'!B241</f>
        <v>Sq Ft</v>
      </c>
      <c r="E55" s="1383">
        <f>+'[14]Core Rates'!C241</f>
        <v>5.8983750000000006</v>
      </c>
      <c r="F55" s="1170">
        <v>544</v>
      </c>
      <c r="G55" s="1171">
        <f t="shared" si="3"/>
        <v>3208.7160000000003</v>
      </c>
      <c r="H55" s="35"/>
      <c r="I55" s="47"/>
    </row>
    <row r="56" spans="1:9">
      <c r="A56" s="2"/>
      <c r="B56" s="1186" t="str">
        <f>+'[14]Core Rates'!A50</f>
        <v>Concrete Wall (4' ht. x 6" wide): Installed</v>
      </c>
      <c r="C56" s="6"/>
      <c r="D56" s="1382" t="str">
        <f>+'[14]Core Rates'!B50</f>
        <v>Lin Ft</v>
      </c>
      <c r="E56" s="1383">
        <f>+'[14]Core Rates'!C50</f>
        <v>42.692999999999998</v>
      </c>
      <c r="F56" s="1170">
        <v>113</v>
      </c>
      <c r="G56" s="1171">
        <f t="shared" si="3"/>
        <v>4824.3090000000002</v>
      </c>
      <c r="H56" s="35"/>
      <c r="I56" s="47"/>
    </row>
    <row r="57" spans="1:9">
      <c r="A57" s="2"/>
      <c r="B57" s="1186" t="str">
        <f>+'[14]Core Rates'!A39</f>
        <v>Concrete (Slab in Place, includes wire mesh or fiber)</v>
      </c>
      <c r="C57" s="6"/>
      <c r="D57" s="1382" t="str">
        <f>+'[14]Core Rates'!B39</f>
        <v>Cu Yd</v>
      </c>
      <c r="E57" s="1383">
        <f>+'[14]Core Rates'!C39</f>
        <v>146.05500000000001</v>
      </c>
      <c r="F57" s="1170">
        <v>8.5</v>
      </c>
      <c r="G57" s="1171">
        <f t="shared" si="3"/>
        <v>1241.4675</v>
      </c>
      <c r="H57" s="35"/>
      <c r="I57" s="47"/>
    </row>
    <row r="58" spans="1:9">
      <c r="A58" s="2"/>
      <c r="B58" s="1186" t="str">
        <f>+'[14]Core Rates'!A266</f>
        <v>Rock/Geo-Textile (Installed)</v>
      </c>
      <c r="C58" s="6"/>
      <c r="D58" s="1382" t="str">
        <f>+'[14]Core Rates'!B266</f>
        <v>Sq Ft</v>
      </c>
      <c r="E58" s="1385">
        <f>+'[14]Core Rates'!C266</f>
        <v>1.3482000000000001</v>
      </c>
      <c r="F58" s="1170">
        <v>410</v>
      </c>
      <c r="G58" s="1171">
        <f t="shared" si="3"/>
        <v>552.76200000000006</v>
      </c>
      <c r="H58" s="35"/>
      <c r="I58" s="47"/>
    </row>
    <row r="59" spans="1:9">
      <c r="A59" s="2"/>
      <c r="B59" s="40" t="s">
        <v>461</v>
      </c>
      <c r="C59" s="6"/>
      <c r="D59" s="1168" t="s">
        <v>408</v>
      </c>
      <c r="E59" s="1169">
        <f>+'[14]Core Rates'!C104</f>
        <v>20</v>
      </c>
      <c r="F59" s="1170">
        <v>0.2</v>
      </c>
      <c r="G59" s="1171">
        <f t="shared" si="3"/>
        <v>4</v>
      </c>
      <c r="H59" s="35"/>
      <c r="I59" s="47"/>
    </row>
    <row r="60" spans="1:9">
      <c r="A60" s="2"/>
      <c r="B60" s="40" t="s">
        <v>462</v>
      </c>
      <c r="C60" s="6"/>
      <c r="D60" s="1168" t="s">
        <v>408</v>
      </c>
      <c r="E60" s="1169">
        <f>+'[14]Core Rates'!AN33</f>
        <v>5.416666666666667</v>
      </c>
      <c r="F60" s="1170">
        <v>0.2</v>
      </c>
      <c r="G60" s="1171">
        <f t="shared" si="3"/>
        <v>1.0833333333333335</v>
      </c>
      <c r="H60" s="35"/>
      <c r="I60" s="47"/>
    </row>
    <row r="61" spans="1:9">
      <c r="A61" s="2"/>
      <c r="B61" s="40" t="s">
        <v>463</v>
      </c>
      <c r="C61" s="6"/>
      <c r="D61" s="1168" t="s">
        <v>452</v>
      </c>
      <c r="E61" s="1169">
        <f>+'[14]Core Rates'!AN34</f>
        <v>5.5</v>
      </c>
      <c r="F61" s="1170">
        <v>0.4</v>
      </c>
      <c r="G61" s="1171">
        <f t="shared" si="3"/>
        <v>2.2000000000000002</v>
      </c>
      <c r="H61" s="35"/>
      <c r="I61" s="47"/>
    </row>
    <row r="62" spans="1:9">
      <c r="A62" s="2"/>
      <c r="B62" s="40" t="s">
        <v>464</v>
      </c>
      <c r="C62" s="6"/>
      <c r="D62" s="1168" t="s">
        <v>452</v>
      </c>
      <c r="E62" s="1169">
        <f>+'[14]Core Rates'!AN32</f>
        <v>6.3125</v>
      </c>
      <c r="F62" s="1170">
        <v>0.4</v>
      </c>
      <c r="G62" s="1171">
        <f t="shared" si="3"/>
        <v>2.5250000000000004</v>
      </c>
      <c r="H62" s="35"/>
      <c r="I62" s="47"/>
    </row>
    <row r="63" spans="1:9">
      <c r="A63" s="2"/>
      <c r="B63" s="40" t="s">
        <v>1280</v>
      </c>
      <c r="C63" s="6"/>
      <c r="D63" s="1168" t="s">
        <v>619</v>
      </c>
      <c r="E63" s="1169">
        <f>+'[14]Core Rates'!C217</f>
        <v>472.5</v>
      </c>
      <c r="F63" s="1170">
        <v>0.4</v>
      </c>
      <c r="G63" s="1171">
        <f t="shared" si="3"/>
        <v>189</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1304</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1519.0181750000004</v>
      </c>
    </row>
    <row r="71" spans="1:9">
      <c r="A71" s="2"/>
      <c r="B71" s="2007" t="s">
        <v>465</v>
      </c>
      <c r="C71" s="2008"/>
      <c r="D71" s="35"/>
      <c r="E71" s="35"/>
      <c r="F71" s="35"/>
      <c r="G71" s="35"/>
      <c r="H71" s="35"/>
      <c r="I71" s="48"/>
    </row>
    <row r="72" spans="1:9">
      <c r="A72" s="2"/>
      <c r="B72" s="37" t="s">
        <v>466</v>
      </c>
      <c r="C72" s="39"/>
      <c r="D72" s="39"/>
      <c r="E72" s="153">
        <f>SUM(G54:G63)*0.15</f>
        <v>1519.0181750000004</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0.03*(I40+I52+I70)</f>
        <v>305.38697997505352</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0.01*(I40+I52+I70)</f>
        <v>101.79565999168452</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1283</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1283</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+I40+I52+I70+I76+I82+I92</f>
        <v>10484.952979143505</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10586.74863913519</v>
      </c>
    </row>
  </sheetData>
  <mergeCells count="4">
    <mergeCell ref="B1:D1"/>
    <mergeCell ref="E52:H52"/>
    <mergeCell ref="B66:I67"/>
    <mergeCell ref="B71:C71"/>
  </mergeCells>
  <pageMargins left="0.75" right="0.75" top="1" bottom="1" header="0.5" footer="0.5"/>
  <pageSetup scale="59" orientation="portrait" r:id="rId1"/>
  <headerFooter alignWithMargins="0"/>
</worksheet>
</file>

<file path=xl/worksheets/sheet62.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23.140625" customWidth="1"/>
    <col min="5" max="5" width="57" bestFit="1" customWidth="1"/>
    <col min="6" max="6" width="10.42578125" customWidth="1"/>
    <col min="7" max="7" width="10.140625" bestFit="1" customWidth="1"/>
    <col min="9" max="9" width="11.140625" bestFit="1" customWidth="1"/>
    <col min="10" max="10"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idden="1">
      <c r="A6" s="2"/>
      <c r="B6" s="54">
        <v>317</v>
      </c>
      <c r="C6" s="7" t="str">
        <f>+E12</f>
        <v>EQIP</v>
      </c>
      <c r="D6" s="53" t="s">
        <v>1299</v>
      </c>
      <c r="E6" s="110" t="s">
        <v>1315</v>
      </c>
      <c r="F6" s="7" t="str">
        <f>D36</f>
        <v>Each</v>
      </c>
      <c r="G6" s="85">
        <f>+I25</f>
        <v>11326.650696857627</v>
      </c>
    </row>
    <row r="7" spans="1:12" ht="25.5" hidden="1">
      <c r="A7" s="2"/>
      <c r="B7" s="54">
        <f>+B6</f>
        <v>317</v>
      </c>
      <c r="C7" s="7" t="str">
        <f>+C6</f>
        <v>EQIP</v>
      </c>
      <c r="D7" s="53" t="s">
        <v>1299</v>
      </c>
      <c r="E7" s="110" t="str">
        <f>CONCATENATE(E6, "-HU")</f>
        <v>Mortality Composter/ 6 Broiler Hs/ up to 790 Sow/Farrow/concrete-HU</v>
      </c>
      <c r="F7" s="7" t="str">
        <f>+F6</f>
        <v>Each</v>
      </c>
      <c r="G7" s="85">
        <f>+J25</f>
        <v>13591.980836229151</v>
      </c>
    </row>
    <row r="8" spans="1:12" hidden="1">
      <c r="A8" s="2"/>
      <c r="B8" s="54">
        <v>317</v>
      </c>
      <c r="C8" s="7" t="str">
        <f>+G12</f>
        <v>WHIP</v>
      </c>
      <c r="D8" s="53" t="s">
        <v>1299</v>
      </c>
      <c r="E8" s="110" t="s">
        <v>1315</v>
      </c>
      <c r="F8" s="7" t="str">
        <f>D36</f>
        <v>Each</v>
      </c>
      <c r="G8" s="85">
        <f>+K25</f>
        <v>0</v>
      </c>
    </row>
    <row r="9" spans="1:12" ht="25.5" hidden="1">
      <c r="A9" s="2"/>
      <c r="B9" s="8">
        <f>+B8</f>
        <v>317</v>
      </c>
      <c r="C9" s="10" t="str">
        <f>+C8</f>
        <v>WHIP</v>
      </c>
      <c r="D9" s="9" t="s">
        <v>1299</v>
      </c>
      <c r="E9" s="111" t="str">
        <f>CONCATENATE(E6, "-HU")</f>
        <v>Mortality Composter/ 6 Broiler Hs/ up to 790 Sow/Farrow/concrete-HU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52.778165835115225</v>
      </c>
      <c r="E16" s="160">
        <f>+'[12]Payment Factors'!D45</f>
        <v>0.75</v>
      </c>
      <c r="F16" s="160">
        <f>+'[12]Payment Factors'!E45</f>
        <v>0.9</v>
      </c>
      <c r="G16" s="160">
        <f>+'[12]Payment Factors'!F19</f>
        <v>0</v>
      </c>
      <c r="H16" s="160">
        <f>+'[12]Payment Factors'!G19</f>
        <v>0</v>
      </c>
      <c r="I16" s="1154">
        <f t="shared" ref="I16:L24" si="0">+$D16*E16</f>
        <v>39.583624376336417</v>
      </c>
      <c r="J16" s="1154">
        <f t="shared" si="0"/>
        <v>47.500349251603701</v>
      </c>
      <c r="K16" s="1154">
        <f t="shared" si="0"/>
        <v>0</v>
      </c>
      <c r="L16" s="1155">
        <f t="shared" si="0"/>
        <v>0</v>
      </c>
    </row>
    <row r="17" spans="1:12" hidden="1">
      <c r="A17" s="2"/>
      <c r="B17" s="15" t="s">
        <v>2</v>
      </c>
      <c r="C17" s="16"/>
      <c r="D17" s="24">
        <f>+I52</f>
        <v>12418.119908333332</v>
      </c>
      <c r="E17" s="160">
        <f t="shared" ref="E17:H19" si="1">+E16</f>
        <v>0.75</v>
      </c>
      <c r="F17" s="160">
        <f t="shared" si="1"/>
        <v>0.9</v>
      </c>
      <c r="G17" s="160">
        <f t="shared" si="1"/>
        <v>0</v>
      </c>
      <c r="H17" s="160">
        <f t="shared" si="1"/>
        <v>0</v>
      </c>
      <c r="I17" s="1154">
        <f t="shared" si="0"/>
        <v>9313.5899312499987</v>
      </c>
      <c r="J17" s="1154">
        <f t="shared" si="0"/>
        <v>11176.307917499998</v>
      </c>
      <c r="K17" s="1154">
        <f t="shared" si="0"/>
        <v>0</v>
      </c>
      <c r="L17" s="1155">
        <f t="shared" si="0"/>
        <v>0</v>
      </c>
    </row>
    <row r="18" spans="1:12" hidden="1">
      <c r="A18" s="2"/>
      <c r="B18" s="15" t="s">
        <v>3</v>
      </c>
      <c r="C18" s="16"/>
      <c r="D18" s="24">
        <f>+I70</f>
        <v>2191.4329250000001</v>
      </c>
      <c r="E18" s="160">
        <f t="shared" si="1"/>
        <v>0.75</v>
      </c>
      <c r="F18" s="160">
        <f t="shared" si="1"/>
        <v>0.9</v>
      </c>
      <c r="G18" s="160">
        <f t="shared" si="1"/>
        <v>0</v>
      </c>
      <c r="H18" s="160">
        <f t="shared" si="1"/>
        <v>0</v>
      </c>
      <c r="I18" s="1154">
        <f t="shared" si="0"/>
        <v>1643.5746937500001</v>
      </c>
      <c r="J18" s="1154">
        <f t="shared" si="0"/>
        <v>1972.2896325000002</v>
      </c>
      <c r="K18" s="1154">
        <f t="shared" si="0"/>
        <v>0</v>
      </c>
      <c r="L18" s="1155">
        <f t="shared" si="0"/>
        <v>0</v>
      </c>
    </row>
    <row r="19" spans="1:12" hidden="1">
      <c r="A19" s="2"/>
      <c r="B19" s="15" t="s">
        <v>4</v>
      </c>
      <c r="C19" s="16"/>
      <c r="D19" s="24">
        <f>+I76</f>
        <v>439.86992997505342</v>
      </c>
      <c r="E19" s="160">
        <f t="shared" si="1"/>
        <v>0.75</v>
      </c>
      <c r="F19" s="160">
        <f t="shared" si="1"/>
        <v>0.9</v>
      </c>
      <c r="G19" s="160">
        <f t="shared" si="1"/>
        <v>0</v>
      </c>
      <c r="H19" s="160">
        <f t="shared" si="1"/>
        <v>0</v>
      </c>
      <c r="I19" s="1154">
        <f t="shared" si="0"/>
        <v>329.9024474812901</v>
      </c>
      <c r="J19" s="1154">
        <f t="shared" si="0"/>
        <v>395.88293697754807</v>
      </c>
      <c r="K19" s="1154">
        <f t="shared" si="0"/>
        <v>0</v>
      </c>
      <c r="L19" s="1155">
        <f t="shared" si="0"/>
        <v>0</v>
      </c>
    </row>
    <row r="20" spans="1:12" hidden="1">
      <c r="A20" s="2"/>
      <c r="B20" s="15" t="s">
        <v>26</v>
      </c>
      <c r="C20" s="16"/>
      <c r="D20" s="24">
        <f>+I79</f>
        <v>146.62330999168447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15248.824239135185</v>
      </c>
      <c r="E25" s="1158"/>
      <c r="F25" s="1158"/>
      <c r="G25" s="28"/>
      <c r="H25" s="28"/>
      <c r="I25" s="1159">
        <f>SUM(I16:I24)</f>
        <v>11326.650696857627</v>
      </c>
      <c r="J25" s="1159">
        <f>SUM(J16:J24)</f>
        <v>13591.980836229151</v>
      </c>
      <c r="K25" s="1159">
        <f>SUM(K16:K24)</f>
        <v>0</v>
      </c>
      <c r="L25" s="1160">
        <f>SUM(L16:L24)</f>
        <v>0</v>
      </c>
    </row>
    <row r="26" spans="1:12" hidden="1"/>
    <row r="27" spans="1:12" ht="15.75">
      <c r="A27" s="2"/>
      <c r="B27" s="50" t="s">
        <v>28</v>
      </c>
      <c r="C27" s="2"/>
      <c r="D27" s="2"/>
      <c r="E27" s="2"/>
      <c r="F27" s="2"/>
      <c r="G27" s="2"/>
      <c r="H27" s="2"/>
      <c r="I27" s="5"/>
    </row>
    <row r="28" spans="1:12">
      <c r="A28" s="2"/>
      <c r="B28" s="29" t="s">
        <v>1308</v>
      </c>
      <c r="C28" s="30"/>
      <c r="D28" s="30"/>
      <c r="E28" s="31"/>
      <c r="F28" s="31"/>
      <c r="G28" s="31"/>
      <c r="H28" s="31"/>
      <c r="I28" s="32"/>
    </row>
    <row r="29" spans="1:12">
      <c r="A29" s="2"/>
      <c r="B29" s="1161" t="s">
        <v>1312</v>
      </c>
      <c r="C29" s="34"/>
      <c r="D29" s="34"/>
      <c r="E29" s="35"/>
      <c r="F29" s="35"/>
      <c r="G29" s="35"/>
      <c r="H29" s="35"/>
      <c r="I29" s="36"/>
    </row>
    <row r="30" spans="1:12">
      <c r="A30" s="2"/>
      <c r="B30" s="1161" t="s">
        <v>1303</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+'[12]Payment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+'[14]Core Rates'!C203</f>
        <v>8.75</v>
      </c>
      <c r="F43" s="1170">
        <v>0.4</v>
      </c>
      <c r="G43" s="1171">
        <f t="shared" si="2"/>
        <v>3.5</v>
      </c>
      <c r="H43" s="35"/>
      <c r="I43" s="36"/>
    </row>
    <row r="44" spans="1:9">
      <c r="A44" s="2"/>
      <c r="B44" s="1184" t="s">
        <v>453</v>
      </c>
      <c r="C44" s="6"/>
      <c r="D44" s="1185" t="s">
        <v>454</v>
      </c>
      <c r="E44" s="1169">
        <f>+'[14]Core Rates'!C228</f>
        <v>0.82427536231884069</v>
      </c>
      <c r="F44" s="1170">
        <v>10</v>
      </c>
      <c r="G44" s="1171">
        <f t="shared" si="2"/>
        <v>8.2427536231884062</v>
      </c>
      <c r="H44" s="35"/>
      <c r="I44" s="36"/>
    </row>
    <row r="45" spans="1:9">
      <c r="A45" s="2"/>
      <c r="B45" s="1186" t="s">
        <v>455</v>
      </c>
      <c r="C45" s="1187"/>
      <c r="D45" s="1185" t="s">
        <v>454</v>
      </c>
      <c r="E45" s="1169">
        <f>+'[14]Core Rates'!C235</f>
        <v>1.1702898550724636</v>
      </c>
      <c r="F45" s="1170">
        <v>10</v>
      </c>
      <c r="G45" s="1171">
        <f t="shared" si="2"/>
        <v>11.702898550724637</v>
      </c>
      <c r="H45" s="35"/>
      <c r="I45" s="36"/>
    </row>
    <row r="46" spans="1:9">
      <c r="A46" s="2"/>
      <c r="B46" s="1186" t="s">
        <v>456</v>
      </c>
      <c r="C46" s="1187"/>
      <c r="D46" s="1168" t="s">
        <v>454</v>
      </c>
      <c r="E46" s="1169">
        <f>+'[14]Core Rates'!C246</f>
        <v>0.58825136612021856</v>
      </c>
      <c r="F46" s="1170">
        <v>10</v>
      </c>
      <c r="G46" s="1171">
        <f t="shared" si="2"/>
        <v>5.8825136612021858</v>
      </c>
      <c r="H46" s="35"/>
      <c r="I46" s="36"/>
    </row>
    <row r="47" spans="1:9">
      <c r="A47" s="2"/>
      <c r="B47" s="1186" t="str">
        <f>+'[14]Core Rates'!A313</f>
        <v>Seed (Tall Fescue KY-31)</v>
      </c>
      <c r="C47" s="1187"/>
      <c r="D47" s="1185" t="s">
        <v>454</v>
      </c>
      <c r="E47" s="1169">
        <f>+'[14]Core Rates'!C313</f>
        <v>2.3449999999999998</v>
      </c>
      <c r="F47" s="1170">
        <v>10</v>
      </c>
      <c r="G47" s="1171">
        <f t="shared" si="2"/>
        <v>23.449999999999996</v>
      </c>
      <c r="H47" s="35"/>
      <c r="I47" s="36"/>
    </row>
    <row r="48" spans="1:9">
      <c r="A48" s="2"/>
      <c r="B48" s="1186" t="s">
        <v>480</v>
      </c>
      <c r="C48" s="1187"/>
      <c r="D48" s="1185" t="s">
        <v>454</v>
      </c>
      <c r="E48" s="1169">
        <f>+'[14]Core Rates'!C311</f>
        <v>2.0975000000000001</v>
      </c>
      <c r="F48" s="1170">
        <v>0</v>
      </c>
      <c r="G48" s="1171">
        <f t="shared" si="2"/>
        <v>0</v>
      </c>
      <c r="H48" s="35"/>
      <c r="I48" s="36"/>
    </row>
    <row r="49" spans="1:9">
      <c r="A49" s="2"/>
      <c r="B49" s="1186" t="s">
        <v>481</v>
      </c>
      <c r="C49" s="1187"/>
      <c r="D49" s="1185" t="s">
        <v>454</v>
      </c>
      <c r="E49" s="1169">
        <f>+'[14]Core Rates'!C312</f>
        <v>3.5</v>
      </c>
      <c r="F49" s="1170">
        <v>0</v>
      </c>
      <c r="G49" s="1171">
        <f t="shared" si="2"/>
        <v>0</v>
      </c>
      <c r="H49" s="35"/>
      <c r="I49" s="36"/>
    </row>
    <row r="50" spans="1:9">
      <c r="A50" s="2"/>
      <c r="B50" s="1184"/>
      <c r="C50" s="6"/>
      <c r="D50" s="1173"/>
      <c r="E50" s="1190"/>
      <c r="F50" s="35"/>
      <c r="G50" s="35"/>
      <c r="H50" s="35"/>
      <c r="I50" s="36"/>
    </row>
    <row r="51" spans="1:9">
      <c r="A51" s="2"/>
      <c r="B51" s="1172"/>
      <c r="C51" s="6"/>
      <c r="D51" s="1173"/>
      <c r="E51" s="35"/>
      <c r="F51" s="35"/>
      <c r="G51" s="35"/>
      <c r="H51" s="35"/>
      <c r="I51" s="36"/>
    </row>
    <row r="52" spans="1:9">
      <c r="A52" s="2"/>
      <c r="B52" s="42" t="s">
        <v>2</v>
      </c>
      <c r="C52" s="35"/>
      <c r="D52" s="35"/>
      <c r="E52" s="2003" t="s">
        <v>459</v>
      </c>
      <c r="F52" s="2003"/>
      <c r="G52" s="2003"/>
      <c r="H52" s="2003"/>
      <c r="I52" s="1166">
        <f>(SUM(G54:G63)*0.85)</f>
        <v>12418.119908333332</v>
      </c>
    </row>
    <row r="53" spans="1:9">
      <c r="A53" s="2"/>
      <c r="B53" s="1174"/>
      <c r="C53" s="35"/>
      <c r="D53" s="1167" t="s">
        <v>447</v>
      </c>
      <c r="E53" s="1167" t="s">
        <v>448</v>
      </c>
      <c r="F53" s="1167" t="s">
        <v>449</v>
      </c>
      <c r="G53" s="1167" t="s">
        <v>450</v>
      </c>
      <c r="H53" s="35"/>
      <c r="I53" s="46"/>
    </row>
    <row r="54" spans="1:9">
      <c r="A54" s="2"/>
      <c r="B54" s="1387" t="str">
        <f>+'[14]Core Rates'!A111</f>
        <v>Earthmoving: Medium grading/shaping (2-6 hrs/ac)</v>
      </c>
      <c r="C54" s="6"/>
      <c r="D54" s="1168" t="s">
        <v>408</v>
      </c>
      <c r="E54" s="1169">
        <f>+'[14]Core Rates'!C111</f>
        <v>503.625</v>
      </c>
      <c r="F54" s="1170">
        <v>0.2</v>
      </c>
      <c r="G54" s="1171">
        <f t="shared" ref="G54:G63" si="3">+F54*E54</f>
        <v>100.72500000000001</v>
      </c>
      <c r="H54" s="35"/>
      <c r="I54" s="47"/>
    </row>
    <row r="55" spans="1:9">
      <c r="A55" s="2"/>
      <c r="B55" s="1186" t="str">
        <f>+'[14]Core Rates'!A241</f>
        <v>Pole Barn Type Structure (w/o floor or walls) *</v>
      </c>
      <c r="C55" s="1376"/>
      <c r="D55" s="1382" t="str">
        <f>+'[14]Core Rates'!B241</f>
        <v>Sq Ft</v>
      </c>
      <c r="E55" s="1383">
        <f>+'[14]Core Rates'!C241</f>
        <v>5.8983750000000006</v>
      </c>
      <c r="F55" s="1170">
        <v>816</v>
      </c>
      <c r="G55" s="1171">
        <f t="shared" si="3"/>
        <v>4813.0740000000005</v>
      </c>
      <c r="H55" s="35"/>
      <c r="I55" s="47"/>
    </row>
    <row r="56" spans="1:9">
      <c r="A56" s="2"/>
      <c r="B56" s="1186" t="str">
        <f>+'[14]Core Rates'!A50</f>
        <v>Concrete Wall (4' ht. x 6" wide): Installed</v>
      </c>
      <c r="C56" s="6"/>
      <c r="D56" s="1382" t="str">
        <f>+'[14]Core Rates'!B50</f>
        <v>Lin Ft</v>
      </c>
      <c r="E56" s="1383">
        <f>+'[14]Core Rates'!C50</f>
        <v>42.692999999999998</v>
      </c>
      <c r="F56" s="1170">
        <v>161</v>
      </c>
      <c r="G56" s="1171">
        <f t="shared" si="3"/>
        <v>6873.5729999999994</v>
      </c>
      <c r="H56" s="35"/>
      <c r="I56" s="47"/>
    </row>
    <row r="57" spans="1:9">
      <c r="A57" s="2"/>
      <c r="B57" s="1186" t="str">
        <f>+'[14]Core Rates'!A39</f>
        <v>Concrete (Slab in Place, includes wire mesh or fiber)</v>
      </c>
      <c r="C57" s="6"/>
      <c r="D57" s="1382" t="str">
        <f>+'[14]Core Rates'!B39</f>
        <v>Cu Yd</v>
      </c>
      <c r="E57" s="1383">
        <f>+'[14]Core Rates'!C39</f>
        <v>146.05500000000001</v>
      </c>
      <c r="F57" s="1170">
        <v>12.7</v>
      </c>
      <c r="G57" s="1171">
        <f t="shared" si="3"/>
        <v>1854.8985</v>
      </c>
      <c r="H57" s="35"/>
      <c r="I57" s="47"/>
    </row>
    <row r="58" spans="1:9">
      <c r="A58" s="2"/>
      <c r="B58" s="1186" t="str">
        <f>+'[14]Core Rates'!A266</f>
        <v>Rock/Geo-Textile (Installed)</v>
      </c>
      <c r="C58" s="6"/>
      <c r="D58" s="1382" t="str">
        <f>+'[14]Core Rates'!B266</f>
        <v>Sq Ft</v>
      </c>
      <c r="E58" s="1385">
        <f>+'[14]Core Rates'!C266</f>
        <v>1.3482000000000001</v>
      </c>
      <c r="F58" s="1170">
        <v>570</v>
      </c>
      <c r="G58" s="1171">
        <f t="shared" si="3"/>
        <v>768.47400000000005</v>
      </c>
      <c r="H58" s="35"/>
      <c r="I58" s="47"/>
    </row>
    <row r="59" spans="1:9">
      <c r="A59" s="2"/>
      <c r="B59" s="40" t="s">
        <v>461</v>
      </c>
      <c r="C59" s="6"/>
      <c r="D59" s="1168" t="s">
        <v>408</v>
      </c>
      <c r="E59" s="1169">
        <f>+'[14]Core Rates'!C104</f>
        <v>20</v>
      </c>
      <c r="F59" s="1170">
        <v>0.2</v>
      </c>
      <c r="G59" s="1171">
        <f t="shared" si="3"/>
        <v>4</v>
      </c>
      <c r="H59" s="35"/>
      <c r="I59" s="47"/>
    </row>
    <row r="60" spans="1:9">
      <c r="A60" s="2"/>
      <c r="B60" s="40" t="s">
        <v>462</v>
      </c>
      <c r="C60" s="6"/>
      <c r="D60" s="1168" t="s">
        <v>408</v>
      </c>
      <c r="E60" s="1169">
        <f>+'[14]Core Rates'!AN33</f>
        <v>5.416666666666667</v>
      </c>
      <c r="F60" s="1170">
        <v>0.2</v>
      </c>
      <c r="G60" s="1171">
        <f t="shared" si="3"/>
        <v>1.0833333333333335</v>
      </c>
      <c r="H60" s="35"/>
      <c r="I60" s="47"/>
    </row>
    <row r="61" spans="1:9">
      <c r="A61" s="2"/>
      <c r="B61" s="40" t="s">
        <v>463</v>
      </c>
      <c r="C61" s="6"/>
      <c r="D61" s="1168" t="s">
        <v>452</v>
      </c>
      <c r="E61" s="1169">
        <f>+'[14]Core Rates'!AN34</f>
        <v>5.5</v>
      </c>
      <c r="F61" s="1170">
        <v>0.4</v>
      </c>
      <c r="G61" s="1171">
        <f t="shared" si="3"/>
        <v>2.2000000000000002</v>
      </c>
      <c r="H61" s="35"/>
      <c r="I61" s="47"/>
    </row>
    <row r="62" spans="1:9">
      <c r="A62" s="2"/>
      <c r="B62" s="40" t="s">
        <v>464</v>
      </c>
      <c r="C62" s="6"/>
      <c r="D62" s="1168" t="s">
        <v>452</v>
      </c>
      <c r="E62" s="1169">
        <f>+'[14]Core Rates'!AN32</f>
        <v>6.3125</v>
      </c>
      <c r="F62" s="1170">
        <v>0.4</v>
      </c>
      <c r="G62" s="1171">
        <f t="shared" si="3"/>
        <v>2.5250000000000004</v>
      </c>
      <c r="H62" s="35"/>
      <c r="I62" s="47"/>
    </row>
    <row r="63" spans="1:9">
      <c r="A63" s="2"/>
      <c r="B63" s="40" t="s">
        <v>1280</v>
      </c>
      <c r="C63" s="6"/>
      <c r="D63" s="1168" t="s">
        <v>619</v>
      </c>
      <c r="E63" s="1169">
        <f>+'[14]Core Rates'!C217</f>
        <v>472.5</v>
      </c>
      <c r="F63" s="1170">
        <v>0.4</v>
      </c>
      <c r="G63" s="1171">
        <f t="shared" si="3"/>
        <v>189</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1304</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2191.4329250000001</v>
      </c>
    </row>
    <row r="71" spans="1:9">
      <c r="A71" s="2"/>
      <c r="B71" s="2007" t="s">
        <v>465</v>
      </c>
      <c r="C71" s="2008"/>
      <c r="D71" s="35"/>
      <c r="E71" s="35"/>
      <c r="F71" s="35"/>
      <c r="G71" s="35"/>
      <c r="H71" s="35"/>
      <c r="I71" s="48"/>
    </row>
    <row r="72" spans="1:9">
      <c r="A72" s="2"/>
      <c r="B72" s="37" t="s">
        <v>466</v>
      </c>
      <c r="C72" s="39"/>
      <c r="D72" s="39"/>
      <c r="E72" s="153">
        <f>SUM(G54:G63)*0.15</f>
        <v>2191.4329250000001</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0.03*(I40+I52+I70)</f>
        <v>439.86992997505342</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0.01*(I40+I52+I70)</f>
        <v>146.62330999168447</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1283</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1283</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+I40+I52+I70+I76+I82+I92</f>
        <v>15102.200929143501</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15248.824239135185</v>
      </c>
    </row>
  </sheetData>
  <mergeCells count="4">
    <mergeCell ref="B1:D1"/>
    <mergeCell ref="E52:H52"/>
    <mergeCell ref="B66:I67"/>
    <mergeCell ref="B71:C71"/>
  </mergeCells>
  <pageMargins left="0.75" right="0.75" top="1" bottom="1" header="0.5" footer="0.5"/>
  <pageSetup scale="58" orientation="portrait" r:id="rId1"/>
  <headerFooter alignWithMargins="0"/>
</worksheet>
</file>

<file path=xl/worksheets/sheet63.xml><?xml version="1.0" encoding="utf-8"?>
<worksheet xmlns="http://schemas.openxmlformats.org/spreadsheetml/2006/main" xmlns:r="http://schemas.openxmlformats.org/officeDocument/2006/relationships">
  <sheetPr>
    <pageSetUpPr fitToPage="1"/>
  </sheetPr>
  <dimension ref="A1:L98"/>
  <sheetViews>
    <sheetView workbookViewId="0">
      <selection activeCell="B54" sqref="B54:I55"/>
    </sheetView>
  </sheetViews>
  <sheetFormatPr defaultRowHeight="12.75"/>
  <cols>
    <col min="1" max="1" width="1.85546875" customWidth="1"/>
    <col min="3" max="3" width="24.140625" customWidth="1"/>
    <col min="4" max="4" width="23.140625" customWidth="1"/>
    <col min="5" max="5" width="57" customWidth="1"/>
    <col min="6" max="6" width="10.42578125" customWidth="1"/>
    <col min="7" max="7" width="10.140625" bestFit="1" customWidth="1"/>
    <col min="9" max="9" width="11.140625" bestFit="1" customWidth="1"/>
    <col min="10" max="10"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317</v>
      </c>
      <c r="C6" s="7" t="str">
        <f>+E12</f>
        <v>EQIP</v>
      </c>
      <c r="D6" s="53" t="s">
        <v>1299</v>
      </c>
      <c r="E6" s="110" t="s">
        <v>1316</v>
      </c>
      <c r="F6" s="7" t="str">
        <f>D36</f>
        <v>Each</v>
      </c>
      <c r="G6" s="85">
        <f>+I25</f>
        <v>14800.869408107628</v>
      </c>
    </row>
    <row r="7" spans="1:12" ht="25.5" hidden="1">
      <c r="A7" s="2"/>
      <c r="B7" s="54">
        <f>+B6</f>
        <v>317</v>
      </c>
      <c r="C7" s="7" t="str">
        <f>+C6</f>
        <v>EQIP</v>
      </c>
      <c r="D7" s="53" t="s">
        <v>1299</v>
      </c>
      <c r="E7" s="110" t="str">
        <f>CONCATENATE(E6, "-HU")</f>
        <v>Mortality Composter/ 8 Broiler Hs/ up to 1060 Sow/Farrow/concrete-HU</v>
      </c>
      <c r="F7" s="7" t="str">
        <f>+F6</f>
        <v>Each</v>
      </c>
      <c r="G7" s="85">
        <f>+J25</f>
        <v>17761.043289729158</v>
      </c>
    </row>
    <row r="8" spans="1:12" ht="25.5" hidden="1">
      <c r="A8" s="2"/>
      <c r="B8" s="54">
        <v>317</v>
      </c>
      <c r="C8" s="7" t="str">
        <f>+G12</f>
        <v>WHIP</v>
      </c>
      <c r="D8" s="53" t="s">
        <v>1299</v>
      </c>
      <c r="E8" s="110" t="s">
        <v>1316</v>
      </c>
      <c r="F8" s="7" t="str">
        <f>D36</f>
        <v>Each</v>
      </c>
      <c r="G8" s="85">
        <f>+K25</f>
        <v>0</v>
      </c>
    </row>
    <row r="9" spans="1:12" ht="25.5" hidden="1">
      <c r="A9" s="2"/>
      <c r="B9" s="8">
        <f>+B8</f>
        <v>317</v>
      </c>
      <c r="C9" s="10" t="str">
        <f>+C8</f>
        <v>WHIP</v>
      </c>
      <c r="D9" s="9" t="s">
        <v>1299</v>
      </c>
      <c r="E9" s="111" t="str">
        <f>CONCATENATE(E6, "-HU")</f>
        <v>Mortality Composter/ 8 Broiler Hs/ up to 1060 Sow/Farrow/concrete-HU</v>
      </c>
      <c r="F9" s="10" t="str">
        <f>+F8</f>
        <v>Each</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52.778165835115225</v>
      </c>
      <c r="E16" s="160">
        <f>+'[12]Payment Factors'!D45</f>
        <v>0.75</v>
      </c>
      <c r="F16" s="160">
        <f>+'[12]Payment Factors'!E45</f>
        <v>0.9</v>
      </c>
      <c r="G16" s="160">
        <f>+'[12]Payment Factors'!F19</f>
        <v>0</v>
      </c>
      <c r="H16" s="160">
        <f>+'[12]Payment Factors'!G19</f>
        <v>0</v>
      </c>
      <c r="I16" s="1154">
        <f t="shared" ref="I16:L24" si="0">+$D16*E16</f>
        <v>39.583624376336417</v>
      </c>
      <c r="J16" s="1154">
        <f t="shared" si="0"/>
        <v>47.500349251603701</v>
      </c>
      <c r="K16" s="1154">
        <f t="shared" si="0"/>
        <v>0</v>
      </c>
      <c r="L16" s="1155">
        <f t="shared" si="0"/>
        <v>0</v>
      </c>
    </row>
    <row r="17" spans="1:12" hidden="1">
      <c r="A17" s="2"/>
      <c r="B17" s="15" t="s">
        <v>2</v>
      </c>
      <c r="C17" s="16"/>
      <c r="D17" s="24">
        <f>+I52</f>
        <v>16240.884833333335</v>
      </c>
      <c r="E17" s="160">
        <f t="shared" ref="E17:H19" si="1">+E16</f>
        <v>0.75</v>
      </c>
      <c r="F17" s="160">
        <f t="shared" si="1"/>
        <v>0.9</v>
      </c>
      <c r="G17" s="160">
        <f t="shared" si="1"/>
        <v>0</v>
      </c>
      <c r="H17" s="160">
        <f t="shared" si="1"/>
        <v>0</v>
      </c>
      <c r="I17" s="1154">
        <f t="shared" si="0"/>
        <v>12180.663625000001</v>
      </c>
      <c r="J17" s="1154">
        <f t="shared" si="0"/>
        <v>14616.796350000002</v>
      </c>
      <c r="K17" s="1154">
        <f t="shared" si="0"/>
        <v>0</v>
      </c>
      <c r="L17" s="1155">
        <f t="shared" si="0"/>
        <v>0</v>
      </c>
    </row>
    <row r="18" spans="1:12" hidden="1">
      <c r="A18" s="2"/>
      <c r="B18" s="15" t="s">
        <v>3</v>
      </c>
      <c r="C18" s="16"/>
      <c r="D18" s="24">
        <f>+I70</f>
        <v>2866.0385000000001</v>
      </c>
      <c r="E18" s="160">
        <f t="shared" si="1"/>
        <v>0.75</v>
      </c>
      <c r="F18" s="160">
        <f t="shared" si="1"/>
        <v>0.9</v>
      </c>
      <c r="G18" s="160">
        <f t="shared" si="1"/>
        <v>0</v>
      </c>
      <c r="H18" s="160">
        <f t="shared" si="1"/>
        <v>0</v>
      </c>
      <c r="I18" s="1154">
        <f t="shared" si="0"/>
        <v>2149.528875</v>
      </c>
      <c r="J18" s="1154">
        <f t="shared" si="0"/>
        <v>2579.4346500000001</v>
      </c>
      <c r="K18" s="1154">
        <f t="shared" si="0"/>
        <v>0</v>
      </c>
      <c r="L18" s="1155">
        <f t="shared" si="0"/>
        <v>0</v>
      </c>
    </row>
    <row r="19" spans="1:12" hidden="1">
      <c r="A19" s="2"/>
      <c r="B19" s="15" t="s">
        <v>4</v>
      </c>
      <c r="C19" s="16"/>
      <c r="D19" s="24">
        <f>+I76</f>
        <v>574.79104497505352</v>
      </c>
      <c r="E19" s="160">
        <f t="shared" si="1"/>
        <v>0.75</v>
      </c>
      <c r="F19" s="160">
        <f t="shared" si="1"/>
        <v>0.9</v>
      </c>
      <c r="G19" s="160">
        <f t="shared" si="1"/>
        <v>0</v>
      </c>
      <c r="H19" s="160">
        <f t="shared" si="1"/>
        <v>0</v>
      </c>
      <c r="I19" s="1154">
        <f t="shared" si="0"/>
        <v>431.09328373129017</v>
      </c>
      <c r="J19" s="1154">
        <f t="shared" si="0"/>
        <v>517.31194047754821</v>
      </c>
      <c r="K19" s="1154">
        <f t="shared" si="0"/>
        <v>0</v>
      </c>
      <c r="L19" s="1155">
        <f t="shared" si="0"/>
        <v>0</v>
      </c>
    </row>
    <row r="20" spans="1:12" hidden="1">
      <c r="A20" s="2"/>
      <c r="B20" s="15" t="s">
        <v>26</v>
      </c>
      <c r="C20" s="16"/>
      <c r="D20" s="24">
        <f>+I79</f>
        <v>191.59701499168452</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+I82</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+I85</f>
        <v>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+I89</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+I92</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19926.089559135187</v>
      </c>
      <c r="E25" s="1158"/>
      <c r="F25" s="1158"/>
      <c r="G25" s="28"/>
      <c r="H25" s="28"/>
      <c r="I25" s="1159">
        <f>SUM(I16:I24)</f>
        <v>14800.869408107628</v>
      </c>
      <c r="J25" s="1159">
        <f>SUM(J16:J24)</f>
        <v>17761.043289729158</v>
      </c>
      <c r="K25" s="1159">
        <f>SUM(K16:K24)</f>
        <v>0</v>
      </c>
      <c r="L25" s="1160">
        <f>SUM(L16:L24)</f>
        <v>0</v>
      </c>
    </row>
    <row r="26" spans="1:12" hidden="1"/>
    <row r="27" spans="1:12" ht="15.75">
      <c r="A27" s="2"/>
      <c r="B27" s="50" t="s">
        <v>28</v>
      </c>
      <c r="C27" s="2"/>
      <c r="D27" s="2"/>
      <c r="E27" s="2"/>
      <c r="F27" s="2"/>
      <c r="G27" s="2"/>
      <c r="H27" s="2"/>
      <c r="I27" s="5"/>
    </row>
    <row r="28" spans="1:12">
      <c r="A28" s="2"/>
      <c r="B28" s="29" t="s">
        <v>1310</v>
      </c>
      <c r="C28" s="30"/>
      <c r="D28" s="30"/>
      <c r="E28" s="31"/>
      <c r="F28" s="31"/>
      <c r="G28" s="31"/>
      <c r="H28" s="31"/>
      <c r="I28" s="32"/>
    </row>
    <row r="29" spans="1:12">
      <c r="A29" s="2"/>
      <c r="B29" s="1161" t="s">
        <v>1312</v>
      </c>
      <c r="C29" s="34"/>
      <c r="D29" s="34"/>
      <c r="E29" s="35"/>
      <c r="F29" s="35"/>
      <c r="G29" s="35"/>
      <c r="H29" s="35"/>
      <c r="I29" s="36"/>
    </row>
    <row r="30" spans="1:12">
      <c r="A30" s="2"/>
      <c r="B30" s="1161" t="s">
        <v>1303</v>
      </c>
      <c r="C30" s="143"/>
      <c r="D30" s="34"/>
      <c r="E30" s="35"/>
      <c r="F30" s="1163"/>
      <c r="G30" s="35"/>
      <c r="H30" s="35"/>
      <c r="I30" s="36"/>
    </row>
    <row r="31" spans="1:12">
      <c r="A31" s="2"/>
      <c r="B31" s="37" t="s">
        <v>1277</v>
      </c>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712</v>
      </c>
      <c r="E36" s="6"/>
      <c r="F36" s="35"/>
      <c r="G36" s="35"/>
      <c r="H36" s="35"/>
      <c r="I36" s="36"/>
    </row>
    <row r="37" spans="1:9">
      <c r="A37" s="2"/>
      <c r="B37" s="38" t="s">
        <v>9</v>
      </c>
      <c r="C37" s="34"/>
      <c r="D37" s="1164">
        <f>+'[12]Payment Factors'!C7</f>
        <v>15</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52.778165835115225</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+'[14]Core Rates'!C203</f>
        <v>8.75</v>
      </c>
      <c r="F43" s="1170">
        <v>0.4</v>
      </c>
      <c r="G43" s="1171">
        <f t="shared" si="2"/>
        <v>3.5</v>
      </c>
      <c r="H43" s="35"/>
      <c r="I43" s="36"/>
    </row>
    <row r="44" spans="1:9">
      <c r="A44" s="2"/>
      <c r="B44" s="1184" t="s">
        <v>453</v>
      </c>
      <c r="C44" s="6"/>
      <c r="D44" s="1185" t="s">
        <v>454</v>
      </c>
      <c r="E44" s="1169">
        <f>+'[14]Core Rates'!C228</f>
        <v>0.82427536231884069</v>
      </c>
      <c r="F44" s="1170">
        <v>10</v>
      </c>
      <c r="G44" s="1171">
        <f t="shared" si="2"/>
        <v>8.2427536231884062</v>
      </c>
      <c r="H44" s="35"/>
      <c r="I44" s="36"/>
    </row>
    <row r="45" spans="1:9">
      <c r="A45" s="2"/>
      <c r="B45" s="1186" t="s">
        <v>455</v>
      </c>
      <c r="C45" s="1187"/>
      <c r="D45" s="1185" t="s">
        <v>454</v>
      </c>
      <c r="E45" s="1169">
        <f>+'[14]Core Rates'!C235</f>
        <v>1.1702898550724636</v>
      </c>
      <c r="F45" s="1170">
        <v>10</v>
      </c>
      <c r="G45" s="1171">
        <f t="shared" si="2"/>
        <v>11.702898550724637</v>
      </c>
      <c r="H45" s="35"/>
      <c r="I45" s="36"/>
    </row>
    <row r="46" spans="1:9">
      <c r="A46" s="2"/>
      <c r="B46" s="1186" t="s">
        <v>456</v>
      </c>
      <c r="C46" s="1187"/>
      <c r="D46" s="1168" t="s">
        <v>454</v>
      </c>
      <c r="E46" s="1169">
        <f>+'[14]Core Rates'!C246</f>
        <v>0.58825136612021856</v>
      </c>
      <c r="F46" s="1170">
        <v>10</v>
      </c>
      <c r="G46" s="1171">
        <f t="shared" si="2"/>
        <v>5.8825136612021858</v>
      </c>
      <c r="H46" s="35"/>
      <c r="I46" s="36"/>
    </row>
    <row r="47" spans="1:9">
      <c r="A47" s="2"/>
      <c r="B47" s="1186" t="str">
        <f>+'[14]Core Rates'!A313</f>
        <v>Seed (Tall Fescue KY-31)</v>
      </c>
      <c r="C47" s="1187"/>
      <c r="D47" s="1185" t="s">
        <v>454</v>
      </c>
      <c r="E47" s="1169">
        <f>+'[14]Core Rates'!C313</f>
        <v>2.3449999999999998</v>
      </c>
      <c r="F47" s="1170">
        <v>10</v>
      </c>
      <c r="G47" s="1171">
        <f t="shared" si="2"/>
        <v>23.449999999999996</v>
      </c>
      <c r="H47" s="35"/>
      <c r="I47" s="36"/>
    </row>
    <row r="48" spans="1:9">
      <c r="A48" s="2"/>
      <c r="B48" s="1186" t="s">
        <v>480</v>
      </c>
      <c r="C48" s="1187"/>
      <c r="D48" s="1185" t="s">
        <v>454</v>
      </c>
      <c r="E48" s="1169">
        <f>+'[14]Core Rates'!C311</f>
        <v>2.0975000000000001</v>
      </c>
      <c r="F48" s="1170">
        <v>0</v>
      </c>
      <c r="G48" s="1171">
        <f t="shared" si="2"/>
        <v>0</v>
      </c>
      <c r="H48" s="35"/>
      <c r="I48" s="36"/>
    </row>
    <row r="49" spans="1:9">
      <c r="A49" s="2"/>
      <c r="B49" s="1186" t="s">
        <v>481</v>
      </c>
      <c r="C49" s="1187"/>
      <c r="D49" s="1185" t="s">
        <v>454</v>
      </c>
      <c r="E49" s="1169">
        <f>+'[14]Core Rates'!C312</f>
        <v>3.5</v>
      </c>
      <c r="F49" s="1170">
        <v>0</v>
      </c>
      <c r="G49" s="1171">
        <f t="shared" si="2"/>
        <v>0</v>
      </c>
      <c r="H49" s="35"/>
      <c r="I49" s="36"/>
    </row>
    <row r="50" spans="1:9">
      <c r="A50" s="2"/>
      <c r="B50" s="1184"/>
      <c r="C50" s="6"/>
      <c r="D50" s="1173"/>
      <c r="E50" s="1190"/>
      <c r="F50" s="35"/>
      <c r="G50" s="35"/>
      <c r="H50" s="35"/>
      <c r="I50" s="36"/>
    </row>
    <row r="51" spans="1:9">
      <c r="A51" s="2"/>
      <c r="B51" s="1172"/>
      <c r="C51" s="6"/>
      <c r="D51" s="1173"/>
      <c r="E51" s="35"/>
      <c r="F51" s="35"/>
      <c r="G51" s="35"/>
      <c r="H51" s="35"/>
      <c r="I51" s="36"/>
    </row>
    <row r="52" spans="1:9">
      <c r="A52" s="2"/>
      <c r="B52" s="42" t="s">
        <v>2</v>
      </c>
      <c r="C52" s="35"/>
      <c r="D52" s="35"/>
      <c r="E52" s="2003" t="s">
        <v>459</v>
      </c>
      <c r="F52" s="2003"/>
      <c r="G52" s="2003"/>
      <c r="H52" s="2003"/>
      <c r="I52" s="1166">
        <f>(SUM(G54:G63)*0.85)</f>
        <v>16240.884833333335</v>
      </c>
    </row>
    <row r="53" spans="1:9">
      <c r="A53" s="2"/>
      <c r="B53" s="1174"/>
      <c r="C53" s="35"/>
      <c r="D53" s="1167" t="s">
        <v>447</v>
      </c>
      <c r="E53" s="1167" t="s">
        <v>448</v>
      </c>
      <c r="F53" s="1167" t="s">
        <v>449</v>
      </c>
      <c r="G53" s="1167" t="s">
        <v>450</v>
      </c>
      <c r="H53" s="35"/>
      <c r="I53" s="46"/>
    </row>
    <row r="54" spans="1:9">
      <c r="A54" s="2"/>
      <c r="B54" s="1387" t="str">
        <f>+'[14]Core Rates'!A111</f>
        <v>Earthmoving: Medium grading/shaping (2-6 hrs/ac)</v>
      </c>
      <c r="C54" s="6"/>
      <c r="D54" s="1168" t="s">
        <v>408</v>
      </c>
      <c r="E54" s="1169">
        <f>+'[14]Core Rates'!C111</f>
        <v>503.625</v>
      </c>
      <c r="F54" s="1170">
        <v>0.2</v>
      </c>
      <c r="G54" s="1171">
        <f t="shared" ref="G54:G63" si="3">+F54*E54</f>
        <v>100.72500000000001</v>
      </c>
      <c r="H54" s="35"/>
      <c r="I54" s="47"/>
    </row>
    <row r="55" spans="1:9">
      <c r="A55" s="2"/>
      <c r="B55" s="1186" t="str">
        <f>+'[14]Core Rates'!A241</f>
        <v>Pole Barn Type Structure (w/o floor or walls) *</v>
      </c>
      <c r="C55" s="1376"/>
      <c r="D55" s="1382" t="str">
        <f>+'[14]Core Rates'!B241</f>
        <v>Sq Ft</v>
      </c>
      <c r="E55" s="1383">
        <f>+'[14]Core Rates'!C241</f>
        <v>5.8983750000000006</v>
      </c>
      <c r="F55" s="1170">
        <v>1088</v>
      </c>
      <c r="G55" s="1171">
        <f t="shared" si="3"/>
        <v>6417.4320000000007</v>
      </c>
      <c r="H55" s="35"/>
      <c r="I55" s="47"/>
    </row>
    <row r="56" spans="1:9">
      <c r="A56" s="2"/>
      <c r="B56" s="1186" t="str">
        <f>+'[14]Core Rates'!A50</f>
        <v>Concrete Wall (4' ht. x 6" wide): Installed</v>
      </c>
      <c r="C56" s="6"/>
      <c r="D56" s="1382" t="str">
        <f>+'[14]Core Rates'!B50</f>
        <v>Lin Ft</v>
      </c>
      <c r="E56" s="1383">
        <f>+'[14]Core Rates'!C50</f>
        <v>42.692999999999998</v>
      </c>
      <c r="F56" s="1170">
        <v>209</v>
      </c>
      <c r="G56" s="1171">
        <f t="shared" si="3"/>
        <v>8922.8369999999995</v>
      </c>
      <c r="H56" s="35"/>
      <c r="I56" s="47"/>
    </row>
    <row r="57" spans="1:9">
      <c r="A57" s="2"/>
      <c r="B57" s="1186" t="str">
        <f>+'[14]Core Rates'!A39</f>
        <v>Concrete (Slab in Place, includes wire mesh or fiber)</v>
      </c>
      <c r="C57" s="6"/>
      <c r="D57" s="1382" t="str">
        <f>+'[14]Core Rates'!B39</f>
        <v>Cu Yd</v>
      </c>
      <c r="E57" s="1383">
        <f>+'[14]Core Rates'!C39</f>
        <v>146.05500000000001</v>
      </c>
      <c r="F57" s="1170">
        <v>17</v>
      </c>
      <c r="G57" s="1171">
        <f t="shared" si="3"/>
        <v>2482.9349999999999</v>
      </c>
      <c r="H57" s="35"/>
      <c r="I57" s="47"/>
    </row>
    <row r="58" spans="1:9">
      <c r="A58" s="2"/>
      <c r="B58" s="1186" t="str">
        <f>+'[14]Core Rates'!A266</f>
        <v>Rock/Geo-Textile (Installed)</v>
      </c>
      <c r="C58" s="6"/>
      <c r="D58" s="1382" t="str">
        <f>+'[14]Core Rates'!B266</f>
        <v>Sq Ft</v>
      </c>
      <c r="E58" s="1385">
        <f>+'[14]Core Rates'!C266</f>
        <v>1.3482000000000001</v>
      </c>
      <c r="F58" s="1170">
        <v>730</v>
      </c>
      <c r="G58" s="1171">
        <f t="shared" si="3"/>
        <v>984.18600000000004</v>
      </c>
      <c r="H58" s="35"/>
      <c r="I58" s="47"/>
    </row>
    <row r="59" spans="1:9">
      <c r="A59" s="2"/>
      <c r="B59" s="40" t="s">
        <v>461</v>
      </c>
      <c r="C59" s="6"/>
      <c r="D59" s="1168" t="s">
        <v>408</v>
      </c>
      <c r="E59" s="1169">
        <f>+'[14]Core Rates'!C104</f>
        <v>20</v>
      </c>
      <c r="F59" s="1170">
        <v>0.2</v>
      </c>
      <c r="G59" s="1171">
        <f t="shared" si="3"/>
        <v>4</v>
      </c>
      <c r="H59" s="35"/>
      <c r="I59" s="47"/>
    </row>
    <row r="60" spans="1:9">
      <c r="A60" s="2"/>
      <c r="B60" s="40" t="s">
        <v>462</v>
      </c>
      <c r="C60" s="6"/>
      <c r="D60" s="1168" t="s">
        <v>408</v>
      </c>
      <c r="E60" s="1169">
        <f>+'[14]Core Rates'!AN33</f>
        <v>5.416666666666667</v>
      </c>
      <c r="F60" s="1170">
        <v>0.2</v>
      </c>
      <c r="G60" s="1171">
        <f t="shared" si="3"/>
        <v>1.0833333333333335</v>
      </c>
      <c r="H60" s="35"/>
      <c r="I60" s="47"/>
    </row>
    <row r="61" spans="1:9">
      <c r="A61" s="2"/>
      <c r="B61" s="40" t="s">
        <v>463</v>
      </c>
      <c r="C61" s="6"/>
      <c r="D61" s="1168" t="s">
        <v>452</v>
      </c>
      <c r="E61" s="1169">
        <f>+'[14]Core Rates'!AN34</f>
        <v>5.5</v>
      </c>
      <c r="F61" s="1170">
        <v>0.4</v>
      </c>
      <c r="G61" s="1171">
        <f t="shared" si="3"/>
        <v>2.2000000000000002</v>
      </c>
      <c r="H61" s="35"/>
      <c r="I61" s="47"/>
    </row>
    <row r="62" spans="1:9">
      <c r="A62" s="2"/>
      <c r="B62" s="40" t="s">
        <v>464</v>
      </c>
      <c r="C62" s="6"/>
      <c r="D62" s="1168" t="s">
        <v>452</v>
      </c>
      <c r="E62" s="1169">
        <f>+'[14]Core Rates'!AN32</f>
        <v>6.3125</v>
      </c>
      <c r="F62" s="1170">
        <v>0.4</v>
      </c>
      <c r="G62" s="1171">
        <f t="shared" si="3"/>
        <v>2.5250000000000004</v>
      </c>
      <c r="H62" s="35"/>
      <c r="I62" s="47"/>
    </row>
    <row r="63" spans="1:9">
      <c r="A63" s="2"/>
      <c r="B63" s="40" t="s">
        <v>1280</v>
      </c>
      <c r="C63" s="6"/>
      <c r="D63" s="1168" t="s">
        <v>619</v>
      </c>
      <c r="E63" s="1169">
        <f>+'[14]Core Rates'!C217</f>
        <v>472.5</v>
      </c>
      <c r="F63" s="1170">
        <v>0.4</v>
      </c>
      <c r="G63" s="1171">
        <f t="shared" si="3"/>
        <v>189</v>
      </c>
      <c r="H63" s="35"/>
      <c r="I63" s="47"/>
    </row>
    <row r="64" spans="1:9">
      <c r="A64" s="2"/>
      <c r="B64" s="40"/>
      <c r="C64" s="6"/>
      <c r="D64" s="63"/>
      <c r="E64" s="150"/>
      <c r="F64" s="150"/>
      <c r="G64" s="1169"/>
      <c r="H64" s="35"/>
      <c r="I64" s="47"/>
    </row>
    <row r="65" spans="1:9">
      <c r="A65" s="2"/>
      <c r="B65" s="37" t="s">
        <v>43</v>
      </c>
      <c r="C65" s="35"/>
      <c r="D65" s="35"/>
      <c r="E65" s="60"/>
      <c r="F65" s="60"/>
      <c r="G65" s="60"/>
      <c r="H65" s="35"/>
      <c r="I65" s="46"/>
    </row>
    <row r="66" spans="1:9" ht="12.75" customHeight="1">
      <c r="A66" s="2"/>
      <c r="B66" s="2004" t="s">
        <v>1304</v>
      </c>
      <c r="C66" s="2005"/>
      <c r="D66" s="2005"/>
      <c r="E66" s="2005"/>
      <c r="F66" s="2005"/>
      <c r="G66" s="2005"/>
      <c r="H66" s="2005"/>
      <c r="I66" s="2006"/>
    </row>
    <row r="67" spans="1:9">
      <c r="A67" s="2"/>
      <c r="B67" s="2004"/>
      <c r="C67" s="2005"/>
      <c r="D67" s="2005"/>
      <c r="E67" s="2005"/>
      <c r="F67" s="2005"/>
      <c r="G67" s="2005"/>
      <c r="H67" s="2005"/>
      <c r="I67" s="2006"/>
    </row>
    <row r="68" spans="1:9">
      <c r="A68" s="2"/>
      <c r="B68" s="1177"/>
      <c r="C68" s="1178"/>
      <c r="D68" s="1178"/>
      <c r="E68" s="1178"/>
      <c r="F68" s="1178"/>
      <c r="G68" s="1178"/>
      <c r="H68" s="1178"/>
      <c r="I68" s="1179"/>
    </row>
    <row r="69" spans="1:9">
      <c r="A69" s="2"/>
      <c r="B69" s="1177"/>
      <c r="C69" s="1178"/>
      <c r="D69" s="1178"/>
      <c r="E69" s="1178"/>
      <c r="F69" s="1178"/>
      <c r="G69" s="1178"/>
      <c r="H69" s="1178"/>
      <c r="I69" s="1179"/>
    </row>
    <row r="70" spans="1:9">
      <c r="A70" s="2"/>
      <c r="B70" s="42" t="s">
        <v>3</v>
      </c>
      <c r="C70" s="35"/>
      <c r="D70" s="35"/>
      <c r="E70" s="35"/>
      <c r="F70" s="39"/>
      <c r="G70" s="35"/>
      <c r="H70" s="35"/>
      <c r="I70" s="1182">
        <f>E72</f>
        <v>2866.0385000000001</v>
      </c>
    </row>
    <row r="71" spans="1:9">
      <c r="A71" s="2"/>
      <c r="B71" s="2007" t="s">
        <v>465</v>
      </c>
      <c r="C71" s="2008"/>
      <c r="D71" s="35"/>
      <c r="E71" s="35"/>
      <c r="F71" s="35"/>
      <c r="G71" s="35"/>
      <c r="H71" s="35"/>
      <c r="I71" s="48"/>
    </row>
    <row r="72" spans="1:9">
      <c r="A72" s="2"/>
      <c r="B72" s="37" t="s">
        <v>466</v>
      </c>
      <c r="C72" s="39"/>
      <c r="D72" s="39"/>
      <c r="E72" s="153">
        <f>SUM(G54:G63)*0.15</f>
        <v>2866.0385000000001</v>
      </c>
      <c r="F72" s="35"/>
      <c r="G72" s="35"/>
      <c r="H72" s="35"/>
      <c r="I72" s="46"/>
    </row>
    <row r="73" spans="1:9">
      <c r="A73" s="2"/>
      <c r="B73" s="37"/>
      <c r="C73" s="39"/>
      <c r="D73" s="1180"/>
      <c r="E73" s="153"/>
      <c r="F73" s="35"/>
      <c r="G73" s="35"/>
      <c r="H73" s="35"/>
      <c r="I73" s="46"/>
    </row>
    <row r="74" spans="1:9">
      <c r="A74" s="2"/>
      <c r="B74" s="37"/>
      <c r="C74" s="39"/>
      <c r="D74" s="1181"/>
      <c r="E74" s="153"/>
      <c r="F74" s="35"/>
      <c r="G74" s="35"/>
      <c r="H74" s="35"/>
      <c r="I74" s="46"/>
    </row>
    <row r="75" spans="1:9">
      <c r="A75" s="2"/>
      <c r="B75" s="33"/>
      <c r="C75" s="35"/>
      <c r="D75" s="35"/>
      <c r="E75" s="35"/>
      <c r="F75" s="35"/>
      <c r="G75" s="35"/>
      <c r="H75" s="35"/>
      <c r="I75" s="36"/>
    </row>
    <row r="76" spans="1:9">
      <c r="A76" s="2"/>
      <c r="B76" s="42" t="s">
        <v>4</v>
      </c>
      <c r="C76" s="35"/>
      <c r="D76" s="35"/>
      <c r="E76" s="35"/>
      <c r="F76" s="35"/>
      <c r="G76" s="35"/>
      <c r="H76" s="35"/>
      <c r="I76" s="1182">
        <f>0.03*(I40+I52+I70)</f>
        <v>574.79104497505352</v>
      </c>
    </row>
    <row r="77" spans="1:9">
      <c r="A77" s="2"/>
      <c r="B77" s="33" t="s">
        <v>467</v>
      </c>
      <c r="C77" s="35"/>
      <c r="D77" s="35"/>
      <c r="E77" s="35"/>
      <c r="F77" s="35"/>
      <c r="G77" s="35"/>
      <c r="H77" s="35"/>
      <c r="I77" s="36"/>
    </row>
    <row r="78" spans="1:9">
      <c r="A78" s="2"/>
      <c r="B78" s="37"/>
      <c r="C78" s="35"/>
      <c r="D78" s="35"/>
      <c r="E78" s="35"/>
      <c r="F78" s="35"/>
      <c r="G78" s="35"/>
      <c r="H78" s="35"/>
      <c r="I78" s="36"/>
    </row>
    <row r="79" spans="1:9">
      <c r="A79" s="2"/>
      <c r="B79" s="42" t="s">
        <v>468</v>
      </c>
      <c r="C79" s="35"/>
      <c r="D79" s="35"/>
      <c r="E79" s="35"/>
      <c r="F79" s="35"/>
      <c r="G79" s="35"/>
      <c r="H79" s="35"/>
      <c r="I79" s="1182">
        <f>0.01*(I40+I52+I70)</f>
        <v>191.59701499168452</v>
      </c>
    </row>
    <row r="80" spans="1:9">
      <c r="A80" s="2"/>
      <c r="B80" s="33" t="s">
        <v>749</v>
      </c>
      <c r="C80" s="35"/>
      <c r="D80" s="35"/>
      <c r="E80" s="35"/>
      <c r="F80" s="35"/>
      <c r="G80" s="35"/>
      <c r="H80" s="35"/>
      <c r="I80" s="36"/>
    </row>
    <row r="81" spans="1:9">
      <c r="A81" s="2"/>
      <c r="B81" s="37"/>
      <c r="C81" s="35"/>
      <c r="D81" s="35"/>
      <c r="E81" s="35"/>
      <c r="F81" s="35"/>
      <c r="G81" s="35"/>
      <c r="H81" s="35"/>
      <c r="I81" s="36"/>
    </row>
    <row r="82" spans="1:9">
      <c r="A82" s="2"/>
      <c r="B82" s="42" t="s">
        <v>7</v>
      </c>
      <c r="C82" s="35"/>
      <c r="D82" s="35"/>
      <c r="E82" s="35"/>
      <c r="F82" s="35"/>
      <c r="G82" s="35"/>
      <c r="H82" s="35"/>
      <c r="I82" s="1166">
        <v>0</v>
      </c>
    </row>
    <row r="83" spans="1:9">
      <c r="A83" s="2"/>
      <c r="B83" s="33" t="s">
        <v>1283</v>
      </c>
      <c r="C83" s="35"/>
      <c r="D83" s="35"/>
      <c r="E83" s="35"/>
      <c r="F83" s="35"/>
      <c r="G83" s="35"/>
      <c r="H83" s="35"/>
      <c r="I83" s="36"/>
    </row>
    <row r="84" spans="1:9">
      <c r="A84" s="2"/>
      <c r="B84" s="37"/>
      <c r="C84" s="35"/>
      <c r="D84" s="35"/>
      <c r="E84" s="35"/>
      <c r="F84" s="35"/>
      <c r="G84" s="35"/>
      <c r="H84" s="35"/>
      <c r="I84" s="36"/>
    </row>
    <row r="85" spans="1:9">
      <c r="A85" s="2"/>
      <c r="B85" s="42" t="s">
        <v>471</v>
      </c>
      <c r="C85" s="35"/>
      <c r="D85" s="35"/>
      <c r="E85" s="35"/>
      <c r="F85" s="39"/>
      <c r="G85" s="35"/>
      <c r="H85" s="35"/>
      <c r="I85" s="1166">
        <v>0</v>
      </c>
    </row>
    <row r="86" spans="1:9">
      <c r="A86" s="2"/>
      <c r="B86" s="756" t="s">
        <v>104</v>
      </c>
      <c r="C86" s="35"/>
      <c r="D86" s="35"/>
      <c r="E86" s="35"/>
      <c r="F86" s="35"/>
      <c r="G86" s="35"/>
      <c r="H86" s="35"/>
      <c r="I86" s="47"/>
    </row>
    <row r="87" spans="1:9">
      <c r="A87" s="2"/>
      <c r="B87" s="756"/>
      <c r="C87" s="35"/>
      <c r="D87" s="35"/>
      <c r="E87" s="35"/>
      <c r="F87" s="35"/>
      <c r="G87" s="35"/>
      <c r="H87" s="35"/>
      <c r="I87" s="47"/>
    </row>
    <row r="88" spans="1:9">
      <c r="A88" s="2"/>
      <c r="B88" s="37"/>
      <c r="C88" s="35"/>
      <c r="D88" s="35"/>
      <c r="E88" s="35"/>
      <c r="F88" s="35"/>
      <c r="G88" s="35"/>
      <c r="H88" s="35"/>
      <c r="I88" s="36"/>
    </row>
    <row r="89" spans="1:9">
      <c r="A89" s="2"/>
      <c r="B89" s="42" t="s">
        <v>5</v>
      </c>
      <c r="C89" s="35"/>
      <c r="D89" s="35"/>
      <c r="E89" s="35"/>
      <c r="F89" s="35"/>
      <c r="G89" s="35"/>
      <c r="H89" s="35"/>
      <c r="I89" s="1166">
        <v>0</v>
      </c>
    </row>
    <row r="90" spans="1:9">
      <c r="A90" s="2"/>
      <c r="B90" s="33" t="s">
        <v>1283</v>
      </c>
      <c r="C90" s="35"/>
      <c r="D90" s="35"/>
      <c r="E90" s="35"/>
      <c r="F90" s="35"/>
      <c r="G90" s="35"/>
      <c r="H90" s="35"/>
      <c r="I90" s="47"/>
    </row>
    <row r="91" spans="1:9">
      <c r="A91" s="2"/>
      <c r="B91" s="37"/>
      <c r="C91" s="35"/>
      <c r="D91" s="35"/>
      <c r="E91" s="35"/>
      <c r="F91" s="35"/>
      <c r="G91" s="35"/>
      <c r="H91" s="35"/>
      <c r="I91" s="36"/>
    </row>
    <row r="92" spans="1:9">
      <c r="A92" s="2"/>
      <c r="B92" s="42" t="s">
        <v>20</v>
      </c>
      <c r="C92" s="35"/>
      <c r="D92" s="35"/>
      <c r="E92" s="35"/>
      <c r="F92" s="35"/>
      <c r="G92" s="35"/>
      <c r="H92" s="35"/>
      <c r="I92" s="1166">
        <v>0</v>
      </c>
    </row>
    <row r="93" spans="1:9">
      <c r="A93" s="2"/>
      <c r="B93" s="33" t="s">
        <v>104</v>
      </c>
      <c r="C93" s="35"/>
      <c r="D93" s="35"/>
      <c r="E93" s="35"/>
      <c r="F93" s="35"/>
      <c r="G93" s="35"/>
      <c r="H93" s="35"/>
      <c r="I93" s="36"/>
    </row>
    <row r="94" spans="1:9">
      <c r="A94" s="2"/>
      <c r="B94" s="40"/>
      <c r="C94" s="35"/>
      <c r="D94" s="35"/>
      <c r="E94" s="35"/>
      <c r="F94" s="35"/>
      <c r="G94" s="35"/>
      <c r="H94" s="35"/>
      <c r="I94" s="36"/>
    </row>
    <row r="95" spans="1:9">
      <c r="A95" s="2"/>
      <c r="B95" s="42" t="s">
        <v>473</v>
      </c>
      <c r="C95" s="35"/>
      <c r="D95" s="35"/>
      <c r="E95" s="35"/>
      <c r="F95" s="35"/>
      <c r="G95" s="35"/>
      <c r="H95" s="35"/>
      <c r="I95" s="1183">
        <f>+I40+I52+I70+I76+I82+I92</f>
        <v>19734.492544143504</v>
      </c>
    </row>
    <row r="96" spans="1:9" ht="15.75">
      <c r="A96" s="2"/>
      <c r="B96" s="33" t="s">
        <v>474</v>
      </c>
      <c r="C96" s="35"/>
      <c r="D96" s="35"/>
      <c r="E96" s="35"/>
      <c r="F96" s="35"/>
      <c r="G96" s="35"/>
      <c r="H96" s="35"/>
      <c r="I96" s="36"/>
    </row>
    <row r="97" spans="1:9">
      <c r="A97" s="2"/>
      <c r="B97" s="40"/>
      <c r="C97" s="35"/>
      <c r="D97" s="35"/>
      <c r="E97" s="35"/>
      <c r="F97" s="35"/>
      <c r="G97" s="35"/>
      <c r="H97" s="35"/>
      <c r="I97" s="36"/>
    </row>
    <row r="98" spans="1:9">
      <c r="A98" s="2"/>
      <c r="B98" s="43" t="s">
        <v>11</v>
      </c>
      <c r="C98" s="44"/>
      <c r="D98" s="44"/>
      <c r="E98" s="44"/>
      <c r="F98" s="44"/>
      <c r="G98" s="44"/>
      <c r="H98" s="44"/>
      <c r="I98" s="621">
        <f>SUM(I40:I92)</f>
        <v>19926.089559135187</v>
      </c>
    </row>
  </sheetData>
  <mergeCells count="4">
    <mergeCell ref="B1:D1"/>
    <mergeCell ref="E52:H52"/>
    <mergeCell ref="B66:I67"/>
    <mergeCell ref="B71:C71"/>
  </mergeCells>
  <pageMargins left="0.75" right="0.75" top="1" bottom="1" header="0.5" footer="0.5"/>
  <pageSetup scale="58" orientation="portrait" r:id="rId1"/>
  <headerFooter alignWithMargins="0"/>
</worksheet>
</file>

<file path=xl/worksheets/sheet64.xml><?xml version="1.0" encoding="utf-8"?>
<worksheet xmlns="http://schemas.openxmlformats.org/spreadsheetml/2006/main" xmlns:r="http://schemas.openxmlformats.org/officeDocument/2006/relationships">
  <dimension ref="B1:L96"/>
  <sheetViews>
    <sheetView zoomScale="75" zoomScaleNormal="75" workbookViewId="0">
      <selection activeCell="B6" sqref="B6:D9"/>
    </sheetView>
  </sheetViews>
  <sheetFormatPr defaultRowHeight="12.75"/>
  <cols>
    <col min="1" max="2" width="9.140625" style="517"/>
    <col min="3" max="3" width="18.85546875" style="517" customWidth="1"/>
    <col min="4" max="4" width="24.85546875" style="517" customWidth="1"/>
    <col min="5" max="5" width="37.42578125" style="517" customWidth="1"/>
    <col min="6" max="10" width="12.7109375" style="517" customWidth="1"/>
    <col min="11" max="11" width="11.42578125" style="517" customWidth="1"/>
    <col min="12" max="12" width="12.7109375" style="517" customWidth="1"/>
    <col min="13" max="16384" width="9.140625" style="517"/>
  </cols>
  <sheetData>
    <row r="1" spans="2:12">
      <c r="B1" s="2015" t="s">
        <v>438</v>
      </c>
      <c r="C1" s="2016"/>
      <c r="D1" s="2016"/>
      <c r="E1" s="515"/>
      <c r="F1" s="516"/>
      <c r="G1" s="515"/>
      <c r="H1" s="515"/>
      <c r="I1" s="515"/>
    </row>
    <row r="2" spans="2:12">
      <c r="B2" s="515"/>
      <c r="C2" s="515"/>
      <c r="D2" s="515"/>
      <c r="E2" s="515"/>
      <c r="F2" s="515"/>
      <c r="G2" s="515"/>
      <c r="H2" s="518"/>
      <c r="I2" s="515"/>
    </row>
    <row r="3" spans="2:12" ht="15.75">
      <c r="B3" s="519" t="s">
        <v>17</v>
      </c>
      <c r="C3" s="515"/>
      <c r="D3" s="515"/>
      <c r="E3" s="515"/>
      <c r="F3" s="515"/>
      <c r="G3" s="515"/>
      <c r="H3" s="515"/>
      <c r="I3" s="515"/>
    </row>
    <row r="4" spans="2:12">
      <c r="B4" s="520" t="s">
        <v>1</v>
      </c>
      <c r="C4" s="521" t="s">
        <v>21</v>
      </c>
      <c r="D4" s="522"/>
      <c r="E4" s="522"/>
      <c r="F4" s="522"/>
      <c r="G4" s="523" t="s">
        <v>12</v>
      </c>
    </row>
    <row r="5" spans="2:12">
      <c r="B5" s="524" t="s">
        <v>13</v>
      </c>
      <c r="C5" s="525" t="s">
        <v>22</v>
      </c>
      <c r="D5" s="525" t="s">
        <v>29</v>
      </c>
      <c r="E5" s="525" t="s">
        <v>30</v>
      </c>
      <c r="F5" s="525" t="s">
        <v>23</v>
      </c>
      <c r="G5" s="526" t="s">
        <v>14</v>
      </c>
    </row>
    <row r="6" spans="2:12" ht="50.1" customHeight="1">
      <c r="B6" s="527">
        <v>327</v>
      </c>
      <c r="C6" s="528" t="str">
        <f>+E12</f>
        <v>EQIP</v>
      </c>
      <c r="D6" s="529" t="s">
        <v>439</v>
      </c>
      <c r="E6" s="530" t="s">
        <v>440</v>
      </c>
      <c r="F6" s="531" t="s">
        <v>394</v>
      </c>
      <c r="G6" s="532">
        <f>+I25</f>
        <v>261.11272500000001</v>
      </c>
    </row>
    <row r="7" spans="2:12" ht="50.1" customHeight="1">
      <c r="B7" s="527">
        <f>+B6</f>
        <v>327</v>
      </c>
      <c r="C7" s="528" t="str">
        <f>+C6</f>
        <v>EQIP</v>
      </c>
      <c r="D7" s="529" t="s">
        <v>439</v>
      </c>
      <c r="E7" s="530" t="str">
        <f>CONCATENATE(E6, "-HU")</f>
        <v xml:space="preserve"> Conservation Cover - Native Grass - Pollinator Mix - No Till-HU</v>
      </c>
      <c r="F7" s="531" t="str">
        <f>+F6</f>
        <v>Acre</v>
      </c>
      <c r="G7" s="532">
        <f>+J25</f>
        <v>313.33526999999998</v>
      </c>
    </row>
    <row r="8" spans="2:12" ht="50.1" customHeight="1">
      <c r="B8" s="527">
        <v>327</v>
      </c>
      <c r="C8" s="528" t="str">
        <f>+G12</f>
        <v>WHIP</v>
      </c>
      <c r="D8" s="529" t="s">
        <v>439</v>
      </c>
      <c r="E8" s="530" t="s">
        <v>440</v>
      </c>
      <c r="F8" s="531" t="s">
        <v>394</v>
      </c>
      <c r="G8" s="532">
        <f>+K25</f>
        <v>261.11272500000001</v>
      </c>
    </row>
    <row r="9" spans="2:12" ht="61.5" customHeight="1">
      <c r="B9" s="533">
        <f>+B8</f>
        <v>327</v>
      </c>
      <c r="C9" s="534" t="str">
        <f>+C8</f>
        <v>WHIP</v>
      </c>
      <c r="D9" s="529" t="s">
        <v>439</v>
      </c>
      <c r="E9" s="535" t="str">
        <f>CONCATENATE(E6, "-HU")</f>
        <v xml:space="preserve"> Conservation Cover - Native Grass - Pollinator Mix - No Till-HU</v>
      </c>
      <c r="F9" s="536" t="str">
        <f>+F8</f>
        <v>Acre</v>
      </c>
      <c r="G9" s="537">
        <f>+L25</f>
        <v>313.33526999999998</v>
      </c>
    </row>
    <row r="10" spans="2:12">
      <c r="B10" s="538"/>
      <c r="C10" s="539"/>
      <c r="D10" s="539"/>
      <c r="E10" s="515"/>
      <c r="F10" s="515"/>
    </row>
    <row r="11" spans="2:12" ht="15.75">
      <c r="B11" s="519" t="s">
        <v>18</v>
      </c>
      <c r="C11" s="539"/>
      <c r="D11" s="539"/>
      <c r="E11" s="515"/>
      <c r="F11" s="515"/>
    </row>
    <row r="12" spans="2:12">
      <c r="B12" s="540"/>
      <c r="C12" s="541"/>
      <c r="D12" s="542"/>
      <c r="E12" s="543" t="s">
        <v>15</v>
      </c>
      <c r="F12" s="543" t="s">
        <v>31</v>
      </c>
      <c r="G12" s="543" t="s">
        <v>86</v>
      </c>
      <c r="H12" s="543" t="s">
        <v>441</v>
      </c>
      <c r="I12" s="543"/>
      <c r="J12" s="543"/>
      <c r="K12" s="543"/>
      <c r="L12" s="543"/>
    </row>
    <row r="13" spans="2:12">
      <c r="B13" s="544"/>
      <c r="C13" s="545"/>
      <c r="D13" s="546"/>
      <c r="E13" s="547" t="s">
        <v>22</v>
      </c>
      <c r="F13" s="547" t="s">
        <v>22</v>
      </c>
      <c r="G13" s="547" t="s">
        <v>22</v>
      </c>
      <c r="H13" s="547" t="s">
        <v>22</v>
      </c>
      <c r="I13" s="547" t="s">
        <v>15</v>
      </c>
      <c r="J13" s="547" t="s">
        <v>31</v>
      </c>
      <c r="K13" s="547" t="s">
        <v>86</v>
      </c>
      <c r="L13" s="547" t="s">
        <v>441</v>
      </c>
    </row>
    <row r="14" spans="2:12">
      <c r="B14" s="548"/>
      <c r="C14" s="546"/>
      <c r="D14" s="546"/>
      <c r="E14" s="547" t="s">
        <v>12</v>
      </c>
      <c r="F14" s="547" t="s">
        <v>12</v>
      </c>
      <c r="G14" s="547" t="s">
        <v>12</v>
      </c>
      <c r="H14" s="547" t="s">
        <v>12</v>
      </c>
      <c r="I14" s="547" t="s">
        <v>12</v>
      </c>
      <c r="J14" s="547" t="s">
        <v>12</v>
      </c>
      <c r="K14" s="547" t="s">
        <v>12</v>
      </c>
      <c r="L14" s="547" t="s">
        <v>12</v>
      </c>
    </row>
    <row r="15" spans="2:12">
      <c r="B15" s="549" t="s">
        <v>16</v>
      </c>
      <c r="C15" s="546"/>
      <c r="D15" s="550" t="s">
        <v>6</v>
      </c>
      <c r="E15" s="551" t="s">
        <v>24</v>
      </c>
      <c r="F15" s="551" t="s">
        <v>24</v>
      </c>
      <c r="G15" s="551" t="s">
        <v>24</v>
      </c>
      <c r="H15" s="551" t="s">
        <v>24</v>
      </c>
      <c r="I15" s="551" t="s">
        <v>14</v>
      </c>
      <c r="J15" s="551" t="s">
        <v>14</v>
      </c>
      <c r="K15" s="551" t="s">
        <v>14</v>
      </c>
      <c r="L15" s="551" t="s">
        <v>14</v>
      </c>
    </row>
    <row r="16" spans="2:12">
      <c r="B16" s="544" t="s">
        <v>0</v>
      </c>
      <c r="C16" s="546"/>
      <c r="D16" s="552">
        <f>+I40</f>
        <v>214.01</v>
      </c>
      <c r="E16" s="553">
        <f>+'[10]Payment Factors'!D14</f>
        <v>0.75</v>
      </c>
      <c r="F16" s="553">
        <f>+'[10]Payment Factors'!E14</f>
        <v>0.9</v>
      </c>
      <c r="G16" s="553">
        <f>+'[10]Payment Factors'!F14</f>
        <v>0.75</v>
      </c>
      <c r="H16" s="553">
        <f>+'[10]Payment Factors'!G14</f>
        <v>0.9</v>
      </c>
      <c r="I16" s="554">
        <f t="shared" ref="I16:L24" si="0">+$D16*E16</f>
        <v>160.50749999999999</v>
      </c>
      <c r="J16" s="554">
        <f t="shared" si="0"/>
        <v>192.60900000000001</v>
      </c>
      <c r="K16" s="554">
        <f t="shared" si="0"/>
        <v>160.50749999999999</v>
      </c>
      <c r="L16" s="554">
        <f t="shared" si="0"/>
        <v>192.60900000000001</v>
      </c>
    </row>
    <row r="17" spans="2:12">
      <c r="B17" s="544" t="s">
        <v>2</v>
      </c>
      <c r="C17" s="546"/>
      <c r="D17" s="552">
        <f>+I54</f>
        <v>105.39999999999999</v>
      </c>
      <c r="E17" s="553">
        <f t="shared" ref="E17:H19" si="1">+E16</f>
        <v>0.75</v>
      </c>
      <c r="F17" s="553">
        <f t="shared" si="1"/>
        <v>0.9</v>
      </c>
      <c r="G17" s="553">
        <f t="shared" si="1"/>
        <v>0.75</v>
      </c>
      <c r="H17" s="553">
        <f t="shared" si="1"/>
        <v>0.9</v>
      </c>
      <c r="I17" s="554">
        <f t="shared" si="0"/>
        <v>79.05</v>
      </c>
      <c r="J17" s="554">
        <f t="shared" si="0"/>
        <v>94.86</v>
      </c>
      <c r="K17" s="554">
        <f t="shared" si="0"/>
        <v>79.05</v>
      </c>
      <c r="L17" s="554">
        <f t="shared" si="0"/>
        <v>94.86</v>
      </c>
    </row>
    <row r="18" spans="2:12">
      <c r="B18" s="544" t="s">
        <v>3</v>
      </c>
      <c r="C18" s="546"/>
      <c r="D18" s="552">
        <f>+I68</f>
        <v>18.599999999999998</v>
      </c>
      <c r="E18" s="553">
        <f t="shared" si="1"/>
        <v>0.75</v>
      </c>
      <c r="F18" s="553">
        <f t="shared" si="1"/>
        <v>0.9</v>
      </c>
      <c r="G18" s="553">
        <f t="shared" si="1"/>
        <v>0.75</v>
      </c>
      <c r="H18" s="553">
        <f t="shared" si="1"/>
        <v>0.9</v>
      </c>
      <c r="I18" s="554">
        <f t="shared" si="0"/>
        <v>13.95</v>
      </c>
      <c r="J18" s="554">
        <f t="shared" si="0"/>
        <v>16.739999999999998</v>
      </c>
      <c r="K18" s="554">
        <f t="shared" si="0"/>
        <v>13.95</v>
      </c>
      <c r="L18" s="554">
        <f t="shared" si="0"/>
        <v>16.739999999999998</v>
      </c>
    </row>
    <row r="19" spans="2:12">
      <c r="B19" s="544" t="s">
        <v>4</v>
      </c>
      <c r="C19" s="546"/>
      <c r="D19" s="552">
        <f>+I74</f>
        <v>10.1403</v>
      </c>
      <c r="E19" s="553">
        <f t="shared" si="1"/>
        <v>0.75</v>
      </c>
      <c r="F19" s="553">
        <f t="shared" si="1"/>
        <v>0.9</v>
      </c>
      <c r="G19" s="553">
        <f t="shared" si="1"/>
        <v>0.75</v>
      </c>
      <c r="H19" s="553">
        <f t="shared" si="1"/>
        <v>0.9</v>
      </c>
      <c r="I19" s="554">
        <f t="shared" si="0"/>
        <v>7.6052249999999999</v>
      </c>
      <c r="J19" s="554">
        <f t="shared" si="0"/>
        <v>9.1262699999999999</v>
      </c>
      <c r="K19" s="554">
        <f t="shared" si="0"/>
        <v>7.6052249999999999</v>
      </c>
      <c r="L19" s="554">
        <f t="shared" si="0"/>
        <v>9.1262699999999999</v>
      </c>
    </row>
    <row r="20" spans="2:12">
      <c r="B20" s="544" t="s">
        <v>26</v>
      </c>
      <c r="C20" s="546"/>
      <c r="D20" s="552">
        <f>+I77</f>
        <v>15.5</v>
      </c>
      <c r="E20" s="553">
        <v>0</v>
      </c>
      <c r="F20" s="553">
        <v>0</v>
      </c>
      <c r="G20" s="553">
        <v>0</v>
      </c>
      <c r="H20" s="553">
        <v>0</v>
      </c>
      <c r="I20" s="554">
        <f t="shared" si="0"/>
        <v>0</v>
      </c>
      <c r="J20" s="554">
        <f t="shared" si="0"/>
        <v>0</v>
      </c>
      <c r="K20" s="554">
        <f t="shared" si="0"/>
        <v>0</v>
      </c>
      <c r="L20" s="554">
        <f t="shared" si="0"/>
        <v>0</v>
      </c>
    </row>
    <row r="21" spans="2:12">
      <c r="B21" s="544" t="s">
        <v>7</v>
      </c>
      <c r="C21" s="546"/>
      <c r="D21" s="552">
        <f>+I80</f>
        <v>0</v>
      </c>
      <c r="E21" s="553">
        <v>0</v>
      </c>
      <c r="F21" s="553">
        <v>0</v>
      </c>
      <c r="G21" s="553">
        <v>0</v>
      </c>
      <c r="H21" s="553">
        <v>0</v>
      </c>
      <c r="I21" s="554">
        <f t="shared" si="0"/>
        <v>0</v>
      </c>
      <c r="J21" s="554">
        <f t="shared" si="0"/>
        <v>0</v>
      </c>
      <c r="K21" s="554">
        <f t="shared" si="0"/>
        <v>0</v>
      </c>
      <c r="L21" s="554">
        <f t="shared" si="0"/>
        <v>0</v>
      </c>
    </row>
    <row r="22" spans="2:12">
      <c r="B22" s="544" t="s">
        <v>27</v>
      </c>
      <c r="C22" s="546"/>
      <c r="D22" s="552">
        <f>+I83</f>
        <v>180</v>
      </c>
      <c r="E22" s="553">
        <v>0</v>
      </c>
      <c r="F22" s="553">
        <v>0</v>
      </c>
      <c r="G22" s="553">
        <v>0</v>
      </c>
      <c r="H22" s="553">
        <v>0</v>
      </c>
      <c r="I22" s="554">
        <f t="shared" si="0"/>
        <v>0</v>
      </c>
      <c r="J22" s="554">
        <f t="shared" si="0"/>
        <v>0</v>
      </c>
      <c r="K22" s="554">
        <f t="shared" si="0"/>
        <v>0</v>
      </c>
      <c r="L22" s="554">
        <f t="shared" si="0"/>
        <v>0</v>
      </c>
    </row>
    <row r="23" spans="2:12">
      <c r="B23" s="544" t="s">
        <v>5</v>
      </c>
      <c r="C23" s="546"/>
      <c r="D23" s="552">
        <f>+I87</f>
        <v>0</v>
      </c>
      <c r="E23" s="553">
        <v>0</v>
      </c>
      <c r="F23" s="553">
        <v>0</v>
      </c>
      <c r="G23" s="553">
        <v>0</v>
      </c>
      <c r="H23" s="553">
        <v>0</v>
      </c>
      <c r="I23" s="554">
        <f t="shared" si="0"/>
        <v>0</v>
      </c>
      <c r="J23" s="554">
        <f t="shared" si="0"/>
        <v>0</v>
      </c>
      <c r="K23" s="554">
        <f t="shared" si="0"/>
        <v>0</v>
      </c>
      <c r="L23" s="554">
        <f t="shared" si="0"/>
        <v>0</v>
      </c>
    </row>
    <row r="24" spans="2:12">
      <c r="B24" s="544" t="s">
        <v>20</v>
      </c>
      <c r="C24" s="546"/>
      <c r="D24" s="555">
        <f>+I90</f>
        <v>0</v>
      </c>
      <c r="E24" s="553">
        <v>0</v>
      </c>
      <c r="F24" s="553">
        <v>0</v>
      </c>
      <c r="G24" s="553">
        <v>0</v>
      </c>
      <c r="H24" s="553">
        <v>0</v>
      </c>
      <c r="I24" s="556">
        <f t="shared" si="0"/>
        <v>0</v>
      </c>
      <c r="J24" s="556">
        <f t="shared" si="0"/>
        <v>0</v>
      </c>
      <c r="K24" s="556">
        <f t="shared" si="0"/>
        <v>0</v>
      </c>
      <c r="L24" s="556">
        <f t="shared" si="0"/>
        <v>0</v>
      </c>
    </row>
    <row r="25" spans="2:12">
      <c r="B25" s="557" t="s">
        <v>19</v>
      </c>
      <c r="C25" s="558"/>
      <c r="D25" s="559">
        <f>SUM(D16:D24)</f>
        <v>543.65030000000002</v>
      </c>
      <c r="E25" s="560"/>
      <c r="F25" s="560"/>
      <c r="G25" s="560"/>
      <c r="H25" s="560"/>
      <c r="I25" s="561">
        <f>SUM(I16:I24)</f>
        <v>261.11272500000001</v>
      </c>
      <c r="J25" s="561">
        <f>SUM(J16:J24)</f>
        <v>313.33526999999998</v>
      </c>
      <c r="K25" s="561">
        <f>SUM(K16:K24)</f>
        <v>261.11272500000001</v>
      </c>
      <c r="L25" s="561">
        <f>SUM(L16:L24)</f>
        <v>313.33526999999998</v>
      </c>
    </row>
    <row r="27" spans="2:12" ht="15.75">
      <c r="B27" s="562" t="s">
        <v>28</v>
      </c>
      <c r="C27" s="515"/>
      <c r="D27" s="515"/>
      <c r="E27" s="515"/>
      <c r="F27" s="515"/>
      <c r="G27" s="515"/>
      <c r="H27" s="515"/>
      <c r="I27" s="563"/>
    </row>
    <row r="28" spans="2:12">
      <c r="B28" s="564" t="s">
        <v>442</v>
      </c>
      <c r="C28" s="565"/>
      <c r="D28" s="565"/>
      <c r="E28" s="566"/>
      <c r="F28" s="566"/>
      <c r="G28" s="566"/>
      <c r="H28" s="566"/>
      <c r="I28" s="567"/>
    </row>
    <row r="29" spans="2:12">
      <c r="B29" s="568" t="s">
        <v>443</v>
      </c>
      <c r="C29" s="569"/>
      <c r="D29" s="569"/>
      <c r="E29" s="570"/>
      <c r="F29" s="570"/>
      <c r="G29" s="570"/>
      <c r="H29" s="570"/>
      <c r="I29" s="571"/>
    </row>
    <row r="30" spans="2:12">
      <c r="B30" s="568" t="s">
        <v>444</v>
      </c>
      <c r="C30" s="572"/>
      <c r="D30" s="569"/>
      <c r="E30" s="570"/>
      <c r="F30" s="573"/>
      <c r="G30" s="570"/>
      <c r="H30" s="570"/>
      <c r="I30" s="571"/>
    </row>
    <row r="31" spans="2:12">
      <c r="B31" s="574" t="s">
        <v>445</v>
      </c>
      <c r="C31" s="569"/>
      <c r="D31" s="569"/>
      <c r="E31" s="570"/>
      <c r="F31" s="570"/>
      <c r="G31" s="570"/>
      <c r="H31" s="570"/>
      <c r="I31" s="571"/>
    </row>
    <row r="32" spans="2:12">
      <c r="B32" s="574" t="s">
        <v>446</v>
      </c>
      <c r="C32" s="569"/>
      <c r="D32" s="569"/>
      <c r="E32" s="570"/>
      <c r="F32" s="570"/>
      <c r="G32" s="570"/>
      <c r="H32" s="570"/>
      <c r="I32" s="571"/>
    </row>
    <row r="33" spans="2:9">
      <c r="B33" s="575"/>
      <c r="C33" s="569"/>
      <c r="D33" s="569"/>
      <c r="E33" s="570"/>
      <c r="F33" s="570"/>
      <c r="G33" s="570"/>
      <c r="H33" s="570"/>
      <c r="I33" s="571"/>
    </row>
    <row r="34" spans="2:9">
      <c r="B34" s="576" t="s">
        <v>25</v>
      </c>
      <c r="C34" s="569"/>
      <c r="D34" s="577" t="s">
        <v>91</v>
      </c>
      <c r="E34" s="578"/>
      <c r="F34" s="570"/>
      <c r="G34" s="570"/>
      <c r="H34" s="570"/>
      <c r="I34" s="571"/>
    </row>
    <row r="35" spans="2:9">
      <c r="B35" s="574"/>
      <c r="C35" s="569"/>
      <c r="D35" s="570"/>
      <c r="E35" s="578"/>
      <c r="F35" s="570"/>
      <c r="G35" s="570"/>
      <c r="H35" s="570"/>
      <c r="I35" s="571"/>
    </row>
    <row r="36" spans="2:9">
      <c r="B36" s="576" t="s">
        <v>8</v>
      </c>
      <c r="C36" s="569"/>
      <c r="D36" s="577" t="s">
        <v>394</v>
      </c>
      <c r="E36" s="578"/>
      <c r="F36" s="570"/>
      <c r="G36" s="570"/>
      <c r="H36" s="570"/>
      <c r="I36" s="571"/>
    </row>
    <row r="37" spans="2:9">
      <c r="B37" s="576" t="s">
        <v>9</v>
      </c>
      <c r="C37" s="569"/>
      <c r="D37" s="579">
        <v>5</v>
      </c>
      <c r="E37" s="578"/>
      <c r="F37" s="570"/>
      <c r="G37" s="570"/>
      <c r="H37" s="570"/>
      <c r="I37" s="571"/>
    </row>
    <row r="38" spans="2:9">
      <c r="B38" s="576" t="s">
        <v>10</v>
      </c>
      <c r="C38" s="570"/>
      <c r="D38" s="580"/>
      <c r="E38" s="581"/>
      <c r="F38" s="570"/>
      <c r="G38" s="570"/>
      <c r="H38" s="570"/>
      <c r="I38" s="582" t="s">
        <v>6</v>
      </c>
    </row>
    <row r="39" spans="2:9">
      <c r="B39" s="583"/>
      <c r="C39" s="570"/>
      <c r="D39" s="570"/>
      <c r="E39" s="584"/>
      <c r="F39" s="570"/>
      <c r="G39" s="570"/>
      <c r="H39" s="570"/>
      <c r="I39" s="585"/>
    </row>
    <row r="40" spans="2:9">
      <c r="B40" s="586" t="s">
        <v>0</v>
      </c>
      <c r="C40" s="570"/>
      <c r="D40" s="570"/>
      <c r="E40" s="570"/>
      <c r="F40" s="577"/>
      <c r="G40" s="570"/>
      <c r="H40" s="570"/>
      <c r="I40" s="587">
        <f>SUM(G42:G48)</f>
        <v>214.01</v>
      </c>
    </row>
    <row r="41" spans="2:9">
      <c r="B41" s="588"/>
      <c r="C41" s="570"/>
      <c r="D41" s="589" t="s">
        <v>447</v>
      </c>
      <c r="E41" s="589" t="s">
        <v>448</v>
      </c>
      <c r="F41" s="589" t="s">
        <v>449</v>
      </c>
      <c r="G41" s="589" t="s">
        <v>450</v>
      </c>
      <c r="H41" s="570"/>
      <c r="I41" s="590"/>
    </row>
    <row r="42" spans="2:9">
      <c r="B42" s="583"/>
      <c r="C42" s="578"/>
      <c r="D42" s="591"/>
      <c r="E42" s="592"/>
      <c r="F42" s="593"/>
      <c r="G42" s="594">
        <f t="shared" ref="G42:G48" si="2">+F42*E42</f>
        <v>0</v>
      </c>
      <c r="H42" s="570"/>
      <c r="I42" s="595"/>
    </row>
    <row r="43" spans="2:9">
      <c r="B43" s="583" t="s">
        <v>451</v>
      </c>
      <c r="C43" s="578"/>
      <c r="D43" s="591" t="s">
        <v>452</v>
      </c>
      <c r="E43" s="592">
        <f>+'[15]Core Rates'!C203</f>
        <v>8.75</v>
      </c>
      <c r="F43" s="593">
        <v>0</v>
      </c>
      <c r="G43" s="594">
        <f t="shared" si="2"/>
        <v>0</v>
      </c>
      <c r="H43" s="570"/>
      <c r="I43" s="571"/>
    </row>
    <row r="44" spans="2:9">
      <c r="B44" s="596" t="s">
        <v>453</v>
      </c>
      <c r="C44" s="578"/>
      <c r="D44" s="597" t="s">
        <v>454</v>
      </c>
      <c r="E44" s="592">
        <f>+'[15]Core Rates'!C228</f>
        <v>0.82427536231884069</v>
      </c>
      <c r="F44" s="593">
        <v>0</v>
      </c>
      <c r="G44" s="594">
        <f t="shared" si="2"/>
        <v>0</v>
      </c>
      <c r="H44" s="570"/>
      <c r="I44" s="571"/>
    </row>
    <row r="45" spans="2:9">
      <c r="B45" s="598" t="s">
        <v>455</v>
      </c>
      <c r="C45" s="599"/>
      <c r="D45" s="597" t="s">
        <v>454</v>
      </c>
      <c r="E45" s="592">
        <f>+'[15]Core Rates'!C235</f>
        <v>1.1702898550724636</v>
      </c>
      <c r="F45" s="593">
        <v>0</v>
      </c>
      <c r="G45" s="594">
        <f t="shared" si="2"/>
        <v>0</v>
      </c>
      <c r="H45" s="570"/>
      <c r="I45" s="571"/>
    </row>
    <row r="46" spans="2:9">
      <c r="B46" s="598" t="s">
        <v>456</v>
      </c>
      <c r="C46" s="599"/>
      <c r="D46" s="591" t="s">
        <v>454</v>
      </c>
      <c r="E46" s="592">
        <f>+'[15]Core Rates'!C246</f>
        <v>0.58825136612021856</v>
      </c>
      <c r="F46" s="593">
        <v>0</v>
      </c>
      <c r="G46" s="594">
        <f t="shared" si="2"/>
        <v>0</v>
      </c>
      <c r="H46" s="570"/>
      <c r="I46" s="571"/>
    </row>
    <row r="47" spans="2:9">
      <c r="B47" s="600" t="str">
        <f>+'[15]Core Rates'!A309</f>
        <v>Seed (Native grass except Prairie Dropseed and Splitbeard Bluestem)</v>
      </c>
      <c r="C47" s="599"/>
      <c r="D47" s="597" t="s">
        <v>454</v>
      </c>
      <c r="E47" s="592">
        <f>+'[15]Core Rates 2011'!BE306</f>
        <v>8.57</v>
      </c>
      <c r="F47" s="593">
        <v>3</v>
      </c>
      <c r="G47" s="594">
        <f t="shared" si="2"/>
        <v>25.71</v>
      </c>
      <c r="H47" s="570"/>
      <c r="I47" s="571"/>
    </row>
    <row r="48" spans="2:9">
      <c r="B48" s="600" t="str">
        <f>+'[15]Core Rates 2011'!A365</f>
        <v>Pollinator Habitat Forb Mix (9 species)</v>
      </c>
      <c r="C48" s="599"/>
      <c r="D48" s="597" t="s">
        <v>454</v>
      </c>
      <c r="E48" s="592">
        <f>+'[15]Core Rates 2011'!BE365</f>
        <v>53.8</v>
      </c>
      <c r="F48" s="593">
        <v>3.5</v>
      </c>
      <c r="G48" s="594">
        <f t="shared" si="2"/>
        <v>188.29999999999998</v>
      </c>
      <c r="H48" s="570"/>
      <c r="I48" s="571"/>
    </row>
    <row r="49" spans="2:9">
      <c r="B49" s="601"/>
      <c r="C49" s="578"/>
      <c r="D49" s="602"/>
      <c r="E49" s="570"/>
      <c r="F49" s="570"/>
      <c r="G49" s="570"/>
      <c r="H49" s="570"/>
      <c r="I49" s="571"/>
    </row>
    <row r="50" spans="2:9">
      <c r="B50" s="574" t="s">
        <v>43</v>
      </c>
      <c r="C50" s="578"/>
      <c r="D50" s="602"/>
      <c r="E50" s="570"/>
      <c r="F50" s="570"/>
      <c r="G50" s="570"/>
      <c r="H50" s="570"/>
      <c r="I50" s="571"/>
    </row>
    <row r="51" spans="2:9">
      <c r="B51" s="583" t="s">
        <v>457</v>
      </c>
      <c r="C51" s="578"/>
      <c r="D51" s="602"/>
      <c r="E51" s="570"/>
      <c r="F51" s="570"/>
      <c r="G51" s="570"/>
      <c r="H51" s="570"/>
      <c r="I51" s="571"/>
    </row>
    <row r="52" spans="2:9">
      <c r="B52" s="583" t="s">
        <v>458</v>
      </c>
      <c r="C52" s="578"/>
      <c r="D52" s="602"/>
      <c r="E52" s="603"/>
      <c r="F52" s="570"/>
      <c r="G52" s="570"/>
      <c r="H52" s="570"/>
      <c r="I52" s="571"/>
    </row>
    <row r="53" spans="2:9">
      <c r="B53" s="601"/>
      <c r="C53" s="578"/>
      <c r="D53" s="602"/>
      <c r="E53" s="570"/>
      <c r="F53" s="570"/>
      <c r="G53" s="570"/>
      <c r="H53" s="570"/>
      <c r="I53" s="571"/>
    </row>
    <row r="54" spans="2:9">
      <c r="B54" s="586" t="s">
        <v>2</v>
      </c>
      <c r="C54" s="570"/>
      <c r="D54" s="570"/>
      <c r="E54" s="2017" t="s">
        <v>459</v>
      </c>
      <c r="F54" s="2017"/>
      <c r="G54" s="2017"/>
      <c r="H54" s="2017"/>
      <c r="I54" s="587">
        <f>(SUM(G56:G61)*0.85)</f>
        <v>105.39999999999999</v>
      </c>
    </row>
    <row r="55" spans="2:9">
      <c r="B55" s="588"/>
      <c r="C55" s="570"/>
      <c r="D55" s="589" t="s">
        <v>447</v>
      </c>
      <c r="E55" s="589" t="s">
        <v>448</v>
      </c>
      <c r="F55" s="589" t="s">
        <v>449</v>
      </c>
      <c r="G55" s="589" t="s">
        <v>450</v>
      </c>
      <c r="H55" s="570"/>
      <c r="I55" s="590"/>
    </row>
    <row r="56" spans="2:9">
      <c r="B56" s="604" t="s">
        <v>460</v>
      </c>
      <c r="C56" s="578"/>
      <c r="D56" s="591" t="s">
        <v>408</v>
      </c>
      <c r="E56" s="592">
        <f>+'[15]Core Rates 2011'!BE146</f>
        <v>36.5</v>
      </c>
      <c r="F56" s="593">
        <v>2</v>
      </c>
      <c r="G56" s="594">
        <f t="shared" ref="G56:G61" si="3">+F56*E56</f>
        <v>73</v>
      </c>
      <c r="H56" s="570"/>
      <c r="I56" s="595"/>
    </row>
    <row r="57" spans="2:9">
      <c r="B57" s="583" t="s">
        <v>461</v>
      </c>
      <c r="C57" s="578"/>
      <c r="D57" s="591" t="s">
        <v>408</v>
      </c>
      <c r="E57" s="592">
        <f>+'[15]Core Rates'!C104</f>
        <v>20</v>
      </c>
      <c r="F57" s="593">
        <v>1</v>
      </c>
      <c r="G57" s="594">
        <f t="shared" si="3"/>
        <v>20</v>
      </c>
      <c r="H57" s="570"/>
      <c r="I57" s="595"/>
    </row>
    <row r="58" spans="2:9">
      <c r="B58" s="604" t="str">
        <f>+'[15]Core Rates'!A216</f>
        <v>Mowing</v>
      </c>
      <c r="C58" s="578"/>
      <c r="D58" s="605" t="s">
        <v>408</v>
      </c>
      <c r="E58" s="605">
        <f>+'[15]Core Rates'!C216</f>
        <v>15.5</v>
      </c>
      <c r="F58" s="593">
        <v>2</v>
      </c>
      <c r="G58" s="594">
        <f t="shared" si="3"/>
        <v>31</v>
      </c>
      <c r="H58" s="570"/>
      <c r="I58" s="595"/>
    </row>
    <row r="59" spans="2:9">
      <c r="B59" s="583" t="s">
        <v>462</v>
      </c>
      <c r="C59" s="578"/>
      <c r="D59" s="591" t="s">
        <v>408</v>
      </c>
      <c r="E59" s="592">
        <f>+'[15]Core Rates'!AN33</f>
        <v>5.416666666666667</v>
      </c>
      <c r="F59" s="593">
        <v>0</v>
      </c>
      <c r="G59" s="594">
        <f t="shared" si="3"/>
        <v>0</v>
      </c>
      <c r="H59" s="570"/>
      <c r="I59" s="595"/>
    </row>
    <row r="60" spans="2:9">
      <c r="B60" s="583" t="s">
        <v>463</v>
      </c>
      <c r="C60" s="578"/>
      <c r="D60" s="591" t="s">
        <v>452</v>
      </c>
      <c r="E60" s="592">
        <f>+'[15]Core Rates'!AN34</f>
        <v>5.5</v>
      </c>
      <c r="F60" s="593">
        <v>0</v>
      </c>
      <c r="G60" s="594">
        <f t="shared" si="3"/>
        <v>0</v>
      </c>
      <c r="H60" s="570"/>
      <c r="I60" s="595"/>
    </row>
    <row r="61" spans="2:9">
      <c r="B61" s="583" t="s">
        <v>464</v>
      </c>
      <c r="C61" s="578"/>
      <c r="D61" s="591" t="s">
        <v>452</v>
      </c>
      <c r="E61" s="592">
        <f>+'[15]Core Rates'!AN32</f>
        <v>6.3125</v>
      </c>
      <c r="F61" s="593">
        <v>0</v>
      </c>
      <c r="G61" s="594">
        <f t="shared" si="3"/>
        <v>0</v>
      </c>
      <c r="H61" s="570"/>
      <c r="I61" s="595"/>
    </row>
    <row r="62" spans="2:9">
      <c r="B62" s="583"/>
      <c r="C62" s="578"/>
      <c r="D62" s="606"/>
      <c r="E62" s="607"/>
      <c r="F62" s="607"/>
      <c r="G62" s="592"/>
      <c r="H62" s="570"/>
      <c r="I62" s="595"/>
    </row>
    <row r="63" spans="2:9">
      <c r="B63" s="574" t="s">
        <v>43</v>
      </c>
      <c r="C63" s="570"/>
      <c r="D63" s="570"/>
      <c r="E63" s="608"/>
      <c r="F63" s="608"/>
      <c r="G63" s="608"/>
      <c r="H63" s="570"/>
      <c r="I63" s="590"/>
    </row>
    <row r="64" spans="2:9">
      <c r="B64" s="2018" t="s">
        <v>457</v>
      </c>
      <c r="C64" s="2019"/>
      <c r="D64" s="2019"/>
      <c r="E64" s="2019"/>
      <c r="F64" s="2019"/>
      <c r="G64" s="2019"/>
      <c r="H64" s="2019"/>
      <c r="I64" s="2020"/>
    </row>
    <row r="65" spans="2:9">
      <c r="B65" s="2018"/>
      <c r="C65" s="2019"/>
      <c r="D65" s="2019"/>
      <c r="E65" s="2019"/>
      <c r="F65" s="2019"/>
      <c r="G65" s="2019"/>
      <c r="H65" s="2019"/>
      <c r="I65" s="2020"/>
    </row>
    <row r="66" spans="2:9">
      <c r="B66" s="609"/>
      <c r="C66" s="610"/>
      <c r="D66" s="610"/>
      <c r="E66" s="610"/>
      <c r="F66" s="610"/>
      <c r="G66" s="610"/>
      <c r="H66" s="610"/>
      <c r="I66" s="611"/>
    </row>
    <row r="67" spans="2:9">
      <c r="B67" s="609"/>
      <c r="C67" s="610"/>
      <c r="D67" s="610"/>
      <c r="E67" s="610"/>
      <c r="F67" s="610"/>
      <c r="G67" s="610"/>
      <c r="H67" s="610"/>
      <c r="I67" s="611"/>
    </row>
    <row r="68" spans="2:9">
      <c r="B68" s="586" t="s">
        <v>3</v>
      </c>
      <c r="C68" s="570"/>
      <c r="D68" s="570"/>
      <c r="E68" s="570"/>
      <c r="F68" s="577"/>
      <c r="G68" s="570"/>
      <c r="H68" s="570"/>
      <c r="I68" s="612">
        <f>E70</f>
        <v>18.599999999999998</v>
      </c>
    </row>
    <row r="69" spans="2:9">
      <c r="B69" s="2021" t="s">
        <v>465</v>
      </c>
      <c r="C69" s="2022"/>
      <c r="D69" s="570"/>
      <c r="E69" s="570"/>
      <c r="F69" s="570"/>
      <c r="G69" s="570"/>
      <c r="H69" s="570"/>
      <c r="I69" s="613"/>
    </row>
    <row r="70" spans="2:9">
      <c r="B70" s="574" t="s">
        <v>466</v>
      </c>
      <c r="C70" s="577"/>
      <c r="D70" s="577"/>
      <c r="E70" s="614">
        <f>SUM(G56:G61)*0.15</f>
        <v>18.599999999999998</v>
      </c>
      <c r="F70" s="570"/>
      <c r="G70" s="570"/>
      <c r="H70" s="570"/>
      <c r="I70" s="590"/>
    </row>
    <row r="71" spans="2:9">
      <c r="B71" s="574"/>
      <c r="C71" s="577"/>
      <c r="D71" s="615"/>
      <c r="E71" s="614"/>
      <c r="F71" s="570"/>
      <c r="G71" s="570"/>
      <c r="H71" s="570"/>
      <c r="I71" s="590"/>
    </row>
    <row r="72" spans="2:9">
      <c r="B72" s="574"/>
      <c r="C72" s="577"/>
      <c r="D72" s="616"/>
      <c r="E72" s="614"/>
      <c r="F72" s="570"/>
      <c r="G72" s="570"/>
      <c r="H72" s="570"/>
      <c r="I72" s="590"/>
    </row>
    <row r="73" spans="2:9">
      <c r="B73" s="575"/>
      <c r="C73" s="570"/>
      <c r="D73" s="570"/>
      <c r="E73" s="570"/>
      <c r="F73" s="570"/>
      <c r="G73" s="570"/>
      <c r="H73" s="570"/>
      <c r="I73" s="571"/>
    </row>
    <row r="74" spans="2:9">
      <c r="B74" s="586" t="s">
        <v>4</v>
      </c>
      <c r="C74" s="570"/>
      <c r="D74" s="570"/>
      <c r="E74" s="570"/>
      <c r="F74" s="570"/>
      <c r="G74" s="570"/>
      <c r="H74" s="570"/>
      <c r="I74" s="612">
        <f>0.03*(I40+I54+I68)</f>
        <v>10.1403</v>
      </c>
    </row>
    <row r="75" spans="2:9">
      <c r="B75" s="575" t="s">
        <v>467</v>
      </c>
      <c r="C75" s="570"/>
      <c r="D75" s="570"/>
      <c r="E75" s="570"/>
      <c r="F75" s="570"/>
      <c r="G75" s="570"/>
      <c r="H75" s="570"/>
      <c r="I75" s="571"/>
    </row>
    <row r="76" spans="2:9">
      <c r="B76" s="574"/>
      <c r="C76" s="570"/>
      <c r="D76" s="570"/>
      <c r="E76" s="570"/>
      <c r="F76" s="570"/>
      <c r="G76" s="570"/>
      <c r="H76" s="570"/>
      <c r="I76" s="571"/>
    </row>
    <row r="77" spans="2:9">
      <c r="B77" s="586" t="s">
        <v>468</v>
      </c>
      <c r="C77" s="570"/>
      <c r="D77" s="570"/>
      <c r="E77" s="570"/>
      <c r="F77" s="570"/>
      <c r="G77" s="570"/>
      <c r="H77" s="570"/>
      <c r="I77" s="612">
        <f>+'[15]Core Rates'!C216</f>
        <v>15.5</v>
      </c>
    </row>
    <row r="78" spans="2:9">
      <c r="B78" s="575" t="s">
        <v>469</v>
      </c>
      <c r="C78" s="570"/>
      <c r="D78" s="570"/>
      <c r="E78" s="570"/>
      <c r="F78" s="570"/>
      <c r="G78" s="570"/>
      <c r="H78" s="570"/>
      <c r="I78" s="571"/>
    </row>
    <row r="79" spans="2:9">
      <c r="B79" s="574"/>
      <c r="C79" s="570"/>
      <c r="D79" s="570"/>
      <c r="E79" s="570"/>
      <c r="F79" s="570"/>
      <c r="G79" s="570"/>
      <c r="H79" s="570"/>
      <c r="I79" s="571"/>
    </row>
    <row r="80" spans="2:9">
      <c r="B80" s="586" t="s">
        <v>7</v>
      </c>
      <c r="C80" s="570"/>
      <c r="D80" s="570"/>
      <c r="E80" s="570"/>
      <c r="F80" s="570"/>
      <c r="G80" s="570"/>
      <c r="H80" s="570"/>
      <c r="I80" s="587">
        <v>0</v>
      </c>
    </row>
    <row r="81" spans="2:9">
      <c r="B81" s="575" t="s">
        <v>470</v>
      </c>
      <c r="C81" s="570"/>
      <c r="D81" s="570"/>
      <c r="E81" s="570"/>
      <c r="F81" s="570"/>
      <c r="G81" s="570"/>
      <c r="H81" s="570"/>
      <c r="I81" s="571"/>
    </row>
    <row r="82" spans="2:9">
      <c r="B82" s="574"/>
      <c r="C82" s="570"/>
      <c r="D82" s="570"/>
      <c r="E82" s="570"/>
      <c r="F82" s="570"/>
      <c r="G82" s="570"/>
      <c r="H82" s="570"/>
      <c r="I82" s="571"/>
    </row>
    <row r="83" spans="2:9">
      <c r="B83" s="586" t="s">
        <v>471</v>
      </c>
      <c r="C83" s="570"/>
      <c r="D83" s="570"/>
      <c r="E83" s="570"/>
      <c r="F83" s="577"/>
      <c r="G83" s="570"/>
      <c r="H83" s="570"/>
      <c r="I83" s="587">
        <f>E85*3</f>
        <v>180</v>
      </c>
    </row>
    <row r="84" spans="2:9">
      <c r="B84" s="617" t="s">
        <v>472</v>
      </c>
      <c r="C84" s="570"/>
      <c r="D84" s="570"/>
      <c r="E84" s="570"/>
      <c r="F84" s="570"/>
      <c r="G84" s="570"/>
      <c r="H84" s="570"/>
      <c r="I84" s="595"/>
    </row>
    <row r="85" spans="2:9">
      <c r="B85" s="617"/>
      <c r="C85" s="570"/>
      <c r="D85" s="570"/>
      <c r="E85" s="614">
        <v>60</v>
      </c>
      <c r="F85" s="570"/>
      <c r="G85" s="570"/>
      <c r="H85" s="570"/>
      <c r="I85" s="595"/>
    </row>
    <row r="86" spans="2:9">
      <c r="B86" s="574"/>
      <c r="C86" s="570"/>
      <c r="D86" s="570"/>
      <c r="E86" s="570"/>
      <c r="F86" s="570"/>
      <c r="G86" s="570"/>
      <c r="H86" s="570"/>
      <c r="I86" s="571"/>
    </row>
    <row r="87" spans="2:9">
      <c r="B87" s="586" t="s">
        <v>5</v>
      </c>
      <c r="C87" s="570"/>
      <c r="D87" s="570"/>
      <c r="E87" s="570"/>
      <c r="F87" s="570"/>
      <c r="G87" s="570"/>
      <c r="H87" s="570"/>
      <c r="I87" s="587">
        <v>0</v>
      </c>
    </row>
    <row r="88" spans="2:9">
      <c r="B88" s="575" t="s">
        <v>104</v>
      </c>
      <c r="C88" s="570"/>
      <c r="D88" s="570"/>
      <c r="E88" s="570"/>
      <c r="F88" s="570"/>
      <c r="G88" s="570"/>
      <c r="H88" s="570"/>
      <c r="I88" s="595"/>
    </row>
    <row r="89" spans="2:9">
      <c r="B89" s="574"/>
      <c r="C89" s="570"/>
      <c r="D89" s="570"/>
      <c r="E89" s="570"/>
      <c r="F89" s="570"/>
      <c r="G89" s="570"/>
      <c r="H89" s="570"/>
      <c r="I89" s="571"/>
    </row>
    <row r="90" spans="2:9">
      <c r="B90" s="586" t="s">
        <v>20</v>
      </c>
      <c r="C90" s="570"/>
      <c r="D90" s="570"/>
      <c r="E90" s="570"/>
      <c r="F90" s="570"/>
      <c r="G90" s="570"/>
      <c r="H90" s="570"/>
      <c r="I90" s="587">
        <v>0</v>
      </c>
    </row>
    <row r="91" spans="2:9">
      <c r="B91" s="575" t="s">
        <v>104</v>
      </c>
      <c r="C91" s="570"/>
      <c r="D91" s="570"/>
      <c r="E91" s="570"/>
      <c r="F91" s="570"/>
      <c r="G91" s="570"/>
      <c r="H91" s="570"/>
      <c r="I91" s="571"/>
    </row>
    <row r="92" spans="2:9">
      <c r="B92" s="583"/>
      <c r="C92" s="570"/>
      <c r="D92" s="570"/>
      <c r="E92" s="570"/>
      <c r="F92" s="570"/>
      <c r="G92" s="570"/>
      <c r="H92" s="570"/>
      <c r="I92" s="571"/>
    </row>
    <row r="93" spans="2:9">
      <c r="B93" s="586" t="s">
        <v>473</v>
      </c>
      <c r="C93" s="570"/>
      <c r="D93" s="570"/>
      <c r="E93" s="570"/>
      <c r="F93" s="570"/>
      <c r="G93" s="570"/>
      <c r="H93" s="570"/>
      <c r="I93" s="618">
        <f>+I40+I54+I68+I74+I80+I90</f>
        <v>348.15030000000002</v>
      </c>
    </row>
    <row r="94" spans="2:9" ht="15.75">
      <c r="B94" s="575" t="s">
        <v>474</v>
      </c>
      <c r="C94" s="570"/>
      <c r="D94" s="570"/>
      <c r="E94" s="570"/>
      <c r="F94" s="570"/>
      <c r="G94" s="570"/>
      <c r="H94" s="570"/>
      <c r="I94" s="571"/>
    </row>
    <row r="95" spans="2:9">
      <c r="B95" s="583"/>
      <c r="C95" s="570"/>
      <c r="D95" s="570"/>
      <c r="E95" s="570"/>
      <c r="F95" s="570"/>
      <c r="G95" s="570"/>
      <c r="H95" s="570"/>
      <c r="I95" s="571"/>
    </row>
    <row r="96" spans="2:9">
      <c r="B96" s="619" t="s">
        <v>11</v>
      </c>
      <c r="C96" s="620"/>
      <c r="D96" s="620"/>
      <c r="E96" s="620"/>
      <c r="F96" s="620"/>
      <c r="G96" s="620"/>
      <c r="H96" s="620"/>
      <c r="I96" s="621">
        <f>SUM(I39:I90)</f>
        <v>543.65030000000002</v>
      </c>
    </row>
  </sheetData>
  <mergeCells count="4">
    <mergeCell ref="B1:D1"/>
    <mergeCell ref="E54:H54"/>
    <mergeCell ref="B64:I65"/>
    <mergeCell ref="B69:C69"/>
  </mergeCells>
  <pageMargins left="0.7" right="0.7" top="0.75" bottom="0.75" header="0.3" footer="0.3"/>
  <pageSetup paperSize="5" orientation="landscape" r:id="rId1"/>
</worksheet>
</file>

<file path=xl/worksheets/sheet65.xml><?xml version="1.0" encoding="utf-8"?>
<worksheet xmlns="http://schemas.openxmlformats.org/spreadsheetml/2006/main" xmlns:r="http://schemas.openxmlformats.org/officeDocument/2006/relationships">
  <sheetPr>
    <pageSetUpPr fitToPage="1"/>
  </sheetPr>
  <dimension ref="A1:L98"/>
  <sheetViews>
    <sheetView zoomScale="75" zoomScaleNormal="75" workbookViewId="0">
      <selection activeCell="B6" sqref="B6:D9"/>
    </sheetView>
  </sheetViews>
  <sheetFormatPr defaultRowHeight="12.75"/>
  <cols>
    <col min="1" max="1" width="1.85546875" style="517" customWidth="1"/>
    <col min="2" max="2" width="9.140625" style="517"/>
    <col min="3" max="3" width="24.140625" style="517" customWidth="1"/>
    <col min="4" max="4" width="23.140625" style="517" customWidth="1"/>
    <col min="5" max="5" width="42.7109375" style="517" customWidth="1"/>
    <col min="6" max="6" width="10.42578125" style="517" customWidth="1"/>
    <col min="7" max="8" width="9.140625" style="517"/>
    <col min="9" max="9" width="15.42578125" style="517" customWidth="1"/>
    <col min="10"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c r="A3" s="515"/>
      <c r="B3" s="519" t="s">
        <v>17</v>
      </c>
      <c r="C3" s="515"/>
      <c r="D3" s="515"/>
      <c r="E3" s="515"/>
      <c r="F3" s="515"/>
      <c r="G3" s="515"/>
      <c r="H3" s="515"/>
      <c r="I3" s="515"/>
    </row>
    <row r="4" spans="1:12">
      <c r="A4" s="515"/>
      <c r="B4" s="520" t="s">
        <v>1</v>
      </c>
      <c r="C4" s="521" t="s">
        <v>21</v>
      </c>
      <c r="D4" s="522"/>
      <c r="E4" s="522"/>
      <c r="F4" s="522"/>
      <c r="G4" s="523" t="s">
        <v>12</v>
      </c>
    </row>
    <row r="5" spans="1:12">
      <c r="A5" s="515"/>
      <c r="B5" s="524" t="s">
        <v>13</v>
      </c>
      <c r="C5" s="525" t="s">
        <v>22</v>
      </c>
      <c r="D5" s="525" t="s">
        <v>29</v>
      </c>
      <c r="E5" s="525" t="s">
        <v>30</v>
      </c>
      <c r="F5" s="525" t="s">
        <v>23</v>
      </c>
      <c r="G5" s="526" t="s">
        <v>14</v>
      </c>
    </row>
    <row r="6" spans="1:12">
      <c r="A6" s="515"/>
      <c r="B6" s="527">
        <v>327</v>
      </c>
      <c r="C6" s="528" t="str">
        <f>+E12</f>
        <v>EQIP</v>
      </c>
      <c r="D6" s="529" t="s">
        <v>439</v>
      </c>
      <c r="E6" s="622" t="s">
        <v>475</v>
      </c>
      <c r="F6" s="531" t="s">
        <v>394</v>
      </c>
      <c r="G6" s="532">
        <f>+I25</f>
        <v>219.99447803813257</v>
      </c>
    </row>
    <row r="7" spans="1:12">
      <c r="A7" s="515"/>
      <c r="B7" s="527">
        <f>+B6</f>
        <v>327</v>
      </c>
      <c r="C7" s="528" t="str">
        <f>+C6</f>
        <v>EQIP</v>
      </c>
      <c r="D7" s="529" t="s">
        <v>439</v>
      </c>
      <c r="E7" s="622" t="str">
        <f>CONCATENATE(E6, "-HU")</f>
        <v>Introduced Grasses - Conv. Till-HU</v>
      </c>
      <c r="F7" s="531" t="str">
        <f>+F6</f>
        <v>Acre</v>
      </c>
      <c r="G7" s="532">
        <f>+J25</f>
        <v>263.99337364575911</v>
      </c>
    </row>
    <row r="8" spans="1:12">
      <c r="A8" s="515"/>
      <c r="B8" s="527">
        <v>327</v>
      </c>
      <c r="C8" s="528" t="str">
        <f>+G12</f>
        <v>WHIP</v>
      </c>
      <c r="D8" s="529" t="s">
        <v>439</v>
      </c>
      <c r="E8" s="622" t="s">
        <v>475</v>
      </c>
      <c r="F8" s="531" t="s">
        <v>394</v>
      </c>
      <c r="G8" s="532">
        <f>+K25</f>
        <v>219.99447803813257</v>
      </c>
    </row>
    <row r="9" spans="1:12">
      <c r="A9" s="515"/>
      <c r="B9" s="533">
        <f>+B8</f>
        <v>327</v>
      </c>
      <c r="C9" s="534" t="str">
        <f>+C8</f>
        <v>WHIP</v>
      </c>
      <c r="D9" s="529" t="s">
        <v>439</v>
      </c>
      <c r="E9" s="623" t="str">
        <f>CONCATENATE(E6, "-HU")</f>
        <v>Introduced Grasses - Conv. Till-HU</v>
      </c>
      <c r="F9" s="536" t="str">
        <f>+F8</f>
        <v>Acre</v>
      </c>
      <c r="G9" s="537">
        <f>+L25</f>
        <v>263.99337364575911</v>
      </c>
    </row>
    <row r="10" spans="1:12">
      <c r="A10" s="515"/>
      <c r="B10" s="538"/>
      <c r="C10" s="539"/>
      <c r="D10" s="539"/>
      <c r="E10" s="515"/>
      <c r="F10" s="515"/>
    </row>
    <row r="11" spans="1:12" ht="15.75">
      <c r="A11" s="515"/>
      <c r="B11" s="519" t="s">
        <v>18</v>
      </c>
      <c r="C11" s="539"/>
      <c r="D11" s="539"/>
      <c r="E11" s="515"/>
      <c r="F11" s="515"/>
    </row>
    <row r="12" spans="1:12">
      <c r="A12" s="515"/>
      <c r="B12" s="540"/>
      <c r="C12" s="541"/>
      <c r="D12" s="542"/>
      <c r="E12" s="543" t="s">
        <v>15</v>
      </c>
      <c r="F12" s="543" t="s">
        <v>31</v>
      </c>
      <c r="G12" s="543" t="s">
        <v>86</v>
      </c>
      <c r="H12" s="543" t="s">
        <v>441</v>
      </c>
      <c r="I12" s="543"/>
      <c r="J12" s="543"/>
      <c r="K12" s="543"/>
      <c r="L12" s="624"/>
    </row>
    <row r="13" spans="1:12">
      <c r="A13" s="515"/>
      <c r="B13" s="544"/>
      <c r="C13" s="545"/>
      <c r="D13" s="546"/>
      <c r="E13" s="547" t="s">
        <v>22</v>
      </c>
      <c r="F13" s="547" t="s">
        <v>22</v>
      </c>
      <c r="G13" s="547" t="s">
        <v>22</v>
      </c>
      <c r="H13" s="547" t="s">
        <v>22</v>
      </c>
      <c r="I13" s="547" t="s">
        <v>15</v>
      </c>
      <c r="J13" s="547" t="s">
        <v>31</v>
      </c>
      <c r="K13" s="547" t="s">
        <v>86</v>
      </c>
      <c r="L13" s="625" t="s">
        <v>441</v>
      </c>
    </row>
    <row r="14" spans="1:12">
      <c r="A14" s="515"/>
      <c r="B14" s="548"/>
      <c r="C14" s="546"/>
      <c r="D14" s="546"/>
      <c r="E14" s="547" t="s">
        <v>12</v>
      </c>
      <c r="F14" s="547" t="s">
        <v>12</v>
      </c>
      <c r="G14" s="547" t="s">
        <v>12</v>
      </c>
      <c r="H14" s="547" t="s">
        <v>12</v>
      </c>
      <c r="I14" s="547" t="s">
        <v>12</v>
      </c>
      <c r="J14" s="547" t="s">
        <v>12</v>
      </c>
      <c r="K14" s="547" t="s">
        <v>12</v>
      </c>
      <c r="L14" s="625" t="s">
        <v>12</v>
      </c>
    </row>
    <row r="15" spans="1:12">
      <c r="A15" s="515"/>
      <c r="B15" s="549" t="s">
        <v>16</v>
      </c>
      <c r="C15" s="546"/>
      <c r="D15" s="550" t="s">
        <v>6</v>
      </c>
      <c r="E15" s="551" t="s">
        <v>24</v>
      </c>
      <c r="F15" s="551" t="s">
        <v>24</v>
      </c>
      <c r="G15" s="551" t="s">
        <v>24</v>
      </c>
      <c r="H15" s="551" t="s">
        <v>24</v>
      </c>
      <c r="I15" s="551" t="s">
        <v>14</v>
      </c>
      <c r="J15" s="551" t="s">
        <v>14</v>
      </c>
      <c r="K15" s="551" t="s">
        <v>14</v>
      </c>
      <c r="L15" s="626" t="s">
        <v>14</v>
      </c>
    </row>
    <row r="16" spans="1:12">
      <c r="A16" s="515"/>
      <c r="B16" s="544" t="s">
        <v>0</v>
      </c>
      <c r="C16" s="546"/>
      <c r="D16" s="552">
        <f>+I40</f>
        <v>179.74082917557618</v>
      </c>
      <c r="E16" s="553">
        <f>+'[10]Payment Factors'!D14</f>
        <v>0.75</v>
      </c>
      <c r="F16" s="553">
        <f>+'[10]Payment Factors'!E14</f>
        <v>0.9</v>
      </c>
      <c r="G16" s="553">
        <f>+'[10]Payment Factors'!F14</f>
        <v>0.75</v>
      </c>
      <c r="H16" s="553">
        <f>+'[10]Payment Factors'!G14</f>
        <v>0.9</v>
      </c>
      <c r="I16" s="554">
        <f t="shared" ref="I16:L24" si="0">+$D16*E16</f>
        <v>134.80562188168213</v>
      </c>
      <c r="J16" s="554">
        <f t="shared" si="0"/>
        <v>161.76674625801857</v>
      </c>
      <c r="K16" s="554">
        <f t="shared" si="0"/>
        <v>134.80562188168213</v>
      </c>
      <c r="L16" s="627">
        <f t="shared" si="0"/>
        <v>161.76674625801857</v>
      </c>
    </row>
    <row r="17" spans="1:12">
      <c r="A17" s="515"/>
      <c r="B17" s="544" t="s">
        <v>2</v>
      </c>
      <c r="C17" s="546"/>
      <c r="D17" s="552">
        <f>+I55</f>
        <v>89.285416666666663</v>
      </c>
      <c r="E17" s="553">
        <f t="shared" ref="E17:H19" si="1">+E16</f>
        <v>0.75</v>
      </c>
      <c r="F17" s="553">
        <f t="shared" si="1"/>
        <v>0.9</v>
      </c>
      <c r="G17" s="553">
        <f t="shared" si="1"/>
        <v>0.75</v>
      </c>
      <c r="H17" s="553">
        <f t="shared" si="1"/>
        <v>0.9</v>
      </c>
      <c r="I17" s="554">
        <f t="shared" si="0"/>
        <v>66.964062499999997</v>
      </c>
      <c r="J17" s="554">
        <f t="shared" si="0"/>
        <v>80.356875000000002</v>
      </c>
      <c r="K17" s="554">
        <f t="shared" si="0"/>
        <v>66.964062499999997</v>
      </c>
      <c r="L17" s="627">
        <f t="shared" si="0"/>
        <v>80.356875000000002</v>
      </c>
    </row>
    <row r="18" spans="1:12">
      <c r="A18" s="515"/>
      <c r="B18" s="544" t="s">
        <v>3</v>
      </c>
      <c r="C18" s="546"/>
      <c r="D18" s="552">
        <f>+I70</f>
        <v>15.75625</v>
      </c>
      <c r="E18" s="553">
        <f t="shared" si="1"/>
        <v>0.75</v>
      </c>
      <c r="F18" s="553">
        <f t="shared" si="1"/>
        <v>0.9</v>
      </c>
      <c r="G18" s="553">
        <f t="shared" si="1"/>
        <v>0.75</v>
      </c>
      <c r="H18" s="553">
        <f t="shared" si="1"/>
        <v>0.9</v>
      </c>
      <c r="I18" s="554">
        <f t="shared" si="0"/>
        <v>11.817187499999999</v>
      </c>
      <c r="J18" s="554">
        <f t="shared" si="0"/>
        <v>14.180624999999999</v>
      </c>
      <c r="K18" s="554">
        <f t="shared" si="0"/>
        <v>11.817187499999999</v>
      </c>
      <c r="L18" s="627">
        <f t="shared" si="0"/>
        <v>14.180624999999999</v>
      </c>
    </row>
    <row r="19" spans="1:12">
      <c r="A19" s="515"/>
      <c r="B19" s="544" t="s">
        <v>4</v>
      </c>
      <c r="C19" s="546"/>
      <c r="D19" s="552">
        <f>+I76</f>
        <v>8.5434748752672842</v>
      </c>
      <c r="E19" s="553">
        <f t="shared" si="1"/>
        <v>0.75</v>
      </c>
      <c r="F19" s="553">
        <f t="shared" si="1"/>
        <v>0.9</v>
      </c>
      <c r="G19" s="553">
        <f t="shared" si="1"/>
        <v>0.75</v>
      </c>
      <c r="H19" s="553">
        <f t="shared" si="1"/>
        <v>0.9</v>
      </c>
      <c r="I19" s="554">
        <f t="shared" si="0"/>
        <v>6.4076061564504627</v>
      </c>
      <c r="J19" s="554">
        <f t="shared" si="0"/>
        <v>7.6891273877405562</v>
      </c>
      <c r="K19" s="554">
        <f t="shared" si="0"/>
        <v>6.4076061564504627</v>
      </c>
      <c r="L19" s="627">
        <f t="shared" si="0"/>
        <v>7.6891273877405562</v>
      </c>
    </row>
    <row r="20" spans="1:12">
      <c r="A20" s="515"/>
      <c r="B20" s="544" t="s">
        <v>26</v>
      </c>
      <c r="C20" s="546"/>
      <c r="D20" s="552">
        <f>+I79</f>
        <v>15.5</v>
      </c>
      <c r="E20" s="553">
        <v>0</v>
      </c>
      <c r="F20" s="553">
        <v>0</v>
      </c>
      <c r="G20" s="553">
        <v>0</v>
      </c>
      <c r="H20" s="553">
        <v>0</v>
      </c>
      <c r="I20" s="554">
        <f t="shared" si="0"/>
        <v>0</v>
      </c>
      <c r="J20" s="554">
        <f t="shared" si="0"/>
        <v>0</v>
      </c>
      <c r="K20" s="554">
        <f t="shared" si="0"/>
        <v>0</v>
      </c>
      <c r="L20" s="627">
        <f t="shared" si="0"/>
        <v>0</v>
      </c>
    </row>
    <row r="21" spans="1:12">
      <c r="A21" s="515"/>
      <c r="B21" s="544" t="s">
        <v>7</v>
      </c>
      <c r="C21" s="546"/>
      <c r="D21" s="552">
        <f>+I82</f>
        <v>0</v>
      </c>
      <c r="E21" s="553">
        <v>0</v>
      </c>
      <c r="F21" s="553">
        <v>0</v>
      </c>
      <c r="G21" s="553">
        <v>0</v>
      </c>
      <c r="H21" s="553">
        <v>0</v>
      </c>
      <c r="I21" s="554">
        <f t="shared" si="0"/>
        <v>0</v>
      </c>
      <c r="J21" s="554">
        <f t="shared" si="0"/>
        <v>0</v>
      </c>
      <c r="K21" s="554">
        <f t="shared" si="0"/>
        <v>0</v>
      </c>
      <c r="L21" s="627">
        <f t="shared" si="0"/>
        <v>0</v>
      </c>
    </row>
    <row r="22" spans="1:12">
      <c r="A22" s="515"/>
      <c r="B22" s="544" t="s">
        <v>27</v>
      </c>
      <c r="C22" s="546"/>
      <c r="D22" s="552">
        <f>+I85</f>
        <v>180</v>
      </c>
      <c r="E22" s="553">
        <v>0</v>
      </c>
      <c r="F22" s="553">
        <v>0</v>
      </c>
      <c r="G22" s="553">
        <v>0</v>
      </c>
      <c r="H22" s="553">
        <v>0</v>
      </c>
      <c r="I22" s="554">
        <f t="shared" si="0"/>
        <v>0</v>
      </c>
      <c r="J22" s="554">
        <f t="shared" si="0"/>
        <v>0</v>
      </c>
      <c r="K22" s="554">
        <f t="shared" si="0"/>
        <v>0</v>
      </c>
      <c r="L22" s="627">
        <f t="shared" si="0"/>
        <v>0</v>
      </c>
    </row>
    <row r="23" spans="1:12">
      <c r="A23" s="515"/>
      <c r="B23" s="544" t="s">
        <v>5</v>
      </c>
      <c r="C23" s="546"/>
      <c r="D23" s="552">
        <f>+I89</f>
        <v>0</v>
      </c>
      <c r="E23" s="553">
        <v>0</v>
      </c>
      <c r="F23" s="553">
        <v>0</v>
      </c>
      <c r="G23" s="553">
        <v>0</v>
      </c>
      <c r="H23" s="553">
        <v>0</v>
      </c>
      <c r="I23" s="554">
        <f t="shared" si="0"/>
        <v>0</v>
      </c>
      <c r="J23" s="554">
        <f t="shared" si="0"/>
        <v>0</v>
      </c>
      <c r="K23" s="554">
        <f t="shared" si="0"/>
        <v>0</v>
      </c>
      <c r="L23" s="627">
        <f t="shared" si="0"/>
        <v>0</v>
      </c>
    </row>
    <row r="24" spans="1:12">
      <c r="A24" s="515"/>
      <c r="B24" s="544" t="s">
        <v>20</v>
      </c>
      <c r="C24" s="546"/>
      <c r="D24" s="555">
        <f>+I92</f>
        <v>0</v>
      </c>
      <c r="E24" s="553">
        <v>0</v>
      </c>
      <c r="F24" s="553">
        <v>0</v>
      </c>
      <c r="G24" s="553">
        <v>0</v>
      </c>
      <c r="H24" s="553">
        <v>0</v>
      </c>
      <c r="I24" s="556">
        <f t="shared" si="0"/>
        <v>0</v>
      </c>
      <c r="J24" s="556">
        <f t="shared" si="0"/>
        <v>0</v>
      </c>
      <c r="K24" s="556">
        <f t="shared" si="0"/>
        <v>0</v>
      </c>
      <c r="L24" s="628">
        <f t="shared" si="0"/>
        <v>0</v>
      </c>
    </row>
    <row r="25" spans="1:12">
      <c r="A25" s="515"/>
      <c r="B25" s="557" t="s">
        <v>19</v>
      </c>
      <c r="C25" s="558"/>
      <c r="D25" s="559">
        <f>SUM(D16:D24)</f>
        <v>488.82597071751013</v>
      </c>
      <c r="E25" s="629"/>
      <c r="F25" s="629"/>
      <c r="G25" s="560"/>
      <c r="H25" s="560"/>
      <c r="I25" s="561">
        <f>SUM(I16:I24)</f>
        <v>219.99447803813257</v>
      </c>
      <c r="J25" s="561">
        <f>SUM(J16:J24)</f>
        <v>263.99337364575911</v>
      </c>
      <c r="K25" s="561">
        <f>SUM(K16:K24)</f>
        <v>219.99447803813257</v>
      </c>
      <c r="L25" s="630">
        <f>SUM(L16:L24)</f>
        <v>263.99337364575911</v>
      </c>
    </row>
    <row r="27" spans="1:12" ht="15.75">
      <c r="A27" s="515"/>
      <c r="B27" s="562" t="s">
        <v>28</v>
      </c>
      <c r="C27" s="515"/>
      <c r="D27" s="515"/>
      <c r="E27" s="515"/>
      <c r="F27" s="515"/>
      <c r="G27" s="515"/>
      <c r="H27" s="515"/>
      <c r="I27" s="563"/>
    </row>
    <row r="28" spans="1:12">
      <c r="A28" s="515"/>
      <c r="B28" s="564" t="s">
        <v>476</v>
      </c>
      <c r="C28" s="565"/>
      <c r="D28" s="565"/>
      <c r="E28" s="566"/>
      <c r="F28" s="566"/>
      <c r="G28" s="566"/>
      <c r="H28" s="566"/>
      <c r="I28" s="567"/>
    </row>
    <row r="29" spans="1:12">
      <c r="A29" s="515"/>
      <c r="B29" s="568" t="s">
        <v>443</v>
      </c>
      <c r="C29" s="569"/>
      <c r="D29" s="569"/>
      <c r="E29" s="570"/>
      <c r="F29" s="570"/>
      <c r="G29" s="570"/>
      <c r="H29" s="570"/>
      <c r="I29" s="571"/>
    </row>
    <row r="30" spans="1:12">
      <c r="A30" s="515"/>
      <c r="B30" s="574" t="s">
        <v>477</v>
      </c>
      <c r="C30" s="569"/>
      <c r="D30" s="569"/>
      <c r="E30" s="570"/>
      <c r="F30" s="573"/>
      <c r="G30" s="570"/>
      <c r="H30" s="570"/>
      <c r="I30" s="571"/>
    </row>
    <row r="31" spans="1:12">
      <c r="A31" s="515"/>
      <c r="B31" s="568" t="s">
        <v>478</v>
      </c>
      <c r="C31" s="569"/>
      <c r="D31" s="569"/>
      <c r="E31" s="570"/>
      <c r="F31" s="570"/>
      <c r="G31" s="570"/>
      <c r="H31" s="570"/>
      <c r="I31" s="571"/>
    </row>
    <row r="32" spans="1:12">
      <c r="A32" s="515"/>
      <c r="B32" s="574" t="s">
        <v>446</v>
      </c>
      <c r="C32" s="569"/>
      <c r="D32" s="569"/>
      <c r="E32" s="570"/>
      <c r="F32" s="570"/>
      <c r="G32" s="570"/>
      <c r="H32" s="570"/>
      <c r="I32" s="571"/>
    </row>
    <row r="33" spans="1:9">
      <c r="A33" s="515"/>
      <c r="B33" s="575"/>
      <c r="C33" s="569"/>
      <c r="D33" s="569"/>
      <c r="E33" s="570"/>
      <c r="F33" s="570"/>
      <c r="G33" s="570"/>
      <c r="H33" s="570"/>
      <c r="I33" s="571"/>
    </row>
    <row r="34" spans="1:9">
      <c r="A34" s="515"/>
      <c r="B34" s="576" t="s">
        <v>25</v>
      </c>
      <c r="C34" s="569"/>
      <c r="D34" s="577" t="s">
        <v>91</v>
      </c>
      <c r="E34" s="578"/>
      <c r="F34" s="570"/>
      <c r="G34" s="570"/>
      <c r="H34" s="570"/>
      <c r="I34" s="571"/>
    </row>
    <row r="35" spans="1:9">
      <c r="A35" s="515"/>
      <c r="B35" s="574"/>
      <c r="C35" s="569"/>
      <c r="D35" s="570"/>
      <c r="E35" s="578"/>
      <c r="F35" s="570"/>
      <c r="G35" s="570"/>
      <c r="H35" s="570"/>
      <c r="I35" s="571"/>
    </row>
    <row r="36" spans="1:9">
      <c r="A36" s="515"/>
      <c r="B36" s="576" t="s">
        <v>8</v>
      </c>
      <c r="C36" s="569"/>
      <c r="D36" s="577" t="s">
        <v>394</v>
      </c>
      <c r="E36" s="578"/>
      <c r="F36" s="570"/>
      <c r="G36" s="570"/>
      <c r="H36" s="570"/>
      <c r="I36" s="571"/>
    </row>
    <row r="37" spans="1:9">
      <c r="A37" s="515"/>
      <c r="B37" s="576" t="s">
        <v>9</v>
      </c>
      <c r="C37" s="569"/>
      <c r="D37" s="579">
        <v>5</v>
      </c>
      <c r="E37" s="578"/>
      <c r="F37" s="570"/>
      <c r="G37" s="570"/>
      <c r="H37" s="570"/>
      <c r="I37" s="571"/>
    </row>
    <row r="38" spans="1:9">
      <c r="A38" s="515"/>
      <c r="B38" s="576" t="s">
        <v>10</v>
      </c>
      <c r="C38" s="570"/>
      <c r="D38" s="580"/>
      <c r="E38" s="581"/>
      <c r="F38" s="570"/>
      <c r="G38" s="570"/>
      <c r="H38" s="570"/>
      <c r="I38" s="582" t="s">
        <v>6</v>
      </c>
    </row>
    <row r="39" spans="1:9">
      <c r="A39" s="515"/>
      <c r="B39" s="583"/>
      <c r="C39" s="570"/>
      <c r="D39" s="570"/>
      <c r="E39" s="584"/>
      <c r="F39" s="570"/>
      <c r="G39" s="570"/>
      <c r="H39" s="570"/>
      <c r="I39" s="585"/>
    </row>
    <row r="40" spans="1:9">
      <c r="A40" s="515"/>
      <c r="B40" s="586" t="s">
        <v>0</v>
      </c>
      <c r="C40" s="570"/>
      <c r="D40" s="570"/>
      <c r="E40" s="570"/>
      <c r="F40" s="577"/>
      <c r="G40" s="570"/>
      <c r="H40" s="570"/>
      <c r="I40" s="587">
        <f>SUM(G42:G49)</f>
        <v>179.74082917557618</v>
      </c>
    </row>
    <row r="41" spans="1:9">
      <c r="A41" s="515"/>
      <c r="B41" s="588"/>
      <c r="C41" s="570"/>
      <c r="D41" s="589" t="s">
        <v>447</v>
      </c>
      <c r="E41" s="589" t="s">
        <v>448</v>
      </c>
      <c r="F41" s="589" t="s">
        <v>449</v>
      </c>
      <c r="G41" s="589" t="s">
        <v>450</v>
      </c>
      <c r="H41" s="570"/>
      <c r="I41" s="590"/>
    </row>
    <row r="42" spans="1:9">
      <c r="A42" s="515"/>
      <c r="B42" s="583"/>
      <c r="C42" s="578"/>
      <c r="D42" s="591"/>
      <c r="E42" s="592"/>
      <c r="F42" s="593"/>
      <c r="G42" s="594">
        <f>+F42*E42</f>
        <v>0</v>
      </c>
      <c r="H42" s="570"/>
      <c r="I42" s="595"/>
    </row>
    <row r="43" spans="1:9">
      <c r="A43" s="515"/>
      <c r="B43" s="583" t="s">
        <v>451</v>
      </c>
      <c r="C43" s="578"/>
      <c r="D43" s="591" t="s">
        <v>452</v>
      </c>
      <c r="E43" s="592">
        <f>+'[15]Core Rates'!C203</f>
        <v>8.75</v>
      </c>
      <c r="F43" s="593">
        <v>2</v>
      </c>
      <c r="G43" s="594">
        <f t="shared" ref="G43:G49" si="2">+F43*E43</f>
        <v>17.5</v>
      </c>
      <c r="H43" s="570"/>
      <c r="I43" s="571"/>
    </row>
    <row r="44" spans="1:9">
      <c r="A44" s="515"/>
      <c r="B44" s="596" t="s">
        <v>453</v>
      </c>
      <c r="C44" s="578"/>
      <c r="D44" s="597" t="s">
        <v>454</v>
      </c>
      <c r="E44" s="592">
        <f>+'[15]Core Rates'!C228</f>
        <v>0.82427536231884069</v>
      </c>
      <c r="F44" s="593">
        <v>50</v>
      </c>
      <c r="G44" s="594">
        <f t="shared" si="2"/>
        <v>41.213768115942031</v>
      </c>
      <c r="H44" s="570"/>
      <c r="I44" s="571"/>
    </row>
    <row r="45" spans="1:9">
      <c r="A45" s="515"/>
      <c r="B45" s="598" t="s">
        <v>455</v>
      </c>
      <c r="C45" s="599"/>
      <c r="D45" s="597" t="s">
        <v>454</v>
      </c>
      <c r="E45" s="592">
        <f>+'[15]Core Rates'!C235</f>
        <v>1.1702898550724636</v>
      </c>
      <c r="F45" s="593">
        <v>50</v>
      </c>
      <c r="G45" s="594">
        <f t="shared" si="2"/>
        <v>58.51449275362318</v>
      </c>
      <c r="H45" s="570"/>
      <c r="I45" s="571"/>
    </row>
    <row r="46" spans="1:9">
      <c r="A46" s="515"/>
      <c r="B46" s="598" t="s">
        <v>456</v>
      </c>
      <c r="C46" s="599"/>
      <c r="D46" s="591" t="s">
        <v>454</v>
      </c>
      <c r="E46" s="592">
        <f>+'[15]Core Rates'!C246</f>
        <v>0.58825136612021856</v>
      </c>
      <c r="F46" s="593">
        <v>50</v>
      </c>
      <c r="G46" s="594">
        <f t="shared" si="2"/>
        <v>29.412568306010929</v>
      </c>
      <c r="H46" s="570"/>
      <c r="I46" s="571"/>
    </row>
    <row r="47" spans="1:9">
      <c r="A47" s="515"/>
      <c r="B47" s="598" t="s">
        <v>479</v>
      </c>
      <c r="C47" s="599"/>
      <c r="D47" s="597" t="s">
        <v>454</v>
      </c>
      <c r="E47" s="592">
        <f>+'[15]Core Rates 2011'!BE307</f>
        <v>1.68</v>
      </c>
      <c r="F47" s="593">
        <v>10</v>
      </c>
      <c r="G47" s="594">
        <f t="shared" si="2"/>
        <v>16.8</v>
      </c>
      <c r="H47" s="570"/>
      <c r="I47" s="571"/>
    </row>
    <row r="48" spans="1:9">
      <c r="A48" s="515"/>
      <c r="B48" s="598" t="s">
        <v>480</v>
      </c>
      <c r="C48" s="599"/>
      <c r="D48" s="597" t="s">
        <v>454</v>
      </c>
      <c r="E48" s="592">
        <f>+'[15]Core Rates 2011'!BE308</f>
        <v>1.61</v>
      </c>
      <c r="F48" s="593">
        <v>5</v>
      </c>
      <c r="G48" s="594">
        <f t="shared" si="2"/>
        <v>8.0500000000000007</v>
      </c>
      <c r="H48" s="570"/>
      <c r="I48" s="571"/>
    </row>
    <row r="49" spans="1:9">
      <c r="A49" s="515"/>
      <c r="B49" s="598" t="s">
        <v>481</v>
      </c>
      <c r="C49" s="599"/>
      <c r="D49" s="597" t="s">
        <v>454</v>
      </c>
      <c r="E49" s="592">
        <f>+'[15]Core Rates 2011'!BE309</f>
        <v>2.75</v>
      </c>
      <c r="F49" s="593">
        <v>3</v>
      </c>
      <c r="G49" s="594">
        <f t="shared" si="2"/>
        <v>8.25</v>
      </c>
      <c r="H49" s="570"/>
      <c r="I49" s="571"/>
    </row>
    <row r="50" spans="1:9">
      <c r="A50" s="515"/>
      <c r="B50" s="601"/>
      <c r="C50" s="578"/>
      <c r="D50" s="602"/>
      <c r="E50" s="570"/>
      <c r="F50" s="570"/>
      <c r="G50" s="570"/>
      <c r="H50" s="570"/>
      <c r="I50" s="571"/>
    </row>
    <row r="51" spans="1:9">
      <c r="A51" s="515"/>
      <c r="B51" s="574" t="s">
        <v>43</v>
      </c>
      <c r="C51" s="578"/>
      <c r="D51" s="602"/>
      <c r="E51" s="570"/>
      <c r="F51" s="570"/>
      <c r="G51" s="570"/>
      <c r="H51" s="570"/>
      <c r="I51" s="571"/>
    </row>
    <row r="52" spans="1:9">
      <c r="A52" s="515"/>
      <c r="B52" s="583" t="s">
        <v>457</v>
      </c>
      <c r="C52" s="578"/>
      <c r="D52" s="602"/>
      <c r="E52" s="570"/>
      <c r="F52" s="570"/>
      <c r="G52" s="570"/>
      <c r="H52" s="570"/>
      <c r="I52" s="571"/>
    </row>
    <row r="53" spans="1:9">
      <c r="A53" s="515"/>
      <c r="B53" s="583" t="s">
        <v>458</v>
      </c>
      <c r="C53" s="578"/>
      <c r="D53" s="602"/>
      <c r="E53" s="603"/>
      <c r="F53" s="570"/>
      <c r="G53" s="570"/>
      <c r="H53" s="570"/>
      <c r="I53" s="571"/>
    </row>
    <row r="54" spans="1:9">
      <c r="A54" s="515"/>
      <c r="B54" s="601"/>
      <c r="C54" s="578"/>
      <c r="D54" s="602"/>
      <c r="E54" s="570"/>
      <c r="F54" s="570"/>
      <c r="G54" s="570"/>
      <c r="H54" s="570"/>
      <c r="I54" s="571"/>
    </row>
    <row r="55" spans="1:9">
      <c r="A55" s="515"/>
      <c r="B55" s="586" t="s">
        <v>2</v>
      </c>
      <c r="C55" s="570"/>
      <c r="D55" s="570"/>
      <c r="E55" s="2017" t="s">
        <v>459</v>
      </c>
      <c r="F55" s="2017"/>
      <c r="G55" s="2017"/>
      <c r="H55" s="2017"/>
      <c r="I55" s="587">
        <f>(SUM(G57:G63)*0.85)</f>
        <v>89.285416666666663</v>
      </c>
    </row>
    <row r="56" spans="1:9">
      <c r="A56" s="515"/>
      <c r="B56" s="588"/>
      <c r="C56" s="570"/>
      <c r="D56" s="589" t="s">
        <v>447</v>
      </c>
      <c r="E56" s="589" t="s">
        <v>448</v>
      </c>
      <c r="F56" s="589" t="s">
        <v>449</v>
      </c>
      <c r="G56" s="589" t="s">
        <v>450</v>
      </c>
      <c r="H56" s="570"/>
      <c r="I56" s="590"/>
    </row>
    <row r="57" spans="1:9">
      <c r="A57" s="515"/>
      <c r="B57" s="604" t="str">
        <f>+'[15]Core Rates'!A99</f>
        <v>Disking</v>
      </c>
      <c r="C57" s="578"/>
      <c r="D57" s="591" t="s">
        <v>408</v>
      </c>
      <c r="E57" s="592">
        <f>+'[15]Core Rates'!C99</f>
        <v>15</v>
      </c>
      <c r="F57" s="593">
        <v>2</v>
      </c>
      <c r="G57" s="594">
        <f t="shared" ref="G57:G63" si="3">+F57*E57</f>
        <v>30</v>
      </c>
      <c r="H57" s="570"/>
      <c r="I57" s="595"/>
    </row>
    <row r="58" spans="1:9">
      <c r="A58" s="515"/>
      <c r="B58" s="583" t="s">
        <v>482</v>
      </c>
      <c r="C58" s="578"/>
      <c r="D58" s="591" t="s">
        <v>408</v>
      </c>
      <c r="E58" s="592">
        <f>+'[15]Core Rates'!C144</f>
        <v>10.5</v>
      </c>
      <c r="F58" s="593">
        <v>1</v>
      </c>
      <c r="G58" s="594">
        <f t="shared" si="3"/>
        <v>10.5</v>
      </c>
      <c r="H58" s="570"/>
      <c r="I58" s="595"/>
    </row>
    <row r="59" spans="1:9">
      <c r="A59" s="515"/>
      <c r="B59" s="583" t="s">
        <v>461</v>
      </c>
      <c r="C59" s="578"/>
      <c r="D59" s="591" t="s">
        <v>408</v>
      </c>
      <c r="E59" s="592">
        <f>+'[15]Core Rates'!C104</f>
        <v>20</v>
      </c>
      <c r="F59" s="593">
        <v>1</v>
      </c>
      <c r="G59" s="594">
        <f t="shared" si="3"/>
        <v>20</v>
      </c>
      <c r="H59" s="570"/>
      <c r="I59" s="595"/>
    </row>
    <row r="60" spans="1:9">
      <c r="A60" s="515"/>
      <c r="B60" s="604" t="str">
        <f>+'[15]Core Rates'!A216</f>
        <v>Mowing</v>
      </c>
      <c r="C60" s="578"/>
      <c r="D60" s="605" t="s">
        <v>408</v>
      </c>
      <c r="E60" s="605">
        <f>+'[15]Core Rates'!C216</f>
        <v>15.5</v>
      </c>
      <c r="F60" s="593">
        <v>1</v>
      </c>
      <c r="G60" s="594">
        <f t="shared" si="3"/>
        <v>15.5</v>
      </c>
      <c r="H60" s="570"/>
      <c r="I60" s="595"/>
    </row>
    <row r="61" spans="1:9">
      <c r="A61" s="515"/>
      <c r="B61" s="583" t="s">
        <v>462</v>
      </c>
      <c r="C61" s="578"/>
      <c r="D61" s="591" t="s">
        <v>408</v>
      </c>
      <c r="E61" s="592">
        <f>+'[15]Core Rates'!AN33</f>
        <v>5.416666666666667</v>
      </c>
      <c r="F61" s="593">
        <v>1</v>
      </c>
      <c r="G61" s="594">
        <f t="shared" si="3"/>
        <v>5.416666666666667</v>
      </c>
      <c r="H61" s="570"/>
      <c r="I61" s="595"/>
    </row>
    <row r="62" spans="1:9">
      <c r="A62" s="515"/>
      <c r="B62" s="583" t="s">
        <v>463</v>
      </c>
      <c r="C62" s="578"/>
      <c r="D62" s="591" t="s">
        <v>452</v>
      </c>
      <c r="E62" s="592">
        <f>+'[15]Core Rates'!AN34</f>
        <v>5.5</v>
      </c>
      <c r="F62" s="593">
        <v>2</v>
      </c>
      <c r="G62" s="594">
        <f t="shared" si="3"/>
        <v>11</v>
      </c>
      <c r="H62" s="570"/>
      <c r="I62" s="595"/>
    </row>
    <row r="63" spans="1:9">
      <c r="A63" s="515"/>
      <c r="B63" s="583" t="s">
        <v>464</v>
      </c>
      <c r="C63" s="578"/>
      <c r="D63" s="591" t="s">
        <v>452</v>
      </c>
      <c r="E63" s="592">
        <f>+'[15]Core Rates'!AN32</f>
        <v>6.3125</v>
      </c>
      <c r="F63" s="593">
        <v>2</v>
      </c>
      <c r="G63" s="594">
        <f t="shared" si="3"/>
        <v>12.625</v>
      </c>
      <c r="H63" s="570"/>
      <c r="I63" s="595"/>
    </row>
    <row r="64" spans="1:9">
      <c r="A64" s="515"/>
      <c r="B64" s="583"/>
      <c r="C64" s="578"/>
      <c r="D64" s="606"/>
      <c r="E64" s="607"/>
      <c r="F64" s="607"/>
      <c r="G64" s="592"/>
      <c r="H64" s="570"/>
      <c r="I64" s="595"/>
    </row>
    <row r="65" spans="1:9">
      <c r="A65" s="515"/>
      <c r="B65" s="574" t="s">
        <v>43</v>
      </c>
      <c r="C65" s="570"/>
      <c r="D65" s="570"/>
      <c r="E65" s="608"/>
      <c r="F65" s="608"/>
      <c r="G65" s="608"/>
      <c r="H65" s="570"/>
      <c r="I65" s="590"/>
    </row>
    <row r="66" spans="1:9" ht="12.75" customHeight="1">
      <c r="A66" s="515"/>
      <c r="B66" s="2018" t="s">
        <v>457</v>
      </c>
      <c r="C66" s="2019"/>
      <c r="D66" s="2019"/>
      <c r="E66" s="2019"/>
      <c r="F66" s="2019"/>
      <c r="G66" s="2019"/>
      <c r="H66" s="2019"/>
      <c r="I66" s="2020"/>
    </row>
    <row r="67" spans="1:9">
      <c r="A67" s="515"/>
      <c r="B67" s="2018"/>
      <c r="C67" s="2019"/>
      <c r="D67" s="2019"/>
      <c r="E67" s="2019"/>
      <c r="F67" s="2019"/>
      <c r="G67" s="2019"/>
      <c r="H67" s="2019"/>
      <c r="I67" s="2020"/>
    </row>
    <row r="68" spans="1:9">
      <c r="A68" s="515"/>
      <c r="B68" s="609"/>
      <c r="C68" s="610"/>
      <c r="D68" s="610"/>
      <c r="E68" s="610"/>
      <c r="F68" s="610"/>
      <c r="G68" s="610"/>
      <c r="H68" s="610"/>
      <c r="I68" s="611"/>
    </row>
    <row r="69" spans="1:9">
      <c r="A69" s="515"/>
      <c r="B69" s="609"/>
      <c r="C69" s="610"/>
      <c r="D69" s="610"/>
      <c r="E69" s="610"/>
      <c r="F69" s="610"/>
      <c r="G69" s="610"/>
      <c r="H69" s="610"/>
      <c r="I69" s="611"/>
    </row>
    <row r="70" spans="1:9">
      <c r="A70" s="515"/>
      <c r="B70" s="586" t="s">
        <v>3</v>
      </c>
      <c r="C70" s="570"/>
      <c r="D70" s="570"/>
      <c r="E70" s="570"/>
      <c r="F70" s="577"/>
      <c r="G70" s="570"/>
      <c r="H70" s="570"/>
      <c r="I70" s="612">
        <f>E72</f>
        <v>15.75625</v>
      </c>
    </row>
    <row r="71" spans="1:9">
      <c r="A71" s="515"/>
      <c r="B71" s="2021" t="s">
        <v>465</v>
      </c>
      <c r="C71" s="2022"/>
      <c r="D71" s="570"/>
      <c r="E71" s="570"/>
      <c r="F71" s="570"/>
      <c r="G71" s="570"/>
      <c r="H71" s="570"/>
      <c r="I71" s="613"/>
    </row>
    <row r="72" spans="1:9">
      <c r="A72" s="515"/>
      <c r="B72" s="574" t="s">
        <v>466</v>
      </c>
      <c r="C72" s="577"/>
      <c r="D72" s="577"/>
      <c r="E72" s="614">
        <f>SUM(G57:G63)*0.15</f>
        <v>15.75625</v>
      </c>
      <c r="F72" s="570"/>
      <c r="G72" s="570"/>
      <c r="H72" s="570"/>
      <c r="I72" s="590"/>
    </row>
    <row r="73" spans="1:9">
      <c r="A73" s="515"/>
      <c r="B73" s="574"/>
      <c r="C73" s="577"/>
      <c r="D73" s="615"/>
      <c r="E73" s="614"/>
      <c r="F73" s="570"/>
      <c r="G73" s="570"/>
      <c r="H73" s="570"/>
      <c r="I73" s="590"/>
    </row>
    <row r="74" spans="1:9">
      <c r="A74" s="515"/>
      <c r="B74" s="574"/>
      <c r="C74" s="577"/>
      <c r="D74" s="616"/>
      <c r="E74" s="614"/>
      <c r="F74" s="570"/>
      <c r="G74" s="570"/>
      <c r="H74" s="570"/>
      <c r="I74" s="590"/>
    </row>
    <row r="75" spans="1:9">
      <c r="A75" s="515"/>
      <c r="B75" s="575"/>
      <c r="C75" s="570"/>
      <c r="D75" s="570"/>
      <c r="E75" s="570"/>
      <c r="F75" s="570"/>
      <c r="G75" s="570"/>
      <c r="H75" s="570"/>
      <c r="I75" s="571"/>
    </row>
    <row r="76" spans="1:9">
      <c r="A76" s="515"/>
      <c r="B76" s="586" t="s">
        <v>4</v>
      </c>
      <c r="C76" s="570"/>
      <c r="D76" s="570"/>
      <c r="E76" s="570"/>
      <c r="F76" s="570"/>
      <c r="G76" s="570"/>
      <c r="H76" s="570"/>
      <c r="I76" s="612">
        <f>0.03*(I40+I55+I70)</f>
        <v>8.5434748752672842</v>
      </c>
    </row>
    <row r="77" spans="1:9">
      <c r="A77" s="515"/>
      <c r="B77" s="575" t="s">
        <v>467</v>
      </c>
      <c r="C77" s="570"/>
      <c r="D77" s="570"/>
      <c r="E77" s="570"/>
      <c r="F77" s="570"/>
      <c r="G77" s="570"/>
      <c r="H77" s="570"/>
      <c r="I77" s="571"/>
    </row>
    <row r="78" spans="1:9">
      <c r="A78" s="515"/>
      <c r="B78" s="574"/>
      <c r="C78" s="570"/>
      <c r="D78" s="570"/>
      <c r="E78" s="570"/>
      <c r="F78" s="570"/>
      <c r="G78" s="570"/>
      <c r="H78" s="570"/>
      <c r="I78" s="571"/>
    </row>
    <row r="79" spans="1:9">
      <c r="A79" s="515"/>
      <c r="B79" s="586" t="s">
        <v>468</v>
      </c>
      <c r="C79" s="570"/>
      <c r="D79" s="570"/>
      <c r="E79" s="570"/>
      <c r="F79" s="570"/>
      <c r="G79" s="570"/>
      <c r="H79" s="570"/>
      <c r="I79" s="612">
        <f>+'[15]Core Rates'!C216</f>
        <v>15.5</v>
      </c>
    </row>
    <row r="80" spans="1:9">
      <c r="A80" s="515"/>
      <c r="B80" s="575" t="s">
        <v>469</v>
      </c>
      <c r="C80" s="570"/>
      <c r="D80" s="570"/>
      <c r="E80" s="570"/>
      <c r="F80" s="570"/>
      <c r="G80" s="570"/>
      <c r="H80" s="570"/>
      <c r="I80" s="571"/>
    </row>
    <row r="81" spans="1:9">
      <c r="A81" s="515"/>
      <c r="B81" s="574"/>
      <c r="C81" s="570"/>
      <c r="D81" s="570"/>
      <c r="E81" s="570"/>
      <c r="F81" s="570"/>
      <c r="G81" s="570"/>
      <c r="H81" s="570"/>
      <c r="I81" s="571"/>
    </row>
    <row r="82" spans="1:9">
      <c r="A82" s="515"/>
      <c r="B82" s="586" t="s">
        <v>7</v>
      </c>
      <c r="C82" s="570"/>
      <c r="D82" s="570"/>
      <c r="E82" s="570"/>
      <c r="F82" s="570"/>
      <c r="G82" s="570"/>
      <c r="H82" s="570"/>
      <c r="I82" s="587">
        <v>0</v>
      </c>
    </row>
    <row r="83" spans="1:9">
      <c r="A83" s="515"/>
      <c r="B83" s="575" t="s">
        <v>470</v>
      </c>
      <c r="C83" s="570"/>
      <c r="D83" s="570"/>
      <c r="E83" s="570"/>
      <c r="F83" s="570"/>
      <c r="G83" s="570"/>
      <c r="H83" s="570"/>
      <c r="I83" s="571"/>
    </row>
    <row r="84" spans="1:9">
      <c r="A84" s="515"/>
      <c r="B84" s="574"/>
      <c r="C84" s="570"/>
      <c r="D84" s="570"/>
      <c r="E84" s="570"/>
      <c r="F84" s="570"/>
      <c r="G84" s="570"/>
      <c r="H84" s="570"/>
      <c r="I84" s="571"/>
    </row>
    <row r="85" spans="1:9">
      <c r="A85" s="515"/>
      <c r="B85" s="586" t="s">
        <v>471</v>
      </c>
      <c r="C85" s="570"/>
      <c r="D85" s="570"/>
      <c r="E85" s="570"/>
      <c r="F85" s="577"/>
      <c r="G85" s="570"/>
      <c r="H85" s="570"/>
      <c r="I85" s="587">
        <f>E87*3</f>
        <v>180</v>
      </c>
    </row>
    <row r="86" spans="1:9">
      <c r="A86" s="515"/>
      <c r="B86" s="617" t="s">
        <v>472</v>
      </c>
      <c r="C86" s="570"/>
      <c r="D86" s="570"/>
      <c r="E86" s="570"/>
      <c r="F86" s="570"/>
      <c r="G86" s="570"/>
      <c r="H86" s="570"/>
      <c r="I86" s="595"/>
    </row>
    <row r="87" spans="1:9">
      <c r="A87" s="515"/>
      <c r="B87" s="617"/>
      <c r="C87" s="570"/>
      <c r="D87" s="570"/>
      <c r="E87" s="570">
        <v>60</v>
      </c>
      <c r="F87" s="570"/>
      <c r="G87" s="570"/>
      <c r="H87" s="570"/>
      <c r="I87" s="595"/>
    </row>
    <row r="88" spans="1:9">
      <c r="A88" s="515"/>
      <c r="B88" s="574"/>
      <c r="C88" s="570"/>
      <c r="D88" s="570"/>
      <c r="E88" s="570"/>
      <c r="F88" s="570"/>
      <c r="G88" s="570"/>
      <c r="H88" s="570"/>
      <c r="I88" s="571"/>
    </row>
    <row r="89" spans="1:9">
      <c r="A89" s="515"/>
      <c r="B89" s="586" t="s">
        <v>5</v>
      </c>
      <c r="C89" s="570"/>
      <c r="D89" s="570"/>
      <c r="E89" s="570"/>
      <c r="F89" s="570"/>
      <c r="G89" s="570"/>
      <c r="H89" s="570"/>
      <c r="I89" s="587">
        <v>0</v>
      </c>
    </row>
    <row r="90" spans="1:9">
      <c r="A90" s="515"/>
      <c r="B90" s="575" t="s">
        <v>104</v>
      </c>
      <c r="C90" s="570"/>
      <c r="D90" s="570"/>
      <c r="E90" s="570"/>
      <c r="F90" s="570"/>
      <c r="G90" s="570"/>
      <c r="H90" s="570"/>
      <c r="I90" s="595"/>
    </row>
    <row r="91" spans="1:9">
      <c r="A91" s="515"/>
      <c r="B91" s="574"/>
      <c r="C91" s="570"/>
      <c r="D91" s="570"/>
      <c r="E91" s="570"/>
      <c r="F91" s="570"/>
      <c r="G91" s="570"/>
      <c r="H91" s="570"/>
      <c r="I91" s="571"/>
    </row>
    <row r="92" spans="1:9">
      <c r="A92" s="515"/>
      <c r="B92" s="586" t="s">
        <v>20</v>
      </c>
      <c r="C92" s="570"/>
      <c r="D92" s="570"/>
      <c r="E92" s="570"/>
      <c r="F92" s="570"/>
      <c r="G92" s="570"/>
      <c r="H92" s="570"/>
      <c r="I92" s="587">
        <v>0</v>
      </c>
    </row>
    <row r="93" spans="1:9">
      <c r="A93" s="515"/>
      <c r="B93" s="575" t="s">
        <v>104</v>
      </c>
      <c r="C93" s="570"/>
      <c r="D93" s="570"/>
      <c r="E93" s="570"/>
      <c r="F93" s="570"/>
      <c r="G93" s="570"/>
      <c r="H93" s="570"/>
      <c r="I93" s="571"/>
    </row>
    <row r="94" spans="1:9">
      <c r="A94" s="515"/>
      <c r="B94" s="583"/>
      <c r="C94" s="570"/>
      <c r="D94" s="570"/>
      <c r="E94" s="570"/>
      <c r="F94" s="570"/>
      <c r="G94" s="570"/>
      <c r="H94" s="570"/>
      <c r="I94" s="571"/>
    </row>
    <row r="95" spans="1:9">
      <c r="A95" s="515"/>
      <c r="B95" s="586" t="s">
        <v>473</v>
      </c>
      <c r="C95" s="570"/>
      <c r="D95" s="570"/>
      <c r="E95" s="570"/>
      <c r="F95" s="570"/>
      <c r="G95" s="570"/>
      <c r="H95" s="570"/>
      <c r="I95" s="618">
        <f>+I40+I55+I70+I76+I82+I92</f>
        <v>293.32597071751013</v>
      </c>
    </row>
    <row r="96" spans="1:9" ht="15.75">
      <c r="A96" s="515"/>
      <c r="B96" s="575" t="s">
        <v>474</v>
      </c>
      <c r="C96" s="570"/>
      <c r="D96" s="570"/>
      <c r="E96" s="570"/>
      <c r="F96" s="570"/>
      <c r="G96" s="570"/>
      <c r="H96" s="570"/>
      <c r="I96" s="571"/>
    </row>
    <row r="97" spans="1:9">
      <c r="A97" s="515"/>
      <c r="B97" s="583"/>
      <c r="C97" s="570"/>
      <c r="D97" s="570"/>
      <c r="E97" s="570"/>
      <c r="F97" s="570"/>
      <c r="G97" s="570"/>
      <c r="H97" s="570"/>
      <c r="I97" s="571"/>
    </row>
    <row r="98" spans="1:9">
      <c r="A98" s="515"/>
      <c r="B98" s="619" t="s">
        <v>11</v>
      </c>
      <c r="C98" s="620"/>
      <c r="D98" s="620"/>
      <c r="E98" s="620"/>
      <c r="F98" s="620"/>
      <c r="G98" s="620"/>
      <c r="H98" s="620"/>
      <c r="I98" s="621">
        <f>SUM(I40:I92)</f>
        <v>488.82597071751013</v>
      </c>
    </row>
  </sheetData>
  <mergeCells count="4">
    <mergeCell ref="B1:D1"/>
    <mergeCell ref="E55:H55"/>
    <mergeCell ref="B66:I67"/>
    <mergeCell ref="B71:C71"/>
  </mergeCells>
  <pageMargins left="0.75" right="0.75" top="1" bottom="1" header="0.5" footer="0.5"/>
  <pageSetup scale="51" orientation="portrait" r:id="rId1"/>
  <headerFooter alignWithMargins="0"/>
</worksheet>
</file>

<file path=xl/worksheets/sheet66.xml><?xml version="1.0" encoding="utf-8"?>
<worksheet xmlns="http://schemas.openxmlformats.org/spreadsheetml/2006/main" xmlns:r="http://schemas.openxmlformats.org/officeDocument/2006/relationships">
  <sheetPr>
    <pageSetUpPr fitToPage="1"/>
  </sheetPr>
  <dimension ref="A1:L97"/>
  <sheetViews>
    <sheetView zoomScale="75" zoomScaleNormal="75" workbookViewId="0">
      <selection activeCell="B6" sqref="B6:D9"/>
    </sheetView>
  </sheetViews>
  <sheetFormatPr defaultRowHeight="12.75"/>
  <cols>
    <col min="1" max="1" width="1.85546875" style="517" customWidth="1"/>
    <col min="2" max="2" width="9.140625" style="517"/>
    <col min="3" max="3" width="24.140625" style="517" customWidth="1"/>
    <col min="4" max="4" width="23.140625" style="517" customWidth="1"/>
    <col min="5" max="5" width="42.7109375" style="517" customWidth="1"/>
    <col min="6" max="6" width="10.42578125" style="517" customWidth="1"/>
    <col min="7"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c r="A3" s="515"/>
      <c r="B3" s="519" t="s">
        <v>17</v>
      </c>
      <c r="C3" s="515"/>
      <c r="D3" s="515"/>
      <c r="E3" s="515"/>
      <c r="F3" s="515"/>
      <c r="G3" s="515"/>
      <c r="H3" s="515"/>
      <c r="I3" s="515"/>
    </row>
    <row r="4" spans="1:12">
      <c r="A4" s="515"/>
      <c r="B4" s="520" t="s">
        <v>1</v>
      </c>
      <c r="C4" s="521" t="s">
        <v>21</v>
      </c>
      <c r="D4" s="522"/>
      <c r="E4" s="522"/>
      <c r="F4" s="522"/>
      <c r="G4" s="523" t="s">
        <v>12</v>
      </c>
    </row>
    <row r="5" spans="1:12">
      <c r="A5" s="515"/>
      <c r="B5" s="524" t="s">
        <v>13</v>
      </c>
      <c r="C5" s="525" t="s">
        <v>22</v>
      </c>
      <c r="D5" s="525" t="s">
        <v>29</v>
      </c>
      <c r="E5" s="525" t="s">
        <v>30</v>
      </c>
      <c r="F5" s="525" t="s">
        <v>23</v>
      </c>
      <c r="G5" s="526" t="s">
        <v>14</v>
      </c>
    </row>
    <row r="6" spans="1:12">
      <c r="A6" s="515"/>
      <c r="B6" s="631">
        <v>327</v>
      </c>
      <c r="C6" s="531" t="str">
        <f>+E12</f>
        <v>EQIP</v>
      </c>
      <c r="D6" s="632" t="s">
        <v>483</v>
      </c>
      <c r="E6" s="622" t="s">
        <v>484</v>
      </c>
      <c r="F6" s="531" t="s">
        <v>394</v>
      </c>
      <c r="G6" s="532">
        <f>+I25</f>
        <v>245.10072803813259</v>
      </c>
    </row>
    <row r="7" spans="1:12">
      <c r="A7" s="515"/>
      <c r="B7" s="631">
        <f>+B6</f>
        <v>327</v>
      </c>
      <c r="C7" s="531" t="str">
        <f>+C6</f>
        <v>EQIP</v>
      </c>
      <c r="D7" s="632" t="s">
        <v>483</v>
      </c>
      <c r="E7" s="622" t="str">
        <f>CONCATENATE(E6, "-HU")</f>
        <v>Introduced Grasses - No Till-HU</v>
      </c>
      <c r="F7" s="531" t="str">
        <f>+F6</f>
        <v>Acre</v>
      </c>
      <c r="G7" s="532">
        <f>+J25</f>
        <v>294.1208736457591</v>
      </c>
    </row>
    <row r="8" spans="1:12">
      <c r="A8" s="515"/>
      <c r="B8" s="631">
        <v>327</v>
      </c>
      <c r="C8" s="531" t="str">
        <f>+G12</f>
        <v>WHIP</v>
      </c>
      <c r="D8" s="632" t="s">
        <v>483</v>
      </c>
      <c r="E8" s="622" t="s">
        <v>484</v>
      </c>
      <c r="F8" s="531" t="s">
        <v>394</v>
      </c>
      <c r="G8" s="532">
        <f>+K25</f>
        <v>245.10072803813259</v>
      </c>
    </row>
    <row r="9" spans="1:12">
      <c r="A9" s="515"/>
      <c r="B9" s="633">
        <f>+B8</f>
        <v>327</v>
      </c>
      <c r="C9" s="536" t="str">
        <f>+C8</f>
        <v>WHIP</v>
      </c>
      <c r="D9" s="632" t="s">
        <v>483</v>
      </c>
      <c r="E9" s="623" t="str">
        <f>CONCATENATE(E6, "-HU")</f>
        <v>Introduced Grasses - No Till-HU</v>
      </c>
      <c r="F9" s="536" t="str">
        <f>+F8</f>
        <v>Acre</v>
      </c>
      <c r="G9" s="537">
        <f>+L25</f>
        <v>294.1208736457591</v>
      </c>
    </row>
    <row r="10" spans="1:12">
      <c r="A10" s="515"/>
      <c r="B10" s="538"/>
      <c r="C10" s="539"/>
      <c r="D10" s="539"/>
      <c r="E10" s="515"/>
      <c r="F10" s="515"/>
    </row>
    <row r="11" spans="1:12" ht="15.75">
      <c r="A11" s="515"/>
      <c r="B11" s="519" t="s">
        <v>18</v>
      </c>
      <c r="C11" s="539"/>
      <c r="D11" s="539"/>
      <c r="E11" s="515"/>
      <c r="F11" s="515"/>
    </row>
    <row r="12" spans="1:12">
      <c r="A12" s="515"/>
      <c r="B12" s="540"/>
      <c r="C12" s="541"/>
      <c r="D12" s="542"/>
      <c r="E12" s="543" t="s">
        <v>15</v>
      </c>
      <c r="F12" s="543" t="s">
        <v>31</v>
      </c>
      <c r="G12" s="543" t="s">
        <v>86</v>
      </c>
      <c r="H12" s="543" t="s">
        <v>441</v>
      </c>
      <c r="I12" s="543"/>
      <c r="J12" s="543"/>
      <c r="K12" s="543"/>
      <c r="L12" s="624"/>
    </row>
    <row r="13" spans="1:12">
      <c r="A13" s="515"/>
      <c r="B13" s="544"/>
      <c r="C13" s="545"/>
      <c r="D13" s="546"/>
      <c r="E13" s="547" t="s">
        <v>22</v>
      </c>
      <c r="F13" s="547" t="s">
        <v>22</v>
      </c>
      <c r="G13" s="547" t="s">
        <v>22</v>
      </c>
      <c r="H13" s="547" t="s">
        <v>22</v>
      </c>
      <c r="I13" s="547" t="s">
        <v>15</v>
      </c>
      <c r="J13" s="547" t="s">
        <v>31</v>
      </c>
      <c r="K13" s="547" t="s">
        <v>86</v>
      </c>
      <c r="L13" s="625" t="s">
        <v>441</v>
      </c>
    </row>
    <row r="14" spans="1:12">
      <c r="A14" s="515"/>
      <c r="B14" s="548"/>
      <c r="C14" s="546"/>
      <c r="D14" s="546"/>
      <c r="E14" s="547" t="s">
        <v>12</v>
      </c>
      <c r="F14" s="547" t="s">
        <v>12</v>
      </c>
      <c r="G14" s="547" t="s">
        <v>12</v>
      </c>
      <c r="H14" s="547" t="s">
        <v>12</v>
      </c>
      <c r="I14" s="547" t="s">
        <v>12</v>
      </c>
      <c r="J14" s="547" t="s">
        <v>12</v>
      </c>
      <c r="K14" s="547" t="s">
        <v>12</v>
      </c>
      <c r="L14" s="625" t="s">
        <v>12</v>
      </c>
    </row>
    <row r="15" spans="1:12">
      <c r="A15" s="515"/>
      <c r="B15" s="549" t="s">
        <v>16</v>
      </c>
      <c r="C15" s="546"/>
      <c r="D15" s="550" t="s">
        <v>6</v>
      </c>
      <c r="E15" s="551" t="s">
        <v>24</v>
      </c>
      <c r="F15" s="551" t="s">
        <v>24</v>
      </c>
      <c r="G15" s="551" t="s">
        <v>24</v>
      </c>
      <c r="H15" s="551" t="s">
        <v>24</v>
      </c>
      <c r="I15" s="551" t="s">
        <v>14</v>
      </c>
      <c r="J15" s="551" t="s">
        <v>14</v>
      </c>
      <c r="K15" s="551" t="s">
        <v>14</v>
      </c>
      <c r="L15" s="626" t="s">
        <v>14</v>
      </c>
    </row>
    <row r="16" spans="1:12">
      <c r="A16" s="515"/>
      <c r="B16" s="544" t="s">
        <v>0</v>
      </c>
      <c r="C16" s="546"/>
      <c r="D16" s="552">
        <f>+I40</f>
        <v>179.74082917557618</v>
      </c>
      <c r="E16" s="553">
        <f>+'[10]Payment Factors'!D14</f>
        <v>0.75</v>
      </c>
      <c r="F16" s="553">
        <f>+'[10]Payment Factors'!E14</f>
        <v>0.9</v>
      </c>
      <c r="G16" s="553">
        <f>+'[10]Payment Factors'!F14</f>
        <v>0.75</v>
      </c>
      <c r="H16" s="553">
        <f>+'[10]Payment Factors'!G14</f>
        <v>0.9</v>
      </c>
      <c r="I16" s="554">
        <f t="shared" ref="I16:L24" si="0">+$D16*E16</f>
        <v>134.80562188168213</v>
      </c>
      <c r="J16" s="554">
        <f t="shared" si="0"/>
        <v>161.76674625801857</v>
      </c>
      <c r="K16" s="554">
        <f t="shared" si="0"/>
        <v>134.80562188168213</v>
      </c>
      <c r="L16" s="627">
        <f t="shared" si="0"/>
        <v>161.76674625801857</v>
      </c>
    </row>
    <row r="17" spans="1:12">
      <c r="A17" s="515"/>
      <c r="B17" s="544" t="s">
        <v>2</v>
      </c>
      <c r="C17" s="546"/>
      <c r="D17" s="552">
        <f>+I55</f>
        <v>116.91041666666668</v>
      </c>
      <c r="E17" s="553">
        <f t="shared" ref="E17:H19" si="1">+E16</f>
        <v>0.75</v>
      </c>
      <c r="F17" s="553">
        <f t="shared" si="1"/>
        <v>0.9</v>
      </c>
      <c r="G17" s="553">
        <f t="shared" si="1"/>
        <v>0.75</v>
      </c>
      <c r="H17" s="553">
        <f t="shared" si="1"/>
        <v>0.9</v>
      </c>
      <c r="I17" s="554">
        <f t="shared" si="0"/>
        <v>87.682812500000011</v>
      </c>
      <c r="J17" s="554">
        <f t="shared" si="0"/>
        <v>105.21937500000001</v>
      </c>
      <c r="K17" s="554">
        <f t="shared" si="0"/>
        <v>87.682812500000011</v>
      </c>
      <c r="L17" s="627">
        <f t="shared" si="0"/>
        <v>105.21937500000001</v>
      </c>
    </row>
    <row r="18" spans="1:12">
      <c r="A18" s="515"/>
      <c r="B18" s="544" t="s">
        <v>3</v>
      </c>
      <c r="C18" s="546"/>
      <c r="D18" s="552">
        <f>+I69</f>
        <v>20.631250000000001</v>
      </c>
      <c r="E18" s="553">
        <f t="shared" si="1"/>
        <v>0.75</v>
      </c>
      <c r="F18" s="553">
        <f t="shared" si="1"/>
        <v>0.9</v>
      </c>
      <c r="G18" s="553">
        <f t="shared" si="1"/>
        <v>0.75</v>
      </c>
      <c r="H18" s="553">
        <f t="shared" si="1"/>
        <v>0.9</v>
      </c>
      <c r="I18" s="554">
        <f t="shared" si="0"/>
        <v>15.473437500000001</v>
      </c>
      <c r="J18" s="554">
        <f t="shared" si="0"/>
        <v>18.568125000000002</v>
      </c>
      <c r="K18" s="554">
        <f t="shared" si="0"/>
        <v>15.473437500000001</v>
      </c>
      <c r="L18" s="627">
        <f t="shared" si="0"/>
        <v>18.568125000000002</v>
      </c>
    </row>
    <row r="19" spans="1:12">
      <c r="A19" s="515"/>
      <c r="B19" s="544" t="s">
        <v>4</v>
      </c>
      <c r="C19" s="546"/>
      <c r="D19" s="552">
        <f>+I75</f>
        <v>9.5184748752672856</v>
      </c>
      <c r="E19" s="553">
        <f t="shared" si="1"/>
        <v>0.75</v>
      </c>
      <c r="F19" s="553">
        <f t="shared" si="1"/>
        <v>0.9</v>
      </c>
      <c r="G19" s="553">
        <f t="shared" si="1"/>
        <v>0.75</v>
      </c>
      <c r="H19" s="553">
        <f t="shared" si="1"/>
        <v>0.9</v>
      </c>
      <c r="I19" s="554">
        <f t="shared" si="0"/>
        <v>7.1388561564504638</v>
      </c>
      <c r="J19" s="554">
        <f t="shared" si="0"/>
        <v>8.5666273877405565</v>
      </c>
      <c r="K19" s="554">
        <f t="shared" si="0"/>
        <v>7.1388561564504638</v>
      </c>
      <c r="L19" s="627">
        <f t="shared" si="0"/>
        <v>8.5666273877405565</v>
      </c>
    </row>
    <row r="20" spans="1:12">
      <c r="A20" s="515"/>
      <c r="B20" s="544" t="s">
        <v>26</v>
      </c>
      <c r="C20" s="546"/>
      <c r="D20" s="552">
        <f>+I78</f>
        <v>15.5</v>
      </c>
      <c r="E20" s="553">
        <v>0</v>
      </c>
      <c r="F20" s="553">
        <v>0</v>
      </c>
      <c r="G20" s="553">
        <v>0</v>
      </c>
      <c r="H20" s="553">
        <v>0</v>
      </c>
      <c r="I20" s="554">
        <f t="shared" si="0"/>
        <v>0</v>
      </c>
      <c r="J20" s="554">
        <f t="shared" si="0"/>
        <v>0</v>
      </c>
      <c r="K20" s="554">
        <f t="shared" si="0"/>
        <v>0</v>
      </c>
      <c r="L20" s="627">
        <f t="shared" si="0"/>
        <v>0</v>
      </c>
    </row>
    <row r="21" spans="1:12">
      <c r="A21" s="515"/>
      <c r="B21" s="544" t="s">
        <v>7</v>
      </c>
      <c r="C21" s="546"/>
      <c r="D21" s="552">
        <f>+I81</f>
        <v>0</v>
      </c>
      <c r="E21" s="553">
        <v>0</v>
      </c>
      <c r="F21" s="553">
        <v>0</v>
      </c>
      <c r="G21" s="553">
        <v>0</v>
      </c>
      <c r="H21" s="553">
        <v>0</v>
      </c>
      <c r="I21" s="554">
        <f t="shared" si="0"/>
        <v>0</v>
      </c>
      <c r="J21" s="554">
        <f t="shared" si="0"/>
        <v>0</v>
      </c>
      <c r="K21" s="554">
        <f t="shared" si="0"/>
        <v>0</v>
      </c>
      <c r="L21" s="627">
        <f t="shared" si="0"/>
        <v>0</v>
      </c>
    </row>
    <row r="22" spans="1:12">
      <c r="A22" s="515"/>
      <c r="B22" s="544" t="s">
        <v>27</v>
      </c>
      <c r="C22" s="546"/>
      <c r="D22" s="552">
        <f>+I84</f>
        <v>180</v>
      </c>
      <c r="E22" s="553">
        <v>0</v>
      </c>
      <c r="F22" s="553">
        <v>0</v>
      </c>
      <c r="G22" s="553">
        <v>0</v>
      </c>
      <c r="H22" s="553">
        <v>0</v>
      </c>
      <c r="I22" s="554">
        <f t="shared" si="0"/>
        <v>0</v>
      </c>
      <c r="J22" s="554">
        <f t="shared" si="0"/>
        <v>0</v>
      </c>
      <c r="K22" s="554">
        <f t="shared" si="0"/>
        <v>0</v>
      </c>
      <c r="L22" s="627">
        <f t="shared" si="0"/>
        <v>0</v>
      </c>
    </row>
    <row r="23" spans="1:12">
      <c r="A23" s="515"/>
      <c r="B23" s="544" t="s">
        <v>5</v>
      </c>
      <c r="C23" s="546"/>
      <c r="D23" s="552">
        <f>+I88</f>
        <v>0</v>
      </c>
      <c r="E23" s="553">
        <v>0</v>
      </c>
      <c r="F23" s="553">
        <v>0</v>
      </c>
      <c r="G23" s="553">
        <v>0</v>
      </c>
      <c r="H23" s="553">
        <v>0</v>
      </c>
      <c r="I23" s="554">
        <f t="shared" si="0"/>
        <v>0</v>
      </c>
      <c r="J23" s="554">
        <f t="shared" si="0"/>
        <v>0</v>
      </c>
      <c r="K23" s="554">
        <f t="shared" si="0"/>
        <v>0</v>
      </c>
      <c r="L23" s="627">
        <f t="shared" si="0"/>
        <v>0</v>
      </c>
    </row>
    <row r="24" spans="1:12">
      <c r="A24" s="515"/>
      <c r="B24" s="544" t="s">
        <v>20</v>
      </c>
      <c r="C24" s="546"/>
      <c r="D24" s="555">
        <f>+I91</f>
        <v>0</v>
      </c>
      <c r="E24" s="553">
        <v>0</v>
      </c>
      <c r="F24" s="553">
        <v>0</v>
      </c>
      <c r="G24" s="553">
        <v>0</v>
      </c>
      <c r="H24" s="553">
        <v>0</v>
      </c>
      <c r="I24" s="556">
        <f t="shared" si="0"/>
        <v>0</v>
      </c>
      <c r="J24" s="556">
        <f t="shared" si="0"/>
        <v>0</v>
      </c>
      <c r="K24" s="556">
        <f t="shared" si="0"/>
        <v>0</v>
      </c>
      <c r="L24" s="628">
        <f t="shared" si="0"/>
        <v>0</v>
      </c>
    </row>
    <row r="25" spans="1:12">
      <c r="A25" s="515"/>
      <c r="B25" s="557" t="s">
        <v>19</v>
      </c>
      <c r="C25" s="558"/>
      <c r="D25" s="559">
        <f>SUM(D16:D24)</f>
        <v>522.30097071751015</v>
      </c>
      <c r="E25" s="629"/>
      <c r="F25" s="629"/>
      <c r="G25" s="560"/>
      <c r="H25" s="560"/>
      <c r="I25" s="561">
        <f>SUM(I16:I24)</f>
        <v>245.10072803813259</v>
      </c>
      <c r="J25" s="561">
        <f>SUM(J16:J24)</f>
        <v>294.1208736457591</v>
      </c>
      <c r="K25" s="561">
        <f>SUM(K16:K24)</f>
        <v>245.10072803813259</v>
      </c>
      <c r="L25" s="630">
        <f>SUM(L16:L24)</f>
        <v>294.1208736457591</v>
      </c>
    </row>
    <row r="27" spans="1:12" ht="15.75">
      <c r="A27" s="515"/>
      <c r="B27" s="562" t="s">
        <v>28</v>
      </c>
      <c r="C27" s="515"/>
      <c r="D27" s="515"/>
      <c r="E27" s="515"/>
      <c r="F27" s="515"/>
      <c r="G27" s="515"/>
      <c r="H27" s="515"/>
      <c r="I27" s="563"/>
    </row>
    <row r="28" spans="1:12">
      <c r="A28" s="515"/>
      <c r="B28" s="564" t="s">
        <v>485</v>
      </c>
      <c r="C28" s="565"/>
      <c r="D28" s="565"/>
      <c r="E28" s="566"/>
      <c r="F28" s="566"/>
      <c r="G28" s="566"/>
      <c r="H28" s="566"/>
      <c r="I28" s="567"/>
    </row>
    <row r="29" spans="1:12">
      <c r="A29" s="515"/>
      <c r="B29" s="568" t="s">
        <v>443</v>
      </c>
      <c r="C29" s="569"/>
      <c r="D29" s="569"/>
      <c r="E29" s="570"/>
      <c r="F29" s="570"/>
      <c r="G29" s="570"/>
      <c r="H29" s="570"/>
      <c r="I29" s="571"/>
    </row>
    <row r="30" spans="1:12">
      <c r="A30" s="515"/>
      <c r="B30" s="574" t="s">
        <v>477</v>
      </c>
      <c r="C30" s="569"/>
      <c r="D30" s="569"/>
      <c r="E30" s="570"/>
      <c r="F30" s="573"/>
      <c r="G30" s="570"/>
      <c r="H30" s="570"/>
      <c r="I30" s="571"/>
    </row>
    <row r="31" spans="1:12">
      <c r="A31" s="515"/>
      <c r="B31" s="568" t="s">
        <v>478</v>
      </c>
      <c r="C31" s="569"/>
      <c r="D31" s="569"/>
      <c r="E31" s="570"/>
      <c r="F31" s="570"/>
      <c r="G31" s="570"/>
      <c r="H31" s="570"/>
      <c r="I31" s="571"/>
    </row>
    <row r="32" spans="1:12">
      <c r="A32" s="515"/>
      <c r="B32" s="574" t="s">
        <v>446</v>
      </c>
      <c r="C32" s="569"/>
      <c r="D32" s="569"/>
      <c r="E32" s="570"/>
      <c r="F32" s="570"/>
      <c r="G32" s="570"/>
      <c r="H32" s="570"/>
      <c r="I32" s="571"/>
    </row>
    <row r="33" spans="1:9">
      <c r="A33" s="515"/>
      <c r="B33" s="575"/>
      <c r="C33" s="569"/>
      <c r="D33" s="569"/>
      <c r="E33" s="570"/>
      <c r="F33" s="570"/>
      <c r="G33" s="570"/>
      <c r="H33" s="570"/>
      <c r="I33" s="571"/>
    </row>
    <row r="34" spans="1:9">
      <c r="A34" s="515"/>
      <c r="B34" s="576" t="s">
        <v>25</v>
      </c>
      <c r="C34" s="569"/>
      <c r="D34" s="577" t="s">
        <v>91</v>
      </c>
      <c r="E34" s="578"/>
      <c r="F34" s="570"/>
      <c r="G34" s="570"/>
      <c r="H34" s="570"/>
      <c r="I34" s="571"/>
    </row>
    <row r="35" spans="1:9">
      <c r="A35" s="515"/>
      <c r="B35" s="574"/>
      <c r="C35" s="569"/>
      <c r="D35" s="570"/>
      <c r="E35" s="578"/>
      <c r="F35" s="570"/>
      <c r="G35" s="570"/>
      <c r="H35" s="570"/>
      <c r="I35" s="571"/>
    </row>
    <row r="36" spans="1:9">
      <c r="A36" s="515"/>
      <c r="B36" s="576" t="s">
        <v>8</v>
      </c>
      <c r="C36" s="569"/>
      <c r="D36" s="577" t="s">
        <v>394</v>
      </c>
      <c r="E36" s="578"/>
      <c r="F36" s="570"/>
      <c r="G36" s="570"/>
      <c r="H36" s="570"/>
      <c r="I36" s="571"/>
    </row>
    <row r="37" spans="1:9">
      <c r="A37" s="515"/>
      <c r="B37" s="576" t="s">
        <v>9</v>
      </c>
      <c r="C37" s="569"/>
      <c r="D37" s="579">
        <v>5</v>
      </c>
      <c r="E37" s="578"/>
      <c r="F37" s="570"/>
      <c r="G37" s="570"/>
      <c r="H37" s="570"/>
      <c r="I37" s="571"/>
    </row>
    <row r="38" spans="1:9">
      <c r="A38" s="515"/>
      <c r="B38" s="576" t="s">
        <v>10</v>
      </c>
      <c r="C38" s="570"/>
      <c r="D38" s="580"/>
      <c r="E38" s="581"/>
      <c r="F38" s="570"/>
      <c r="G38" s="570"/>
      <c r="H38" s="570"/>
      <c r="I38" s="582" t="s">
        <v>6</v>
      </c>
    </row>
    <row r="39" spans="1:9">
      <c r="A39" s="515"/>
      <c r="B39" s="583"/>
      <c r="C39" s="570"/>
      <c r="D39" s="570"/>
      <c r="E39" s="584"/>
      <c r="F39" s="570"/>
      <c r="G39" s="570"/>
      <c r="H39" s="570"/>
      <c r="I39" s="585"/>
    </row>
    <row r="40" spans="1:9">
      <c r="A40" s="515"/>
      <c r="B40" s="586" t="s">
        <v>0</v>
      </c>
      <c r="C40" s="570"/>
      <c r="D40" s="570"/>
      <c r="E40" s="570"/>
      <c r="F40" s="577"/>
      <c r="G40" s="570"/>
      <c r="H40" s="570"/>
      <c r="I40" s="587">
        <f>SUM(G42:G49)</f>
        <v>179.74082917557618</v>
      </c>
    </row>
    <row r="41" spans="1:9">
      <c r="A41" s="515"/>
      <c r="B41" s="588"/>
      <c r="C41" s="570"/>
      <c r="D41" s="589" t="s">
        <v>447</v>
      </c>
      <c r="E41" s="589" t="s">
        <v>448</v>
      </c>
      <c r="F41" s="589" t="s">
        <v>449</v>
      </c>
      <c r="G41" s="589" t="s">
        <v>450</v>
      </c>
      <c r="H41" s="570"/>
      <c r="I41" s="590"/>
    </row>
    <row r="42" spans="1:9">
      <c r="A42" s="515"/>
      <c r="B42" s="583"/>
      <c r="C42" s="578"/>
      <c r="D42" s="591"/>
      <c r="E42" s="592"/>
      <c r="F42" s="593"/>
      <c r="G42" s="594">
        <f t="shared" ref="G42:G49" si="2">+F42*E42</f>
        <v>0</v>
      </c>
      <c r="H42" s="570"/>
      <c r="I42" s="595"/>
    </row>
    <row r="43" spans="1:9">
      <c r="A43" s="515"/>
      <c r="B43" s="583" t="s">
        <v>451</v>
      </c>
      <c r="C43" s="578"/>
      <c r="D43" s="591" t="s">
        <v>452</v>
      </c>
      <c r="E43" s="592">
        <f>+'[15]Core Rates'!C203</f>
        <v>8.75</v>
      </c>
      <c r="F43" s="593">
        <v>2</v>
      </c>
      <c r="G43" s="594">
        <f t="shared" si="2"/>
        <v>17.5</v>
      </c>
      <c r="H43" s="570"/>
      <c r="I43" s="571"/>
    </row>
    <row r="44" spans="1:9">
      <c r="A44" s="515"/>
      <c r="B44" s="596" t="s">
        <v>453</v>
      </c>
      <c r="C44" s="578"/>
      <c r="D44" s="597" t="s">
        <v>454</v>
      </c>
      <c r="E44" s="592">
        <f>+'[15]Core Rates'!C228</f>
        <v>0.82427536231884069</v>
      </c>
      <c r="F44" s="593">
        <v>50</v>
      </c>
      <c r="G44" s="594">
        <f t="shared" si="2"/>
        <v>41.213768115942031</v>
      </c>
      <c r="H44" s="570"/>
      <c r="I44" s="571"/>
    </row>
    <row r="45" spans="1:9">
      <c r="A45" s="515"/>
      <c r="B45" s="598" t="s">
        <v>455</v>
      </c>
      <c r="C45" s="599"/>
      <c r="D45" s="597" t="s">
        <v>454</v>
      </c>
      <c r="E45" s="592">
        <f>+'[15]Core Rates'!C235</f>
        <v>1.1702898550724636</v>
      </c>
      <c r="F45" s="593">
        <v>50</v>
      </c>
      <c r="G45" s="594">
        <f t="shared" si="2"/>
        <v>58.51449275362318</v>
      </c>
      <c r="H45" s="570"/>
      <c r="I45" s="571"/>
    </row>
    <row r="46" spans="1:9">
      <c r="A46" s="515"/>
      <c r="B46" s="598" t="s">
        <v>456</v>
      </c>
      <c r="C46" s="599"/>
      <c r="D46" s="591" t="s">
        <v>454</v>
      </c>
      <c r="E46" s="592">
        <f>+'[15]Core Rates'!C246</f>
        <v>0.58825136612021856</v>
      </c>
      <c r="F46" s="593">
        <v>50</v>
      </c>
      <c r="G46" s="594">
        <f t="shared" si="2"/>
        <v>29.412568306010929</v>
      </c>
      <c r="H46" s="570"/>
      <c r="I46" s="571"/>
    </row>
    <row r="47" spans="1:9">
      <c r="A47" s="515"/>
      <c r="B47" s="598" t="s">
        <v>479</v>
      </c>
      <c r="C47" s="599"/>
      <c r="D47" s="597" t="s">
        <v>454</v>
      </c>
      <c r="E47" s="592">
        <f>+'[15]Core Rates 2011'!BE307</f>
        <v>1.68</v>
      </c>
      <c r="F47" s="593">
        <v>10</v>
      </c>
      <c r="G47" s="594">
        <f t="shared" si="2"/>
        <v>16.8</v>
      </c>
      <c r="H47" s="570"/>
      <c r="I47" s="571"/>
    </row>
    <row r="48" spans="1:9">
      <c r="A48" s="515"/>
      <c r="B48" s="598" t="s">
        <v>480</v>
      </c>
      <c r="C48" s="599"/>
      <c r="D48" s="597" t="s">
        <v>454</v>
      </c>
      <c r="E48" s="592">
        <f>+'[15]Core Rates 2011'!BE308</f>
        <v>1.61</v>
      </c>
      <c r="F48" s="593">
        <v>5</v>
      </c>
      <c r="G48" s="594">
        <f t="shared" si="2"/>
        <v>8.0500000000000007</v>
      </c>
      <c r="H48" s="570"/>
      <c r="I48" s="571"/>
    </row>
    <row r="49" spans="1:9">
      <c r="A49" s="515"/>
      <c r="B49" s="596" t="str">
        <f>+'[15]Core Rates'!A312</f>
        <v>Seed (Red Clover)</v>
      </c>
      <c r="C49" s="599"/>
      <c r="D49" s="597" t="s">
        <v>454</v>
      </c>
      <c r="E49" s="592">
        <f>+'[15]Core Rates 2011'!BE309</f>
        <v>2.75</v>
      </c>
      <c r="F49" s="593">
        <v>3</v>
      </c>
      <c r="G49" s="594">
        <f t="shared" si="2"/>
        <v>8.25</v>
      </c>
      <c r="H49" s="570"/>
      <c r="I49" s="571"/>
    </row>
    <row r="50" spans="1:9">
      <c r="A50" s="515"/>
      <c r="B50" s="601"/>
      <c r="C50" s="578"/>
      <c r="D50" s="602"/>
      <c r="E50" s="570"/>
      <c r="F50" s="570"/>
      <c r="G50" s="570"/>
      <c r="H50" s="570"/>
      <c r="I50" s="571"/>
    </row>
    <row r="51" spans="1:9">
      <c r="A51" s="515"/>
      <c r="B51" s="574" t="s">
        <v>43</v>
      </c>
      <c r="C51" s="578"/>
      <c r="D51" s="602"/>
      <c r="E51" s="570"/>
      <c r="F51" s="570"/>
      <c r="G51" s="570"/>
      <c r="H51" s="570"/>
      <c r="I51" s="571"/>
    </row>
    <row r="52" spans="1:9">
      <c r="A52" s="515"/>
      <c r="B52" s="583" t="s">
        <v>457</v>
      </c>
      <c r="C52" s="578"/>
      <c r="D52" s="602"/>
      <c r="E52" s="570"/>
      <c r="F52" s="570"/>
      <c r="G52" s="570"/>
      <c r="H52" s="570"/>
      <c r="I52" s="571"/>
    </row>
    <row r="53" spans="1:9">
      <c r="A53" s="515"/>
      <c r="B53" s="583" t="s">
        <v>458</v>
      </c>
      <c r="C53" s="578"/>
      <c r="D53" s="602"/>
      <c r="E53" s="603"/>
      <c r="F53" s="570"/>
      <c r="G53" s="570"/>
      <c r="H53" s="570"/>
      <c r="I53" s="571"/>
    </row>
    <row r="54" spans="1:9">
      <c r="A54" s="515"/>
      <c r="B54" s="601"/>
      <c r="C54" s="578"/>
      <c r="D54" s="602"/>
      <c r="E54" s="570"/>
      <c r="F54" s="570"/>
      <c r="G54" s="570"/>
      <c r="H54" s="570"/>
      <c r="I54" s="571"/>
    </row>
    <row r="55" spans="1:9">
      <c r="A55" s="515"/>
      <c r="B55" s="586" t="s">
        <v>2</v>
      </c>
      <c r="C55" s="570"/>
      <c r="D55" s="570"/>
      <c r="E55" s="2017" t="s">
        <v>459</v>
      </c>
      <c r="F55" s="2017"/>
      <c r="G55" s="2017"/>
      <c r="H55" s="2017"/>
      <c r="I55" s="587">
        <f>(SUM(G57:G62)*0.85)</f>
        <v>116.91041666666668</v>
      </c>
    </row>
    <row r="56" spans="1:9">
      <c r="A56" s="515"/>
      <c r="B56" s="588"/>
      <c r="C56" s="570"/>
      <c r="D56" s="589" t="s">
        <v>447</v>
      </c>
      <c r="E56" s="589" t="s">
        <v>448</v>
      </c>
      <c r="F56" s="589" t="s">
        <v>449</v>
      </c>
      <c r="G56" s="589" t="s">
        <v>450</v>
      </c>
      <c r="H56" s="570"/>
      <c r="I56" s="590"/>
    </row>
    <row r="57" spans="1:9">
      <c r="A57" s="515"/>
      <c r="B57" s="604" t="s">
        <v>460</v>
      </c>
      <c r="C57" s="578"/>
      <c r="D57" s="591" t="s">
        <v>408</v>
      </c>
      <c r="E57" s="592">
        <f>+'[15]Core Rates 2011'!BE146</f>
        <v>36.5</v>
      </c>
      <c r="F57" s="593">
        <v>2</v>
      </c>
      <c r="G57" s="594">
        <f t="shared" ref="G57:G62" si="3">+F57*E57</f>
        <v>73</v>
      </c>
      <c r="H57" s="570"/>
      <c r="I57" s="595"/>
    </row>
    <row r="58" spans="1:9">
      <c r="A58" s="515"/>
      <c r="B58" s="583" t="s">
        <v>461</v>
      </c>
      <c r="C58" s="578"/>
      <c r="D58" s="591" t="s">
        <v>408</v>
      </c>
      <c r="E58" s="592">
        <f>+'[15]Core Rates'!C104</f>
        <v>20</v>
      </c>
      <c r="F58" s="593">
        <v>1</v>
      </c>
      <c r="G58" s="594">
        <f t="shared" si="3"/>
        <v>20</v>
      </c>
      <c r="H58" s="570"/>
      <c r="I58" s="595"/>
    </row>
    <row r="59" spans="1:9">
      <c r="A59" s="515"/>
      <c r="B59" s="604" t="str">
        <f>+'[15]Core Rates'!A216</f>
        <v>Mowing</v>
      </c>
      <c r="C59" s="578"/>
      <c r="D59" s="605" t="s">
        <v>408</v>
      </c>
      <c r="E59" s="605">
        <f>+'[15]Core Rates'!C216</f>
        <v>15.5</v>
      </c>
      <c r="F59" s="593">
        <v>1</v>
      </c>
      <c r="G59" s="594">
        <f t="shared" si="3"/>
        <v>15.5</v>
      </c>
      <c r="H59" s="570"/>
      <c r="I59" s="595"/>
    </row>
    <row r="60" spans="1:9">
      <c r="A60" s="515"/>
      <c r="B60" s="583" t="s">
        <v>462</v>
      </c>
      <c r="C60" s="578"/>
      <c r="D60" s="591" t="s">
        <v>408</v>
      </c>
      <c r="E60" s="592">
        <f>+'[15]Core Rates'!AN33</f>
        <v>5.416666666666667</v>
      </c>
      <c r="F60" s="593">
        <v>1</v>
      </c>
      <c r="G60" s="594">
        <f t="shared" si="3"/>
        <v>5.416666666666667</v>
      </c>
      <c r="H60" s="570"/>
      <c r="I60" s="595"/>
    </row>
    <row r="61" spans="1:9">
      <c r="A61" s="515"/>
      <c r="B61" s="583" t="s">
        <v>463</v>
      </c>
      <c r="C61" s="578"/>
      <c r="D61" s="591" t="s">
        <v>452</v>
      </c>
      <c r="E61" s="592">
        <f>+'[15]Core Rates'!AN34</f>
        <v>5.5</v>
      </c>
      <c r="F61" s="593">
        <v>2</v>
      </c>
      <c r="G61" s="594">
        <f t="shared" si="3"/>
        <v>11</v>
      </c>
      <c r="H61" s="570"/>
      <c r="I61" s="595"/>
    </row>
    <row r="62" spans="1:9">
      <c r="A62" s="515"/>
      <c r="B62" s="583" t="s">
        <v>464</v>
      </c>
      <c r="C62" s="578"/>
      <c r="D62" s="591" t="s">
        <v>452</v>
      </c>
      <c r="E62" s="592">
        <f>+'[15]Core Rates'!AN32</f>
        <v>6.3125</v>
      </c>
      <c r="F62" s="593">
        <v>2</v>
      </c>
      <c r="G62" s="594">
        <f t="shared" si="3"/>
        <v>12.625</v>
      </c>
      <c r="H62" s="570"/>
      <c r="I62" s="595"/>
    </row>
    <row r="63" spans="1:9">
      <c r="A63" s="515"/>
      <c r="B63" s="583"/>
      <c r="C63" s="578"/>
      <c r="D63" s="606"/>
      <c r="E63" s="607"/>
      <c r="F63" s="607"/>
      <c r="G63" s="592"/>
      <c r="H63" s="570"/>
      <c r="I63" s="595"/>
    </row>
    <row r="64" spans="1:9">
      <c r="A64" s="515"/>
      <c r="B64" s="574" t="s">
        <v>43</v>
      </c>
      <c r="C64" s="570"/>
      <c r="D64" s="570"/>
      <c r="E64" s="608"/>
      <c r="F64" s="608"/>
      <c r="G64" s="608"/>
      <c r="H64" s="570"/>
      <c r="I64" s="590"/>
    </row>
    <row r="65" spans="1:9" ht="12.75" customHeight="1">
      <c r="A65" s="515"/>
      <c r="B65" s="2018" t="s">
        <v>457</v>
      </c>
      <c r="C65" s="2019"/>
      <c r="D65" s="2019"/>
      <c r="E65" s="2019"/>
      <c r="F65" s="2019"/>
      <c r="G65" s="2019"/>
      <c r="H65" s="2019"/>
      <c r="I65" s="2020"/>
    </row>
    <row r="66" spans="1:9">
      <c r="A66" s="515"/>
      <c r="B66" s="2018"/>
      <c r="C66" s="2019"/>
      <c r="D66" s="2019"/>
      <c r="E66" s="2019"/>
      <c r="F66" s="2019"/>
      <c r="G66" s="2019"/>
      <c r="H66" s="2019"/>
      <c r="I66" s="2020"/>
    </row>
    <row r="67" spans="1:9">
      <c r="A67" s="515"/>
      <c r="B67" s="609"/>
      <c r="C67" s="610"/>
      <c r="D67" s="610"/>
      <c r="E67" s="610"/>
      <c r="F67" s="610"/>
      <c r="G67" s="610"/>
      <c r="H67" s="610"/>
      <c r="I67" s="611"/>
    </row>
    <row r="68" spans="1:9">
      <c r="A68" s="515"/>
      <c r="B68" s="609"/>
      <c r="C68" s="610"/>
      <c r="D68" s="610"/>
      <c r="E68" s="610"/>
      <c r="F68" s="610"/>
      <c r="G68" s="610"/>
      <c r="H68" s="610"/>
      <c r="I68" s="611"/>
    </row>
    <row r="69" spans="1:9">
      <c r="A69" s="515"/>
      <c r="B69" s="586" t="s">
        <v>3</v>
      </c>
      <c r="C69" s="570"/>
      <c r="D69" s="570"/>
      <c r="E69" s="570"/>
      <c r="F69" s="577"/>
      <c r="G69" s="570"/>
      <c r="H69" s="570"/>
      <c r="I69" s="612">
        <f>E71</f>
        <v>20.631250000000001</v>
      </c>
    </row>
    <row r="70" spans="1:9">
      <c r="A70" s="515"/>
      <c r="B70" s="2021" t="s">
        <v>465</v>
      </c>
      <c r="C70" s="2022"/>
      <c r="D70" s="570"/>
      <c r="E70" s="570"/>
      <c r="F70" s="570"/>
      <c r="G70" s="570"/>
      <c r="H70" s="570"/>
      <c r="I70" s="613"/>
    </row>
    <row r="71" spans="1:9">
      <c r="A71" s="515"/>
      <c r="B71" s="574" t="s">
        <v>466</v>
      </c>
      <c r="C71" s="577"/>
      <c r="D71" s="577"/>
      <c r="E71" s="614">
        <f>SUM(G57:G62)*0.15</f>
        <v>20.631250000000001</v>
      </c>
      <c r="F71" s="570"/>
      <c r="G71" s="570"/>
      <c r="H71" s="570"/>
      <c r="I71" s="590"/>
    </row>
    <row r="72" spans="1:9">
      <c r="A72" s="515"/>
      <c r="B72" s="574"/>
      <c r="C72" s="577"/>
      <c r="D72" s="615"/>
      <c r="E72" s="614"/>
      <c r="F72" s="570"/>
      <c r="G72" s="570"/>
      <c r="H72" s="570"/>
      <c r="I72" s="590"/>
    </row>
    <row r="73" spans="1:9">
      <c r="A73" s="515"/>
      <c r="B73" s="574"/>
      <c r="C73" s="577"/>
      <c r="D73" s="616"/>
      <c r="E73" s="614"/>
      <c r="F73" s="570"/>
      <c r="G73" s="570"/>
      <c r="H73" s="570"/>
      <c r="I73" s="590"/>
    </row>
    <row r="74" spans="1:9">
      <c r="A74" s="515"/>
      <c r="B74" s="575"/>
      <c r="C74" s="570"/>
      <c r="D74" s="570"/>
      <c r="E74" s="570"/>
      <c r="F74" s="570"/>
      <c r="G74" s="570"/>
      <c r="H74" s="570"/>
      <c r="I74" s="571"/>
    </row>
    <row r="75" spans="1:9">
      <c r="A75" s="515"/>
      <c r="B75" s="586" t="s">
        <v>4</v>
      </c>
      <c r="C75" s="570"/>
      <c r="D75" s="570"/>
      <c r="E75" s="570"/>
      <c r="F75" s="570"/>
      <c r="G75" s="570"/>
      <c r="H75" s="570"/>
      <c r="I75" s="612">
        <f>0.03*(I40+I55+I69)</f>
        <v>9.5184748752672856</v>
      </c>
    </row>
    <row r="76" spans="1:9">
      <c r="A76" s="515"/>
      <c r="B76" s="575" t="s">
        <v>467</v>
      </c>
      <c r="C76" s="570"/>
      <c r="D76" s="570"/>
      <c r="E76" s="570"/>
      <c r="F76" s="570"/>
      <c r="G76" s="570"/>
      <c r="H76" s="570"/>
      <c r="I76" s="571"/>
    </row>
    <row r="77" spans="1:9">
      <c r="A77" s="515"/>
      <c r="B77" s="574"/>
      <c r="C77" s="570"/>
      <c r="D77" s="570"/>
      <c r="E77" s="570"/>
      <c r="F77" s="570"/>
      <c r="G77" s="570"/>
      <c r="H77" s="570"/>
      <c r="I77" s="571"/>
    </row>
    <row r="78" spans="1:9">
      <c r="A78" s="515"/>
      <c r="B78" s="586" t="s">
        <v>468</v>
      </c>
      <c r="C78" s="570"/>
      <c r="D78" s="570"/>
      <c r="E78" s="570"/>
      <c r="F78" s="570"/>
      <c r="G78" s="570"/>
      <c r="H78" s="570"/>
      <c r="I78" s="612">
        <f>+'[15]Core Rates'!C216</f>
        <v>15.5</v>
      </c>
    </row>
    <row r="79" spans="1:9">
      <c r="A79" s="515"/>
      <c r="B79" s="575" t="s">
        <v>469</v>
      </c>
      <c r="C79" s="570"/>
      <c r="D79" s="570"/>
      <c r="E79" s="570"/>
      <c r="F79" s="570"/>
      <c r="G79" s="570"/>
      <c r="H79" s="570"/>
      <c r="I79" s="571"/>
    </row>
    <row r="80" spans="1:9">
      <c r="A80" s="515"/>
      <c r="B80" s="574"/>
      <c r="C80" s="570"/>
      <c r="D80" s="570"/>
      <c r="E80" s="570"/>
      <c r="F80" s="570"/>
      <c r="G80" s="570"/>
      <c r="H80" s="570"/>
      <c r="I80" s="571"/>
    </row>
    <row r="81" spans="1:9">
      <c r="A81" s="515"/>
      <c r="B81" s="586" t="s">
        <v>7</v>
      </c>
      <c r="C81" s="570"/>
      <c r="D81" s="570"/>
      <c r="E81" s="570"/>
      <c r="F81" s="570"/>
      <c r="G81" s="570"/>
      <c r="H81" s="570"/>
      <c r="I81" s="587">
        <v>0</v>
      </c>
    </row>
    <row r="82" spans="1:9">
      <c r="A82" s="515"/>
      <c r="B82" s="575" t="s">
        <v>470</v>
      </c>
      <c r="C82" s="570"/>
      <c r="D82" s="570"/>
      <c r="E82" s="570"/>
      <c r="F82" s="570"/>
      <c r="G82" s="570"/>
      <c r="H82" s="570"/>
      <c r="I82" s="571"/>
    </row>
    <row r="83" spans="1:9">
      <c r="A83" s="515"/>
      <c r="B83" s="574"/>
      <c r="C83" s="570"/>
      <c r="D83" s="570"/>
      <c r="E83" s="570"/>
      <c r="F83" s="570"/>
      <c r="G83" s="570"/>
      <c r="H83" s="570"/>
      <c r="I83" s="571"/>
    </row>
    <row r="84" spans="1:9">
      <c r="A84" s="515"/>
      <c r="B84" s="586" t="s">
        <v>471</v>
      </c>
      <c r="C84" s="570"/>
      <c r="D84" s="570"/>
      <c r="E84" s="570"/>
      <c r="F84" s="577"/>
      <c r="G84" s="570"/>
      <c r="H84" s="570"/>
      <c r="I84" s="587">
        <f>E86*3</f>
        <v>180</v>
      </c>
    </row>
    <row r="85" spans="1:9">
      <c r="A85" s="515"/>
      <c r="B85" s="617" t="s">
        <v>472</v>
      </c>
      <c r="C85" s="570"/>
      <c r="D85" s="570"/>
      <c r="E85" s="570"/>
      <c r="F85" s="570"/>
      <c r="G85" s="570"/>
      <c r="H85" s="570"/>
      <c r="I85" s="595"/>
    </row>
    <row r="86" spans="1:9">
      <c r="A86" s="515"/>
      <c r="B86" s="617"/>
      <c r="C86" s="570"/>
      <c r="D86" s="570"/>
      <c r="E86" s="570">
        <v>60</v>
      </c>
      <c r="F86" s="570"/>
      <c r="G86" s="570"/>
      <c r="H86" s="570"/>
      <c r="I86" s="595"/>
    </row>
    <row r="87" spans="1:9">
      <c r="A87" s="515"/>
      <c r="B87" s="574"/>
      <c r="C87" s="570"/>
      <c r="D87" s="570"/>
      <c r="E87" s="570"/>
      <c r="F87" s="570"/>
      <c r="G87" s="570"/>
      <c r="H87" s="570"/>
      <c r="I87" s="571"/>
    </row>
    <row r="88" spans="1:9">
      <c r="A88" s="515"/>
      <c r="B88" s="586" t="s">
        <v>5</v>
      </c>
      <c r="C88" s="570"/>
      <c r="D88" s="570"/>
      <c r="E88" s="570"/>
      <c r="F88" s="570"/>
      <c r="G88" s="570"/>
      <c r="H88" s="570"/>
      <c r="I88" s="587">
        <v>0</v>
      </c>
    </row>
    <row r="89" spans="1:9">
      <c r="A89" s="515"/>
      <c r="B89" s="575" t="s">
        <v>104</v>
      </c>
      <c r="C89" s="570"/>
      <c r="D89" s="570"/>
      <c r="E89" s="570"/>
      <c r="F89" s="570"/>
      <c r="G89" s="570"/>
      <c r="H89" s="570"/>
      <c r="I89" s="595"/>
    </row>
    <row r="90" spans="1:9">
      <c r="A90" s="515"/>
      <c r="B90" s="574"/>
      <c r="C90" s="570"/>
      <c r="D90" s="570"/>
      <c r="E90" s="570"/>
      <c r="F90" s="570"/>
      <c r="G90" s="570"/>
      <c r="H90" s="570"/>
      <c r="I90" s="571"/>
    </row>
    <row r="91" spans="1:9">
      <c r="A91" s="515"/>
      <c r="B91" s="586" t="s">
        <v>20</v>
      </c>
      <c r="C91" s="570"/>
      <c r="D91" s="570"/>
      <c r="E91" s="570"/>
      <c r="F91" s="570"/>
      <c r="G91" s="570"/>
      <c r="H91" s="570"/>
      <c r="I91" s="587">
        <v>0</v>
      </c>
    </row>
    <row r="92" spans="1:9">
      <c r="A92" s="515"/>
      <c r="B92" s="575" t="s">
        <v>104</v>
      </c>
      <c r="C92" s="570"/>
      <c r="D92" s="570"/>
      <c r="E92" s="570"/>
      <c r="F92" s="570"/>
      <c r="G92" s="570"/>
      <c r="H92" s="570"/>
      <c r="I92" s="571"/>
    </row>
    <row r="93" spans="1:9">
      <c r="A93" s="515"/>
      <c r="B93" s="583"/>
      <c r="C93" s="570"/>
      <c r="D93" s="570"/>
      <c r="E93" s="570"/>
      <c r="F93" s="570"/>
      <c r="G93" s="570"/>
      <c r="H93" s="570"/>
      <c r="I93" s="571"/>
    </row>
    <row r="94" spans="1:9">
      <c r="A94" s="515"/>
      <c r="B94" s="586" t="s">
        <v>473</v>
      </c>
      <c r="C94" s="570"/>
      <c r="D94" s="570"/>
      <c r="E94" s="570"/>
      <c r="F94" s="570"/>
      <c r="G94" s="570"/>
      <c r="H94" s="570"/>
      <c r="I94" s="618">
        <f>+I40+I55+I69+I75+I81+I91</f>
        <v>326.80097071751015</v>
      </c>
    </row>
    <row r="95" spans="1:9" ht="15.75">
      <c r="A95" s="515"/>
      <c r="B95" s="575" t="s">
        <v>474</v>
      </c>
      <c r="C95" s="570"/>
      <c r="D95" s="570"/>
      <c r="E95" s="570"/>
      <c r="F95" s="570"/>
      <c r="G95" s="570"/>
      <c r="H95" s="570"/>
      <c r="I95" s="571"/>
    </row>
    <row r="96" spans="1:9">
      <c r="A96" s="515"/>
      <c r="B96" s="583"/>
      <c r="C96" s="570"/>
      <c r="D96" s="570"/>
      <c r="E96" s="570"/>
      <c r="F96" s="570"/>
      <c r="G96" s="570"/>
      <c r="H96" s="570"/>
      <c r="I96" s="571"/>
    </row>
    <row r="97" spans="1:9">
      <c r="A97" s="515"/>
      <c r="B97" s="619" t="s">
        <v>11</v>
      </c>
      <c r="C97" s="620"/>
      <c r="D97" s="620"/>
      <c r="E97" s="620"/>
      <c r="F97" s="620"/>
      <c r="G97" s="620"/>
      <c r="H97" s="620"/>
      <c r="I97" s="621">
        <f>SUM(I40:I91)</f>
        <v>522.30097071751015</v>
      </c>
    </row>
  </sheetData>
  <mergeCells count="4">
    <mergeCell ref="B1:D1"/>
    <mergeCell ref="E55:H55"/>
    <mergeCell ref="B65:I66"/>
    <mergeCell ref="B70:C70"/>
  </mergeCells>
  <pageMargins left="0.75" right="0.75" top="1" bottom="1" header="0.5" footer="0.5"/>
  <pageSetup scale="53" orientation="portrait" r:id="rId1"/>
  <headerFooter alignWithMargins="0"/>
</worksheet>
</file>

<file path=xl/worksheets/sheet67.xml><?xml version="1.0" encoding="utf-8"?>
<worksheet xmlns="http://schemas.openxmlformats.org/spreadsheetml/2006/main" xmlns:r="http://schemas.openxmlformats.org/officeDocument/2006/relationships">
  <sheetPr>
    <pageSetUpPr fitToPage="1"/>
  </sheetPr>
  <dimension ref="A1:L98"/>
  <sheetViews>
    <sheetView zoomScale="75" zoomScaleNormal="75" workbookViewId="0">
      <selection activeCell="B6" sqref="B6:D9"/>
    </sheetView>
  </sheetViews>
  <sheetFormatPr defaultRowHeight="12.75"/>
  <cols>
    <col min="1" max="1" width="1.85546875" style="517" customWidth="1"/>
    <col min="2" max="2" width="9.140625" style="517"/>
    <col min="3" max="3" width="24.140625" style="517" customWidth="1"/>
    <col min="4" max="4" width="23.140625" style="517" customWidth="1"/>
    <col min="5" max="5" width="71.140625" style="517" bestFit="1" customWidth="1"/>
    <col min="6" max="6" width="10.42578125" style="517" customWidth="1"/>
    <col min="7"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c r="A3" s="515"/>
      <c r="B3" s="519" t="s">
        <v>17</v>
      </c>
      <c r="C3" s="515"/>
      <c r="D3" s="515"/>
      <c r="E3" s="515"/>
      <c r="F3" s="515"/>
      <c r="G3" s="515"/>
      <c r="H3" s="515"/>
      <c r="I3" s="515"/>
    </row>
    <row r="4" spans="1:12">
      <c r="A4" s="515"/>
      <c r="B4" s="520" t="s">
        <v>1</v>
      </c>
      <c r="C4" s="521" t="s">
        <v>21</v>
      </c>
      <c r="D4" s="522"/>
      <c r="E4" s="522"/>
      <c r="F4" s="522"/>
      <c r="G4" s="523" t="s">
        <v>12</v>
      </c>
    </row>
    <row r="5" spans="1:12">
      <c r="A5" s="515"/>
      <c r="B5" s="524" t="s">
        <v>13</v>
      </c>
      <c r="C5" s="525" t="s">
        <v>22</v>
      </c>
      <c r="D5" s="525" t="s">
        <v>29</v>
      </c>
      <c r="E5" s="525" t="s">
        <v>30</v>
      </c>
      <c r="F5" s="525" t="s">
        <v>23</v>
      </c>
      <c r="G5" s="526" t="s">
        <v>14</v>
      </c>
    </row>
    <row r="6" spans="1:12">
      <c r="A6" s="515"/>
      <c r="B6" s="631">
        <v>327</v>
      </c>
      <c r="C6" s="531" t="str">
        <f>+E12</f>
        <v>EQIP</v>
      </c>
      <c r="D6" s="632" t="s">
        <v>483</v>
      </c>
      <c r="E6" s="622" t="s">
        <v>486</v>
      </c>
      <c r="F6" s="531" t="s">
        <v>394</v>
      </c>
      <c r="G6" s="532">
        <f>+I25</f>
        <v>135.26474999999999</v>
      </c>
    </row>
    <row r="7" spans="1:12">
      <c r="A7" s="515"/>
      <c r="B7" s="631">
        <f>+B6</f>
        <v>327</v>
      </c>
      <c r="C7" s="531" t="str">
        <f>+C6</f>
        <v>EQIP</v>
      </c>
      <c r="D7" s="632" t="s">
        <v>483</v>
      </c>
      <c r="E7" s="622" t="str">
        <f>CONCATENATE(E6, "-HU")</f>
        <v>Native Grass - Legumes - No Till-HU</v>
      </c>
      <c r="F7" s="531" t="str">
        <f>+F6</f>
        <v>Acre</v>
      </c>
      <c r="G7" s="532">
        <f>+J25</f>
        <v>162.3177</v>
      </c>
    </row>
    <row r="8" spans="1:12">
      <c r="A8" s="515"/>
      <c r="B8" s="631">
        <v>327</v>
      </c>
      <c r="C8" s="531" t="str">
        <f>+G12</f>
        <v>WHIP</v>
      </c>
      <c r="D8" s="632" t="s">
        <v>483</v>
      </c>
      <c r="E8" s="622" t="s">
        <v>486</v>
      </c>
      <c r="F8" s="531" t="s">
        <v>394</v>
      </c>
      <c r="G8" s="532">
        <f>+K25</f>
        <v>135.26474999999999</v>
      </c>
    </row>
    <row r="9" spans="1:12">
      <c r="A9" s="515"/>
      <c r="B9" s="633">
        <f>+B8</f>
        <v>327</v>
      </c>
      <c r="C9" s="536" t="str">
        <f>+C8</f>
        <v>WHIP</v>
      </c>
      <c r="D9" s="632" t="s">
        <v>483</v>
      </c>
      <c r="E9" s="623" t="str">
        <f>CONCATENATE(E6, "-HU")</f>
        <v>Native Grass - Legumes - No Till-HU</v>
      </c>
      <c r="F9" s="536" t="str">
        <f>+F8</f>
        <v>Acre</v>
      </c>
      <c r="G9" s="537">
        <f>+L25</f>
        <v>162.3177</v>
      </c>
    </row>
    <row r="10" spans="1:12">
      <c r="A10" s="515"/>
      <c r="B10" s="538"/>
      <c r="C10" s="539"/>
      <c r="D10" s="539"/>
      <c r="E10" s="515"/>
      <c r="F10" s="515"/>
    </row>
    <row r="11" spans="1:12" ht="15.75">
      <c r="A11" s="515"/>
      <c r="B11" s="519" t="s">
        <v>18</v>
      </c>
      <c r="C11" s="539"/>
      <c r="D11" s="539"/>
      <c r="E11" s="515"/>
      <c r="F11" s="515"/>
    </row>
    <row r="12" spans="1:12">
      <c r="A12" s="515"/>
      <c r="B12" s="540"/>
      <c r="C12" s="541"/>
      <c r="D12" s="542"/>
      <c r="E12" s="543" t="s">
        <v>15</v>
      </c>
      <c r="F12" s="543" t="s">
        <v>31</v>
      </c>
      <c r="G12" s="543" t="s">
        <v>86</v>
      </c>
      <c r="H12" s="543" t="s">
        <v>441</v>
      </c>
      <c r="I12" s="543"/>
      <c r="J12" s="543"/>
      <c r="K12" s="543"/>
      <c r="L12" s="624"/>
    </row>
    <row r="13" spans="1:12">
      <c r="A13" s="515"/>
      <c r="B13" s="544"/>
      <c r="C13" s="545"/>
      <c r="D13" s="546"/>
      <c r="E13" s="547" t="s">
        <v>22</v>
      </c>
      <c r="F13" s="547" t="s">
        <v>22</v>
      </c>
      <c r="G13" s="547" t="s">
        <v>22</v>
      </c>
      <c r="H13" s="547" t="s">
        <v>22</v>
      </c>
      <c r="I13" s="547" t="s">
        <v>15</v>
      </c>
      <c r="J13" s="547" t="s">
        <v>31</v>
      </c>
      <c r="K13" s="547" t="s">
        <v>86</v>
      </c>
      <c r="L13" s="625" t="s">
        <v>441</v>
      </c>
    </row>
    <row r="14" spans="1:12">
      <c r="A14" s="515"/>
      <c r="B14" s="548"/>
      <c r="C14" s="546"/>
      <c r="D14" s="546"/>
      <c r="E14" s="547" t="s">
        <v>12</v>
      </c>
      <c r="F14" s="547" t="s">
        <v>12</v>
      </c>
      <c r="G14" s="547" t="s">
        <v>12</v>
      </c>
      <c r="H14" s="547" t="s">
        <v>12</v>
      </c>
      <c r="I14" s="547" t="s">
        <v>12</v>
      </c>
      <c r="J14" s="547" t="s">
        <v>12</v>
      </c>
      <c r="K14" s="547" t="s">
        <v>12</v>
      </c>
      <c r="L14" s="625" t="s">
        <v>12</v>
      </c>
    </row>
    <row r="15" spans="1:12">
      <c r="A15" s="515"/>
      <c r="B15" s="549" t="s">
        <v>16</v>
      </c>
      <c r="C15" s="546"/>
      <c r="D15" s="550" t="s">
        <v>6</v>
      </c>
      <c r="E15" s="551" t="s">
        <v>24</v>
      </c>
      <c r="F15" s="551" t="s">
        <v>24</v>
      </c>
      <c r="G15" s="551" t="s">
        <v>24</v>
      </c>
      <c r="H15" s="551" t="s">
        <v>24</v>
      </c>
      <c r="I15" s="551" t="s">
        <v>14</v>
      </c>
      <c r="J15" s="551" t="s">
        <v>14</v>
      </c>
      <c r="K15" s="551" t="s">
        <v>14</v>
      </c>
      <c r="L15" s="626" t="s">
        <v>14</v>
      </c>
    </row>
    <row r="16" spans="1:12">
      <c r="A16" s="515"/>
      <c r="B16" s="544" t="s">
        <v>0</v>
      </c>
      <c r="C16" s="546"/>
      <c r="D16" s="552">
        <f>+I40</f>
        <v>51.1</v>
      </c>
      <c r="E16" s="553">
        <f>+'[10]Payment Factors'!D14</f>
        <v>0.75</v>
      </c>
      <c r="F16" s="553">
        <f>+'[10]Payment Factors'!E14</f>
        <v>0.9</v>
      </c>
      <c r="G16" s="553">
        <f>+'[10]Payment Factors'!F14</f>
        <v>0.75</v>
      </c>
      <c r="H16" s="553">
        <f>+'[10]Payment Factors'!G14</f>
        <v>0.9</v>
      </c>
      <c r="I16" s="554">
        <f t="shared" ref="I16:L24" si="0">+$D16*E16</f>
        <v>38.325000000000003</v>
      </c>
      <c r="J16" s="554">
        <f t="shared" si="0"/>
        <v>45.99</v>
      </c>
      <c r="K16" s="554">
        <f t="shared" si="0"/>
        <v>38.325000000000003</v>
      </c>
      <c r="L16" s="627">
        <f t="shared" si="0"/>
        <v>45.99</v>
      </c>
    </row>
    <row r="17" spans="1:12">
      <c r="A17" s="515"/>
      <c r="B17" s="544" t="s">
        <v>2</v>
      </c>
      <c r="C17" s="546"/>
      <c r="D17" s="552">
        <f>+I56</f>
        <v>105.39999999999999</v>
      </c>
      <c r="E17" s="553">
        <f t="shared" ref="E17:H19" si="1">+E16</f>
        <v>0.75</v>
      </c>
      <c r="F17" s="553">
        <f t="shared" si="1"/>
        <v>0.9</v>
      </c>
      <c r="G17" s="553">
        <f t="shared" si="1"/>
        <v>0.75</v>
      </c>
      <c r="H17" s="553">
        <f t="shared" si="1"/>
        <v>0.9</v>
      </c>
      <c r="I17" s="554">
        <f t="shared" si="0"/>
        <v>79.05</v>
      </c>
      <c r="J17" s="554">
        <f t="shared" si="0"/>
        <v>94.86</v>
      </c>
      <c r="K17" s="554">
        <f t="shared" si="0"/>
        <v>79.05</v>
      </c>
      <c r="L17" s="627">
        <f t="shared" si="0"/>
        <v>94.86</v>
      </c>
    </row>
    <row r="18" spans="1:12">
      <c r="A18" s="515"/>
      <c r="B18" s="544" t="s">
        <v>3</v>
      </c>
      <c r="C18" s="546"/>
      <c r="D18" s="552">
        <f>+I70</f>
        <v>18.599999999999998</v>
      </c>
      <c r="E18" s="553">
        <f t="shared" si="1"/>
        <v>0.75</v>
      </c>
      <c r="F18" s="553">
        <f t="shared" si="1"/>
        <v>0.9</v>
      </c>
      <c r="G18" s="553">
        <f t="shared" si="1"/>
        <v>0.75</v>
      </c>
      <c r="H18" s="553">
        <f t="shared" si="1"/>
        <v>0.9</v>
      </c>
      <c r="I18" s="554">
        <f t="shared" si="0"/>
        <v>13.95</v>
      </c>
      <c r="J18" s="554">
        <f t="shared" si="0"/>
        <v>16.739999999999998</v>
      </c>
      <c r="K18" s="554">
        <f t="shared" si="0"/>
        <v>13.95</v>
      </c>
      <c r="L18" s="627">
        <f t="shared" si="0"/>
        <v>16.739999999999998</v>
      </c>
    </row>
    <row r="19" spans="1:12">
      <c r="A19" s="515"/>
      <c r="B19" s="544" t="s">
        <v>4</v>
      </c>
      <c r="C19" s="546"/>
      <c r="D19" s="552">
        <f>+I76</f>
        <v>5.2529999999999992</v>
      </c>
      <c r="E19" s="553">
        <f t="shared" si="1"/>
        <v>0.75</v>
      </c>
      <c r="F19" s="553">
        <f t="shared" si="1"/>
        <v>0.9</v>
      </c>
      <c r="G19" s="553">
        <f t="shared" si="1"/>
        <v>0.75</v>
      </c>
      <c r="H19" s="553">
        <f t="shared" si="1"/>
        <v>0.9</v>
      </c>
      <c r="I19" s="554">
        <f t="shared" si="0"/>
        <v>3.9397499999999992</v>
      </c>
      <c r="J19" s="554">
        <f t="shared" si="0"/>
        <v>4.7276999999999996</v>
      </c>
      <c r="K19" s="554">
        <f t="shared" si="0"/>
        <v>3.9397499999999992</v>
      </c>
      <c r="L19" s="627">
        <f t="shared" si="0"/>
        <v>4.7276999999999996</v>
      </c>
    </row>
    <row r="20" spans="1:12">
      <c r="A20" s="515"/>
      <c r="B20" s="544" t="s">
        <v>26</v>
      </c>
      <c r="C20" s="546"/>
      <c r="D20" s="552">
        <f>+I79</f>
        <v>15.5</v>
      </c>
      <c r="E20" s="553">
        <v>0</v>
      </c>
      <c r="F20" s="553">
        <v>0</v>
      </c>
      <c r="G20" s="553">
        <v>0</v>
      </c>
      <c r="H20" s="553">
        <v>0</v>
      </c>
      <c r="I20" s="554">
        <f t="shared" si="0"/>
        <v>0</v>
      </c>
      <c r="J20" s="554">
        <f t="shared" si="0"/>
        <v>0</v>
      </c>
      <c r="K20" s="554">
        <f t="shared" si="0"/>
        <v>0</v>
      </c>
      <c r="L20" s="627">
        <f t="shared" si="0"/>
        <v>0</v>
      </c>
    </row>
    <row r="21" spans="1:12">
      <c r="A21" s="515"/>
      <c r="B21" s="544" t="s">
        <v>7</v>
      </c>
      <c r="C21" s="546"/>
      <c r="D21" s="552">
        <f>+I82</f>
        <v>0</v>
      </c>
      <c r="E21" s="553">
        <v>0</v>
      </c>
      <c r="F21" s="553">
        <v>0</v>
      </c>
      <c r="G21" s="553">
        <v>0</v>
      </c>
      <c r="H21" s="553">
        <v>0</v>
      </c>
      <c r="I21" s="554">
        <f t="shared" si="0"/>
        <v>0</v>
      </c>
      <c r="J21" s="554">
        <f t="shared" si="0"/>
        <v>0</v>
      </c>
      <c r="K21" s="554">
        <f t="shared" si="0"/>
        <v>0</v>
      </c>
      <c r="L21" s="627">
        <f t="shared" si="0"/>
        <v>0</v>
      </c>
    </row>
    <row r="22" spans="1:12">
      <c r="A22" s="515"/>
      <c r="B22" s="544" t="s">
        <v>27</v>
      </c>
      <c r="C22" s="546"/>
      <c r="D22" s="552">
        <f>+I85</f>
        <v>180</v>
      </c>
      <c r="E22" s="553">
        <v>0</v>
      </c>
      <c r="F22" s="553">
        <v>0</v>
      </c>
      <c r="G22" s="553">
        <v>0</v>
      </c>
      <c r="H22" s="553">
        <v>0</v>
      </c>
      <c r="I22" s="554">
        <f t="shared" si="0"/>
        <v>0</v>
      </c>
      <c r="J22" s="554">
        <f t="shared" si="0"/>
        <v>0</v>
      </c>
      <c r="K22" s="554">
        <f t="shared" si="0"/>
        <v>0</v>
      </c>
      <c r="L22" s="627">
        <f t="shared" si="0"/>
        <v>0</v>
      </c>
    </row>
    <row r="23" spans="1:12">
      <c r="A23" s="515"/>
      <c r="B23" s="544" t="s">
        <v>5</v>
      </c>
      <c r="C23" s="546"/>
      <c r="D23" s="552">
        <f>+I89</f>
        <v>0</v>
      </c>
      <c r="E23" s="553">
        <v>0</v>
      </c>
      <c r="F23" s="553">
        <v>0</v>
      </c>
      <c r="G23" s="553">
        <v>0</v>
      </c>
      <c r="H23" s="553">
        <v>0</v>
      </c>
      <c r="I23" s="554">
        <f t="shared" si="0"/>
        <v>0</v>
      </c>
      <c r="J23" s="554">
        <f t="shared" si="0"/>
        <v>0</v>
      </c>
      <c r="K23" s="554">
        <f t="shared" si="0"/>
        <v>0</v>
      </c>
      <c r="L23" s="627">
        <f t="shared" si="0"/>
        <v>0</v>
      </c>
    </row>
    <row r="24" spans="1:12">
      <c r="A24" s="515"/>
      <c r="B24" s="544" t="s">
        <v>20</v>
      </c>
      <c r="C24" s="546"/>
      <c r="D24" s="555">
        <f>+I92</f>
        <v>0</v>
      </c>
      <c r="E24" s="553">
        <v>0</v>
      </c>
      <c r="F24" s="553">
        <v>0</v>
      </c>
      <c r="G24" s="553">
        <v>0</v>
      </c>
      <c r="H24" s="553">
        <v>0</v>
      </c>
      <c r="I24" s="556">
        <f t="shared" si="0"/>
        <v>0</v>
      </c>
      <c r="J24" s="556">
        <f t="shared" si="0"/>
        <v>0</v>
      </c>
      <c r="K24" s="556">
        <f t="shared" si="0"/>
        <v>0</v>
      </c>
      <c r="L24" s="628">
        <f t="shared" si="0"/>
        <v>0</v>
      </c>
    </row>
    <row r="25" spans="1:12">
      <c r="A25" s="515"/>
      <c r="B25" s="557" t="s">
        <v>19</v>
      </c>
      <c r="C25" s="558"/>
      <c r="D25" s="559">
        <f>SUM(D16:D24)</f>
        <v>375.85299999999995</v>
      </c>
      <c r="E25" s="629"/>
      <c r="F25" s="629"/>
      <c r="G25" s="560"/>
      <c r="H25" s="560"/>
      <c r="I25" s="561">
        <f>SUM(I16:I24)</f>
        <v>135.26474999999999</v>
      </c>
      <c r="J25" s="561">
        <f>SUM(J16:J24)</f>
        <v>162.3177</v>
      </c>
      <c r="K25" s="561">
        <f>SUM(K16:K24)</f>
        <v>135.26474999999999</v>
      </c>
      <c r="L25" s="630">
        <f>SUM(L16:L24)</f>
        <v>162.3177</v>
      </c>
    </row>
    <row r="27" spans="1:12" ht="15" customHeight="1">
      <c r="A27" s="515"/>
      <c r="B27" s="562" t="s">
        <v>28</v>
      </c>
      <c r="C27" s="515"/>
      <c r="D27" s="515"/>
      <c r="E27" s="515"/>
      <c r="F27" s="515"/>
      <c r="G27" s="515"/>
      <c r="H27" s="515"/>
      <c r="I27" s="563"/>
    </row>
    <row r="28" spans="1:12">
      <c r="A28" s="515"/>
      <c r="B28" s="564" t="s">
        <v>487</v>
      </c>
      <c r="C28" s="565"/>
      <c r="D28" s="565"/>
      <c r="E28" s="566"/>
      <c r="F28" s="566"/>
      <c r="G28" s="566"/>
      <c r="H28" s="566"/>
      <c r="I28" s="567"/>
    </row>
    <row r="29" spans="1:12">
      <c r="A29" s="515"/>
      <c r="B29" s="568" t="s">
        <v>443</v>
      </c>
      <c r="C29" s="569"/>
      <c r="D29" s="569"/>
      <c r="E29" s="570"/>
      <c r="F29" s="570"/>
      <c r="G29" s="570"/>
      <c r="H29" s="570"/>
      <c r="I29" s="571"/>
    </row>
    <row r="30" spans="1:12">
      <c r="A30" s="515"/>
      <c r="B30" s="568" t="s">
        <v>444</v>
      </c>
      <c r="C30" s="572"/>
      <c r="D30" s="569"/>
      <c r="E30" s="570"/>
      <c r="F30" s="573"/>
      <c r="G30" s="570"/>
      <c r="H30" s="570"/>
      <c r="I30" s="571"/>
    </row>
    <row r="31" spans="1:12">
      <c r="A31" s="515"/>
      <c r="B31" s="574" t="s">
        <v>445</v>
      </c>
      <c r="C31" s="569"/>
      <c r="D31" s="569"/>
      <c r="E31" s="570"/>
      <c r="F31" s="570"/>
      <c r="G31" s="570"/>
      <c r="H31" s="570"/>
      <c r="I31" s="571"/>
    </row>
    <row r="32" spans="1:12">
      <c r="A32" s="515"/>
      <c r="B32" s="574" t="s">
        <v>446</v>
      </c>
      <c r="C32" s="569"/>
      <c r="D32" s="569"/>
      <c r="E32" s="570"/>
      <c r="F32" s="570"/>
      <c r="G32" s="570"/>
      <c r="H32" s="570"/>
      <c r="I32" s="571"/>
    </row>
    <row r="33" spans="1:9">
      <c r="A33" s="515"/>
      <c r="B33" s="575"/>
      <c r="C33" s="569"/>
      <c r="D33" s="569"/>
      <c r="E33" s="570"/>
      <c r="F33" s="570"/>
      <c r="G33" s="570"/>
      <c r="H33" s="570"/>
      <c r="I33" s="571"/>
    </row>
    <row r="34" spans="1:9">
      <c r="A34" s="515"/>
      <c r="B34" s="576" t="s">
        <v>25</v>
      </c>
      <c r="C34" s="569"/>
      <c r="D34" s="577" t="s">
        <v>91</v>
      </c>
      <c r="E34" s="578"/>
      <c r="F34" s="570"/>
      <c r="G34" s="570"/>
      <c r="H34" s="570"/>
      <c r="I34" s="571"/>
    </row>
    <row r="35" spans="1:9">
      <c r="A35" s="515"/>
      <c r="B35" s="574"/>
      <c r="C35" s="569"/>
      <c r="D35" s="570"/>
      <c r="E35" s="578"/>
      <c r="F35" s="570"/>
      <c r="G35" s="570"/>
      <c r="H35" s="570"/>
      <c r="I35" s="571"/>
    </row>
    <row r="36" spans="1:9">
      <c r="A36" s="515"/>
      <c r="B36" s="576" t="s">
        <v>8</v>
      </c>
      <c r="C36" s="569"/>
      <c r="D36" s="577" t="s">
        <v>394</v>
      </c>
      <c r="E36" s="578"/>
      <c r="F36" s="570"/>
      <c r="G36" s="570"/>
      <c r="H36" s="570"/>
      <c r="I36" s="571"/>
    </row>
    <row r="37" spans="1:9">
      <c r="A37" s="515"/>
      <c r="B37" s="576" t="s">
        <v>9</v>
      </c>
      <c r="C37" s="569"/>
      <c r="D37" s="579">
        <v>5</v>
      </c>
      <c r="E37" s="578"/>
      <c r="F37" s="570"/>
      <c r="G37" s="570"/>
      <c r="H37" s="570"/>
      <c r="I37" s="571"/>
    </row>
    <row r="38" spans="1:9">
      <c r="A38" s="515"/>
      <c r="B38" s="576" t="s">
        <v>10</v>
      </c>
      <c r="C38" s="570"/>
      <c r="D38" s="580"/>
      <c r="E38" s="581"/>
      <c r="F38" s="570"/>
      <c r="G38" s="570"/>
      <c r="H38" s="570"/>
      <c r="I38" s="582" t="s">
        <v>6</v>
      </c>
    </row>
    <row r="39" spans="1:9">
      <c r="A39" s="515"/>
      <c r="B39" s="583"/>
      <c r="C39" s="570"/>
      <c r="D39" s="570"/>
      <c r="E39" s="584"/>
      <c r="F39" s="570"/>
      <c r="G39" s="570"/>
      <c r="H39" s="570"/>
      <c r="I39" s="585"/>
    </row>
    <row r="40" spans="1:9">
      <c r="A40" s="515"/>
      <c r="B40" s="586" t="s">
        <v>0</v>
      </c>
      <c r="C40" s="570"/>
      <c r="D40" s="570"/>
      <c r="E40" s="570"/>
      <c r="F40" s="577"/>
      <c r="G40" s="570"/>
      <c r="H40" s="570"/>
      <c r="I40" s="587">
        <f>SUM(G42:G50)</f>
        <v>51.1</v>
      </c>
    </row>
    <row r="41" spans="1:9">
      <c r="A41" s="515"/>
      <c r="B41" s="588"/>
      <c r="C41" s="570"/>
      <c r="D41" s="589" t="s">
        <v>447</v>
      </c>
      <c r="E41" s="589" t="s">
        <v>448</v>
      </c>
      <c r="F41" s="589" t="s">
        <v>449</v>
      </c>
      <c r="G41" s="589" t="s">
        <v>450</v>
      </c>
      <c r="H41" s="570"/>
      <c r="I41" s="590"/>
    </row>
    <row r="42" spans="1:9">
      <c r="A42" s="515"/>
      <c r="B42" s="583"/>
      <c r="C42" s="578"/>
      <c r="D42" s="591"/>
      <c r="E42" s="592"/>
      <c r="F42" s="593"/>
      <c r="G42" s="594">
        <f t="shared" ref="G42:G50" si="2">+F42*E42</f>
        <v>0</v>
      </c>
      <c r="H42" s="570"/>
      <c r="I42" s="595"/>
    </row>
    <row r="43" spans="1:9">
      <c r="A43" s="515"/>
      <c r="B43" s="583" t="s">
        <v>451</v>
      </c>
      <c r="C43" s="578"/>
      <c r="D43" s="591" t="s">
        <v>452</v>
      </c>
      <c r="E43" s="592">
        <f>+'[15]Core Rates'!C203</f>
        <v>8.75</v>
      </c>
      <c r="F43" s="593">
        <v>0</v>
      </c>
      <c r="G43" s="594">
        <f t="shared" si="2"/>
        <v>0</v>
      </c>
      <c r="H43" s="570"/>
      <c r="I43" s="571"/>
    </row>
    <row r="44" spans="1:9">
      <c r="A44" s="515"/>
      <c r="B44" s="596" t="s">
        <v>453</v>
      </c>
      <c r="C44" s="578"/>
      <c r="D44" s="597" t="s">
        <v>454</v>
      </c>
      <c r="E44" s="592">
        <f>+'[15]Core Rates'!C228</f>
        <v>0.82427536231884069</v>
      </c>
      <c r="F44" s="593">
        <v>0</v>
      </c>
      <c r="G44" s="594">
        <f t="shared" si="2"/>
        <v>0</v>
      </c>
      <c r="H44" s="570"/>
      <c r="I44" s="571"/>
    </row>
    <row r="45" spans="1:9">
      <c r="A45" s="515"/>
      <c r="B45" s="598" t="s">
        <v>455</v>
      </c>
      <c r="C45" s="599"/>
      <c r="D45" s="597" t="s">
        <v>454</v>
      </c>
      <c r="E45" s="592">
        <f>+'[15]Core Rates'!C235</f>
        <v>1.1702898550724636</v>
      </c>
      <c r="F45" s="593">
        <v>0</v>
      </c>
      <c r="G45" s="594">
        <f t="shared" si="2"/>
        <v>0</v>
      </c>
      <c r="H45" s="570"/>
      <c r="I45" s="571"/>
    </row>
    <row r="46" spans="1:9">
      <c r="A46" s="515"/>
      <c r="B46" s="598" t="s">
        <v>456</v>
      </c>
      <c r="C46" s="599"/>
      <c r="D46" s="591" t="s">
        <v>454</v>
      </c>
      <c r="E46" s="592">
        <f>+'[15]Core Rates'!C246</f>
        <v>0.58825136612021856</v>
      </c>
      <c r="F46" s="593">
        <v>0</v>
      </c>
      <c r="G46" s="594">
        <f t="shared" si="2"/>
        <v>0</v>
      </c>
      <c r="H46" s="570"/>
      <c r="I46" s="571"/>
    </row>
    <row r="47" spans="1:9">
      <c r="A47" s="515"/>
      <c r="B47" s="600" t="str">
        <f>+'[15]Core Rates'!A309</f>
        <v>Seed (Native grass except Prairie Dropseed and Splitbeard Bluestem)</v>
      </c>
      <c r="C47" s="599"/>
      <c r="D47" s="597" t="s">
        <v>454</v>
      </c>
      <c r="E47" s="592">
        <f>+'[15]Core Rates 2011'!BE306</f>
        <v>8.57</v>
      </c>
      <c r="F47" s="593">
        <v>5</v>
      </c>
      <c r="G47" s="594">
        <f t="shared" si="2"/>
        <v>42.85</v>
      </c>
      <c r="H47" s="570"/>
      <c r="I47" s="571"/>
    </row>
    <row r="48" spans="1:9">
      <c r="A48" s="515"/>
      <c r="B48" s="600" t="str">
        <f>+'[15]Core Rates'!A307</f>
        <v>Seed (Prairie Dropseed)</v>
      </c>
      <c r="C48" s="599"/>
      <c r="D48" s="597" t="s">
        <v>454</v>
      </c>
      <c r="E48" s="592">
        <f>+'[15]Core Rates 2011'!BE304</f>
        <v>165.75</v>
      </c>
      <c r="F48" s="593">
        <v>0</v>
      </c>
      <c r="G48" s="594">
        <f t="shared" si="2"/>
        <v>0</v>
      </c>
      <c r="H48" s="570"/>
      <c r="I48" s="571"/>
    </row>
    <row r="49" spans="1:9">
      <c r="A49" s="515"/>
      <c r="B49" s="600" t="str">
        <f>+'[15]Core Rates'!A308</f>
        <v>Seed (Splitbeard Bluestem)</v>
      </c>
      <c r="C49" s="599"/>
      <c r="D49" s="597" t="s">
        <v>454</v>
      </c>
      <c r="E49" s="592">
        <f>+'[15]Core Rates 2011'!BE305</f>
        <v>78.666666666666671</v>
      </c>
      <c r="F49" s="593">
        <v>0</v>
      </c>
      <c r="G49" s="594">
        <f t="shared" si="2"/>
        <v>0</v>
      </c>
      <c r="H49" s="570"/>
      <c r="I49" s="571"/>
    </row>
    <row r="50" spans="1:9" s="515" customFormat="1">
      <c r="B50" s="596" t="str">
        <f>+'[15]Core Rates'!A312</f>
        <v>Seed (Red Clover)</v>
      </c>
      <c r="C50" s="578"/>
      <c r="D50" s="634" t="s">
        <v>454</v>
      </c>
      <c r="E50" s="592">
        <f>+'[15]Core Rates 2011'!BE309</f>
        <v>2.75</v>
      </c>
      <c r="F50" s="593">
        <v>3</v>
      </c>
      <c r="G50" s="594">
        <f t="shared" si="2"/>
        <v>8.25</v>
      </c>
      <c r="H50" s="570"/>
      <c r="I50" s="571"/>
    </row>
    <row r="51" spans="1:9">
      <c r="A51" s="515"/>
      <c r="B51" s="601"/>
      <c r="C51" s="578"/>
      <c r="D51" s="602"/>
      <c r="E51" s="570"/>
      <c r="F51" s="570"/>
      <c r="G51" s="570"/>
      <c r="H51" s="570"/>
      <c r="I51" s="571"/>
    </row>
    <row r="52" spans="1:9">
      <c r="A52" s="515"/>
      <c r="B52" s="574" t="s">
        <v>43</v>
      </c>
      <c r="C52" s="578"/>
      <c r="D52" s="602"/>
      <c r="E52" s="570"/>
      <c r="F52" s="570"/>
      <c r="G52" s="570"/>
      <c r="H52" s="570"/>
      <c r="I52" s="571"/>
    </row>
    <row r="53" spans="1:9">
      <c r="A53" s="515"/>
      <c r="B53" s="583" t="s">
        <v>457</v>
      </c>
      <c r="C53" s="578"/>
      <c r="D53" s="602"/>
      <c r="E53" s="570"/>
      <c r="F53" s="570"/>
      <c r="G53" s="570"/>
      <c r="H53" s="570"/>
      <c r="I53" s="571"/>
    </row>
    <row r="54" spans="1:9">
      <c r="A54" s="515"/>
      <c r="B54" s="583" t="s">
        <v>458</v>
      </c>
      <c r="C54" s="578"/>
      <c r="D54" s="602"/>
      <c r="E54" s="603"/>
      <c r="F54" s="570"/>
      <c r="G54" s="570"/>
      <c r="H54" s="570"/>
      <c r="I54" s="571"/>
    </row>
    <row r="55" spans="1:9">
      <c r="A55" s="515"/>
      <c r="B55" s="601"/>
      <c r="C55" s="578"/>
      <c r="D55" s="602"/>
      <c r="E55" s="570"/>
      <c r="F55" s="570"/>
      <c r="G55" s="570"/>
      <c r="H55" s="570"/>
      <c r="I55" s="571"/>
    </row>
    <row r="56" spans="1:9">
      <c r="A56" s="515"/>
      <c r="B56" s="586" t="s">
        <v>2</v>
      </c>
      <c r="C56" s="570"/>
      <c r="D56" s="570"/>
      <c r="E56" s="2017" t="s">
        <v>459</v>
      </c>
      <c r="F56" s="2017"/>
      <c r="G56" s="2017"/>
      <c r="H56" s="2017"/>
      <c r="I56" s="587">
        <f>(SUM(G58:G63)*0.85)</f>
        <v>105.39999999999999</v>
      </c>
    </row>
    <row r="57" spans="1:9">
      <c r="A57" s="515"/>
      <c r="B57" s="588"/>
      <c r="C57" s="570"/>
      <c r="D57" s="589" t="s">
        <v>447</v>
      </c>
      <c r="E57" s="589" t="s">
        <v>448</v>
      </c>
      <c r="F57" s="589" t="s">
        <v>449</v>
      </c>
      <c r="G57" s="589" t="s">
        <v>450</v>
      </c>
      <c r="H57" s="570"/>
      <c r="I57" s="590"/>
    </row>
    <row r="58" spans="1:9">
      <c r="A58" s="515"/>
      <c r="B58" s="604" t="s">
        <v>460</v>
      </c>
      <c r="C58" s="578"/>
      <c r="D58" s="591" t="s">
        <v>408</v>
      </c>
      <c r="E58" s="592">
        <f>+'[15]Core Rates 2011'!BE146</f>
        <v>36.5</v>
      </c>
      <c r="F58" s="593">
        <v>2</v>
      </c>
      <c r="G58" s="594">
        <f t="shared" ref="G58:G63" si="3">+F58*E58</f>
        <v>73</v>
      </c>
      <c r="H58" s="570"/>
      <c r="I58" s="595"/>
    </row>
    <row r="59" spans="1:9">
      <c r="A59" s="515"/>
      <c r="B59" s="583" t="s">
        <v>461</v>
      </c>
      <c r="C59" s="578"/>
      <c r="D59" s="591" t="s">
        <v>408</v>
      </c>
      <c r="E59" s="592">
        <f>+'[15]Core Rates'!C104</f>
        <v>20</v>
      </c>
      <c r="F59" s="593">
        <v>1</v>
      </c>
      <c r="G59" s="594">
        <f t="shared" si="3"/>
        <v>20</v>
      </c>
      <c r="H59" s="570"/>
      <c r="I59" s="595"/>
    </row>
    <row r="60" spans="1:9">
      <c r="A60" s="515"/>
      <c r="B60" s="604" t="str">
        <f>+'[15]Core Rates'!A216</f>
        <v>Mowing</v>
      </c>
      <c r="C60" s="578"/>
      <c r="D60" s="605" t="s">
        <v>408</v>
      </c>
      <c r="E60" s="605">
        <f>+'[15]Core Rates'!C216</f>
        <v>15.5</v>
      </c>
      <c r="F60" s="593">
        <v>2</v>
      </c>
      <c r="G60" s="594">
        <f t="shared" si="3"/>
        <v>31</v>
      </c>
      <c r="H60" s="570"/>
      <c r="I60" s="595"/>
    </row>
    <row r="61" spans="1:9">
      <c r="A61" s="515"/>
      <c r="B61" s="583" t="s">
        <v>462</v>
      </c>
      <c r="C61" s="578"/>
      <c r="D61" s="591" t="s">
        <v>408</v>
      </c>
      <c r="E61" s="592">
        <f>+'[15]Core Rates'!AN33</f>
        <v>5.416666666666667</v>
      </c>
      <c r="F61" s="593">
        <v>0</v>
      </c>
      <c r="G61" s="594">
        <f t="shared" si="3"/>
        <v>0</v>
      </c>
      <c r="H61" s="570"/>
      <c r="I61" s="595"/>
    </row>
    <row r="62" spans="1:9">
      <c r="A62" s="515"/>
      <c r="B62" s="583" t="s">
        <v>463</v>
      </c>
      <c r="C62" s="578"/>
      <c r="D62" s="591" t="s">
        <v>452</v>
      </c>
      <c r="E62" s="592">
        <f>+'[15]Core Rates'!AN34</f>
        <v>5.5</v>
      </c>
      <c r="F62" s="593">
        <v>0</v>
      </c>
      <c r="G62" s="594">
        <f t="shared" si="3"/>
        <v>0</v>
      </c>
      <c r="H62" s="570"/>
      <c r="I62" s="595"/>
    </row>
    <row r="63" spans="1:9">
      <c r="A63" s="515"/>
      <c r="B63" s="583" t="s">
        <v>464</v>
      </c>
      <c r="C63" s="578"/>
      <c r="D63" s="591" t="s">
        <v>452</v>
      </c>
      <c r="E63" s="592">
        <f>+'[15]Core Rates'!AN32</f>
        <v>6.3125</v>
      </c>
      <c r="F63" s="593">
        <v>0</v>
      </c>
      <c r="G63" s="594">
        <f t="shared" si="3"/>
        <v>0</v>
      </c>
      <c r="H63" s="570"/>
      <c r="I63" s="595"/>
    </row>
    <row r="64" spans="1:9">
      <c r="A64" s="515"/>
      <c r="B64" s="583"/>
      <c r="C64" s="578"/>
      <c r="D64" s="606"/>
      <c r="E64" s="607"/>
      <c r="F64" s="607"/>
      <c r="G64" s="592"/>
      <c r="H64" s="570"/>
      <c r="I64" s="595"/>
    </row>
    <row r="65" spans="1:9">
      <c r="A65" s="515"/>
      <c r="B65" s="574" t="s">
        <v>43</v>
      </c>
      <c r="C65" s="570"/>
      <c r="D65" s="570"/>
      <c r="E65" s="608"/>
      <c r="F65" s="608"/>
      <c r="G65" s="608"/>
      <c r="H65" s="570"/>
      <c r="I65" s="590"/>
    </row>
    <row r="66" spans="1:9" ht="12.75" customHeight="1">
      <c r="A66" s="515"/>
      <c r="B66" s="2018" t="s">
        <v>457</v>
      </c>
      <c r="C66" s="2019"/>
      <c r="D66" s="2019"/>
      <c r="E66" s="2019"/>
      <c r="F66" s="2019"/>
      <c r="G66" s="2019"/>
      <c r="H66" s="2019"/>
      <c r="I66" s="2020"/>
    </row>
    <row r="67" spans="1:9">
      <c r="A67" s="515"/>
      <c r="B67" s="2018"/>
      <c r="C67" s="2019"/>
      <c r="D67" s="2019"/>
      <c r="E67" s="2019"/>
      <c r="F67" s="2019"/>
      <c r="G67" s="2019"/>
      <c r="H67" s="2019"/>
      <c r="I67" s="2020"/>
    </row>
    <row r="68" spans="1:9">
      <c r="A68" s="515"/>
      <c r="B68" s="609"/>
      <c r="C68" s="610"/>
      <c r="D68" s="610"/>
      <c r="E68" s="610"/>
      <c r="F68" s="610"/>
      <c r="G68" s="610"/>
      <c r="H68" s="610"/>
      <c r="I68" s="611"/>
    </row>
    <row r="69" spans="1:9">
      <c r="A69" s="515"/>
      <c r="B69" s="609"/>
      <c r="C69" s="610"/>
      <c r="D69" s="610"/>
      <c r="E69" s="610"/>
      <c r="F69" s="610"/>
      <c r="G69" s="610"/>
      <c r="H69" s="610"/>
      <c r="I69" s="611"/>
    </row>
    <row r="70" spans="1:9">
      <c r="A70" s="515"/>
      <c r="B70" s="586" t="s">
        <v>3</v>
      </c>
      <c r="C70" s="570"/>
      <c r="D70" s="570"/>
      <c r="E70" s="570"/>
      <c r="F70" s="577"/>
      <c r="G70" s="570"/>
      <c r="H70" s="570"/>
      <c r="I70" s="612">
        <f>E72</f>
        <v>18.599999999999998</v>
      </c>
    </row>
    <row r="71" spans="1:9">
      <c r="A71" s="515"/>
      <c r="B71" s="2021" t="s">
        <v>465</v>
      </c>
      <c r="C71" s="2022"/>
      <c r="D71" s="570"/>
      <c r="E71" s="570"/>
      <c r="F71" s="570"/>
      <c r="G71" s="570"/>
      <c r="H71" s="570"/>
      <c r="I71" s="613"/>
    </row>
    <row r="72" spans="1:9">
      <c r="A72" s="515"/>
      <c r="B72" s="574" t="s">
        <v>466</v>
      </c>
      <c r="C72" s="577"/>
      <c r="D72" s="577"/>
      <c r="E72" s="614">
        <f>SUM(G58:G63)*0.15</f>
        <v>18.599999999999998</v>
      </c>
      <c r="F72" s="570"/>
      <c r="G72" s="570"/>
      <c r="H72" s="570"/>
      <c r="I72" s="590"/>
    </row>
    <row r="73" spans="1:9">
      <c r="A73" s="515"/>
      <c r="B73" s="574"/>
      <c r="C73" s="577"/>
      <c r="D73" s="615"/>
      <c r="E73" s="614"/>
      <c r="F73" s="570"/>
      <c r="G73" s="570"/>
      <c r="H73" s="570"/>
      <c r="I73" s="590"/>
    </row>
    <row r="74" spans="1:9">
      <c r="A74" s="515"/>
      <c r="B74" s="574"/>
      <c r="C74" s="577"/>
      <c r="D74" s="616"/>
      <c r="E74" s="614"/>
      <c r="F74" s="570"/>
      <c r="G74" s="570"/>
      <c r="H74" s="570"/>
      <c r="I74" s="590"/>
    </row>
    <row r="75" spans="1:9">
      <c r="A75" s="515"/>
      <c r="B75" s="575"/>
      <c r="C75" s="570"/>
      <c r="D75" s="570"/>
      <c r="E75" s="570"/>
      <c r="F75" s="570"/>
      <c r="G75" s="570"/>
      <c r="H75" s="570"/>
      <c r="I75" s="571"/>
    </row>
    <row r="76" spans="1:9">
      <c r="A76" s="515"/>
      <c r="B76" s="586" t="s">
        <v>4</v>
      </c>
      <c r="C76" s="570"/>
      <c r="D76" s="570"/>
      <c r="E76" s="570"/>
      <c r="F76" s="570"/>
      <c r="G76" s="570"/>
      <c r="H76" s="570"/>
      <c r="I76" s="612">
        <f>0.03*(I40+I56+I70)</f>
        <v>5.2529999999999992</v>
      </c>
    </row>
    <row r="77" spans="1:9">
      <c r="A77" s="515"/>
      <c r="B77" s="575" t="s">
        <v>467</v>
      </c>
      <c r="C77" s="570"/>
      <c r="D77" s="570"/>
      <c r="E77" s="570"/>
      <c r="F77" s="570"/>
      <c r="G77" s="570"/>
      <c r="H77" s="570"/>
      <c r="I77" s="571"/>
    </row>
    <row r="78" spans="1:9">
      <c r="A78" s="515"/>
      <c r="B78" s="574"/>
      <c r="C78" s="570"/>
      <c r="D78" s="570"/>
      <c r="E78" s="570"/>
      <c r="F78" s="570"/>
      <c r="G78" s="570"/>
      <c r="H78" s="570"/>
      <c r="I78" s="571"/>
    </row>
    <row r="79" spans="1:9">
      <c r="A79" s="515"/>
      <c r="B79" s="586" t="s">
        <v>468</v>
      </c>
      <c r="C79" s="570"/>
      <c r="D79" s="570"/>
      <c r="E79" s="570"/>
      <c r="F79" s="570"/>
      <c r="G79" s="570"/>
      <c r="H79" s="570"/>
      <c r="I79" s="612">
        <f>+'[15]Core Rates'!C216</f>
        <v>15.5</v>
      </c>
    </row>
    <row r="80" spans="1:9">
      <c r="A80" s="515"/>
      <c r="B80" s="575" t="s">
        <v>469</v>
      </c>
      <c r="C80" s="570"/>
      <c r="D80" s="570"/>
      <c r="E80" s="570"/>
      <c r="F80" s="570"/>
      <c r="G80" s="570"/>
      <c r="H80" s="570"/>
      <c r="I80" s="571"/>
    </row>
    <row r="81" spans="1:9">
      <c r="A81" s="515"/>
      <c r="B81" s="574"/>
      <c r="C81" s="570"/>
      <c r="D81" s="570"/>
      <c r="E81" s="570"/>
      <c r="F81" s="570"/>
      <c r="G81" s="570"/>
      <c r="H81" s="570"/>
      <c r="I81" s="571"/>
    </row>
    <row r="82" spans="1:9">
      <c r="A82" s="515"/>
      <c r="B82" s="586" t="s">
        <v>7</v>
      </c>
      <c r="C82" s="570"/>
      <c r="D82" s="570"/>
      <c r="E82" s="570"/>
      <c r="F82" s="570"/>
      <c r="G82" s="570"/>
      <c r="H82" s="570"/>
      <c r="I82" s="587">
        <v>0</v>
      </c>
    </row>
    <row r="83" spans="1:9">
      <c r="A83" s="515"/>
      <c r="B83" s="575" t="s">
        <v>470</v>
      </c>
      <c r="C83" s="570"/>
      <c r="D83" s="570"/>
      <c r="E83" s="570"/>
      <c r="F83" s="570"/>
      <c r="G83" s="570"/>
      <c r="H83" s="570"/>
      <c r="I83" s="571"/>
    </row>
    <row r="84" spans="1:9">
      <c r="A84" s="515"/>
      <c r="B84" s="574"/>
      <c r="C84" s="570"/>
      <c r="D84" s="570"/>
      <c r="E84" s="570"/>
      <c r="F84" s="570"/>
      <c r="G84" s="570"/>
      <c r="H84" s="570"/>
      <c r="I84" s="571"/>
    </row>
    <row r="85" spans="1:9">
      <c r="A85" s="515"/>
      <c r="B85" s="586" t="s">
        <v>471</v>
      </c>
      <c r="C85" s="570"/>
      <c r="D85" s="570"/>
      <c r="E85" s="570"/>
      <c r="F85" s="577"/>
      <c r="G85" s="570"/>
      <c r="H85" s="570"/>
      <c r="I85" s="587">
        <f>E87*3</f>
        <v>180</v>
      </c>
    </row>
    <row r="86" spans="1:9">
      <c r="A86" s="515"/>
      <c r="B86" s="617" t="s">
        <v>472</v>
      </c>
      <c r="C86" s="570"/>
      <c r="D86" s="570"/>
      <c r="E86" s="570"/>
      <c r="F86" s="570"/>
      <c r="G86" s="570"/>
      <c r="H86" s="570"/>
      <c r="I86" s="595"/>
    </row>
    <row r="87" spans="1:9">
      <c r="A87" s="515"/>
      <c r="B87" s="617"/>
      <c r="C87" s="570"/>
      <c r="D87" s="570"/>
      <c r="E87" s="570">
        <v>60</v>
      </c>
      <c r="F87" s="570"/>
      <c r="G87" s="570"/>
      <c r="H87" s="570"/>
      <c r="I87" s="595"/>
    </row>
    <row r="88" spans="1:9">
      <c r="A88" s="515"/>
      <c r="B88" s="574"/>
      <c r="C88" s="570"/>
      <c r="D88" s="570"/>
      <c r="E88" s="570"/>
      <c r="F88" s="570"/>
      <c r="G88" s="570"/>
      <c r="H88" s="570"/>
      <c r="I88" s="571"/>
    </row>
    <row r="89" spans="1:9">
      <c r="A89" s="515"/>
      <c r="B89" s="586" t="s">
        <v>5</v>
      </c>
      <c r="C89" s="570"/>
      <c r="D89" s="570"/>
      <c r="E89" s="570"/>
      <c r="F89" s="570"/>
      <c r="G89" s="570"/>
      <c r="H89" s="570"/>
      <c r="I89" s="587">
        <v>0</v>
      </c>
    </row>
    <row r="90" spans="1:9">
      <c r="A90" s="515"/>
      <c r="B90" s="575" t="s">
        <v>104</v>
      </c>
      <c r="C90" s="570"/>
      <c r="D90" s="570"/>
      <c r="E90" s="570"/>
      <c r="F90" s="570"/>
      <c r="G90" s="570"/>
      <c r="H90" s="570"/>
      <c r="I90" s="595"/>
    </row>
    <row r="91" spans="1:9">
      <c r="A91" s="515"/>
      <c r="B91" s="574"/>
      <c r="C91" s="570"/>
      <c r="D91" s="570"/>
      <c r="E91" s="570"/>
      <c r="F91" s="570"/>
      <c r="G91" s="570"/>
      <c r="H91" s="570"/>
      <c r="I91" s="571"/>
    </row>
    <row r="92" spans="1:9">
      <c r="A92" s="515"/>
      <c r="B92" s="586" t="s">
        <v>20</v>
      </c>
      <c r="C92" s="570"/>
      <c r="D92" s="570"/>
      <c r="E92" s="570"/>
      <c r="F92" s="570"/>
      <c r="G92" s="570"/>
      <c r="H92" s="570"/>
      <c r="I92" s="587">
        <v>0</v>
      </c>
    </row>
    <row r="93" spans="1:9">
      <c r="A93" s="515"/>
      <c r="B93" s="575" t="s">
        <v>104</v>
      </c>
      <c r="C93" s="570"/>
      <c r="D93" s="570"/>
      <c r="E93" s="570"/>
      <c r="F93" s="570"/>
      <c r="G93" s="570"/>
      <c r="H93" s="570"/>
      <c r="I93" s="571"/>
    </row>
    <row r="94" spans="1:9">
      <c r="A94" s="515"/>
      <c r="B94" s="583"/>
      <c r="C94" s="570"/>
      <c r="D94" s="570"/>
      <c r="E94" s="570"/>
      <c r="F94" s="570"/>
      <c r="G94" s="570"/>
      <c r="H94" s="570"/>
      <c r="I94" s="571"/>
    </row>
    <row r="95" spans="1:9">
      <c r="A95" s="515"/>
      <c r="B95" s="586" t="s">
        <v>473</v>
      </c>
      <c r="C95" s="570"/>
      <c r="D95" s="570"/>
      <c r="E95" s="570"/>
      <c r="F95" s="570"/>
      <c r="G95" s="570"/>
      <c r="H95" s="570"/>
      <c r="I95" s="618">
        <f>+I40+I56+I70+I76+I82+I92</f>
        <v>180.35299999999998</v>
      </c>
    </row>
    <row r="96" spans="1:9" ht="15.75">
      <c r="A96" s="515"/>
      <c r="B96" s="575" t="s">
        <v>474</v>
      </c>
      <c r="C96" s="570"/>
      <c r="D96" s="570"/>
      <c r="E96" s="570"/>
      <c r="F96" s="570"/>
      <c r="G96" s="570"/>
      <c r="H96" s="570"/>
      <c r="I96" s="571"/>
    </row>
    <row r="97" spans="1:9">
      <c r="A97" s="515"/>
      <c r="B97" s="583"/>
      <c r="C97" s="570"/>
      <c r="D97" s="570"/>
      <c r="E97" s="570"/>
      <c r="F97" s="570"/>
      <c r="G97" s="570"/>
      <c r="H97" s="570"/>
      <c r="I97" s="571"/>
    </row>
    <row r="98" spans="1:9">
      <c r="A98" s="515"/>
      <c r="B98" s="619" t="s">
        <v>11</v>
      </c>
      <c r="C98" s="620"/>
      <c r="D98" s="620"/>
      <c r="E98" s="620"/>
      <c r="F98" s="620"/>
      <c r="G98" s="620"/>
      <c r="H98" s="620"/>
      <c r="I98" s="621">
        <f>SUM(I40:I92)</f>
        <v>375.85299999999995</v>
      </c>
    </row>
  </sheetData>
  <mergeCells count="4">
    <mergeCell ref="B1:D1"/>
    <mergeCell ref="E56:H56"/>
    <mergeCell ref="B66:I67"/>
    <mergeCell ref="B71:C71"/>
  </mergeCells>
  <pageMargins left="0.75" right="0.75" top="1" bottom="1" header="0.5" footer="0.5"/>
  <pageSetup scale="46" orientation="portrait" r:id="rId1"/>
  <headerFooter alignWithMargins="0"/>
</worksheet>
</file>

<file path=xl/worksheets/sheet68.xml><?xml version="1.0" encoding="utf-8"?>
<worksheet xmlns="http://schemas.openxmlformats.org/spreadsheetml/2006/main" xmlns:r="http://schemas.openxmlformats.org/officeDocument/2006/relationships">
  <sheetPr>
    <pageSetUpPr fitToPage="1"/>
  </sheetPr>
  <dimension ref="A1:L96"/>
  <sheetViews>
    <sheetView zoomScale="75" zoomScaleNormal="75" workbookViewId="0">
      <selection activeCell="B6" sqref="B6:D9"/>
    </sheetView>
  </sheetViews>
  <sheetFormatPr defaultRowHeight="12.75"/>
  <cols>
    <col min="1" max="1" width="1.85546875" style="517" customWidth="1"/>
    <col min="2" max="2" width="9.140625" style="517"/>
    <col min="3" max="3" width="24.140625" style="517" customWidth="1"/>
    <col min="4" max="4" width="23.140625" style="517" customWidth="1"/>
    <col min="5" max="5" width="54.28515625" style="517" bestFit="1" customWidth="1"/>
    <col min="6" max="6" width="10.42578125" style="517" customWidth="1"/>
    <col min="7"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8"/>
      <c r="I2" s="515"/>
    </row>
    <row r="3" spans="1:12" ht="15.75">
      <c r="A3" s="515"/>
      <c r="B3" s="519" t="s">
        <v>17</v>
      </c>
      <c r="C3" s="515"/>
      <c r="D3" s="515"/>
      <c r="E3" s="515"/>
      <c r="F3" s="515"/>
      <c r="G3" s="515"/>
      <c r="H3" s="515"/>
      <c r="I3" s="515"/>
    </row>
    <row r="4" spans="1:12">
      <c r="A4" s="515"/>
      <c r="B4" s="520" t="s">
        <v>1</v>
      </c>
      <c r="C4" s="521" t="s">
        <v>21</v>
      </c>
      <c r="D4" s="522"/>
      <c r="E4" s="522"/>
      <c r="F4" s="522"/>
      <c r="G4" s="523" t="s">
        <v>12</v>
      </c>
    </row>
    <row r="5" spans="1:12">
      <c r="A5" s="515"/>
      <c r="B5" s="524" t="s">
        <v>13</v>
      </c>
      <c r="C5" s="525" t="s">
        <v>22</v>
      </c>
      <c r="D5" s="525" t="s">
        <v>29</v>
      </c>
      <c r="E5" s="525" t="s">
        <v>30</v>
      </c>
      <c r="F5" s="525" t="s">
        <v>23</v>
      </c>
      <c r="G5" s="526" t="s">
        <v>14</v>
      </c>
    </row>
    <row r="6" spans="1:12">
      <c r="A6" s="515"/>
      <c r="B6" s="631">
        <v>327</v>
      </c>
      <c r="C6" s="531" t="str">
        <f>+E12</f>
        <v>EQIP</v>
      </c>
      <c r="D6" s="632" t="s">
        <v>483</v>
      </c>
      <c r="E6" s="622" t="s">
        <v>488</v>
      </c>
      <c r="F6" s="531" t="s">
        <v>394</v>
      </c>
      <c r="G6" s="532">
        <f>+I25</f>
        <v>151.09327500000001</v>
      </c>
    </row>
    <row r="7" spans="1:12">
      <c r="A7" s="515"/>
      <c r="B7" s="631">
        <f>+B6</f>
        <v>327</v>
      </c>
      <c r="C7" s="531" t="str">
        <f>+C6</f>
        <v>EQIP</v>
      </c>
      <c r="D7" s="632" t="s">
        <v>483</v>
      </c>
      <c r="E7" s="622" t="str">
        <f>CONCATENATE(E6, "-HU")</f>
        <v>Native Grass - 1# Forbs Mix -HU</v>
      </c>
      <c r="F7" s="531" t="str">
        <f>+F6</f>
        <v>Acre</v>
      </c>
      <c r="G7" s="532">
        <f>+J25</f>
        <v>181.31193000000002</v>
      </c>
    </row>
    <row r="8" spans="1:12">
      <c r="A8" s="515"/>
      <c r="B8" s="631">
        <v>327</v>
      </c>
      <c r="C8" s="531" t="str">
        <f>+G12</f>
        <v>WHIP</v>
      </c>
      <c r="D8" s="632" t="s">
        <v>483</v>
      </c>
      <c r="E8" s="622" t="s">
        <v>489</v>
      </c>
      <c r="F8" s="531" t="s">
        <v>394</v>
      </c>
      <c r="G8" s="532">
        <f>+K25</f>
        <v>151.09327500000001</v>
      </c>
    </row>
    <row r="9" spans="1:12">
      <c r="A9" s="515"/>
      <c r="B9" s="633">
        <f>+B8</f>
        <v>327</v>
      </c>
      <c r="C9" s="536" t="str">
        <f>+C8</f>
        <v>WHIP</v>
      </c>
      <c r="D9" s="632" t="s">
        <v>483</v>
      </c>
      <c r="E9" s="623" t="str">
        <f>CONCATENATE(E6, "-HU")</f>
        <v>Native Grass - 1# Forbs Mix -HU</v>
      </c>
      <c r="F9" s="536" t="str">
        <f>+F8</f>
        <v>Acre</v>
      </c>
      <c r="G9" s="537">
        <f>+L25</f>
        <v>181.31193000000002</v>
      </c>
    </row>
    <row r="10" spans="1:12">
      <c r="A10" s="515"/>
      <c r="B10" s="538"/>
      <c r="C10" s="539"/>
      <c r="D10" s="539"/>
      <c r="E10" s="515"/>
      <c r="F10" s="515"/>
    </row>
    <row r="11" spans="1:12" ht="15.75">
      <c r="A11" s="515"/>
      <c r="B11" s="519" t="s">
        <v>18</v>
      </c>
      <c r="C11" s="539"/>
      <c r="D11" s="539"/>
      <c r="E11" s="515"/>
      <c r="F11" s="515"/>
    </row>
    <row r="12" spans="1:12">
      <c r="A12" s="515"/>
      <c r="B12" s="540"/>
      <c r="C12" s="541"/>
      <c r="D12" s="542"/>
      <c r="E12" s="543" t="s">
        <v>15</v>
      </c>
      <c r="F12" s="543" t="s">
        <v>31</v>
      </c>
      <c r="G12" s="543" t="s">
        <v>86</v>
      </c>
      <c r="H12" s="543" t="s">
        <v>441</v>
      </c>
      <c r="I12" s="543"/>
      <c r="J12" s="543"/>
      <c r="K12" s="543"/>
      <c r="L12" s="624"/>
    </row>
    <row r="13" spans="1:12">
      <c r="A13" s="515"/>
      <c r="B13" s="544"/>
      <c r="C13" s="545"/>
      <c r="D13" s="546"/>
      <c r="E13" s="547" t="s">
        <v>22</v>
      </c>
      <c r="F13" s="547" t="s">
        <v>22</v>
      </c>
      <c r="G13" s="547" t="s">
        <v>22</v>
      </c>
      <c r="H13" s="547" t="s">
        <v>22</v>
      </c>
      <c r="I13" s="547" t="s">
        <v>15</v>
      </c>
      <c r="J13" s="547" t="s">
        <v>31</v>
      </c>
      <c r="K13" s="547" t="s">
        <v>86</v>
      </c>
      <c r="L13" s="625" t="s">
        <v>441</v>
      </c>
    </row>
    <row r="14" spans="1:12">
      <c r="A14" s="515"/>
      <c r="B14" s="548"/>
      <c r="C14" s="546"/>
      <c r="D14" s="546"/>
      <c r="E14" s="547" t="s">
        <v>12</v>
      </c>
      <c r="F14" s="547" t="s">
        <v>12</v>
      </c>
      <c r="G14" s="547" t="s">
        <v>12</v>
      </c>
      <c r="H14" s="547" t="s">
        <v>12</v>
      </c>
      <c r="I14" s="547" t="s">
        <v>12</v>
      </c>
      <c r="J14" s="547" t="s">
        <v>12</v>
      </c>
      <c r="K14" s="547" t="s">
        <v>12</v>
      </c>
      <c r="L14" s="625" t="s">
        <v>12</v>
      </c>
    </row>
    <row r="15" spans="1:12">
      <c r="A15" s="515"/>
      <c r="B15" s="549" t="s">
        <v>16</v>
      </c>
      <c r="C15" s="546"/>
      <c r="D15" s="550" t="s">
        <v>6</v>
      </c>
      <c r="E15" s="551" t="s">
        <v>24</v>
      </c>
      <c r="F15" s="551" t="s">
        <v>24</v>
      </c>
      <c r="G15" s="551" t="s">
        <v>24</v>
      </c>
      <c r="H15" s="551" t="s">
        <v>24</v>
      </c>
      <c r="I15" s="551" t="s">
        <v>14</v>
      </c>
      <c r="J15" s="551" t="s">
        <v>14</v>
      </c>
      <c r="K15" s="551" t="s">
        <v>14</v>
      </c>
      <c r="L15" s="626" t="s">
        <v>14</v>
      </c>
    </row>
    <row r="16" spans="1:12">
      <c r="A16" s="515"/>
      <c r="B16" s="544" t="s">
        <v>0</v>
      </c>
      <c r="C16" s="546"/>
      <c r="D16" s="552">
        <f>+I40</f>
        <v>71.59</v>
      </c>
      <c r="E16" s="553">
        <f>+'[10]Payment Factors'!D14</f>
        <v>0.75</v>
      </c>
      <c r="F16" s="553">
        <f>+'[10]Payment Factors'!E14</f>
        <v>0.9</v>
      </c>
      <c r="G16" s="553">
        <f>+'[10]Payment Factors'!F14</f>
        <v>0.75</v>
      </c>
      <c r="H16" s="553">
        <f>+'[10]Payment Factors'!G14</f>
        <v>0.9</v>
      </c>
      <c r="I16" s="554">
        <f t="shared" ref="I16:L24" si="0">+$D16*E16</f>
        <v>53.692500000000003</v>
      </c>
      <c r="J16" s="554">
        <f t="shared" si="0"/>
        <v>64.431000000000012</v>
      </c>
      <c r="K16" s="554">
        <f t="shared" si="0"/>
        <v>53.692500000000003</v>
      </c>
      <c r="L16" s="627">
        <f t="shared" si="0"/>
        <v>64.431000000000012</v>
      </c>
    </row>
    <row r="17" spans="1:12">
      <c r="A17" s="515"/>
      <c r="B17" s="544" t="s">
        <v>2</v>
      </c>
      <c r="C17" s="546"/>
      <c r="D17" s="552">
        <f>+I54</f>
        <v>105.39999999999999</v>
      </c>
      <c r="E17" s="553">
        <f t="shared" ref="E17:H19" si="1">+E16</f>
        <v>0.75</v>
      </c>
      <c r="F17" s="553">
        <f t="shared" si="1"/>
        <v>0.9</v>
      </c>
      <c r="G17" s="553">
        <f t="shared" si="1"/>
        <v>0.75</v>
      </c>
      <c r="H17" s="553">
        <f t="shared" si="1"/>
        <v>0.9</v>
      </c>
      <c r="I17" s="554">
        <f t="shared" si="0"/>
        <v>79.05</v>
      </c>
      <c r="J17" s="554">
        <f t="shared" si="0"/>
        <v>94.86</v>
      </c>
      <c r="K17" s="554">
        <f t="shared" si="0"/>
        <v>79.05</v>
      </c>
      <c r="L17" s="627">
        <f t="shared" si="0"/>
        <v>94.86</v>
      </c>
    </row>
    <row r="18" spans="1:12">
      <c r="A18" s="515"/>
      <c r="B18" s="544" t="s">
        <v>3</v>
      </c>
      <c r="C18" s="546"/>
      <c r="D18" s="552">
        <f>+I68</f>
        <v>18.599999999999998</v>
      </c>
      <c r="E18" s="553">
        <f t="shared" si="1"/>
        <v>0.75</v>
      </c>
      <c r="F18" s="553">
        <f t="shared" si="1"/>
        <v>0.9</v>
      </c>
      <c r="G18" s="553">
        <f t="shared" si="1"/>
        <v>0.75</v>
      </c>
      <c r="H18" s="553">
        <f t="shared" si="1"/>
        <v>0.9</v>
      </c>
      <c r="I18" s="554">
        <f t="shared" si="0"/>
        <v>13.95</v>
      </c>
      <c r="J18" s="554">
        <f t="shared" si="0"/>
        <v>16.739999999999998</v>
      </c>
      <c r="K18" s="554">
        <f t="shared" si="0"/>
        <v>13.95</v>
      </c>
      <c r="L18" s="627">
        <f t="shared" si="0"/>
        <v>16.739999999999998</v>
      </c>
    </row>
    <row r="19" spans="1:12">
      <c r="A19" s="515"/>
      <c r="B19" s="544" t="s">
        <v>4</v>
      </c>
      <c r="C19" s="546"/>
      <c r="D19" s="552">
        <f>+I74</f>
        <v>5.8677000000000001</v>
      </c>
      <c r="E19" s="553">
        <f t="shared" si="1"/>
        <v>0.75</v>
      </c>
      <c r="F19" s="553">
        <f t="shared" si="1"/>
        <v>0.9</v>
      </c>
      <c r="G19" s="553">
        <f t="shared" si="1"/>
        <v>0.75</v>
      </c>
      <c r="H19" s="553">
        <f t="shared" si="1"/>
        <v>0.9</v>
      </c>
      <c r="I19" s="554">
        <f t="shared" si="0"/>
        <v>4.4007750000000003</v>
      </c>
      <c r="J19" s="554">
        <f t="shared" si="0"/>
        <v>5.2809300000000006</v>
      </c>
      <c r="K19" s="554">
        <f t="shared" si="0"/>
        <v>4.4007750000000003</v>
      </c>
      <c r="L19" s="627">
        <f t="shared" si="0"/>
        <v>5.2809300000000006</v>
      </c>
    </row>
    <row r="20" spans="1:12">
      <c r="A20" s="515"/>
      <c r="B20" s="544" t="s">
        <v>26</v>
      </c>
      <c r="C20" s="546"/>
      <c r="D20" s="552">
        <f>+I77</f>
        <v>15.5</v>
      </c>
      <c r="E20" s="553">
        <v>0</v>
      </c>
      <c r="F20" s="553">
        <v>0</v>
      </c>
      <c r="G20" s="553">
        <v>0</v>
      </c>
      <c r="H20" s="553">
        <v>0</v>
      </c>
      <c r="I20" s="554">
        <f t="shared" si="0"/>
        <v>0</v>
      </c>
      <c r="J20" s="554">
        <f t="shared" si="0"/>
        <v>0</v>
      </c>
      <c r="K20" s="554">
        <f t="shared" si="0"/>
        <v>0</v>
      </c>
      <c r="L20" s="627">
        <f t="shared" si="0"/>
        <v>0</v>
      </c>
    </row>
    <row r="21" spans="1:12">
      <c r="A21" s="515"/>
      <c r="B21" s="544" t="s">
        <v>7</v>
      </c>
      <c r="C21" s="546"/>
      <c r="D21" s="552">
        <f>+I80</f>
        <v>0</v>
      </c>
      <c r="E21" s="553">
        <v>0</v>
      </c>
      <c r="F21" s="553">
        <v>0</v>
      </c>
      <c r="G21" s="553">
        <v>0</v>
      </c>
      <c r="H21" s="553">
        <v>0</v>
      </c>
      <c r="I21" s="554">
        <f t="shared" si="0"/>
        <v>0</v>
      </c>
      <c r="J21" s="554">
        <f t="shared" si="0"/>
        <v>0</v>
      </c>
      <c r="K21" s="554">
        <f t="shared" si="0"/>
        <v>0</v>
      </c>
      <c r="L21" s="627">
        <f t="shared" si="0"/>
        <v>0</v>
      </c>
    </row>
    <row r="22" spans="1:12">
      <c r="A22" s="515"/>
      <c r="B22" s="544" t="s">
        <v>27</v>
      </c>
      <c r="C22" s="546"/>
      <c r="D22" s="552">
        <f>+I83</f>
        <v>180</v>
      </c>
      <c r="E22" s="553">
        <v>0</v>
      </c>
      <c r="F22" s="553">
        <v>0</v>
      </c>
      <c r="G22" s="553">
        <v>0</v>
      </c>
      <c r="H22" s="553">
        <v>0</v>
      </c>
      <c r="I22" s="554">
        <f t="shared" si="0"/>
        <v>0</v>
      </c>
      <c r="J22" s="554">
        <f t="shared" si="0"/>
        <v>0</v>
      </c>
      <c r="K22" s="554">
        <f t="shared" si="0"/>
        <v>0</v>
      </c>
      <c r="L22" s="627">
        <f t="shared" si="0"/>
        <v>0</v>
      </c>
    </row>
    <row r="23" spans="1:12">
      <c r="A23" s="515"/>
      <c r="B23" s="544" t="s">
        <v>5</v>
      </c>
      <c r="C23" s="546"/>
      <c r="D23" s="552">
        <f>+I87</f>
        <v>0</v>
      </c>
      <c r="E23" s="553">
        <v>0</v>
      </c>
      <c r="F23" s="553">
        <v>0</v>
      </c>
      <c r="G23" s="553">
        <v>0</v>
      </c>
      <c r="H23" s="553">
        <v>0</v>
      </c>
      <c r="I23" s="554">
        <f t="shared" si="0"/>
        <v>0</v>
      </c>
      <c r="J23" s="554">
        <f t="shared" si="0"/>
        <v>0</v>
      </c>
      <c r="K23" s="554">
        <f t="shared" si="0"/>
        <v>0</v>
      </c>
      <c r="L23" s="627">
        <f t="shared" si="0"/>
        <v>0</v>
      </c>
    </row>
    <row r="24" spans="1:12">
      <c r="A24" s="515"/>
      <c r="B24" s="544" t="s">
        <v>20</v>
      </c>
      <c r="C24" s="546"/>
      <c r="D24" s="555">
        <f>+I90</f>
        <v>0</v>
      </c>
      <c r="E24" s="553">
        <v>0</v>
      </c>
      <c r="F24" s="553">
        <v>0</v>
      </c>
      <c r="G24" s="553">
        <v>0</v>
      </c>
      <c r="H24" s="553">
        <v>0</v>
      </c>
      <c r="I24" s="556">
        <f t="shared" si="0"/>
        <v>0</v>
      </c>
      <c r="J24" s="556">
        <f t="shared" si="0"/>
        <v>0</v>
      </c>
      <c r="K24" s="556">
        <f t="shared" si="0"/>
        <v>0</v>
      </c>
      <c r="L24" s="628">
        <f t="shared" si="0"/>
        <v>0</v>
      </c>
    </row>
    <row r="25" spans="1:12">
      <c r="A25" s="515"/>
      <c r="B25" s="557" t="s">
        <v>19</v>
      </c>
      <c r="C25" s="558"/>
      <c r="D25" s="559">
        <f>SUM(D16:D24)</f>
        <v>396.95770000000005</v>
      </c>
      <c r="E25" s="560"/>
      <c r="F25" s="560"/>
      <c r="G25" s="560"/>
      <c r="H25" s="560"/>
      <c r="I25" s="561">
        <f>SUM(I16:I24)</f>
        <v>151.09327500000001</v>
      </c>
      <c r="J25" s="561">
        <f>SUM(J16:J24)</f>
        <v>181.31193000000002</v>
      </c>
      <c r="K25" s="561">
        <f>SUM(K16:K24)</f>
        <v>151.09327500000001</v>
      </c>
      <c r="L25" s="630">
        <f>SUM(L16:L24)</f>
        <v>181.31193000000002</v>
      </c>
    </row>
    <row r="27" spans="1:12" ht="15.75">
      <c r="A27" s="515"/>
      <c r="B27" s="562" t="s">
        <v>28</v>
      </c>
      <c r="C27" s="515"/>
      <c r="D27" s="515"/>
      <c r="E27" s="515"/>
      <c r="F27" s="515"/>
      <c r="G27" s="515"/>
      <c r="H27" s="515"/>
      <c r="I27" s="563"/>
    </row>
    <row r="28" spans="1:12">
      <c r="A28" s="515"/>
      <c r="B28" s="564" t="s">
        <v>490</v>
      </c>
      <c r="C28" s="565"/>
      <c r="D28" s="565"/>
      <c r="E28" s="566"/>
      <c r="F28" s="566"/>
      <c r="G28" s="566"/>
      <c r="H28" s="566"/>
      <c r="I28" s="567"/>
    </row>
    <row r="29" spans="1:12">
      <c r="A29" s="515"/>
      <c r="B29" s="568" t="s">
        <v>443</v>
      </c>
      <c r="C29" s="569"/>
      <c r="D29" s="569"/>
      <c r="E29" s="570"/>
      <c r="F29" s="570"/>
      <c r="G29" s="570"/>
      <c r="H29" s="570"/>
      <c r="I29" s="571"/>
    </row>
    <row r="30" spans="1:12">
      <c r="A30" s="515"/>
      <c r="B30" s="568" t="s">
        <v>444</v>
      </c>
      <c r="C30" s="572"/>
      <c r="D30" s="569"/>
      <c r="E30" s="570"/>
      <c r="F30" s="573"/>
      <c r="G30" s="570"/>
      <c r="H30" s="570"/>
      <c r="I30" s="571"/>
    </row>
    <row r="31" spans="1:12">
      <c r="A31" s="515"/>
      <c r="B31" s="574" t="s">
        <v>445</v>
      </c>
      <c r="C31" s="569"/>
      <c r="D31" s="569"/>
      <c r="E31" s="570"/>
      <c r="F31" s="570"/>
      <c r="G31" s="570"/>
      <c r="H31" s="570"/>
      <c r="I31" s="571"/>
    </row>
    <row r="32" spans="1:12">
      <c r="A32" s="515"/>
      <c r="B32" s="574" t="s">
        <v>446</v>
      </c>
      <c r="C32" s="569"/>
      <c r="D32" s="569"/>
      <c r="E32" s="570"/>
      <c r="F32" s="570"/>
      <c r="G32" s="570"/>
      <c r="H32" s="570"/>
      <c r="I32" s="571"/>
    </row>
    <row r="33" spans="1:9">
      <c r="A33" s="515"/>
      <c r="B33" s="575"/>
      <c r="C33" s="569"/>
      <c r="D33" s="569"/>
      <c r="E33" s="570"/>
      <c r="F33" s="570"/>
      <c r="G33" s="570"/>
      <c r="H33" s="570"/>
      <c r="I33" s="571"/>
    </row>
    <row r="34" spans="1:9">
      <c r="A34" s="515"/>
      <c r="B34" s="576" t="s">
        <v>25</v>
      </c>
      <c r="C34" s="569"/>
      <c r="D34" s="577" t="s">
        <v>91</v>
      </c>
      <c r="E34" s="578"/>
      <c r="F34" s="570"/>
      <c r="G34" s="570"/>
      <c r="H34" s="570"/>
      <c r="I34" s="571"/>
    </row>
    <row r="35" spans="1:9">
      <c r="A35" s="515"/>
      <c r="B35" s="574"/>
      <c r="C35" s="569"/>
      <c r="D35" s="570"/>
      <c r="E35" s="578"/>
      <c r="F35" s="570"/>
      <c r="G35" s="570"/>
      <c r="H35" s="570"/>
      <c r="I35" s="571"/>
    </row>
    <row r="36" spans="1:9">
      <c r="A36" s="515"/>
      <c r="B36" s="576" t="s">
        <v>8</v>
      </c>
      <c r="C36" s="569"/>
      <c r="D36" s="577" t="s">
        <v>394</v>
      </c>
      <c r="E36" s="578"/>
      <c r="F36" s="570"/>
      <c r="G36" s="570"/>
      <c r="H36" s="570"/>
      <c r="I36" s="571"/>
    </row>
    <row r="37" spans="1:9">
      <c r="A37" s="515"/>
      <c r="B37" s="576" t="s">
        <v>9</v>
      </c>
      <c r="C37" s="569"/>
      <c r="D37" s="579">
        <v>5</v>
      </c>
      <c r="E37" s="578"/>
      <c r="F37" s="570"/>
      <c r="G37" s="570"/>
      <c r="H37" s="570"/>
      <c r="I37" s="571"/>
    </row>
    <row r="38" spans="1:9">
      <c r="A38" s="515"/>
      <c r="B38" s="576" t="s">
        <v>10</v>
      </c>
      <c r="C38" s="570"/>
      <c r="D38" s="580"/>
      <c r="E38" s="581"/>
      <c r="F38" s="570"/>
      <c r="G38" s="570"/>
      <c r="H38" s="570"/>
      <c r="I38" s="582" t="s">
        <v>6</v>
      </c>
    </row>
    <row r="39" spans="1:9">
      <c r="A39" s="515"/>
      <c r="B39" s="583"/>
      <c r="C39" s="570"/>
      <c r="D39" s="570"/>
      <c r="E39" s="584"/>
      <c r="F39" s="570"/>
      <c r="G39" s="570"/>
      <c r="H39" s="570"/>
      <c r="I39" s="585"/>
    </row>
    <row r="40" spans="1:9">
      <c r="A40" s="515"/>
      <c r="B40" s="586" t="s">
        <v>0</v>
      </c>
      <c r="C40" s="570"/>
      <c r="D40" s="570"/>
      <c r="E40" s="570">
        <v>0</v>
      </c>
      <c r="F40" s="577"/>
      <c r="G40" s="570"/>
      <c r="H40" s="570"/>
      <c r="I40" s="587">
        <f>SUM(G42:G48)</f>
        <v>71.59</v>
      </c>
    </row>
    <row r="41" spans="1:9">
      <c r="A41" s="515"/>
      <c r="B41" s="588"/>
      <c r="C41" s="570"/>
      <c r="D41" s="589" t="s">
        <v>447</v>
      </c>
      <c r="E41" s="589" t="s">
        <v>448</v>
      </c>
      <c r="F41" s="589" t="s">
        <v>449</v>
      </c>
      <c r="G41" s="589" t="s">
        <v>450</v>
      </c>
      <c r="H41" s="570"/>
      <c r="I41" s="590"/>
    </row>
    <row r="42" spans="1:9">
      <c r="A42" s="515"/>
      <c r="B42" s="583"/>
      <c r="C42" s="578"/>
      <c r="D42" s="591"/>
      <c r="E42" s="592"/>
      <c r="F42" s="593"/>
      <c r="G42" s="594">
        <f t="shared" ref="G42:G48" si="2">+F42*E42</f>
        <v>0</v>
      </c>
      <c r="H42" s="570"/>
      <c r="I42" s="595"/>
    </row>
    <row r="43" spans="1:9">
      <c r="A43" s="515"/>
      <c r="B43" s="583" t="s">
        <v>451</v>
      </c>
      <c r="C43" s="578"/>
      <c r="D43" s="591" t="s">
        <v>452</v>
      </c>
      <c r="E43" s="592">
        <f>+'[15]Core Rates'!C203</f>
        <v>8.75</v>
      </c>
      <c r="F43" s="593">
        <v>0</v>
      </c>
      <c r="G43" s="594">
        <f t="shared" si="2"/>
        <v>0</v>
      </c>
      <c r="H43" s="570"/>
      <c r="I43" s="571"/>
    </row>
    <row r="44" spans="1:9">
      <c r="A44" s="515"/>
      <c r="B44" s="596" t="s">
        <v>453</v>
      </c>
      <c r="C44" s="578"/>
      <c r="D44" s="597" t="s">
        <v>454</v>
      </c>
      <c r="E44" s="592">
        <f>+'[15]Core Rates'!C228</f>
        <v>0.82427536231884069</v>
      </c>
      <c r="F44" s="593">
        <v>0</v>
      </c>
      <c r="G44" s="594">
        <f t="shared" si="2"/>
        <v>0</v>
      </c>
      <c r="H44" s="570"/>
      <c r="I44" s="571"/>
    </row>
    <row r="45" spans="1:9">
      <c r="A45" s="515"/>
      <c r="B45" s="598" t="s">
        <v>455</v>
      </c>
      <c r="C45" s="599"/>
      <c r="D45" s="597" t="s">
        <v>454</v>
      </c>
      <c r="E45" s="592">
        <f>+'[15]Core Rates'!C235</f>
        <v>1.1702898550724636</v>
      </c>
      <c r="F45" s="593">
        <v>0</v>
      </c>
      <c r="G45" s="594">
        <f t="shared" si="2"/>
        <v>0</v>
      </c>
      <c r="H45" s="570"/>
      <c r="I45" s="571"/>
    </row>
    <row r="46" spans="1:9">
      <c r="A46" s="515"/>
      <c r="B46" s="598" t="s">
        <v>456</v>
      </c>
      <c r="C46" s="599"/>
      <c r="D46" s="591" t="s">
        <v>454</v>
      </c>
      <c r="E46" s="592">
        <f>+'[15]Core Rates'!C246</f>
        <v>0.58825136612021856</v>
      </c>
      <c r="F46" s="593">
        <v>0</v>
      </c>
      <c r="G46" s="594">
        <f t="shared" si="2"/>
        <v>0</v>
      </c>
      <c r="H46" s="570"/>
      <c r="I46" s="571"/>
    </row>
    <row r="47" spans="1:9">
      <c r="A47" s="515"/>
      <c r="B47" s="600" t="str">
        <f>+'[15]Core Rates'!A309</f>
        <v>Seed (Native grass except Prairie Dropseed and Splitbeard Bluestem)</v>
      </c>
      <c r="C47" s="599"/>
      <c r="D47" s="597" t="s">
        <v>454</v>
      </c>
      <c r="E47" s="592">
        <f>+'[15]Core Rates 2011'!BE306</f>
        <v>8.57</v>
      </c>
      <c r="F47" s="593">
        <v>5</v>
      </c>
      <c r="G47" s="594">
        <f t="shared" si="2"/>
        <v>42.85</v>
      </c>
      <c r="H47" s="570"/>
      <c r="I47" s="571"/>
    </row>
    <row r="48" spans="1:9">
      <c r="A48" s="515"/>
      <c r="B48" s="600" t="str">
        <f>+'[15]Core Rates 2011'!A291</f>
        <v>Seed (4 native forb species mix)</v>
      </c>
      <c r="C48" s="599"/>
      <c r="D48" s="597" t="s">
        <v>454</v>
      </c>
      <c r="E48" s="592">
        <f>+'[15]Core Rates 2011'!BE291</f>
        <v>28.74</v>
      </c>
      <c r="F48" s="593">
        <v>1</v>
      </c>
      <c r="G48" s="594">
        <f t="shared" si="2"/>
        <v>28.74</v>
      </c>
      <c r="H48" s="570"/>
      <c r="I48" s="571"/>
    </row>
    <row r="49" spans="1:9">
      <c r="A49" s="515"/>
      <c r="B49" s="601"/>
      <c r="C49" s="578"/>
      <c r="D49" s="602"/>
      <c r="E49" s="570"/>
      <c r="F49" s="570"/>
      <c r="G49" s="570"/>
      <c r="H49" s="570"/>
      <c r="I49" s="571"/>
    </row>
    <row r="50" spans="1:9">
      <c r="A50" s="515"/>
      <c r="B50" s="574" t="s">
        <v>43</v>
      </c>
      <c r="C50" s="578"/>
      <c r="D50" s="602"/>
      <c r="E50" s="570"/>
      <c r="F50" s="570"/>
      <c r="G50" s="570"/>
      <c r="H50" s="570"/>
      <c r="I50" s="571"/>
    </row>
    <row r="51" spans="1:9">
      <c r="A51" s="515"/>
      <c r="B51" s="583" t="s">
        <v>457</v>
      </c>
      <c r="C51" s="578"/>
      <c r="D51" s="602"/>
      <c r="E51" s="570"/>
      <c r="F51" s="570"/>
      <c r="G51" s="570"/>
      <c r="H51" s="570"/>
      <c r="I51" s="571"/>
    </row>
    <row r="52" spans="1:9">
      <c r="A52" s="515"/>
      <c r="B52" s="583" t="s">
        <v>458</v>
      </c>
      <c r="C52" s="578"/>
      <c r="D52" s="602"/>
      <c r="E52" s="603"/>
      <c r="F52" s="570"/>
      <c r="G52" s="570"/>
      <c r="H52" s="570"/>
      <c r="I52" s="571"/>
    </row>
    <row r="53" spans="1:9">
      <c r="A53" s="515"/>
      <c r="B53" s="601"/>
      <c r="C53" s="578"/>
      <c r="D53" s="602"/>
      <c r="E53" s="570"/>
      <c r="F53" s="570"/>
      <c r="G53" s="570"/>
      <c r="H53" s="570"/>
      <c r="I53" s="571"/>
    </row>
    <row r="54" spans="1:9">
      <c r="A54" s="515"/>
      <c r="B54" s="586" t="s">
        <v>2</v>
      </c>
      <c r="C54" s="570"/>
      <c r="D54" s="570"/>
      <c r="E54" s="2017" t="s">
        <v>459</v>
      </c>
      <c r="F54" s="2017"/>
      <c r="G54" s="2017"/>
      <c r="H54" s="2017"/>
      <c r="I54" s="587">
        <f>(SUM(G56:G61)*0.85)</f>
        <v>105.39999999999999</v>
      </c>
    </row>
    <row r="55" spans="1:9">
      <c r="A55" s="515"/>
      <c r="B55" s="588"/>
      <c r="C55" s="570"/>
      <c r="D55" s="589" t="s">
        <v>447</v>
      </c>
      <c r="E55" s="589" t="s">
        <v>448</v>
      </c>
      <c r="F55" s="589" t="s">
        <v>449</v>
      </c>
      <c r="G55" s="589" t="s">
        <v>450</v>
      </c>
      <c r="H55" s="570"/>
      <c r="I55" s="590"/>
    </row>
    <row r="56" spans="1:9">
      <c r="A56" s="515"/>
      <c r="B56" s="604" t="s">
        <v>460</v>
      </c>
      <c r="C56" s="578"/>
      <c r="D56" s="591" t="s">
        <v>408</v>
      </c>
      <c r="E56" s="592">
        <f>+'[15]Core Rates 2011'!BE145</f>
        <v>36.5</v>
      </c>
      <c r="F56" s="593">
        <v>2</v>
      </c>
      <c r="G56" s="594">
        <f t="shared" ref="G56:G61" si="3">+F56*E56</f>
        <v>73</v>
      </c>
      <c r="H56" s="570"/>
      <c r="I56" s="595"/>
    </row>
    <row r="57" spans="1:9">
      <c r="A57" s="515"/>
      <c r="B57" s="583" t="s">
        <v>461</v>
      </c>
      <c r="C57" s="578"/>
      <c r="D57" s="591" t="s">
        <v>408</v>
      </c>
      <c r="E57" s="592">
        <f>+'[15]Core Rates'!C104</f>
        <v>20</v>
      </c>
      <c r="F57" s="593">
        <v>1</v>
      </c>
      <c r="G57" s="594">
        <f t="shared" si="3"/>
        <v>20</v>
      </c>
      <c r="H57" s="570"/>
      <c r="I57" s="595"/>
    </row>
    <row r="58" spans="1:9">
      <c r="A58" s="515"/>
      <c r="B58" s="604" t="str">
        <f>+'[15]Core Rates'!A216</f>
        <v>Mowing</v>
      </c>
      <c r="C58" s="578"/>
      <c r="D58" s="605" t="s">
        <v>408</v>
      </c>
      <c r="E58" s="605">
        <f>+'[15]Core Rates'!C216</f>
        <v>15.5</v>
      </c>
      <c r="F58" s="593">
        <v>2</v>
      </c>
      <c r="G58" s="594">
        <f t="shared" si="3"/>
        <v>31</v>
      </c>
      <c r="H58" s="570"/>
      <c r="I58" s="595"/>
    </row>
    <row r="59" spans="1:9">
      <c r="A59" s="515"/>
      <c r="B59" s="583" t="s">
        <v>462</v>
      </c>
      <c r="C59" s="578"/>
      <c r="D59" s="591" t="s">
        <v>408</v>
      </c>
      <c r="E59" s="592">
        <f>+'[15]Core Rates'!AN33</f>
        <v>5.416666666666667</v>
      </c>
      <c r="F59" s="593">
        <v>0</v>
      </c>
      <c r="G59" s="594">
        <f t="shared" si="3"/>
        <v>0</v>
      </c>
      <c r="H59" s="570"/>
      <c r="I59" s="595"/>
    </row>
    <row r="60" spans="1:9">
      <c r="A60" s="515"/>
      <c r="B60" s="583" t="s">
        <v>463</v>
      </c>
      <c r="C60" s="578"/>
      <c r="D60" s="591" t="s">
        <v>452</v>
      </c>
      <c r="E60" s="592">
        <f>+'[15]Core Rates'!AN34</f>
        <v>5.5</v>
      </c>
      <c r="F60" s="593">
        <v>0</v>
      </c>
      <c r="G60" s="594">
        <f t="shared" si="3"/>
        <v>0</v>
      </c>
      <c r="H60" s="570"/>
      <c r="I60" s="595"/>
    </row>
    <row r="61" spans="1:9">
      <c r="A61" s="515"/>
      <c r="B61" s="583" t="s">
        <v>464</v>
      </c>
      <c r="C61" s="578"/>
      <c r="D61" s="591" t="s">
        <v>452</v>
      </c>
      <c r="E61" s="592">
        <f>+'[15]Core Rates'!AN32</f>
        <v>6.3125</v>
      </c>
      <c r="F61" s="593">
        <v>0</v>
      </c>
      <c r="G61" s="594">
        <f t="shared" si="3"/>
        <v>0</v>
      </c>
      <c r="H61" s="570"/>
      <c r="I61" s="595"/>
    </row>
    <row r="62" spans="1:9">
      <c r="A62" s="515"/>
      <c r="B62" s="583"/>
      <c r="C62" s="578"/>
      <c r="D62" s="606"/>
      <c r="E62" s="607"/>
      <c r="F62" s="607"/>
      <c r="G62" s="592"/>
      <c r="H62" s="570"/>
      <c r="I62" s="595"/>
    </row>
    <row r="63" spans="1:9">
      <c r="A63" s="515"/>
      <c r="B63" s="574" t="s">
        <v>43</v>
      </c>
      <c r="C63" s="570"/>
      <c r="D63" s="570"/>
      <c r="E63" s="608"/>
      <c r="F63" s="608"/>
      <c r="G63" s="608"/>
      <c r="H63" s="570"/>
      <c r="I63" s="590"/>
    </row>
    <row r="64" spans="1:9" ht="12.75" customHeight="1">
      <c r="A64" s="515"/>
      <c r="B64" s="2018" t="s">
        <v>457</v>
      </c>
      <c r="C64" s="2019"/>
      <c r="D64" s="2019"/>
      <c r="E64" s="2019"/>
      <c r="F64" s="2019"/>
      <c r="G64" s="2019"/>
      <c r="H64" s="2019"/>
      <c r="I64" s="2020"/>
    </row>
    <row r="65" spans="1:9">
      <c r="A65" s="515"/>
      <c r="B65" s="2018"/>
      <c r="C65" s="2019"/>
      <c r="D65" s="2019"/>
      <c r="E65" s="2019"/>
      <c r="F65" s="2019"/>
      <c r="G65" s="2019"/>
      <c r="H65" s="2019"/>
      <c r="I65" s="2020"/>
    </row>
    <row r="66" spans="1:9">
      <c r="A66" s="515"/>
      <c r="B66" s="609"/>
      <c r="C66" s="610"/>
      <c r="D66" s="610"/>
      <c r="E66" s="610"/>
      <c r="F66" s="610"/>
      <c r="G66" s="610"/>
      <c r="H66" s="610"/>
      <c r="I66" s="611"/>
    </row>
    <row r="67" spans="1:9">
      <c r="A67" s="515"/>
      <c r="B67" s="609"/>
      <c r="C67" s="610"/>
      <c r="D67" s="610"/>
      <c r="E67" s="610"/>
      <c r="F67" s="610"/>
      <c r="G67" s="610"/>
      <c r="H67" s="610"/>
      <c r="I67" s="611"/>
    </row>
    <row r="68" spans="1:9">
      <c r="A68" s="515"/>
      <c r="B68" s="586" t="s">
        <v>3</v>
      </c>
      <c r="C68" s="570"/>
      <c r="D68" s="570"/>
      <c r="E68" s="570"/>
      <c r="F68" s="577"/>
      <c r="G68" s="570"/>
      <c r="H68" s="570"/>
      <c r="I68" s="612">
        <f>E70</f>
        <v>18.599999999999998</v>
      </c>
    </row>
    <row r="69" spans="1:9">
      <c r="A69" s="515"/>
      <c r="B69" s="2021" t="s">
        <v>465</v>
      </c>
      <c r="C69" s="2022"/>
      <c r="D69" s="570"/>
      <c r="E69" s="570"/>
      <c r="F69" s="570"/>
      <c r="G69" s="570"/>
      <c r="H69" s="570"/>
      <c r="I69" s="613"/>
    </row>
    <row r="70" spans="1:9">
      <c r="A70" s="515"/>
      <c r="B70" s="574" t="s">
        <v>466</v>
      </c>
      <c r="C70" s="577"/>
      <c r="D70" s="577"/>
      <c r="E70" s="614">
        <f>SUM(G56:G61)*0.15</f>
        <v>18.599999999999998</v>
      </c>
      <c r="F70" s="570"/>
      <c r="G70" s="570"/>
      <c r="H70" s="570"/>
      <c r="I70" s="590"/>
    </row>
    <row r="71" spans="1:9">
      <c r="A71" s="515"/>
      <c r="B71" s="574"/>
      <c r="C71" s="577"/>
      <c r="D71" s="615"/>
      <c r="E71" s="614"/>
      <c r="F71" s="570"/>
      <c r="G71" s="570"/>
      <c r="H71" s="570"/>
      <c r="I71" s="590"/>
    </row>
    <row r="72" spans="1:9">
      <c r="A72" s="515"/>
      <c r="B72" s="574"/>
      <c r="C72" s="577"/>
      <c r="D72" s="616"/>
      <c r="E72" s="614"/>
      <c r="F72" s="570"/>
      <c r="G72" s="570"/>
      <c r="H72" s="570"/>
      <c r="I72" s="590"/>
    </row>
    <row r="73" spans="1:9">
      <c r="A73" s="515"/>
      <c r="B73" s="575"/>
      <c r="C73" s="570"/>
      <c r="D73" s="570"/>
      <c r="E73" s="570"/>
      <c r="F73" s="570"/>
      <c r="G73" s="570"/>
      <c r="H73" s="570"/>
      <c r="I73" s="571"/>
    </row>
    <row r="74" spans="1:9">
      <c r="A74" s="515"/>
      <c r="B74" s="586" t="s">
        <v>4</v>
      </c>
      <c r="C74" s="570"/>
      <c r="D74" s="570"/>
      <c r="E74" s="570"/>
      <c r="F74" s="570"/>
      <c r="G74" s="570"/>
      <c r="H74" s="570"/>
      <c r="I74" s="612">
        <f>0.03*(I40+I54+I68)</f>
        <v>5.8677000000000001</v>
      </c>
    </row>
    <row r="75" spans="1:9">
      <c r="A75" s="515"/>
      <c r="B75" s="575" t="s">
        <v>467</v>
      </c>
      <c r="C75" s="570"/>
      <c r="D75" s="570"/>
      <c r="E75" s="570"/>
      <c r="F75" s="570"/>
      <c r="G75" s="570"/>
      <c r="H75" s="570"/>
      <c r="I75" s="571"/>
    </row>
    <row r="76" spans="1:9">
      <c r="A76" s="515"/>
      <c r="B76" s="574"/>
      <c r="C76" s="570"/>
      <c r="D76" s="570"/>
      <c r="E76" s="570"/>
      <c r="F76" s="570"/>
      <c r="G76" s="570"/>
      <c r="H76" s="570"/>
      <c r="I76" s="571"/>
    </row>
    <row r="77" spans="1:9">
      <c r="A77" s="515"/>
      <c r="B77" s="586" t="s">
        <v>468</v>
      </c>
      <c r="C77" s="570"/>
      <c r="D77" s="570"/>
      <c r="E77" s="570"/>
      <c r="F77" s="570"/>
      <c r="G77" s="570"/>
      <c r="H77" s="570"/>
      <c r="I77" s="612">
        <f>+'[15]Core Rates'!C216</f>
        <v>15.5</v>
      </c>
    </row>
    <row r="78" spans="1:9">
      <c r="A78" s="515"/>
      <c r="B78" s="575" t="s">
        <v>469</v>
      </c>
      <c r="C78" s="570"/>
      <c r="D78" s="570"/>
      <c r="E78" s="570"/>
      <c r="F78" s="570"/>
      <c r="G78" s="570"/>
      <c r="H78" s="570"/>
      <c r="I78" s="571"/>
    </row>
    <row r="79" spans="1:9">
      <c r="A79" s="515"/>
      <c r="B79" s="574"/>
      <c r="C79" s="570"/>
      <c r="D79" s="570"/>
      <c r="E79" s="570"/>
      <c r="F79" s="570"/>
      <c r="G79" s="570"/>
      <c r="H79" s="570"/>
      <c r="I79" s="571"/>
    </row>
    <row r="80" spans="1:9">
      <c r="A80" s="515"/>
      <c r="B80" s="586" t="s">
        <v>7</v>
      </c>
      <c r="C80" s="570"/>
      <c r="D80" s="570"/>
      <c r="E80" s="570"/>
      <c r="F80" s="570"/>
      <c r="G80" s="570"/>
      <c r="H80" s="570"/>
      <c r="I80" s="587">
        <v>0</v>
      </c>
    </row>
    <row r="81" spans="1:9">
      <c r="A81" s="515"/>
      <c r="B81" s="575" t="s">
        <v>470</v>
      </c>
      <c r="C81" s="570"/>
      <c r="D81" s="570"/>
      <c r="E81" s="570"/>
      <c r="F81" s="570"/>
      <c r="G81" s="570"/>
      <c r="H81" s="570"/>
      <c r="I81" s="571"/>
    </row>
    <row r="82" spans="1:9">
      <c r="A82" s="515"/>
      <c r="B82" s="574"/>
      <c r="C82" s="570"/>
      <c r="D82" s="570"/>
      <c r="E82" s="570"/>
      <c r="F82" s="570"/>
      <c r="G82" s="570"/>
      <c r="H82" s="570"/>
      <c r="I82" s="571"/>
    </row>
    <row r="83" spans="1:9">
      <c r="A83" s="515"/>
      <c r="B83" s="586" t="s">
        <v>471</v>
      </c>
      <c r="C83" s="570"/>
      <c r="D83" s="570"/>
      <c r="E83" s="570"/>
      <c r="F83" s="577"/>
      <c r="G83" s="570"/>
      <c r="H83" s="570"/>
      <c r="I83" s="587">
        <f>E85*3</f>
        <v>180</v>
      </c>
    </row>
    <row r="84" spans="1:9">
      <c r="A84" s="515"/>
      <c r="B84" s="617" t="s">
        <v>472</v>
      </c>
      <c r="C84" s="570"/>
      <c r="D84" s="570"/>
      <c r="E84" s="570"/>
      <c r="F84" s="570"/>
      <c r="G84" s="570"/>
      <c r="H84" s="570"/>
      <c r="I84" s="595"/>
    </row>
    <row r="85" spans="1:9">
      <c r="A85" s="515"/>
      <c r="B85" s="617"/>
      <c r="C85" s="570"/>
      <c r="D85" s="570"/>
      <c r="E85" s="635">
        <v>60</v>
      </c>
      <c r="F85" s="570"/>
      <c r="G85" s="570"/>
      <c r="H85" s="570"/>
      <c r="I85" s="595"/>
    </row>
    <row r="86" spans="1:9">
      <c r="A86" s="515"/>
      <c r="B86" s="574"/>
      <c r="C86" s="570"/>
      <c r="D86" s="570"/>
      <c r="E86" s="570"/>
      <c r="F86" s="570"/>
      <c r="G86" s="570"/>
      <c r="H86" s="570"/>
      <c r="I86" s="571"/>
    </row>
    <row r="87" spans="1:9">
      <c r="A87" s="515"/>
      <c r="B87" s="586" t="s">
        <v>5</v>
      </c>
      <c r="C87" s="570"/>
      <c r="D87" s="570"/>
      <c r="E87" s="570"/>
      <c r="F87" s="570"/>
      <c r="G87" s="570"/>
      <c r="H87" s="570"/>
      <c r="I87" s="587">
        <v>0</v>
      </c>
    </row>
    <row r="88" spans="1:9">
      <c r="A88" s="515"/>
      <c r="B88" s="575" t="s">
        <v>104</v>
      </c>
      <c r="C88" s="570"/>
      <c r="D88" s="570"/>
      <c r="E88" s="570"/>
      <c r="F88" s="570"/>
      <c r="G88" s="570"/>
      <c r="H88" s="570"/>
      <c r="I88" s="595"/>
    </row>
    <row r="89" spans="1:9">
      <c r="A89" s="515"/>
      <c r="B89" s="574"/>
      <c r="C89" s="570"/>
      <c r="D89" s="570"/>
      <c r="E89" s="570"/>
      <c r="F89" s="570"/>
      <c r="G89" s="570"/>
      <c r="H89" s="570"/>
      <c r="I89" s="571"/>
    </row>
    <row r="90" spans="1:9">
      <c r="A90" s="515"/>
      <c r="B90" s="586" t="s">
        <v>20</v>
      </c>
      <c r="C90" s="570"/>
      <c r="D90" s="570"/>
      <c r="E90" s="570"/>
      <c r="F90" s="570"/>
      <c r="G90" s="570"/>
      <c r="H90" s="570"/>
      <c r="I90" s="587">
        <v>0</v>
      </c>
    </row>
    <row r="91" spans="1:9">
      <c r="A91" s="515"/>
      <c r="B91" s="575" t="s">
        <v>104</v>
      </c>
      <c r="C91" s="570"/>
      <c r="D91" s="570"/>
      <c r="E91" s="570"/>
      <c r="F91" s="570"/>
      <c r="G91" s="570"/>
      <c r="H91" s="570"/>
      <c r="I91" s="571"/>
    </row>
    <row r="92" spans="1:9">
      <c r="A92" s="515"/>
      <c r="B92" s="583"/>
      <c r="C92" s="570"/>
      <c r="D92" s="570"/>
      <c r="E92" s="570"/>
      <c r="F92" s="570"/>
      <c r="G92" s="570"/>
      <c r="H92" s="570"/>
      <c r="I92" s="571"/>
    </row>
    <row r="93" spans="1:9">
      <c r="A93" s="515"/>
      <c r="B93" s="586" t="s">
        <v>473</v>
      </c>
      <c r="C93" s="570"/>
      <c r="D93" s="570"/>
      <c r="E93" s="570"/>
      <c r="F93" s="570"/>
      <c r="G93" s="570"/>
      <c r="H93" s="570"/>
      <c r="I93" s="618">
        <f>+I40+I54+I68+I74+I80+I90</f>
        <v>201.45770000000002</v>
      </c>
    </row>
    <row r="94" spans="1:9" ht="15.75">
      <c r="A94" s="515"/>
      <c r="B94" s="575" t="s">
        <v>474</v>
      </c>
      <c r="C94" s="570"/>
      <c r="D94" s="570"/>
      <c r="E94" s="570"/>
      <c r="F94" s="570"/>
      <c r="G94" s="570"/>
      <c r="H94" s="570"/>
      <c r="I94" s="571"/>
    </row>
    <row r="95" spans="1:9">
      <c r="A95" s="515"/>
      <c r="B95" s="583"/>
      <c r="C95" s="570"/>
      <c r="D95" s="570"/>
      <c r="E95" s="570"/>
      <c r="F95" s="570"/>
      <c r="G95" s="570"/>
      <c r="H95" s="570"/>
      <c r="I95" s="571"/>
    </row>
    <row r="96" spans="1:9">
      <c r="A96" s="515"/>
      <c r="B96" s="619" t="s">
        <v>11</v>
      </c>
      <c r="C96" s="620"/>
      <c r="D96" s="620"/>
      <c r="E96" s="620"/>
      <c r="F96" s="620"/>
      <c r="G96" s="620"/>
      <c r="H96" s="620"/>
      <c r="I96" s="621">
        <f>SUM(I39:I90)</f>
        <v>396.95770000000005</v>
      </c>
    </row>
  </sheetData>
  <mergeCells count="4">
    <mergeCell ref="B1:D1"/>
    <mergeCell ref="E54:H54"/>
    <mergeCell ref="B64:I65"/>
    <mergeCell ref="B69:C69"/>
  </mergeCells>
  <pageMargins left="0.75" right="0.75" top="1" bottom="1" header="0.5" footer="0.5"/>
  <pageSetup scale="51" orientation="portrait" r:id="rId1"/>
  <headerFooter alignWithMargins="0"/>
</worksheet>
</file>

<file path=xl/worksheets/sheet69.xml><?xml version="1.0" encoding="utf-8"?>
<worksheet xmlns="http://schemas.openxmlformats.org/spreadsheetml/2006/main" xmlns:r="http://schemas.openxmlformats.org/officeDocument/2006/relationships">
  <sheetPr>
    <pageSetUpPr fitToPage="1"/>
  </sheetPr>
  <dimension ref="A1:L96"/>
  <sheetViews>
    <sheetView zoomScale="75" zoomScaleNormal="75" workbookViewId="0">
      <selection activeCell="B6" sqref="B6:D9"/>
    </sheetView>
  </sheetViews>
  <sheetFormatPr defaultRowHeight="12.75"/>
  <cols>
    <col min="1" max="1" width="1.85546875" style="517" customWidth="1"/>
    <col min="2" max="2" width="9.140625" style="517"/>
    <col min="3" max="3" width="24.140625" style="517" customWidth="1"/>
    <col min="4" max="4" width="23.140625" style="517" customWidth="1"/>
    <col min="5" max="5" width="54.28515625" style="517" bestFit="1" customWidth="1"/>
    <col min="6" max="6" width="10.42578125" style="517" customWidth="1"/>
    <col min="7" max="8" width="9.140625" style="517"/>
    <col min="9" max="9" width="16.5703125" style="517" customWidth="1"/>
    <col min="10" max="16384" width="9.140625" style="517"/>
  </cols>
  <sheetData>
    <row r="1" spans="1:12">
      <c r="A1" s="515"/>
      <c r="B1" s="2015" t="s">
        <v>438</v>
      </c>
      <c r="C1" s="2016"/>
      <c r="D1" s="2016"/>
      <c r="E1" s="515"/>
      <c r="F1" s="516"/>
      <c r="G1" s="515"/>
      <c r="H1" s="515"/>
      <c r="I1" s="515"/>
    </row>
    <row r="2" spans="1:12">
      <c r="A2" s="515"/>
      <c r="B2" s="515"/>
      <c r="C2" s="515"/>
      <c r="D2" s="515"/>
      <c r="E2" s="515"/>
      <c r="F2" s="515"/>
      <c r="G2" s="515"/>
      <c r="H2" s="515"/>
      <c r="I2" s="515"/>
    </row>
    <row r="3" spans="1:12" ht="15.75">
      <c r="A3" s="515"/>
      <c r="B3" s="519" t="s">
        <v>17</v>
      </c>
      <c r="C3" s="515"/>
      <c r="D3" s="515"/>
      <c r="E3" s="515"/>
      <c r="F3" s="515"/>
      <c r="G3" s="515"/>
      <c r="H3" s="515"/>
      <c r="I3" s="515"/>
    </row>
    <row r="4" spans="1:12">
      <c r="A4" s="515"/>
      <c r="B4" s="520" t="s">
        <v>1</v>
      </c>
      <c r="C4" s="521" t="s">
        <v>21</v>
      </c>
      <c r="D4" s="522"/>
      <c r="E4" s="522"/>
      <c r="F4" s="522"/>
      <c r="G4" s="523" t="s">
        <v>12</v>
      </c>
    </row>
    <row r="5" spans="1:12">
      <c r="A5" s="515"/>
      <c r="B5" s="524" t="s">
        <v>13</v>
      </c>
      <c r="C5" s="525" t="s">
        <v>22</v>
      </c>
      <c r="D5" s="525" t="s">
        <v>29</v>
      </c>
      <c r="E5" s="525" t="s">
        <v>30</v>
      </c>
      <c r="F5" s="525" t="s">
        <v>23</v>
      </c>
      <c r="G5" s="526" t="s">
        <v>14</v>
      </c>
    </row>
    <row r="6" spans="1:12">
      <c r="A6" s="515"/>
      <c r="B6" s="631">
        <v>327</v>
      </c>
      <c r="C6" s="531" t="str">
        <f>+E12</f>
        <v>EQIP</v>
      </c>
      <c r="D6" s="632" t="s">
        <v>483</v>
      </c>
      <c r="E6" s="622" t="s">
        <v>491</v>
      </c>
      <c r="F6" s="531" t="s">
        <v>394</v>
      </c>
      <c r="G6" s="532">
        <f>+I25</f>
        <v>173.29492500000001</v>
      </c>
    </row>
    <row r="7" spans="1:12">
      <c r="A7" s="515"/>
      <c r="B7" s="631">
        <f>+B6</f>
        <v>327</v>
      </c>
      <c r="C7" s="531" t="str">
        <f>+C6</f>
        <v>EQIP</v>
      </c>
      <c r="D7" s="632" t="s">
        <v>483</v>
      </c>
      <c r="E7" s="622" t="str">
        <f>CONCATENATE(E6, "-HU")</f>
        <v>Native Grass - 2# Forbs Mix -HU</v>
      </c>
      <c r="F7" s="531" t="str">
        <f>+F6</f>
        <v>Acre</v>
      </c>
      <c r="G7" s="532">
        <f>+J25</f>
        <v>207.95390999999998</v>
      </c>
    </row>
    <row r="8" spans="1:12">
      <c r="A8" s="515"/>
      <c r="B8" s="631">
        <v>327</v>
      </c>
      <c r="C8" s="531" t="str">
        <f>+G12</f>
        <v>WHIP</v>
      </c>
      <c r="D8" s="632" t="s">
        <v>483</v>
      </c>
      <c r="E8" s="622" t="s">
        <v>491</v>
      </c>
      <c r="F8" s="531" t="s">
        <v>394</v>
      </c>
      <c r="G8" s="532">
        <f>+K25</f>
        <v>173.29492500000001</v>
      </c>
    </row>
    <row r="9" spans="1:12">
      <c r="A9" s="515"/>
      <c r="B9" s="633">
        <f>+B8</f>
        <v>327</v>
      </c>
      <c r="C9" s="536" t="str">
        <f>+C8</f>
        <v>WHIP</v>
      </c>
      <c r="D9" s="632" t="s">
        <v>483</v>
      </c>
      <c r="E9" s="623" t="str">
        <f>CONCATENATE(E6, "-HU")</f>
        <v>Native Grass - 2# Forbs Mix -HU</v>
      </c>
      <c r="F9" s="536" t="str">
        <f>+F8</f>
        <v>Acre</v>
      </c>
      <c r="G9" s="537">
        <f>+L25</f>
        <v>207.95390999999998</v>
      </c>
    </row>
    <row r="10" spans="1:12">
      <c r="A10" s="515"/>
      <c r="B10" s="538"/>
      <c r="C10" s="539"/>
      <c r="D10" s="539"/>
      <c r="E10" s="515"/>
      <c r="F10" s="515"/>
    </row>
    <row r="11" spans="1:12" ht="15.75">
      <c r="A11" s="515"/>
      <c r="B11" s="519" t="s">
        <v>18</v>
      </c>
      <c r="C11" s="539"/>
      <c r="D11" s="539"/>
      <c r="E11" s="515"/>
      <c r="F11" s="515"/>
    </row>
    <row r="12" spans="1:12">
      <c r="A12" s="515"/>
      <c r="B12" s="540"/>
      <c r="C12" s="541"/>
      <c r="D12" s="542"/>
      <c r="E12" s="543" t="s">
        <v>15</v>
      </c>
      <c r="F12" s="543" t="s">
        <v>31</v>
      </c>
      <c r="G12" s="543" t="s">
        <v>86</v>
      </c>
      <c r="H12" s="543" t="s">
        <v>441</v>
      </c>
      <c r="I12" s="543"/>
      <c r="J12" s="543"/>
      <c r="K12" s="543"/>
      <c r="L12" s="624"/>
    </row>
    <row r="13" spans="1:12">
      <c r="A13" s="515"/>
      <c r="B13" s="544"/>
      <c r="C13" s="545"/>
      <c r="D13" s="546"/>
      <c r="E13" s="547" t="s">
        <v>22</v>
      </c>
      <c r="F13" s="547" t="s">
        <v>22</v>
      </c>
      <c r="G13" s="547" t="s">
        <v>22</v>
      </c>
      <c r="H13" s="547" t="s">
        <v>22</v>
      </c>
      <c r="I13" s="547" t="s">
        <v>15</v>
      </c>
      <c r="J13" s="547" t="s">
        <v>31</v>
      </c>
      <c r="K13" s="547" t="s">
        <v>86</v>
      </c>
      <c r="L13" s="625" t="s">
        <v>441</v>
      </c>
    </row>
    <row r="14" spans="1:12">
      <c r="A14" s="515"/>
      <c r="B14" s="548"/>
      <c r="C14" s="546"/>
      <c r="D14" s="546"/>
      <c r="E14" s="547" t="s">
        <v>12</v>
      </c>
      <c r="F14" s="547" t="s">
        <v>12</v>
      </c>
      <c r="G14" s="547" t="s">
        <v>12</v>
      </c>
      <c r="H14" s="547" t="s">
        <v>12</v>
      </c>
      <c r="I14" s="547" t="s">
        <v>12</v>
      </c>
      <c r="J14" s="547" t="s">
        <v>12</v>
      </c>
      <c r="K14" s="547" t="s">
        <v>12</v>
      </c>
      <c r="L14" s="625" t="s">
        <v>12</v>
      </c>
    </row>
    <row r="15" spans="1:12">
      <c r="A15" s="515"/>
      <c r="B15" s="549" t="s">
        <v>16</v>
      </c>
      <c r="C15" s="546"/>
      <c r="D15" s="550" t="s">
        <v>6</v>
      </c>
      <c r="E15" s="551" t="s">
        <v>24</v>
      </c>
      <c r="F15" s="551" t="s">
        <v>24</v>
      </c>
      <c r="G15" s="551" t="s">
        <v>24</v>
      </c>
      <c r="H15" s="551" t="s">
        <v>24</v>
      </c>
      <c r="I15" s="551" t="s">
        <v>14</v>
      </c>
      <c r="J15" s="551" t="s">
        <v>14</v>
      </c>
      <c r="K15" s="551" t="s">
        <v>14</v>
      </c>
      <c r="L15" s="626" t="s">
        <v>14</v>
      </c>
    </row>
    <row r="16" spans="1:12">
      <c r="A16" s="515"/>
      <c r="B16" s="544" t="s">
        <v>0</v>
      </c>
      <c r="C16" s="546"/>
      <c r="D16" s="552">
        <f>+I40</f>
        <v>100.33</v>
      </c>
      <c r="E16" s="553">
        <f>+'[10]Payment Factors'!D14</f>
        <v>0.75</v>
      </c>
      <c r="F16" s="553">
        <f>+'[10]Payment Factors'!E14</f>
        <v>0.9</v>
      </c>
      <c r="G16" s="553">
        <f>+'[10]Payment Factors'!F14</f>
        <v>0.75</v>
      </c>
      <c r="H16" s="553">
        <f>+'[10]Payment Factors'!G14</f>
        <v>0.9</v>
      </c>
      <c r="I16" s="554">
        <f t="shared" ref="I16:L24" si="0">+$D16*E16</f>
        <v>75.247500000000002</v>
      </c>
      <c r="J16" s="554">
        <f t="shared" si="0"/>
        <v>90.296999999999997</v>
      </c>
      <c r="K16" s="554">
        <f t="shared" si="0"/>
        <v>75.247500000000002</v>
      </c>
      <c r="L16" s="627">
        <f t="shared" si="0"/>
        <v>90.296999999999997</v>
      </c>
    </row>
    <row r="17" spans="1:12">
      <c r="A17" s="515"/>
      <c r="B17" s="544" t="s">
        <v>2</v>
      </c>
      <c r="C17" s="546"/>
      <c r="D17" s="552">
        <f>+I54</f>
        <v>105.39999999999999</v>
      </c>
      <c r="E17" s="553">
        <f t="shared" ref="E17:H19" si="1">+E16</f>
        <v>0.75</v>
      </c>
      <c r="F17" s="553">
        <f t="shared" si="1"/>
        <v>0.9</v>
      </c>
      <c r="G17" s="553">
        <f t="shared" si="1"/>
        <v>0.75</v>
      </c>
      <c r="H17" s="553">
        <f t="shared" si="1"/>
        <v>0.9</v>
      </c>
      <c r="I17" s="554">
        <f t="shared" si="0"/>
        <v>79.05</v>
      </c>
      <c r="J17" s="554">
        <f t="shared" si="0"/>
        <v>94.86</v>
      </c>
      <c r="K17" s="554">
        <f t="shared" si="0"/>
        <v>79.05</v>
      </c>
      <c r="L17" s="627">
        <f t="shared" si="0"/>
        <v>94.86</v>
      </c>
    </row>
    <row r="18" spans="1:12">
      <c r="A18" s="515"/>
      <c r="B18" s="544" t="s">
        <v>3</v>
      </c>
      <c r="C18" s="546"/>
      <c r="D18" s="552">
        <f>+I68</f>
        <v>18.599999999999998</v>
      </c>
      <c r="E18" s="553">
        <f t="shared" si="1"/>
        <v>0.75</v>
      </c>
      <c r="F18" s="553">
        <f t="shared" si="1"/>
        <v>0.9</v>
      </c>
      <c r="G18" s="553">
        <f t="shared" si="1"/>
        <v>0.75</v>
      </c>
      <c r="H18" s="553">
        <f t="shared" si="1"/>
        <v>0.9</v>
      </c>
      <c r="I18" s="554">
        <f t="shared" si="0"/>
        <v>13.95</v>
      </c>
      <c r="J18" s="554">
        <f t="shared" si="0"/>
        <v>16.739999999999998</v>
      </c>
      <c r="K18" s="554">
        <f t="shared" si="0"/>
        <v>13.95</v>
      </c>
      <c r="L18" s="627">
        <f t="shared" si="0"/>
        <v>16.739999999999998</v>
      </c>
    </row>
    <row r="19" spans="1:12">
      <c r="A19" s="515"/>
      <c r="B19" s="544" t="s">
        <v>4</v>
      </c>
      <c r="C19" s="546"/>
      <c r="D19" s="552">
        <f>+I74</f>
        <v>6.7298999999999989</v>
      </c>
      <c r="E19" s="553">
        <f t="shared" si="1"/>
        <v>0.75</v>
      </c>
      <c r="F19" s="553">
        <f t="shared" si="1"/>
        <v>0.9</v>
      </c>
      <c r="G19" s="553">
        <f t="shared" si="1"/>
        <v>0.75</v>
      </c>
      <c r="H19" s="553">
        <f t="shared" si="1"/>
        <v>0.9</v>
      </c>
      <c r="I19" s="554">
        <f t="shared" si="0"/>
        <v>5.0474249999999987</v>
      </c>
      <c r="J19" s="554">
        <f t="shared" si="0"/>
        <v>6.0569099999999993</v>
      </c>
      <c r="K19" s="554">
        <f t="shared" si="0"/>
        <v>5.0474249999999987</v>
      </c>
      <c r="L19" s="627">
        <f t="shared" si="0"/>
        <v>6.0569099999999993</v>
      </c>
    </row>
    <row r="20" spans="1:12">
      <c r="A20" s="515"/>
      <c r="B20" s="544" t="s">
        <v>26</v>
      </c>
      <c r="C20" s="546"/>
      <c r="D20" s="552">
        <f>+I77</f>
        <v>13.04</v>
      </c>
      <c r="E20" s="553">
        <v>0</v>
      </c>
      <c r="F20" s="553">
        <v>0</v>
      </c>
      <c r="G20" s="553">
        <v>0</v>
      </c>
      <c r="H20" s="553">
        <v>0</v>
      </c>
      <c r="I20" s="554">
        <f t="shared" si="0"/>
        <v>0</v>
      </c>
      <c r="J20" s="554">
        <f t="shared" si="0"/>
        <v>0</v>
      </c>
      <c r="K20" s="554">
        <f t="shared" si="0"/>
        <v>0</v>
      </c>
      <c r="L20" s="627">
        <f t="shared" si="0"/>
        <v>0</v>
      </c>
    </row>
    <row r="21" spans="1:12">
      <c r="A21" s="515"/>
      <c r="B21" s="544" t="s">
        <v>7</v>
      </c>
      <c r="C21" s="546"/>
      <c r="D21" s="552">
        <f>+I80</f>
        <v>0</v>
      </c>
      <c r="E21" s="553">
        <v>0</v>
      </c>
      <c r="F21" s="553">
        <v>0</v>
      </c>
      <c r="G21" s="553">
        <v>0</v>
      </c>
      <c r="H21" s="553">
        <v>0</v>
      </c>
      <c r="I21" s="554">
        <f t="shared" si="0"/>
        <v>0</v>
      </c>
      <c r="J21" s="554">
        <f t="shared" si="0"/>
        <v>0</v>
      </c>
      <c r="K21" s="554">
        <f t="shared" si="0"/>
        <v>0</v>
      </c>
      <c r="L21" s="627">
        <f t="shared" si="0"/>
        <v>0</v>
      </c>
    </row>
    <row r="22" spans="1:12">
      <c r="A22" s="515"/>
      <c r="B22" s="544" t="s">
        <v>27</v>
      </c>
      <c r="C22" s="546"/>
      <c r="D22" s="552">
        <f>+I83</f>
        <v>180</v>
      </c>
      <c r="E22" s="553">
        <v>0</v>
      </c>
      <c r="F22" s="553">
        <v>0</v>
      </c>
      <c r="G22" s="553">
        <v>0</v>
      </c>
      <c r="H22" s="553">
        <v>0</v>
      </c>
      <c r="I22" s="554">
        <f t="shared" si="0"/>
        <v>0</v>
      </c>
      <c r="J22" s="554">
        <f t="shared" si="0"/>
        <v>0</v>
      </c>
      <c r="K22" s="554">
        <f t="shared" si="0"/>
        <v>0</v>
      </c>
      <c r="L22" s="627">
        <f t="shared" si="0"/>
        <v>0</v>
      </c>
    </row>
    <row r="23" spans="1:12">
      <c r="A23" s="515"/>
      <c r="B23" s="544" t="s">
        <v>5</v>
      </c>
      <c r="C23" s="546"/>
      <c r="D23" s="552">
        <f>+I87</f>
        <v>0</v>
      </c>
      <c r="E23" s="553">
        <v>0</v>
      </c>
      <c r="F23" s="553">
        <v>0</v>
      </c>
      <c r="G23" s="553">
        <v>0</v>
      </c>
      <c r="H23" s="553">
        <v>0</v>
      </c>
      <c r="I23" s="554">
        <f t="shared" si="0"/>
        <v>0</v>
      </c>
      <c r="J23" s="554">
        <f t="shared" si="0"/>
        <v>0</v>
      </c>
      <c r="K23" s="554">
        <f t="shared" si="0"/>
        <v>0</v>
      </c>
      <c r="L23" s="627">
        <f t="shared" si="0"/>
        <v>0</v>
      </c>
    </row>
    <row r="24" spans="1:12">
      <c r="A24" s="515"/>
      <c r="B24" s="544" t="s">
        <v>20</v>
      </c>
      <c r="C24" s="546"/>
      <c r="D24" s="555">
        <f>+I90</f>
        <v>0</v>
      </c>
      <c r="E24" s="553">
        <v>0</v>
      </c>
      <c r="F24" s="553">
        <v>0</v>
      </c>
      <c r="G24" s="553">
        <v>0</v>
      </c>
      <c r="H24" s="553">
        <v>0</v>
      </c>
      <c r="I24" s="556">
        <f t="shared" si="0"/>
        <v>0</v>
      </c>
      <c r="J24" s="556">
        <f t="shared" si="0"/>
        <v>0</v>
      </c>
      <c r="K24" s="556">
        <f t="shared" si="0"/>
        <v>0</v>
      </c>
      <c r="L24" s="628">
        <f t="shared" si="0"/>
        <v>0</v>
      </c>
    </row>
    <row r="25" spans="1:12">
      <c r="A25" s="515"/>
      <c r="B25" s="557" t="s">
        <v>19</v>
      </c>
      <c r="C25" s="558"/>
      <c r="D25" s="559">
        <f>SUM(D16:D24)</f>
        <v>424.09989999999993</v>
      </c>
      <c r="E25" s="629"/>
      <c r="F25" s="629"/>
      <c r="G25" s="560"/>
      <c r="H25" s="560"/>
      <c r="I25" s="561">
        <f>SUM(I16:I24)</f>
        <v>173.29492500000001</v>
      </c>
      <c r="J25" s="561">
        <f>SUM(J16:J24)</f>
        <v>207.95390999999998</v>
      </c>
      <c r="K25" s="561">
        <f>SUM(K16:K24)</f>
        <v>173.29492500000001</v>
      </c>
      <c r="L25" s="630">
        <f>SUM(L16:L24)</f>
        <v>207.95390999999998</v>
      </c>
    </row>
    <row r="27" spans="1:12" ht="15.75">
      <c r="A27" s="515"/>
      <c r="B27" s="562" t="s">
        <v>28</v>
      </c>
      <c r="C27" s="515"/>
      <c r="D27" s="515"/>
      <c r="E27" s="515"/>
      <c r="F27" s="515"/>
      <c r="G27" s="515"/>
      <c r="H27" s="515"/>
      <c r="I27" s="563"/>
    </row>
    <row r="28" spans="1:12">
      <c r="A28" s="515"/>
      <c r="B28" s="564" t="s">
        <v>492</v>
      </c>
      <c r="C28" s="565"/>
      <c r="D28" s="565"/>
      <c r="E28" s="566"/>
      <c r="F28" s="566"/>
      <c r="G28" s="566"/>
      <c r="H28" s="566"/>
      <c r="I28" s="567"/>
    </row>
    <row r="29" spans="1:12">
      <c r="A29" s="515"/>
      <c r="B29" s="568" t="s">
        <v>443</v>
      </c>
      <c r="C29" s="569"/>
      <c r="D29" s="569"/>
      <c r="E29" s="570"/>
      <c r="F29" s="570"/>
      <c r="G29" s="570"/>
      <c r="H29" s="570"/>
      <c r="I29" s="571"/>
    </row>
    <row r="30" spans="1:12">
      <c r="A30" s="515"/>
      <c r="B30" s="568" t="s">
        <v>444</v>
      </c>
      <c r="C30" s="572"/>
      <c r="D30" s="569"/>
      <c r="E30" s="570"/>
      <c r="F30" s="573"/>
      <c r="G30" s="570"/>
      <c r="H30" s="570"/>
      <c r="I30" s="571"/>
    </row>
    <row r="31" spans="1:12">
      <c r="A31" s="515"/>
      <c r="B31" s="574" t="s">
        <v>445</v>
      </c>
      <c r="C31" s="569"/>
      <c r="D31" s="569"/>
      <c r="E31" s="570"/>
      <c r="F31" s="570"/>
      <c r="G31" s="570"/>
      <c r="H31" s="570"/>
      <c r="I31" s="571"/>
    </row>
    <row r="32" spans="1:12">
      <c r="A32" s="515"/>
      <c r="B32" s="574" t="s">
        <v>446</v>
      </c>
      <c r="C32" s="569"/>
      <c r="D32" s="569"/>
      <c r="E32" s="570"/>
      <c r="F32" s="570"/>
      <c r="G32" s="570"/>
      <c r="H32" s="570"/>
      <c r="I32" s="571"/>
    </row>
    <row r="33" spans="1:9">
      <c r="A33" s="515"/>
      <c r="B33" s="575"/>
      <c r="C33" s="569"/>
      <c r="D33" s="569"/>
      <c r="E33" s="570"/>
      <c r="F33" s="570"/>
      <c r="G33" s="570"/>
      <c r="H33" s="570"/>
      <c r="I33" s="571"/>
    </row>
    <row r="34" spans="1:9">
      <c r="A34" s="515"/>
      <c r="B34" s="576" t="s">
        <v>25</v>
      </c>
      <c r="C34" s="569"/>
      <c r="D34" s="577" t="s">
        <v>91</v>
      </c>
      <c r="E34" s="578"/>
      <c r="F34" s="570"/>
      <c r="G34" s="570"/>
      <c r="H34" s="570"/>
      <c r="I34" s="571"/>
    </row>
    <row r="35" spans="1:9">
      <c r="A35" s="515"/>
      <c r="B35" s="574"/>
      <c r="C35" s="569"/>
      <c r="D35" s="570"/>
      <c r="E35" s="578"/>
      <c r="F35" s="570"/>
      <c r="G35" s="570"/>
      <c r="H35" s="570"/>
      <c r="I35" s="571"/>
    </row>
    <row r="36" spans="1:9">
      <c r="A36" s="515"/>
      <c r="B36" s="576" t="s">
        <v>8</v>
      </c>
      <c r="C36" s="569"/>
      <c r="D36" s="577" t="s">
        <v>394</v>
      </c>
      <c r="E36" s="578"/>
      <c r="F36" s="570"/>
      <c r="G36" s="570"/>
      <c r="H36" s="570"/>
      <c r="I36" s="571"/>
    </row>
    <row r="37" spans="1:9">
      <c r="A37" s="515"/>
      <c r="B37" s="576" t="s">
        <v>9</v>
      </c>
      <c r="C37" s="569"/>
      <c r="D37" s="579">
        <v>5</v>
      </c>
      <c r="E37" s="578"/>
      <c r="F37" s="570"/>
      <c r="G37" s="570"/>
      <c r="H37" s="570"/>
      <c r="I37" s="571"/>
    </row>
    <row r="38" spans="1:9">
      <c r="A38" s="515"/>
      <c r="B38" s="576" t="s">
        <v>10</v>
      </c>
      <c r="C38" s="570"/>
      <c r="D38" s="580"/>
      <c r="E38" s="581"/>
      <c r="F38" s="570"/>
      <c r="G38" s="570"/>
      <c r="H38" s="570"/>
      <c r="I38" s="582" t="s">
        <v>6</v>
      </c>
    </row>
    <row r="39" spans="1:9">
      <c r="A39" s="515"/>
      <c r="B39" s="583"/>
      <c r="C39" s="570"/>
      <c r="D39" s="570"/>
      <c r="E39" s="584"/>
      <c r="F39" s="570"/>
      <c r="G39" s="570"/>
      <c r="H39" s="570"/>
      <c r="I39" s="585"/>
    </row>
    <row r="40" spans="1:9">
      <c r="A40" s="515"/>
      <c r="B40" s="586" t="s">
        <v>0</v>
      </c>
      <c r="C40" s="570"/>
      <c r="D40" s="570"/>
      <c r="E40" s="570"/>
      <c r="F40" s="577"/>
      <c r="G40" s="570"/>
      <c r="H40" s="570"/>
      <c r="I40" s="587">
        <f>SUM(G42:G48)</f>
        <v>100.33</v>
      </c>
    </row>
    <row r="41" spans="1:9">
      <c r="A41" s="515"/>
      <c r="B41" s="588"/>
      <c r="C41" s="570"/>
      <c r="D41" s="589" t="s">
        <v>447</v>
      </c>
      <c r="E41" s="589" t="s">
        <v>448</v>
      </c>
      <c r="F41" s="589" t="s">
        <v>449</v>
      </c>
      <c r="G41" s="589" t="s">
        <v>450</v>
      </c>
      <c r="H41" s="570"/>
      <c r="I41" s="590"/>
    </row>
    <row r="42" spans="1:9">
      <c r="A42" s="515"/>
      <c r="B42" s="583"/>
      <c r="C42" s="578"/>
      <c r="D42" s="591"/>
      <c r="E42" s="592"/>
      <c r="F42" s="593"/>
      <c r="G42" s="594">
        <f t="shared" ref="G42:G48" si="2">+F42*E42</f>
        <v>0</v>
      </c>
      <c r="H42" s="570"/>
      <c r="I42" s="595"/>
    </row>
    <row r="43" spans="1:9">
      <c r="A43" s="515"/>
      <c r="B43" s="583" t="s">
        <v>451</v>
      </c>
      <c r="C43" s="578"/>
      <c r="D43" s="591" t="s">
        <v>452</v>
      </c>
      <c r="E43" s="592">
        <f>+'[15]Core Rates'!C203</f>
        <v>8.75</v>
      </c>
      <c r="F43" s="593">
        <v>0</v>
      </c>
      <c r="G43" s="594">
        <f t="shared" si="2"/>
        <v>0</v>
      </c>
      <c r="H43" s="570"/>
      <c r="I43" s="571"/>
    </row>
    <row r="44" spans="1:9">
      <c r="A44" s="515"/>
      <c r="B44" s="596" t="s">
        <v>453</v>
      </c>
      <c r="C44" s="578"/>
      <c r="D44" s="597" t="s">
        <v>454</v>
      </c>
      <c r="E44" s="592">
        <f>+'[15]Core Rates'!C228</f>
        <v>0.82427536231884069</v>
      </c>
      <c r="F44" s="593">
        <v>0</v>
      </c>
      <c r="G44" s="594">
        <f t="shared" si="2"/>
        <v>0</v>
      </c>
      <c r="H44" s="570"/>
      <c r="I44" s="571"/>
    </row>
    <row r="45" spans="1:9">
      <c r="A45" s="515"/>
      <c r="B45" s="598" t="s">
        <v>455</v>
      </c>
      <c r="C45" s="599"/>
      <c r="D45" s="597" t="s">
        <v>454</v>
      </c>
      <c r="E45" s="592">
        <f>+'[15]Core Rates'!C235</f>
        <v>1.1702898550724636</v>
      </c>
      <c r="F45" s="593">
        <v>0</v>
      </c>
      <c r="G45" s="594">
        <f t="shared" si="2"/>
        <v>0</v>
      </c>
      <c r="H45" s="570"/>
      <c r="I45" s="571"/>
    </row>
    <row r="46" spans="1:9">
      <c r="A46" s="515"/>
      <c r="B46" s="598" t="s">
        <v>456</v>
      </c>
      <c r="C46" s="599"/>
      <c r="D46" s="591" t="s">
        <v>454</v>
      </c>
      <c r="E46" s="592">
        <f>+'[15]Core Rates'!C246</f>
        <v>0.58825136612021856</v>
      </c>
      <c r="F46" s="593">
        <v>0</v>
      </c>
      <c r="G46" s="594">
        <f t="shared" si="2"/>
        <v>0</v>
      </c>
      <c r="H46" s="570"/>
      <c r="I46" s="571"/>
    </row>
    <row r="47" spans="1:9">
      <c r="A47" s="515"/>
      <c r="B47" s="600" t="str">
        <f>+'[15]Core Rates'!A309</f>
        <v>Seed (Native grass except Prairie Dropseed and Splitbeard Bluestem)</v>
      </c>
      <c r="C47" s="599"/>
      <c r="D47" s="597" t="s">
        <v>454</v>
      </c>
      <c r="E47" s="592">
        <f>+'[15]Core Rates 2011'!BE306</f>
        <v>8.57</v>
      </c>
      <c r="F47" s="593">
        <v>5</v>
      </c>
      <c r="G47" s="594">
        <f t="shared" si="2"/>
        <v>42.85</v>
      </c>
      <c r="H47" s="570"/>
      <c r="I47" s="571"/>
    </row>
    <row r="48" spans="1:9">
      <c r="A48" s="515"/>
      <c r="B48" s="600" t="str">
        <f>+'[15]Core Rates 2011'!A291</f>
        <v>Seed (4 native forb species mix)</v>
      </c>
      <c r="C48" s="599"/>
      <c r="D48" s="597" t="s">
        <v>454</v>
      </c>
      <c r="E48" s="592">
        <f>+'[15]Core Rates 2011'!BE291</f>
        <v>28.74</v>
      </c>
      <c r="F48" s="593">
        <v>2</v>
      </c>
      <c r="G48" s="594">
        <f t="shared" si="2"/>
        <v>57.48</v>
      </c>
      <c r="H48" s="570"/>
      <c r="I48" s="571"/>
    </row>
    <row r="49" spans="1:9">
      <c r="A49" s="515"/>
      <c r="B49" s="601"/>
      <c r="C49" s="578"/>
      <c r="D49" s="602"/>
      <c r="E49" s="570"/>
      <c r="F49" s="570"/>
      <c r="G49" s="570"/>
      <c r="H49" s="570"/>
      <c r="I49" s="571"/>
    </row>
    <row r="50" spans="1:9">
      <c r="A50" s="515"/>
      <c r="B50" s="574" t="s">
        <v>43</v>
      </c>
      <c r="C50" s="578"/>
      <c r="D50" s="602"/>
      <c r="E50" s="570"/>
      <c r="F50" s="570"/>
      <c r="G50" s="570"/>
      <c r="H50" s="570"/>
      <c r="I50" s="571"/>
    </row>
    <row r="51" spans="1:9">
      <c r="A51" s="515"/>
      <c r="B51" s="583" t="s">
        <v>457</v>
      </c>
      <c r="C51" s="578"/>
      <c r="D51" s="602"/>
      <c r="E51" s="570"/>
      <c r="F51" s="570"/>
      <c r="G51" s="570"/>
      <c r="H51" s="570"/>
      <c r="I51" s="571"/>
    </row>
    <row r="52" spans="1:9">
      <c r="A52" s="515"/>
      <c r="B52" s="583" t="s">
        <v>458</v>
      </c>
      <c r="C52" s="578"/>
      <c r="D52" s="602"/>
      <c r="E52" s="603"/>
      <c r="F52" s="570"/>
      <c r="G52" s="570"/>
      <c r="H52" s="570"/>
      <c r="I52" s="571"/>
    </row>
    <row r="53" spans="1:9">
      <c r="A53" s="515"/>
      <c r="B53" s="601"/>
      <c r="C53" s="578"/>
      <c r="D53" s="602"/>
      <c r="E53" s="570"/>
      <c r="F53" s="570"/>
      <c r="G53" s="570"/>
      <c r="H53" s="570"/>
      <c r="I53" s="571"/>
    </row>
    <row r="54" spans="1:9">
      <c r="A54" s="515"/>
      <c r="B54" s="586" t="s">
        <v>2</v>
      </c>
      <c r="C54" s="570"/>
      <c r="D54" s="570"/>
      <c r="E54" s="2017" t="s">
        <v>459</v>
      </c>
      <c r="F54" s="2017"/>
      <c r="G54" s="2017"/>
      <c r="H54" s="2017"/>
      <c r="I54" s="587">
        <f>(SUM(G56:G61)*0.85)</f>
        <v>105.39999999999999</v>
      </c>
    </row>
    <row r="55" spans="1:9">
      <c r="A55" s="515"/>
      <c r="B55" s="588"/>
      <c r="C55" s="570"/>
      <c r="D55" s="589" t="s">
        <v>447</v>
      </c>
      <c r="E55" s="589" t="s">
        <v>448</v>
      </c>
      <c r="F55" s="589" t="s">
        <v>449</v>
      </c>
      <c r="G55" s="589" t="s">
        <v>450</v>
      </c>
      <c r="H55" s="570"/>
      <c r="I55" s="590"/>
    </row>
    <row r="56" spans="1:9">
      <c r="A56" s="515"/>
      <c r="B56" s="604" t="s">
        <v>460</v>
      </c>
      <c r="C56" s="578"/>
      <c r="D56" s="591" t="s">
        <v>408</v>
      </c>
      <c r="E56" s="592">
        <f>+'[15]Core Rates 2011'!BE146</f>
        <v>36.5</v>
      </c>
      <c r="F56" s="593">
        <v>2</v>
      </c>
      <c r="G56" s="594">
        <f t="shared" ref="G56:G61" si="3">+F56*E56</f>
        <v>73</v>
      </c>
      <c r="H56" s="570"/>
      <c r="I56" s="595"/>
    </row>
    <row r="57" spans="1:9">
      <c r="A57" s="515"/>
      <c r="B57" s="604" t="str">
        <f>+'[15]Core Rates'!A216</f>
        <v>Mowing</v>
      </c>
      <c r="C57" s="578"/>
      <c r="D57" s="605" t="s">
        <v>408</v>
      </c>
      <c r="E57" s="605">
        <f>+'[15]Core Rates'!C216</f>
        <v>15.5</v>
      </c>
      <c r="F57" s="593">
        <v>2</v>
      </c>
      <c r="G57" s="594">
        <f t="shared" si="3"/>
        <v>31</v>
      </c>
      <c r="H57" s="570"/>
      <c r="I57" s="595"/>
    </row>
    <row r="58" spans="1:9">
      <c r="A58" s="515"/>
      <c r="B58" s="583" t="s">
        <v>461</v>
      </c>
      <c r="C58" s="578"/>
      <c r="D58" s="591" t="s">
        <v>408</v>
      </c>
      <c r="E58" s="592">
        <f>+'[15]Core Rates'!C104</f>
        <v>20</v>
      </c>
      <c r="F58" s="593">
        <v>1</v>
      </c>
      <c r="G58" s="594">
        <f t="shared" si="3"/>
        <v>20</v>
      </c>
      <c r="H58" s="570"/>
      <c r="I58" s="595"/>
    </row>
    <row r="59" spans="1:9">
      <c r="A59" s="515"/>
      <c r="B59" s="583" t="s">
        <v>462</v>
      </c>
      <c r="C59" s="578"/>
      <c r="D59" s="591" t="s">
        <v>408</v>
      </c>
      <c r="E59" s="592">
        <f>+'[15]Core Rates'!AN33</f>
        <v>5.416666666666667</v>
      </c>
      <c r="F59" s="593">
        <v>0</v>
      </c>
      <c r="G59" s="594">
        <f t="shared" si="3"/>
        <v>0</v>
      </c>
      <c r="H59" s="570"/>
      <c r="I59" s="595"/>
    </row>
    <row r="60" spans="1:9">
      <c r="A60" s="515"/>
      <c r="B60" s="583" t="s">
        <v>463</v>
      </c>
      <c r="C60" s="578"/>
      <c r="D60" s="591" t="s">
        <v>452</v>
      </c>
      <c r="E60" s="592">
        <f>+'[15]Core Rates'!AN34</f>
        <v>5.5</v>
      </c>
      <c r="F60" s="593">
        <v>0</v>
      </c>
      <c r="G60" s="594">
        <f t="shared" si="3"/>
        <v>0</v>
      </c>
      <c r="H60" s="570"/>
      <c r="I60" s="595"/>
    </row>
    <row r="61" spans="1:9">
      <c r="A61" s="515"/>
      <c r="B61" s="583" t="s">
        <v>464</v>
      </c>
      <c r="C61" s="578"/>
      <c r="D61" s="591" t="s">
        <v>452</v>
      </c>
      <c r="E61" s="592">
        <f>+'[15]Core Rates'!AN32</f>
        <v>6.3125</v>
      </c>
      <c r="F61" s="593">
        <v>0</v>
      </c>
      <c r="G61" s="594">
        <f t="shared" si="3"/>
        <v>0</v>
      </c>
      <c r="H61" s="570"/>
      <c r="I61" s="595"/>
    </row>
    <row r="62" spans="1:9">
      <c r="A62" s="515"/>
      <c r="B62" s="583"/>
      <c r="C62" s="578"/>
      <c r="D62" s="606"/>
      <c r="E62" s="607"/>
      <c r="F62" s="607"/>
      <c r="G62" s="592"/>
      <c r="H62" s="570"/>
      <c r="I62" s="595"/>
    </row>
    <row r="63" spans="1:9">
      <c r="A63" s="515"/>
      <c r="B63" s="574" t="s">
        <v>43</v>
      </c>
      <c r="C63" s="570"/>
      <c r="D63" s="570"/>
      <c r="E63" s="608"/>
      <c r="F63" s="608"/>
      <c r="G63" s="608"/>
      <c r="H63" s="570"/>
      <c r="I63" s="590"/>
    </row>
    <row r="64" spans="1:9" ht="12.75" customHeight="1">
      <c r="A64" s="515"/>
      <c r="B64" s="2018" t="s">
        <v>457</v>
      </c>
      <c r="C64" s="2019"/>
      <c r="D64" s="2019"/>
      <c r="E64" s="2019"/>
      <c r="F64" s="2019"/>
      <c r="G64" s="2019"/>
      <c r="H64" s="2019"/>
      <c r="I64" s="2020"/>
    </row>
    <row r="65" spans="1:9">
      <c r="A65" s="515"/>
      <c r="B65" s="2018"/>
      <c r="C65" s="2019"/>
      <c r="D65" s="2019"/>
      <c r="E65" s="2019"/>
      <c r="F65" s="2019"/>
      <c r="G65" s="2019"/>
      <c r="H65" s="2019"/>
      <c r="I65" s="2020"/>
    </row>
    <row r="66" spans="1:9">
      <c r="A66" s="515"/>
      <c r="B66" s="609"/>
      <c r="C66" s="610"/>
      <c r="D66" s="610"/>
      <c r="E66" s="610"/>
      <c r="F66" s="610"/>
      <c r="G66" s="610"/>
      <c r="H66" s="610"/>
      <c r="I66" s="611"/>
    </row>
    <row r="67" spans="1:9">
      <c r="A67" s="515"/>
      <c r="B67" s="609"/>
      <c r="C67" s="610"/>
      <c r="D67" s="610"/>
      <c r="E67" s="610"/>
      <c r="F67" s="610"/>
      <c r="G67" s="610"/>
      <c r="H67" s="610"/>
      <c r="I67" s="611"/>
    </row>
    <row r="68" spans="1:9">
      <c r="A68" s="515"/>
      <c r="B68" s="586" t="s">
        <v>3</v>
      </c>
      <c r="C68" s="570"/>
      <c r="D68" s="570"/>
      <c r="E68" s="570"/>
      <c r="F68" s="577"/>
      <c r="G68" s="570"/>
      <c r="H68" s="570"/>
      <c r="I68" s="612">
        <f>E70</f>
        <v>18.599999999999998</v>
      </c>
    </row>
    <row r="69" spans="1:9">
      <c r="A69" s="515"/>
      <c r="B69" s="2021" t="s">
        <v>465</v>
      </c>
      <c r="C69" s="2022"/>
      <c r="D69" s="570"/>
      <c r="E69" s="570"/>
      <c r="F69" s="570"/>
      <c r="G69" s="570"/>
      <c r="H69" s="570"/>
      <c r="I69" s="613"/>
    </row>
    <row r="70" spans="1:9">
      <c r="A70" s="515"/>
      <c r="B70" s="574" t="s">
        <v>466</v>
      </c>
      <c r="C70" s="577"/>
      <c r="D70" s="577"/>
      <c r="E70" s="614">
        <f>SUM(G56:G61)*0.15</f>
        <v>18.599999999999998</v>
      </c>
      <c r="F70" s="570"/>
      <c r="G70" s="570"/>
      <c r="H70" s="570"/>
      <c r="I70" s="590"/>
    </row>
    <row r="71" spans="1:9">
      <c r="A71" s="515"/>
      <c r="B71" s="574"/>
      <c r="C71" s="577"/>
      <c r="D71" s="615"/>
      <c r="E71" s="614"/>
      <c r="F71" s="570"/>
      <c r="G71" s="570"/>
      <c r="H71" s="570"/>
      <c r="I71" s="590"/>
    </row>
    <row r="72" spans="1:9">
      <c r="A72" s="515"/>
      <c r="B72" s="574"/>
      <c r="C72" s="577"/>
      <c r="D72" s="616"/>
      <c r="E72" s="614"/>
      <c r="F72" s="570"/>
      <c r="G72" s="570"/>
      <c r="H72" s="570"/>
      <c r="I72" s="590"/>
    </row>
    <row r="73" spans="1:9">
      <c r="A73" s="515"/>
      <c r="B73" s="575"/>
      <c r="C73" s="570"/>
      <c r="D73" s="570"/>
      <c r="E73" s="570"/>
      <c r="F73" s="570"/>
      <c r="G73" s="570"/>
      <c r="H73" s="570"/>
      <c r="I73" s="571"/>
    </row>
    <row r="74" spans="1:9">
      <c r="A74" s="515"/>
      <c r="B74" s="586" t="s">
        <v>4</v>
      </c>
      <c r="C74" s="570"/>
      <c r="D74" s="570"/>
      <c r="E74" s="570"/>
      <c r="F74" s="570"/>
      <c r="G74" s="570"/>
      <c r="H74" s="570"/>
      <c r="I74" s="612">
        <f>0.03*(I40+I54+I68)</f>
        <v>6.7298999999999989</v>
      </c>
    </row>
    <row r="75" spans="1:9">
      <c r="A75" s="515"/>
      <c r="B75" s="575" t="s">
        <v>467</v>
      </c>
      <c r="C75" s="570"/>
      <c r="D75" s="570"/>
      <c r="E75" s="570"/>
      <c r="F75" s="570"/>
      <c r="G75" s="570"/>
      <c r="H75" s="570"/>
      <c r="I75" s="571"/>
    </row>
    <row r="76" spans="1:9">
      <c r="A76" s="515"/>
      <c r="B76" s="574"/>
      <c r="C76" s="570"/>
      <c r="D76" s="570"/>
      <c r="E76" s="570"/>
      <c r="F76" s="570"/>
      <c r="G76" s="570"/>
      <c r="H76" s="570"/>
      <c r="I76" s="571"/>
    </row>
    <row r="77" spans="1:9">
      <c r="A77" s="515"/>
      <c r="B77" s="586" t="s">
        <v>468</v>
      </c>
      <c r="C77" s="570"/>
      <c r="D77" s="570"/>
      <c r="E77" s="570"/>
      <c r="F77" s="570"/>
      <c r="G77" s="570"/>
      <c r="H77" s="570"/>
      <c r="I77" s="587">
        <v>13.04</v>
      </c>
    </row>
    <row r="78" spans="1:9">
      <c r="A78" s="515"/>
      <c r="B78" s="575" t="s">
        <v>469</v>
      </c>
      <c r="C78" s="570"/>
      <c r="D78" s="570"/>
      <c r="E78" s="570"/>
      <c r="F78" s="570"/>
      <c r="G78" s="570"/>
      <c r="H78" s="570"/>
      <c r="I78" s="571"/>
    </row>
    <row r="79" spans="1:9">
      <c r="A79" s="515"/>
      <c r="B79" s="574"/>
      <c r="C79" s="570"/>
      <c r="D79" s="570"/>
      <c r="E79" s="570"/>
      <c r="F79" s="570"/>
      <c r="G79" s="570"/>
      <c r="H79" s="570"/>
      <c r="I79" s="571"/>
    </row>
    <row r="80" spans="1:9">
      <c r="A80" s="515"/>
      <c r="B80" s="586" t="s">
        <v>7</v>
      </c>
      <c r="C80" s="570"/>
      <c r="D80" s="570"/>
      <c r="E80" s="570"/>
      <c r="F80" s="570"/>
      <c r="G80" s="570"/>
      <c r="H80" s="570"/>
      <c r="I80" s="587">
        <v>0</v>
      </c>
    </row>
    <row r="81" spans="1:9">
      <c r="A81" s="515"/>
      <c r="B81" s="575" t="s">
        <v>470</v>
      </c>
      <c r="C81" s="570"/>
      <c r="D81" s="570"/>
      <c r="E81" s="570"/>
      <c r="F81" s="570"/>
      <c r="G81" s="570"/>
      <c r="H81" s="570"/>
      <c r="I81" s="571"/>
    </row>
    <row r="82" spans="1:9">
      <c r="A82" s="515"/>
      <c r="B82" s="574"/>
      <c r="C82" s="570"/>
      <c r="D82" s="570"/>
      <c r="E82" s="570"/>
      <c r="F82" s="570"/>
      <c r="G82" s="570"/>
      <c r="H82" s="570"/>
      <c r="I82" s="571"/>
    </row>
    <row r="83" spans="1:9">
      <c r="A83" s="515"/>
      <c r="B83" s="586" t="s">
        <v>471</v>
      </c>
      <c r="C83" s="570"/>
      <c r="D83" s="570"/>
      <c r="E83" s="570"/>
      <c r="F83" s="577"/>
      <c r="G83" s="570"/>
      <c r="H83" s="570"/>
      <c r="I83" s="587">
        <f>E85*3</f>
        <v>180</v>
      </c>
    </row>
    <row r="84" spans="1:9">
      <c r="A84" s="515"/>
      <c r="B84" s="617" t="s">
        <v>472</v>
      </c>
      <c r="C84" s="570"/>
      <c r="D84" s="570"/>
      <c r="E84" s="570"/>
      <c r="F84" s="570"/>
      <c r="G84" s="570"/>
      <c r="H84" s="570"/>
      <c r="I84" s="595"/>
    </row>
    <row r="85" spans="1:9">
      <c r="A85" s="515"/>
      <c r="B85" s="617"/>
      <c r="C85" s="570"/>
      <c r="D85" s="570"/>
      <c r="E85" s="635">
        <v>60</v>
      </c>
      <c r="F85" s="570"/>
      <c r="G85" s="570"/>
      <c r="H85" s="570"/>
      <c r="I85" s="595"/>
    </row>
    <row r="86" spans="1:9">
      <c r="A86" s="515"/>
      <c r="B86" s="574"/>
      <c r="C86" s="570"/>
      <c r="D86" s="570"/>
      <c r="E86" s="570"/>
      <c r="F86" s="570"/>
      <c r="G86" s="570"/>
      <c r="H86" s="570"/>
      <c r="I86" s="571"/>
    </row>
    <row r="87" spans="1:9">
      <c r="A87" s="515"/>
      <c r="B87" s="586" t="s">
        <v>5</v>
      </c>
      <c r="C87" s="570"/>
      <c r="D87" s="570"/>
      <c r="E87" s="570"/>
      <c r="F87" s="570"/>
      <c r="G87" s="570"/>
      <c r="H87" s="570"/>
      <c r="I87" s="587">
        <v>0</v>
      </c>
    </row>
    <row r="88" spans="1:9">
      <c r="A88" s="515"/>
      <c r="B88" s="575" t="s">
        <v>104</v>
      </c>
      <c r="C88" s="570"/>
      <c r="D88" s="570"/>
      <c r="E88" s="570"/>
      <c r="F88" s="570"/>
      <c r="G88" s="570"/>
      <c r="H88" s="570"/>
      <c r="I88" s="595"/>
    </row>
    <row r="89" spans="1:9">
      <c r="A89" s="515"/>
      <c r="B89" s="574"/>
      <c r="C89" s="570"/>
      <c r="D89" s="570"/>
      <c r="E89" s="570"/>
      <c r="F89" s="570"/>
      <c r="G89" s="570"/>
      <c r="H89" s="570"/>
      <c r="I89" s="571"/>
    </row>
    <row r="90" spans="1:9">
      <c r="A90" s="515"/>
      <c r="B90" s="586" t="s">
        <v>20</v>
      </c>
      <c r="C90" s="570"/>
      <c r="D90" s="570"/>
      <c r="E90" s="570"/>
      <c r="F90" s="570"/>
      <c r="G90" s="570"/>
      <c r="H90" s="570"/>
      <c r="I90" s="587">
        <v>0</v>
      </c>
    </row>
    <row r="91" spans="1:9">
      <c r="A91" s="515"/>
      <c r="B91" s="575" t="s">
        <v>104</v>
      </c>
      <c r="C91" s="570"/>
      <c r="D91" s="570"/>
      <c r="E91" s="570"/>
      <c r="F91" s="570"/>
      <c r="G91" s="570"/>
      <c r="H91" s="570"/>
      <c r="I91" s="571"/>
    </row>
    <row r="92" spans="1:9">
      <c r="A92" s="515"/>
      <c r="B92" s="583"/>
      <c r="C92" s="570"/>
      <c r="D92" s="570"/>
      <c r="E92" s="570"/>
      <c r="F92" s="570"/>
      <c r="G92" s="570"/>
      <c r="H92" s="570"/>
      <c r="I92" s="571"/>
    </row>
    <row r="93" spans="1:9">
      <c r="A93" s="515"/>
      <c r="B93" s="586" t="s">
        <v>473</v>
      </c>
      <c r="C93" s="570"/>
      <c r="D93" s="570"/>
      <c r="E93" s="570"/>
      <c r="F93" s="570"/>
      <c r="G93" s="570"/>
      <c r="H93" s="570"/>
      <c r="I93" s="618">
        <f>+I40+I54+I68+I74+I80+I90</f>
        <v>231.05989999999997</v>
      </c>
    </row>
    <row r="94" spans="1:9" ht="15.75">
      <c r="A94" s="515"/>
      <c r="B94" s="575" t="s">
        <v>474</v>
      </c>
      <c r="C94" s="570"/>
      <c r="D94" s="570"/>
      <c r="E94" s="570"/>
      <c r="F94" s="570"/>
      <c r="G94" s="570"/>
      <c r="H94" s="570"/>
      <c r="I94" s="571"/>
    </row>
    <row r="95" spans="1:9">
      <c r="A95" s="515"/>
      <c r="B95" s="583"/>
      <c r="C95" s="570"/>
      <c r="D95" s="570"/>
      <c r="E95" s="570"/>
      <c r="F95" s="570"/>
      <c r="G95" s="570"/>
      <c r="H95" s="570"/>
      <c r="I95" s="571"/>
    </row>
    <row r="96" spans="1:9">
      <c r="A96" s="515"/>
      <c r="B96" s="619" t="s">
        <v>11</v>
      </c>
      <c r="C96" s="620"/>
      <c r="D96" s="620"/>
      <c r="E96" s="620"/>
      <c r="F96" s="620"/>
      <c r="G96" s="620"/>
      <c r="H96" s="620"/>
      <c r="I96" s="621">
        <f>SUM(I40:I90)</f>
        <v>424.09989999999993</v>
      </c>
    </row>
  </sheetData>
  <mergeCells count="4">
    <mergeCell ref="B1:D1"/>
    <mergeCell ref="E54:H54"/>
    <mergeCell ref="B64:I65"/>
    <mergeCell ref="B69:C69"/>
  </mergeCells>
  <pageMargins left="0.75" right="0.75" top="1" bottom="1" header="0.5" footer="0.5"/>
  <pageSetup scale="49" orientation="portrait" r:id="rId1"/>
  <headerFooter alignWithMargins="0"/>
</worksheet>
</file>

<file path=xl/worksheets/sheet7.xml><?xml version="1.0" encoding="utf-8"?>
<worksheet xmlns="http://schemas.openxmlformats.org/spreadsheetml/2006/main" xmlns:r="http://schemas.openxmlformats.org/officeDocument/2006/relationships">
  <dimension ref="A1:L55"/>
  <sheetViews>
    <sheetView view="pageBreakPreview" topLeftCell="A19" zoomScaleNormal="100" workbookViewId="0">
      <selection activeCell="D42" sqref="D42"/>
    </sheetView>
  </sheetViews>
  <sheetFormatPr defaultRowHeight="12.75"/>
  <cols>
    <col min="2" max="2" width="20.85546875" customWidth="1"/>
    <col min="3" max="3" width="26.5703125" bestFit="1" customWidth="1"/>
    <col min="4" max="4" width="21.28515625" customWidth="1"/>
    <col min="5" max="5" width="15.28515625" customWidth="1"/>
    <col min="6" max="6" width="10.28515625" customWidth="1"/>
    <col min="7" max="7" width="13" customWidth="1"/>
    <col min="8" max="8" width="10.140625" customWidth="1"/>
    <col min="9" max="9" width="11" customWidth="1"/>
    <col min="10" max="10" width="11.28515625" customWidth="1"/>
    <col min="11" max="11" width="9.85546875" customWidth="1"/>
  </cols>
  <sheetData>
    <row r="1" spans="1:12">
      <c r="A1" s="2"/>
      <c r="B1" s="2"/>
      <c r="C1" s="2"/>
      <c r="D1" s="2"/>
      <c r="E1" s="2"/>
      <c r="F1" s="2"/>
      <c r="G1" s="2"/>
      <c r="H1" s="2"/>
      <c r="I1" s="2"/>
      <c r="J1" s="2"/>
      <c r="K1" s="2"/>
    </row>
    <row r="2" spans="1:12" ht="15.75">
      <c r="A2" s="118" t="s">
        <v>17</v>
      </c>
      <c r="B2" s="119"/>
      <c r="C2" s="119"/>
      <c r="D2" s="119"/>
      <c r="E2" s="119"/>
      <c r="F2" s="119"/>
      <c r="G2" s="2"/>
      <c r="H2" s="2"/>
      <c r="I2" s="2"/>
      <c r="J2" s="2"/>
      <c r="K2" s="2"/>
    </row>
    <row r="3" spans="1:12" ht="25.5">
      <c r="A3" s="120" t="s">
        <v>37</v>
      </c>
      <c r="B3" s="121" t="s">
        <v>75</v>
      </c>
      <c r="C3" s="122" t="s">
        <v>29</v>
      </c>
      <c r="D3" s="122" t="s">
        <v>30</v>
      </c>
      <c r="E3" s="121" t="s">
        <v>23</v>
      </c>
      <c r="F3" s="123" t="s">
        <v>76</v>
      </c>
      <c r="G3" s="124" t="s">
        <v>77</v>
      </c>
      <c r="K3" s="2"/>
    </row>
    <row r="4" spans="1:12" ht="25.5">
      <c r="A4" s="54">
        <v>102</v>
      </c>
      <c r="B4" s="7" t="s">
        <v>78</v>
      </c>
      <c r="C4" s="125" t="s">
        <v>79</v>
      </c>
      <c r="D4" s="110" t="s">
        <v>121</v>
      </c>
      <c r="E4" s="7" t="s">
        <v>81</v>
      </c>
      <c r="F4" s="85">
        <f>+F21</f>
        <v>6570.75</v>
      </c>
      <c r="G4" s="126" t="str">
        <f>+C26</f>
        <v>Statewide</v>
      </c>
      <c r="K4" s="2"/>
    </row>
    <row r="5" spans="1:12" ht="25.5">
      <c r="A5" s="8">
        <v>102</v>
      </c>
      <c r="B5" s="10" t="s">
        <v>78</v>
      </c>
      <c r="C5" s="127" t="s">
        <v>79</v>
      </c>
      <c r="D5" s="111" t="s">
        <v>122</v>
      </c>
      <c r="E5" s="10" t="s">
        <v>81</v>
      </c>
      <c r="F5" s="86">
        <f>G21</f>
        <v>7884.9</v>
      </c>
      <c r="G5" s="2" t="str">
        <f>+C26</f>
        <v>Statewide</v>
      </c>
      <c r="K5" s="2"/>
    </row>
    <row r="6" spans="1:12">
      <c r="A6" s="4"/>
      <c r="B6" s="3"/>
      <c r="C6" s="3"/>
      <c r="D6" s="2"/>
      <c r="E6" s="2"/>
      <c r="K6" s="2"/>
    </row>
    <row r="7" spans="1:12" ht="15.75">
      <c r="A7" s="1" t="s">
        <v>18</v>
      </c>
      <c r="B7" s="3"/>
      <c r="C7" s="3"/>
      <c r="D7" s="2"/>
      <c r="E7" s="2"/>
      <c r="I7" s="81"/>
      <c r="J7" s="81"/>
      <c r="K7" s="49"/>
      <c r="L7" s="81"/>
    </row>
    <row r="8" spans="1:12">
      <c r="A8" s="128"/>
      <c r="B8" s="11"/>
      <c r="C8" s="12"/>
      <c r="D8" s="13" t="s">
        <v>83</v>
      </c>
      <c r="E8" s="13" t="s">
        <v>84</v>
      </c>
      <c r="F8" s="13" t="s">
        <v>85</v>
      </c>
      <c r="G8" s="14" t="s">
        <v>15</v>
      </c>
      <c r="H8" s="87"/>
      <c r="I8" s="87"/>
      <c r="J8" s="81"/>
    </row>
    <row r="9" spans="1:12">
      <c r="A9" s="15"/>
      <c r="B9" s="67"/>
      <c r="C9" s="16"/>
      <c r="D9" s="17" t="s">
        <v>22</v>
      </c>
      <c r="E9" s="17" t="s">
        <v>22</v>
      </c>
      <c r="F9" s="17" t="s">
        <v>86</v>
      </c>
      <c r="G9" s="18" t="s">
        <v>87</v>
      </c>
      <c r="H9" s="87"/>
      <c r="I9" s="87"/>
      <c r="J9" s="81"/>
    </row>
    <row r="10" spans="1:12">
      <c r="A10" s="19"/>
      <c r="B10" s="16"/>
      <c r="C10" s="16"/>
      <c r="D10" s="17" t="s">
        <v>12</v>
      </c>
      <c r="E10" s="17" t="s">
        <v>12</v>
      </c>
      <c r="F10" s="17" t="s">
        <v>12</v>
      </c>
      <c r="G10" s="18" t="s">
        <v>12</v>
      </c>
      <c r="H10" s="87"/>
      <c r="I10" s="87"/>
      <c r="J10" s="81"/>
    </row>
    <row r="11" spans="1:12">
      <c r="A11" s="129" t="s">
        <v>16</v>
      </c>
      <c r="B11" s="16"/>
      <c r="C11" s="22" t="s">
        <v>6</v>
      </c>
      <c r="D11" s="22" t="s">
        <v>24</v>
      </c>
      <c r="E11" s="22" t="s">
        <v>24</v>
      </c>
      <c r="F11" s="22" t="s">
        <v>14</v>
      </c>
      <c r="G11" s="23" t="s">
        <v>14</v>
      </c>
      <c r="H11" s="88"/>
      <c r="I11" s="88"/>
      <c r="J11" s="81"/>
    </row>
    <row r="12" spans="1:12">
      <c r="A12" s="15" t="s">
        <v>0</v>
      </c>
      <c r="B12" s="16"/>
      <c r="C12" s="24">
        <f>+I34/C29</f>
        <v>561</v>
      </c>
      <c r="D12" s="130">
        <v>0.75</v>
      </c>
      <c r="E12" s="130">
        <v>0.9</v>
      </c>
      <c r="F12" s="73">
        <f t="shared" ref="F12:G20" si="0">+$C12*D12</f>
        <v>420.75</v>
      </c>
      <c r="G12" s="74">
        <f t="shared" si="0"/>
        <v>504.90000000000003</v>
      </c>
      <c r="H12" s="131"/>
      <c r="I12" s="132"/>
      <c r="J12" s="81"/>
    </row>
    <row r="13" spans="1:12">
      <c r="A13" s="15" t="s">
        <v>2</v>
      </c>
      <c r="B13" s="16"/>
      <c r="C13" s="24">
        <f>+I38/C29</f>
        <v>0</v>
      </c>
      <c r="D13" s="130">
        <v>0.75</v>
      </c>
      <c r="E13" s="130">
        <v>0.9</v>
      </c>
      <c r="F13" s="73">
        <f t="shared" si="0"/>
        <v>0</v>
      </c>
      <c r="G13" s="74">
        <f t="shared" si="0"/>
        <v>0</v>
      </c>
      <c r="H13" s="131"/>
      <c r="I13" s="132"/>
      <c r="J13" s="81"/>
    </row>
    <row r="14" spans="1:12">
      <c r="A14" s="15" t="s">
        <v>3</v>
      </c>
      <c r="B14" s="16"/>
      <c r="C14" s="24">
        <f>+I40/C29</f>
        <v>8000</v>
      </c>
      <c r="D14" s="130">
        <v>0.75</v>
      </c>
      <c r="E14" s="130">
        <v>0.9</v>
      </c>
      <c r="F14" s="73">
        <f t="shared" si="0"/>
        <v>6000</v>
      </c>
      <c r="G14" s="74">
        <f t="shared" si="0"/>
        <v>7200</v>
      </c>
      <c r="H14" s="131"/>
      <c r="I14" s="132"/>
      <c r="J14" s="81"/>
    </row>
    <row r="15" spans="1:12">
      <c r="A15" s="15" t="s">
        <v>4</v>
      </c>
      <c r="B15" s="16"/>
      <c r="C15" s="24">
        <f>+I43/C29</f>
        <v>200</v>
      </c>
      <c r="D15" s="130">
        <v>0.75</v>
      </c>
      <c r="E15" s="130">
        <v>0.9</v>
      </c>
      <c r="F15" s="73">
        <f t="shared" si="0"/>
        <v>150</v>
      </c>
      <c r="G15" s="74">
        <f t="shared" si="0"/>
        <v>180</v>
      </c>
      <c r="H15" s="131"/>
      <c r="I15" s="132"/>
      <c r="J15" s="81"/>
    </row>
    <row r="16" spans="1:12">
      <c r="A16" s="15" t="s">
        <v>26</v>
      </c>
      <c r="B16" s="16"/>
      <c r="C16" s="24">
        <f>+I45/C29</f>
        <v>0</v>
      </c>
      <c r="D16" s="130">
        <v>0</v>
      </c>
      <c r="E16" s="130">
        <v>0</v>
      </c>
      <c r="F16" s="73">
        <f t="shared" si="0"/>
        <v>0</v>
      </c>
      <c r="G16" s="74">
        <f t="shared" si="0"/>
        <v>0</v>
      </c>
      <c r="H16" s="131"/>
      <c r="I16" s="132"/>
      <c r="J16" s="81"/>
    </row>
    <row r="17" spans="1:12">
      <c r="A17" s="15" t="s">
        <v>7</v>
      </c>
      <c r="B17" s="16"/>
      <c r="C17" s="24">
        <f>+I47/C29</f>
        <v>0</v>
      </c>
      <c r="D17" s="130">
        <v>0</v>
      </c>
      <c r="E17" s="130">
        <v>0</v>
      </c>
      <c r="F17" s="73">
        <f t="shared" si="0"/>
        <v>0</v>
      </c>
      <c r="G17" s="74">
        <f t="shared" si="0"/>
        <v>0</v>
      </c>
      <c r="H17" s="131"/>
      <c r="I17" s="132"/>
      <c r="J17" s="81"/>
    </row>
    <row r="18" spans="1:12">
      <c r="A18" s="15" t="s">
        <v>27</v>
      </c>
      <c r="B18" s="16"/>
      <c r="C18" s="24">
        <f>+I49/C29</f>
        <v>0</v>
      </c>
      <c r="D18" s="130">
        <v>0</v>
      </c>
      <c r="E18" s="130">
        <v>0</v>
      </c>
      <c r="F18" s="73">
        <f t="shared" si="0"/>
        <v>0</v>
      </c>
      <c r="G18" s="74">
        <f t="shared" si="0"/>
        <v>0</v>
      </c>
      <c r="H18" s="131"/>
      <c r="I18" s="132"/>
      <c r="J18" s="81"/>
    </row>
    <row r="19" spans="1:12">
      <c r="A19" s="15" t="s">
        <v>5</v>
      </c>
      <c r="B19" s="16"/>
      <c r="C19" s="24">
        <f>+I51/C29</f>
        <v>0</v>
      </c>
      <c r="D19" s="130">
        <v>0</v>
      </c>
      <c r="E19" s="130">
        <v>0</v>
      </c>
      <c r="F19" s="73">
        <f t="shared" si="0"/>
        <v>0</v>
      </c>
      <c r="G19" s="74">
        <f t="shared" si="0"/>
        <v>0</v>
      </c>
      <c r="H19" s="131"/>
      <c r="I19" s="132"/>
      <c r="J19" s="81"/>
    </row>
    <row r="20" spans="1:12">
      <c r="A20" s="15" t="s">
        <v>88</v>
      </c>
      <c r="B20" s="16"/>
      <c r="C20" s="75">
        <f>+I53/C29</f>
        <v>0</v>
      </c>
      <c r="D20" s="130">
        <v>0</v>
      </c>
      <c r="E20" s="130">
        <v>0</v>
      </c>
      <c r="F20" s="133">
        <f t="shared" si="0"/>
        <v>0</v>
      </c>
      <c r="G20" s="134">
        <f t="shared" si="0"/>
        <v>0</v>
      </c>
      <c r="H20" s="135"/>
      <c r="I20" s="136"/>
      <c r="J20" s="81"/>
    </row>
    <row r="21" spans="1:12">
      <c r="A21" s="137" t="s">
        <v>19</v>
      </c>
      <c r="B21" s="27"/>
      <c r="C21" s="51">
        <f>SUM(C12:C20)</f>
        <v>8761</v>
      </c>
      <c r="D21" s="28"/>
      <c r="E21" s="28"/>
      <c r="F21" s="138">
        <f>SUM(F12:F20)</f>
        <v>6570.75</v>
      </c>
      <c r="G21" s="139">
        <f>SUM(G12:G20)</f>
        <v>7884.9</v>
      </c>
      <c r="H21" s="132"/>
      <c r="I21" s="132"/>
      <c r="J21" s="81"/>
    </row>
    <row r="22" spans="1:12">
      <c r="A22" s="2"/>
      <c r="B22" s="2"/>
      <c r="C22" s="2"/>
      <c r="D22" s="2"/>
      <c r="E22" s="2"/>
      <c r="F22" s="2"/>
      <c r="G22" s="2"/>
      <c r="H22" s="2"/>
      <c r="I22" s="49"/>
      <c r="J22" s="49"/>
      <c r="K22" s="49"/>
      <c r="L22" s="81"/>
    </row>
    <row r="23" spans="1:12" ht="15.75">
      <c r="A23" s="50" t="s">
        <v>28</v>
      </c>
      <c r="B23" s="2"/>
      <c r="C23" s="2"/>
      <c r="D23" s="2"/>
      <c r="E23" s="2"/>
      <c r="F23" s="2"/>
      <c r="G23" s="2"/>
      <c r="H23" s="2"/>
      <c r="I23" s="140"/>
      <c r="J23" s="2"/>
      <c r="K23" s="2"/>
    </row>
    <row r="24" spans="1:12">
      <c r="A24" s="29" t="s">
        <v>89</v>
      </c>
      <c r="B24" s="30"/>
      <c r="C24" s="30"/>
      <c r="D24" s="31"/>
      <c r="E24" s="31"/>
      <c r="F24" s="31"/>
      <c r="G24" s="31"/>
      <c r="H24" s="31"/>
      <c r="I24" s="32"/>
      <c r="J24" s="2"/>
      <c r="K24" s="2"/>
    </row>
    <row r="25" spans="1:12" ht="25.5" customHeight="1">
      <c r="A25" s="1943" t="s">
        <v>123</v>
      </c>
      <c r="B25" s="1944"/>
      <c r="C25" s="1944"/>
      <c r="D25" s="1944"/>
      <c r="E25" s="1944"/>
      <c r="F25" s="1944"/>
      <c r="G25" s="1944"/>
      <c r="H25" s="1944"/>
      <c r="I25" s="1945"/>
      <c r="J25" s="141"/>
      <c r="K25" s="2"/>
    </row>
    <row r="26" spans="1:12">
      <c r="A26" s="38" t="s">
        <v>25</v>
      </c>
      <c r="B26" s="34"/>
      <c r="C26" s="39" t="s">
        <v>91</v>
      </c>
      <c r="D26" s="6"/>
      <c r="E26" s="35"/>
      <c r="F26" s="35"/>
      <c r="G26" s="35"/>
      <c r="H26" s="35"/>
      <c r="I26" s="36"/>
      <c r="J26" s="49"/>
      <c r="K26" s="2"/>
    </row>
    <row r="27" spans="1:12">
      <c r="A27" s="37"/>
      <c r="B27" s="34"/>
      <c r="C27" s="35"/>
      <c r="D27" s="6"/>
      <c r="E27" s="35"/>
      <c r="F27" s="35"/>
      <c r="G27" s="35"/>
      <c r="H27" s="35"/>
      <c r="I27" s="36"/>
      <c r="J27" s="2"/>
      <c r="K27" s="2"/>
    </row>
    <row r="28" spans="1:12">
      <c r="A28" s="38" t="s">
        <v>8</v>
      </c>
      <c r="B28" s="34"/>
      <c r="C28" s="39" t="s">
        <v>81</v>
      </c>
      <c r="D28" s="6"/>
      <c r="E28" s="35"/>
      <c r="F28" s="35"/>
      <c r="G28" s="35"/>
      <c r="H28" s="35"/>
      <c r="I28" s="36"/>
      <c r="J28" s="2"/>
      <c r="K28" s="2"/>
    </row>
    <row r="29" spans="1:12">
      <c r="A29" s="38" t="s">
        <v>92</v>
      </c>
      <c r="B29" s="34"/>
      <c r="C29" s="144">
        <v>1</v>
      </c>
      <c r="D29" s="6"/>
      <c r="E29" s="145"/>
      <c r="F29" s="145"/>
      <c r="G29" s="145"/>
      <c r="H29" s="145"/>
      <c r="I29" s="146"/>
      <c r="J29" s="2"/>
      <c r="K29" s="2"/>
    </row>
    <row r="30" spans="1:12">
      <c r="A30" s="38" t="s">
        <v>9</v>
      </c>
      <c r="B30" s="34"/>
      <c r="C30" s="92">
        <v>1</v>
      </c>
      <c r="D30" s="6"/>
      <c r="E30" s="35"/>
      <c r="F30" s="35"/>
      <c r="G30" s="35"/>
      <c r="H30" s="35"/>
      <c r="I30" s="36"/>
      <c r="J30" s="2"/>
      <c r="K30" s="2"/>
    </row>
    <row r="31" spans="1:12">
      <c r="A31" s="38" t="s">
        <v>10</v>
      </c>
      <c r="B31" s="35"/>
      <c r="C31" s="93">
        <v>0.05</v>
      </c>
      <c r="D31" s="6"/>
      <c r="E31" s="35"/>
      <c r="F31" s="35"/>
      <c r="G31" s="35"/>
      <c r="H31" s="35"/>
      <c r="I31" s="147" t="s">
        <v>6</v>
      </c>
      <c r="J31" s="2"/>
      <c r="K31" s="2"/>
    </row>
    <row r="32" spans="1:12">
      <c r="A32" s="38" t="s">
        <v>93</v>
      </c>
      <c r="B32" s="35"/>
      <c r="C32" s="148">
        <f>SUM(I34,I38,I40,I43,I45,I46,I46,I47,I49,I51,I53)/C29</f>
        <v>8761</v>
      </c>
      <c r="D32" s="6"/>
      <c r="E32" s="35"/>
      <c r="F32" s="35"/>
      <c r="G32" s="35"/>
      <c r="H32" s="35"/>
      <c r="I32" s="147"/>
      <c r="J32" s="2"/>
      <c r="K32" s="2"/>
    </row>
    <row r="33" spans="1:11">
      <c r="A33" s="40"/>
      <c r="B33" s="35"/>
      <c r="C33" s="35"/>
      <c r="D33" s="41"/>
      <c r="E33" s="35"/>
      <c r="F33" s="35"/>
      <c r="G33" s="35"/>
      <c r="H33" s="35"/>
      <c r="I33" s="149"/>
      <c r="J33" s="2"/>
      <c r="K33" s="2"/>
    </row>
    <row r="34" spans="1:11">
      <c r="A34" s="42" t="s">
        <v>0</v>
      </c>
      <c r="B34" s="35"/>
      <c r="C34" s="35"/>
      <c r="D34" s="41"/>
      <c r="E34" s="35"/>
      <c r="F34" s="35"/>
      <c r="G34" s="35"/>
      <c r="H34" s="35"/>
      <c r="I34" s="46">
        <f>SUM(F36:F37)</f>
        <v>561</v>
      </c>
      <c r="J34" s="2"/>
      <c r="K34" s="2"/>
    </row>
    <row r="35" spans="1:11">
      <c r="A35" s="40" t="s">
        <v>94</v>
      </c>
      <c r="B35" s="35"/>
      <c r="C35" s="92"/>
      <c r="D35" s="41"/>
      <c r="E35" s="35"/>
      <c r="F35" s="35"/>
      <c r="G35" s="35"/>
      <c r="H35" s="35"/>
      <c r="I35" s="47"/>
      <c r="J35" s="2"/>
      <c r="K35" s="2"/>
    </row>
    <row r="36" spans="1:11">
      <c r="A36" s="1946" t="s">
        <v>95</v>
      </c>
      <c r="B36" s="1947"/>
      <c r="C36" s="150" t="s">
        <v>96</v>
      </c>
      <c r="D36" s="151">
        <v>17</v>
      </c>
      <c r="E36" s="152">
        <v>3</v>
      </c>
      <c r="F36" s="153">
        <f>D36*E36</f>
        <v>51</v>
      </c>
      <c r="G36" s="35"/>
      <c r="H36" s="35"/>
      <c r="I36" s="47"/>
      <c r="J36" s="2"/>
      <c r="K36" s="2"/>
    </row>
    <row r="37" spans="1:11">
      <c r="A37" s="1946" t="s">
        <v>97</v>
      </c>
      <c r="B37" s="1947"/>
      <c r="C37" s="150" t="s">
        <v>96</v>
      </c>
      <c r="D37" s="151">
        <v>17</v>
      </c>
      <c r="E37" s="152">
        <v>30</v>
      </c>
      <c r="F37" s="153">
        <f>D37*E37</f>
        <v>510</v>
      </c>
      <c r="G37" s="35"/>
      <c r="H37" s="35"/>
      <c r="I37" s="47"/>
      <c r="J37" s="2"/>
      <c r="K37" s="2"/>
    </row>
    <row r="38" spans="1:11">
      <c r="A38" s="42" t="s">
        <v>2</v>
      </c>
      <c r="B38" s="35"/>
      <c r="C38" s="35"/>
      <c r="D38" s="35"/>
      <c r="E38" s="35"/>
      <c r="F38" s="35"/>
      <c r="G38" s="35"/>
      <c r="H38" s="35"/>
      <c r="I38" s="46">
        <f>F39</f>
        <v>0</v>
      </c>
      <c r="J38" s="2"/>
      <c r="K38" s="2"/>
    </row>
    <row r="39" spans="1:11">
      <c r="A39" s="40" t="s">
        <v>98</v>
      </c>
      <c r="B39" s="35"/>
      <c r="C39" s="35"/>
      <c r="D39" s="35"/>
      <c r="E39" s="35"/>
      <c r="F39" s="35"/>
      <c r="G39" s="35"/>
      <c r="H39" s="35"/>
      <c r="I39" s="36"/>
      <c r="J39" s="2"/>
      <c r="K39" s="2"/>
    </row>
    <row r="40" spans="1:11">
      <c r="A40" s="42" t="s">
        <v>3</v>
      </c>
      <c r="B40" s="35"/>
      <c r="C40" s="35"/>
      <c r="D40" s="35"/>
      <c r="E40" s="35"/>
      <c r="F40" s="35"/>
      <c r="G40" s="35"/>
      <c r="H40" s="35"/>
      <c r="I40" s="46">
        <f>SUM(F42)</f>
        <v>8000</v>
      </c>
      <c r="J40" s="2"/>
      <c r="K40" s="2"/>
    </row>
    <row r="41" spans="1:11">
      <c r="A41" s="40" t="s">
        <v>99</v>
      </c>
      <c r="B41" s="35"/>
      <c r="C41" s="35"/>
      <c r="D41" s="35"/>
      <c r="E41" s="35"/>
      <c r="F41" s="35"/>
      <c r="G41" s="35"/>
      <c r="H41" s="35"/>
      <c r="I41" s="46"/>
      <c r="J41" s="2"/>
      <c r="K41" s="2"/>
    </row>
    <row r="42" spans="1:11" ht="25.5" customHeight="1">
      <c r="A42" s="1948" t="s">
        <v>124</v>
      </c>
      <c r="B42" s="1949"/>
      <c r="C42" s="150" t="s">
        <v>101</v>
      </c>
      <c r="D42" s="154">
        <v>8000</v>
      </c>
      <c r="E42" s="155">
        <v>1</v>
      </c>
      <c r="F42" s="156">
        <f>D42*E42</f>
        <v>8000</v>
      </c>
      <c r="G42" s="35"/>
      <c r="H42" s="35"/>
      <c r="I42" s="46"/>
      <c r="J42" s="2"/>
      <c r="K42" s="2"/>
    </row>
    <row r="43" spans="1:11">
      <c r="A43" s="42" t="s">
        <v>4</v>
      </c>
      <c r="B43" s="35"/>
      <c r="C43" s="35"/>
      <c r="D43" s="35"/>
      <c r="E43" s="35"/>
      <c r="F43" s="35"/>
      <c r="G43" s="35"/>
      <c r="H43" s="35"/>
      <c r="I43" s="48">
        <v>200</v>
      </c>
      <c r="J43" s="2"/>
      <c r="K43" s="2"/>
    </row>
    <row r="44" spans="1:11">
      <c r="A44" s="1950" t="s">
        <v>102</v>
      </c>
      <c r="B44" s="1953"/>
      <c r="C44" s="150" t="s">
        <v>103</v>
      </c>
      <c r="D44" s="157">
        <v>0.02</v>
      </c>
      <c r="E44" s="153">
        <f>SUM(I34,I38,I40)</f>
        <v>8561</v>
      </c>
      <c r="F44" s="153">
        <f>D44*E44</f>
        <v>171.22</v>
      </c>
      <c r="G44" s="35"/>
      <c r="H44" s="35"/>
      <c r="I44" s="48"/>
      <c r="J44" s="2"/>
      <c r="K44" s="2"/>
    </row>
    <row r="45" spans="1:11">
      <c r="A45" s="42" t="s">
        <v>26</v>
      </c>
      <c r="B45" s="35"/>
      <c r="C45" s="35"/>
      <c r="D45" s="35"/>
      <c r="E45" s="35"/>
      <c r="F45" s="35"/>
      <c r="G45" s="35"/>
      <c r="H45" s="35"/>
      <c r="I45" s="48">
        <f>F46</f>
        <v>0</v>
      </c>
      <c r="J45" s="2"/>
      <c r="K45" s="2"/>
    </row>
    <row r="46" spans="1:11">
      <c r="A46" s="37" t="s">
        <v>104</v>
      </c>
      <c r="B46" s="35"/>
      <c r="C46" s="35"/>
      <c r="D46" s="35"/>
      <c r="E46" s="35"/>
      <c r="F46" s="35"/>
      <c r="G46" s="35"/>
      <c r="H46" s="35"/>
      <c r="I46" s="48"/>
      <c r="J46" s="2"/>
      <c r="K46" s="2"/>
    </row>
    <row r="47" spans="1:11">
      <c r="A47" s="42" t="s">
        <v>7</v>
      </c>
      <c r="B47" s="35"/>
      <c r="C47" s="35"/>
      <c r="D47" s="35"/>
      <c r="E47" s="35"/>
      <c r="F47" s="35"/>
      <c r="G47" s="35"/>
      <c r="H47" s="35"/>
      <c r="I47" s="48">
        <f>F48</f>
        <v>0</v>
      </c>
      <c r="J47" s="2"/>
      <c r="K47" s="2"/>
    </row>
    <row r="48" spans="1:11">
      <c r="A48" s="37" t="s">
        <v>104</v>
      </c>
      <c r="B48" s="35"/>
      <c r="C48" s="35"/>
      <c r="D48" s="35"/>
      <c r="E48" s="35"/>
      <c r="F48" s="35"/>
      <c r="G48" s="35"/>
      <c r="H48" s="35"/>
      <c r="I48" s="48"/>
      <c r="J48" s="2"/>
      <c r="K48" s="2"/>
    </row>
    <row r="49" spans="1:11">
      <c r="A49" s="42" t="s">
        <v>27</v>
      </c>
      <c r="B49" s="35"/>
      <c r="C49" s="35"/>
      <c r="D49" s="35"/>
      <c r="E49" s="35"/>
      <c r="F49" s="35"/>
      <c r="G49" s="35"/>
      <c r="H49" s="35"/>
      <c r="I49" s="48">
        <f>F50</f>
        <v>0</v>
      </c>
      <c r="J49" s="2"/>
      <c r="K49" s="2"/>
    </row>
    <row r="50" spans="1:11">
      <c r="A50" s="37" t="s">
        <v>104</v>
      </c>
      <c r="B50" s="35"/>
      <c r="C50" s="35"/>
      <c r="D50" s="35"/>
      <c r="E50" s="35"/>
      <c r="F50" s="35"/>
      <c r="G50" s="35"/>
      <c r="H50" s="35"/>
      <c r="I50" s="48"/>
      <c r="J50" s="2"/>
      <c r="K50" s="2"/>
    </row>
    <row r="51" spans="1:11">
      <c r="A51" s="42" t="s">
        <v>5</v>
      </c>
      <c r="B51" s="35"/>
      <c r="C51" s="35"/>
      <c r="D51" s="35"/>
      <c r="E51" s="35"/>
      <c r="F51" s="35"/>
      <c r="G51" s="35"/>
      <c r="H51" s="35"/>
      <c r="I51" s="48">
        <f>F52</f>
        <v>0</v>
      </c>
      <c r="J51" s="2"/>
      <c r="K51" s="2"/>
    </row>
    <row r="52" spans="1:11">
      <c r="A52" s="37" t="s">
        <v>104</v>
      </c>
      <c r="B52" s="35"/>
      <c r="C52" s="35"/>
      <c r="D52" s="35"/>
      <c r="E52" s="35"/>
      <c r="F52" s="35"/>
      <c r="G52" s="35"/>
      <c r="H52" s="35"/>
      <c r="I52" s="48"/>
      <c r="J52" s="2"/>
      <c r="K52" s="2"/>
    </row>
    <row r="53" spans="1:11">
      <c r="A53" s="42" t="s">
        <v>20</v>
      </c>
      <c r="B53" s="35"/>
      <c r="C53" s="35"/>
      <c r="D53" s="35"/>
      <c r="E53" s="35"/>
      <c r="F53" s="35"/>
      <c r="G53" s="35"/>
      <c r="H53" s="35"/>
      <c r="I53" s="48">
        <f>F54</f>
        <v>0</v>
      </c>
      <c r="J53" s="2"/>
      <c r="K53" s="2"/>
    </row>
    <row r="54" spans="1:11">
      <c r="A54" s="37" t="s">
        <v>104</v>
      </c>
      <c r="B54" s="35"/>
      <c r="C54" s="35"/>
      <c r="D54" s="35"/>
      <c r="E54" s="35"/>
      <c r="F54" s="35"/>
      <c r="G54" s="35"/>
      <c r="H54" s="35"/>
      <c r="I54" s="36"/>
      <c r="J54" s="2"/>
      <c r="K54" s="2"/>
    </row>
    <row r="55" spans="1:11">
      <c r="A55" s="43" t="s">
        <v>11</v>
      </c>
      <c r="B55" s="44"/>
      <c r="C55" s="44"/>
      <c r="D55" s="44"/>
      <c r="E55" s="44"/>
      <c r="F55" s="44"/>
      <c r="G55" s="44"/>
      <c r="H55" s="44"/>
      <c r="I55" s="52">
        <f>+I53+I51+I49+I47+I45+I43+I40+I38+I34</f>
        <v>8761</v>
      </c>
      <c r="J55" s="2"/>
      <c r="K55" s="2"/>
    </row>
  </sheetData>
  <mergeCells count="5">
    <mergeCell ref="A25:I25"/>
    <mergeCell ref="A36:B36"/>
    <mergeCell ref="A37:B37"/>
    <mergeCell ref="A42:B42"/>
    <mergeCell ref="A44:B44"/>
  </mergeCells>
  <pageMargins left="0.75" right="0" top="0.25" bottom="0.25" header="0.25" footer="0.17"/>
  <pageSetup scale="75" orientation="landscape" horizontalDpi="300" verticalDpi="300" r:id="rId1"/>
  <headerFooter alignWithMargins="0">
    <oddHeader>&amp;CP 102 Comprehensive Nutrient Management Plan
Large Beef and Dairy</oddHeader>
  </headerFooter>
  <colBreaks count="1" manualBreakCount="1">
    <brk id="9" max="1048575" man="1"/>
  </colBreaks>
</worksheet>
</file>

<file path=xl/worksheets/sheet70.xml><?xml version="1.0" encoding="utf-8"?>
<worksheet xmlns="http://schemas.openxmlformats.org/spreadsheetml/2006/main" xmlns:r="http://schemas.openxmlformats.org/officeDocument/2006/relationships">
  <sheetPr>
    <pageSetUpPr fitToPage="1"/>
  </sheetPr>
  <dimension ref="A1:L81"/>
  <sheetViews>
    <sheetView zoomScale="75" zoomScaleNormal="75" workbookViewId="0">
      <selection activeCell="E7" sqref="E7"/>
    </sheetView>
  </sheetViews>
  <sheetFormatPr defaultRowHeight="12.75"/>
  <cols>
    <col min="1" max="1" width="1.85546875" customWidth="1"/>
    <col min="3" max="3" width="24.140625" customWidth="1"/>
    <col min="4" max="4" width="23.140625" customWidth="1"/>
    <col min="5" max="5" width="51.710937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38.25">
      <c r="A6" s="2"/>
      <c r="B6" s="54">
        <v>328</v>
      </c>
      <c r="C6" s="7" t="str">
        <f>+E12</f>
        <v>EQIP</v>
      </c>
      <c r="D6" s="110" t="s">
        <v>1317</v>
      </c>
      <c r="E6" s="110" t="s">
        <v>2448</v>
      </c>
      <c r="F6" s="7" t="s">
        <v>394</v>
      </c>
      <c r="G6" s="85">
        <f>+I25</f>
        <v>17.829000000000001</v>
      </c>
    </row>
    <row r="7" spans="1:12" ht="38.25">
      <c r="A7" s="2"/>
      <c r="B7" s="54">
        <f>+B6</f>
        <v>328</v>
      </c>
      <c r="C7" s="7" t="str">
        <f>+C6</f>
        <v>EQIP</v>
      </c>
      <c r="D7" s="110" t="str">
        <f>+D6</f>
        <v>Conservation Crop Rotation (Ac)</v>
      </c>
      <c r="E7" s="110" t="str">
        <f>CONCATENATE(E6, "-HU")</f>
        <v>Conservation Crop Rotation &lt;25 acres - Develop and implement a crop rotation with average soil losses within acceptable levels (T) - -HU</v>
      </c>
      <c r="F7" s="7" t="str">
        <f>+F6</f>
        <v>Acre</v>
      </c>
      <c r="G7" s="85">
        <f>+J25</f>
        <v>21.3948</v>
      </c>
    </row>
    <row r="8" spans="1:12" ht="38.25">
      <c r="A8" s="2"/>
      <c r="B8" s="54">
        <f>+B7</f>
        <v>328</v>
      </c>
      <c r="C8" s="7" t="str">
        <f>+G12</f>
        <v>WHIP</v>
      </c>
      <c r="D8" s="110" t="str">
        <f>+D7</f>
        <v>Conservation Crop Rotation (Ac)</v>
      </c>
      <c r="E8" s="110" t="str">
        <f>+E6</f>
        <v xml:space="preserve">Conservation Crop Rotation &lt;25 acres - Develop and implement a crop rotation with average soil losses within acceptable levels (T) - </v>
      </c>
      <c r="F8" s="7" t="str">
        <f>+F7</f>
        <v>Acre</v>
      </c>
      <c r="G8" s="85">
        <f>+K25</f>
        <v>0</v>
      </c>
    </row>
    <row r="9" spans="1:12" ht="38.25">
      <c r="A9" s="2"/>
      <c r="B9" s="8">
        <f>+B8</f>
        <v>328</v>
      </c>
      <c r="C9" s="10" t="str">
        <f>+C8</f>
        <v>WHIP</v>
      </c>
      <c r="D9" s="111" t="str">
        <f>+D8</f>
        <v>Conservation Crop Rotation (Ac)</v>
      </c>
      <c r="E9" s="111" t="str">
        <f>CONCATENATE(E6, "-HU")</f>
        <v>Conservation Crop Rotation &lt;25 acres - Develop and implement a crop rotation with average soil losses within acceptable levels (T) - -HU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+I41</f>
        <v>0</v>
      </c>
      <c r="E16" s="160">
        <f>+'[16]Payment Factors'!D11</f>
        <v>0.75</v>
      </c>
      <c r="F16" s="160">
        <f>+'[16]Payment Factors'!E28</f>
        <v>0.9</v>
      </c>
      <c r="G16" s="160">
        <f>+'[16]Payment Factors'!F28</f>
        <v>0</v>
      </c>
      <c r="H16" s="160">
        <f>+'[16]Payment Factors'!G28</f>
        <v>0</v>
      </c>
      <c r="I16" s="1154">
        <f t="shared" ref="I16:L24" si="0">+$D16*E16</f>
        <v>0</v>
      </c>
      <c r="J16" s="1154">
        <f t="shared" si="0"/>
        <v>0</v>
      </c>
      <c r="K16" s="1154">
        <f t="shared" si="0"/>
        <v>0</v>
      </c>
      <c r="L16" s="1155">
        <f t="shared" si="0"/>
        <v>0</v>
      </c>
    </row>
    <row r="17" spans="1:12">
      <c r="A17" s="2"/>
      <c r="B17" s="15" t="s">
        <v>2</v>
      </c>
      <c r="C17" s="16"/>
      <c r="D17" s="24">
        <f>+I44</f>
        <v>0</v>
      </c>
      <c r="E17" s="160">
        <f t="shared" ref="E17:H18" si="1">+E16</f>
        <v>0.75</v>
      </c>
      <c r="F17" s="160">
        <f t="shared" si="1"/>
        <v>0.9</v>
      </c>
      <c r="G17" s="160">
        <f t="shared" si="1"/>
        <v>0</v>
      </c>
      <c r="H17" s="160">
        <f t="shared" si="1"/>
        <v>0</v>
      </c>
      <c r="I17" s="1154">
        <f t="shared" si="0"/>
        <v>0</v>
      </c>
      <c r="J17" s="1154">
        <f t="shared" si="0"/>
        <v>0</v>
      </c>
      <c r="K17" s="1154">
        <f t="shared" si="0"/>
        <v>0</v>
      </c>
      <c r="L17" s="1155">
        <f t="shared" si="0"/>
        <v>0</v>
      </c>
    </row>
    <row r="18" spans="1:12">
      <c r="A18" s="2"/>
      <c r="B18" s="15" t="s">
        <v>3</v>
      </c>
      <c r="C18" s="16"/>
      <c r="D18" s="24">
        <f>+I47</f>
        <v>23.771999999999998</v>
      </c>
      <c r="E18" s="160">
        <f t="shared" si="1"/>
        <v>0.75</v>
      </c>
      <c r="F18" s="160">
        <f t="shared" si="1"/>
        <v>0.9</v>
      </c>
      <c r="G18" s="160">
        <f t="shared" si="1"/>
        <v>0</v>
      </c>
      <c r="H18" s="160">
        <f t="shared" si="1"/>
        <v>0</v>
      </c>
      <c r="I18" s="1154">
        <f t="shared" si="0"/>
        <v>17.829000000000001</v>
      </c>
      <c r="J18" s="1154">
        <f t="shared" si="0"/>
        <v>21.3948</v>
      </c>
      <c r="K18" s="1154">
        <f t="shared" si="0"/>
        <v>0</v>
      </c>
      <c r="L18" s="1155">
        <f t="shared" si="0"/>
        <v>0</v>
      </c>
    </row>
    <row r="19" spans="1:12">
      <c r="A19" s="2"/>
      <c r="B19" s="15" t="s">
        <v>4</v>
      </c>
      <c r="C19" s="16"/>
      <c r="D19" s="24">
        <f>+I58</f>
        <v>0</v>
      </c>
      <c r="E19" s="160">
        <f>+E18</f>
        <v>0.75</v>
      </c>
      <c r="F19" s="160">
        <f>+F18</f>
        <v>0.9</v>
      </c>
      <c r="G19" s="160">
        <v>0</v>
      </c>
      <c r="H19" s="160">
        <v>0</v>
      </c>
      <c r="I19" s="1154">
        <f t="shared" si="0"/>
        <v>0</v>
      </c>
      <c r="J19" s="1154">
        <f t="shared" si="0"/>
        <v>0</v>
      </c>
      <c r="K19" s="1154">
        <f t="shared" si="0"/>
        <v>0</v>
      </c>
      <c r="L19" s="1155">
        <f t="shared" si="0"/>
        <v>0</v>
      </c>
    </row>
    <row r="20" spans="1:12">
      <c r="A20" s="2"/>
      <c r="B20" s="15" t="s">
        <v>26</v>
      </c>
      <c r="C20" s="16"/>
      <c r="D20" s="24">
        <f>+I61</f>
        <v>0</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+I64</f>
        <v>0</v>
      </c>
      <c r="E21" s="160">
        <f>+E16</f>
        <v>0.75</v>
      </c>
      <c r="F21" s="160">
        <f>+F16</f>
        <v>0.9</v>
      </c>
      <c r="G21" s="160">
        <f>+G16</f>
        <v>0</v>
      </c>
      <c r="H21" s="160">
        <f>+H16</f>
        <v>0</v>
      </c>
      <c r="I21" s="1154">
        <f t="shared" si="0"/>
        <v>0</v>
      </c>
      <c r="J21" s="1154">
        <f t="shared" si="0"/>
        <v>0</v>
      </c>
      <c r="K21" s="1154">
        <f t="shared" si="0"/>
        <v>0</v>
      </c>
      <c r="L21" s="1155">
        <f t="shared" si="0"/>
        <v>0</v>
      </c>
    </row>
    <row r="22" spans="1:12">
      <c r="A22" s="2"/>
      <c r="B22" s="15" t="s">
        <v>27</v>
      </c>
      <c r="C22" s="16"/>
      <c r="D22" s="24">
        <f>+I67</f>
        <v>0</v>
      </c>
      <c r="E22" s="160">
        <f>+E16+0.25</f>
        <v>1</v>
      </c>
      <c r="F22" s="160">
        <f>+F16+0.1</f>
        <v>1</v>
      </c>
      <c r="G22" s="160">
        <f>+G17</f>
        <v>0</v>
      </c>
      <c r="H22" s="160">
        <f>+H17</f>
        <v>0</v>
      </c>
      <c r="I22" s="1154">
        <f t="shared" si="0"/>
        <v>0</v>
      </c>
      <c r="J22" s="1154">
        <f t="shared" si="0"/>
        <v>0</v>
      </c>
      <c r="K22" s="1154">
        <f t="shared" si="0"/>
        <v>0</v>
      </c>
      <c r="L22" s="1155">
        <f t="shared" si="0"/>
        <v>0</v>
      </c>
    </row>
    <row r="23" spans="1:12">
      <c r="A23" s="2"/>
      <c r="B23" s="15" t="s">
        <v>5</v>
      </c>
      <c r="C23" s="16"/>
      <c r="D23" s="24">
        <f>+I71</f>
        <v>0</v>
      </c>
      <c r="E23" s="160">
        <v>0</v>
      </c>
      <c r="F23" s="160">
        <v>0</v>
      </c>
      <c r="G23" s="160">
        <f>+G18</f>
        <v>0</v>
      </c>
      <c r="H23" s="160">
        <f>+H18</f>
        <v>0</v>
      </c>
      <c r="I23" s="1154">
        <f t="shared" si="0"/>
        <v>0</v>
      </c>
      <c r="J23" s="1154">
        <f t="shared" si="0"/>
        <v>0</v>
      </c>
      <c r="K23" s="1154">
        <f t="shared" si="0"/>
        <v>0</v>
      </c>
      <c r="L23" s="1155">
        <f t="shared" si="0"/>
        <v>0</v>
      </c>
    </row>
    <row r="24" spans="1:12">
      <c r="A24" s="2"/>
      <c r="B24" s="15" t="s">
        <v>20</v>
      </c>
      <c r="C24" s="16"/>
      <c r="D24" s="75">
        <f>+I75</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(+D16+D17+D18+D19+D20*(D38-1)+D21+D22*D38+D23*D38+D24)/D38</f>
        <v>23.771999999999998</v>
      </c>
      <c r="E25" s="1158"/>
      <c r="F25" s="1158"/>
      <c r="G25" s="28"/>
      <c r="H25" s="28"/>
      <c r="I25" s="1159">
        <f>SUM(I16:I24)</f>
        <v>17.829000000000001</v>
      </c>
      <c r="J25" s="1159">
        <f>SUM(J16:J24)</f>
        <v>21.3948</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1318</v>
      </c>
      <c r="C29" s="34"/>
      <c r="D29" s="34"/>
      <c r="E29" s="35"/>
      <c r="F29" s="35"/>
      <c r="G29" s="35"/>
      <c r="H29" s="35"/>
      <c r="I29" s="36"/>
    </row>
    <row r="30" spans="1:12">
      <c r="A30" s="2"/>
      <c r="B30" s="37" t="s">
        <v>1319</v>
      </c>
      <c r="C30" s="143"/>
      <c r="D30" s="34"/>
      <c r="E30" s="35"/>
      <c r="F30" s="1163"/>
      <c r="G30" s="35"/>
      <c r="H30" s="35"/>
      <c r="I30" s="36"/>
    </row>
    <row r="31" spans="1:12">
      <c r="A31" s="2"/>
      <c r="B31" s="1161"/>
      <c r="C31" s="34"/>
      <c r="D31" s="34"/>
      <c r="E31" s="35"/>
      <c r="F31" s="35"/>
      <c r="G31" s="35"/>
      <c r="H31" s="35"/>
      <c r="I31" s="36"/>
    </row>
    <row r="32" spans="1:12">
      <c r="A32" s="2"/>
      <c r="B32" s="37" t="s">
        <v>1320</v>
      </c>
      <c r="C32" s="34"/>
      <c r="D32" s="34"/>
      <c r="E32" s="35"/>
      <c r="F32" s="35"/>
      <c r="G32" s="35"/>
      <c r="H32" s="35"/>
      <c r="I32" s="36"/>
    </row>
    <row r="33" spans="1:9">
      <c r="A33" s="2"/>
      <c r="B33" s="37"/>
      <c r="C33" s="34"/>
      <c r="D33" s="34"/>
      <c r="E33" s="35"/>
      <c r="F33" s="35"/>
      <c r="G33" s="35"/>
      <c r="H33" s="35"/>
      <c r="I33" s="36"/>
    </row>
    <row r="34" spans="1:9">
      <c r="A34" s="2"/>
      <c r="B34" s="33"/>
      <c r="C34" s="34"/>
      <c r="D34" s="34"/>
      <c r="E34" s="35"/>
      <c r="F34" s="35"/>
      <c r="G34" s="35"/>
      <c r="H34" s="35"/>
      <c r="I34" s="36"/>
    </row>
    <row r="35" spans="1:9">
      <c r="A35" s="2"/>
      <c r="B35" s="38" t="s">
        <v>25</v>
      </c>
      <c r="C35" s="34"/>
      <c r="D35" s="39" t="s">
        <v>91</v>
      </c>
      <c r="E35" s="6"/>
      <c r="F35" s="35"/>
      <c r="G35" s="35"/>
      <c r="H35" s="35"/>
      <c r="I35" s="36"/>
    </row>
    <row r="36" spans="1:9">
      <c r="A36" s="2"/>
      <c r="B36" s="37"/>
      <c r="C36" s="34"/>
      <c r="D36" s="35"/>
      <c r="E36" s="6"/>
      <c r="F36" s="35"/>
      <c r="G36" s="35"/>
      <c r="H36" s="35"/>
      <c r="I36" s="36"/>
    </row>
    <row r="37" spans="1:9">
      <c r="A37" s="2"/>
      <c r="B37" s="38" t="s">
        <v>8</v>
      </c>
      <c r="C37" s="34"/>
      <c r="D37" s="39" t="s">
        <v>759</v>
      </c>
      <c r="E37" s="6"/>
      <c r="F37" s="35"/>
      <c r="G37" s="35"/>
      <c r="H37" s="35"/>
      <c r="I37" s="36"/>
    </row>
    <row r="38" spans="1:9">
      <c r="A38" s="2"/>
      <c r="B38" s="38" t="s">
        <v>9</v>
      </c>
      <c r="C38" s="34"/>
      <c r="D38" s="1164">
        <f>+'[16]Payment Factors'!C28</f>
        <v>1</v>
      </c>
      <c r="E38" s="6"/>
      <c r="F38" s="35"/>
      <c r="G38" s="35"/>
      <c r="H38" s="35"/>
      <c r="I38" s="36"/>
    </row>
    <row r="39" spans="1:9">
      <c r="A39" s="2"/>
      <c r="B39" s="38" t="s">
        <v>10</v>
      </c>
      <c r="C39" s="35"/>
      <c r="D39" s="93"/>
      <c r="E39" s="1165"/>
      <c r="F39" s="35"/>
      <c r="G39" s="35"/>
      <c r="H39" s="35"/>
      <c r="I39" s="147" t="s">
        <v>6</v>
      </c>
    </row>
    <row r="40" spans="1:9">
      <c r="A40" s="2"/>
      <c r="B40" s="40"/>
      <c r="C40" s="35"/>
      <c r="D40" s="1189"/>
      <c r="E40" s="41"/>
      <c r="F40" s="35"/>
      <c r="G40" s="35"/>
      <c r="H40" s="35"/>
      <c r="I40" s="149"/>
    </row>
    <row r="41" spans="1:9">
      <c r="A41" s="2"/>
      <c r="B41" s="42" t="s">
        <v>0</v>
      </c>
      <c r="C41" s="35"/>
      <c r="D41" s="1189"/>
      <c r="E41" s="35"/>
      <c r="F41" s="39"/>
      <c r="G41" s="35"/>
      <c r="H41" s="35"/>
      <c r="I41" s="1166">
        <f>SUM(G43:G43)</f>
        <v>0</v>
      </c>
    </row>
    <row r="42" spans="1:9">
      <c r="A42" s="2"/>
      <c r="B42" s="33" t="s">
        <v>104</v>
      </c>
      <c r="C42" s="35"/>
      <c r="D42" s="1167"/>
      <c r="E42" s="1167"/>
      <c r="F42" s="1167"/>
      <c r="G42" s="1167"/>
      <c r="H42" s="35"/>
      <c r="I42" s="46"/>
    </row>
    <row r="43" spans="1:9">
      <c r="A43" s="2"/>
      <c r="B43" s="1191"/>
      <c r="C43" s="6"/>
      <c r="D43" s="1189"/>
      <c r="E43" s="1189"/>
      <c r="F43" s="1170"/>
      <c r="G43" s="1171"/>
      <c r="H43" s="35"/>
      <c r="I43" s="36"/>
    </row>
    <row r="44" spans="1:9">
      <c r="A44" s="2"/>
      <c r="B44" s="42" t="s">
        <v>2</v>
      </c>
      <c r="C44" s="35"/>
      <c r="D44" s="1189"/>
      <c r="E44" s="2003"/>
      <c r="F44" s="2003"/>
      <c r="G44" s="2003"/>
      <c r="H44" s="2003"/>
      <c r="I44" s="1182">
        <v>0</v>
      </c>
    </row>
    <row r="45" spans="1:9">
      <c r="A45" s="2"/>
      <c r="B45" s="33" t="s">
        <v>104</v>
      </c>
      <c r="C45" s="6"/>
      <c r="D45" s="63"/>
      <c r="E45" s="150"/>
      <c r="F45" s="150"/>
      <c r="G45" s="1169"/>
      <c r="H45" s="35"/>
      <c r="I45" s="47"/>
    </row>
    <row r="46" spans="1:9">
      <c r="A46" s="2"/>
      <c r="B46" s="1177"/>
      <c r="C46" s="1178"/>
      <c r="D46" s="1189"/>
      <c r="E46" s="1178"/>
      <c r="F46" s="1178"/>
      <c r="G46" s="1178"/>
      <c r="H46" s="1178"/>
      <c r="I46" s="1179"/>
    </row>
    <row r="47" spans="1:9">
      <c r="A47" s="2"/>
      <c r="B47" s="42" t="s">
        <v>3</v>
      </c>
      <c r="C47" s="35"/>
      <c r="D47" s="35"/>
      <c r="E47" s="35"/>
      <c r="F47" s="39"/>
      <c r="G47" s="35"/>
      <c r="H47" s="35"/>
      <c r="I47" s="1166">
        <f>(SUM(G49:G53))</f>
        <v>23.771999999999998</v>
      </c>
    </row>
    <row r="48" spans="1:9">
      <c r="A48" s="2"/>
      <c r="B48" s="1172"/>
      <c r="C48" s="35"/>
      <c r="D48" s="1167" t="s">
        <v>447</v>
      </c>
      <c r="E48" s="1167" t="s">
        <v>448</v>
      </c>
      <c r="F48" s="1167" t="s">
        <v>449</v>
      </c>
      <c r="G48" s="1167" t="s">
        <v>450</v>
      </c>
      <c r="H48" s="35"/>
      <c r="I48" s="46"/>
    </row>
    <row r="49" spans="1:9">
      <c r="A49" s="2"/>
      <c r="B49" s="40" t="s">
        <v>1321</v>
      </c>
      <c r="C49" s="35"/>
      <c r="D49" s="1388" t="str">
        <f>'[17]Core Rates'!B229</f>
        <v>Hrs</v>
      </c>
      <c r="E49" s="1169">
        <f>+'[18]Core Rates'!C229</f>
        <v>42</v>
      </c>
      <c r="F49" s="1169">
        <v>6.7000000000000004E-2</v>
      </c>
      <c r="G49" s="1171">
        <f>SUM(E49*F49)</f>
        <v>2.8140000000000001</v>
      </c>
      <c r="H49" s="35"/>
      <c r="I49" s="46"/>
    </row>
    <row r="50" spans="1:9">
      <c r="A50" s="2"/>
      <c r="B50" s="1389" t="s">
        <v>1322</v>
      </c>
      <c r="C50" s="6"/>
      <c r="D50" s="1390" t="str">
        <f>'[17]Core Rates'!B229</f>
        <v>Hrs</v>
      </c>
      <c r="E50" s="1391">
        <f>+'[18]Core Rates'!C229</f>
        <v>42</v>
      </c>
      <c r="F50" s="1170">
        <v>0.13300000000000001</v>
      </c>
      <c r="G50" s="1171">
        <f>SUM(E50*F50)</f>
        <v>5.5860000000000003</v>
      </c>
      <c r="H50" s="35"/>
      <c r="I50" s="47"/>
    </row>
    <row r="51" spans="1:9">
      <c r="A51" s="2"/>
      <c r="B51" s="1389" t="s">
        <v>1323</v>
      </c>
      <c r="C51" s="6"/>
      <c r="D51" s="1390" t="str">
        <f>'[17]Core Rates'!B229</f>
        <v>Hrs</v>
      </c>
      <c r="E51" s="1391">
        <f>+'[18]Core Rates'!C229</f>
        <v>42</v>
      </c>
      <c r="F51" s="1170">
        <v>0.13300000000000001</v>
      </c>
      <c r="G51" s="1171">
        <f>SUM(E51*F51)</f>
        <v>5.5860000000000003</v>
      </c>
      <c r="H51" s="35"/>
      <c r="I51" s="47"/>
    </row>
    <row r="52" spans="1:9">
      <c r="A52" s="2"/>
      <c r="B52" s="1389" t="s">
        <v>1324</v>
      </c>
      <c r="C52" s="6"/>
      <c r="D52" s="1390" t="str">
        <f>'[17]Core Rates'!B229</f>
        <v>Hrs</v>
      </c>
      <c r="E52" s="1391">
        <f>+'[18]Core Rates'!C229</f>
        <v>42</v>
      </c>
      <c r="F52" s="1170">
        <v>0.1</v>
      </c>
      <c r="G52" s="1171">
        <f>SUM(E52*F52)</f>
        <v>4.2</v>
      </c>
      <c r="H52" s="35"/>
      <c r="I52" s="47"/>
    </row>
    <row r="53" spans="1:9">
      <c r="A53" s="2"/>
      <c r="B53" s="1389" t="s">
        <v>1325</v>
      </c>
      <c r="C53" s="6"/>
      <c r="D53" s="1390" t="str">
        <f>'[17]Core Rates'!B229</f>
        <v>Hrs</v>
      </c>
      <c r="E53" s="1391">
        <f>+'[18]Core Rates'!C229</f>
        <v>42</v>
      </c>
      <c r="F53" s="1170">
        <v>0.13300000000000001</v>
      </c>
      <c r="G53" s="1171">
        <f>SUM(E53*F53)</f>
        <v>5.5860000000000003</v>
      </c>
      <c r="H53" s="35"/>
      <c r="I53" s="47"/>
    </row>
    <row r="54" spans="1:9">
      <c r="A54" s="2"/>
      <c r="B54" s="1389"/>
      <c r="C54" s="6"/>
      <c r="D54" s="1189"/>
      <c r="E54" s="1189"/>
      <c r="F54" s="1170"/>
      <c r="G54" s="1171"/>
      <c r="H54" s="35"/>
      <c r="I54" s="47"/>
    </row>
    <row r="55" spans="1:9">
      <c r="A55" s="2"/>
      <c r="B55" s="37" t="s">
        <v>43</v>
      </c>
      <c r="C55" s="6"/>
      <c r="D55" s="1189"/>
      <c r="E55" s="1189"/>
      <c r="F55" s="1170"/>
      <c r="G55" s="1171"/>
      <c r="H55" s="35"/>
      <c r="I55" s="47"/>
    </row>
    <row r="56" spans="1:9">
      <c r="A56" s="2"/>
      <c r="B56" s="40" t="s">
        <v>457</v>
      </c>
      <c r="C56" s="6"/>
      <c r="D56" s="1189"/>
      <c r="E56" s="1189"/>
      <c r="F56" s="1170"/>
      <c r="G56" s="1171"/>
      <c r="H56" s="35"/>
      <c r="I56" s="47"/>
    </row>
    <row r="57" spans="1:9">
      <c r="A57" s="2"/>
      <c r="B57" s="1389"/>
      <c r="C57" s="6"/>
      <c r="D57" s="1189"/>
      <c r="E57" s="1189"/>
      <c r="F57" s="1170"/>
      <c r="G57" s="1171"/>
      <c r="H57" s="35"/>
      <c r="I57" s="47"/>
    </row>
    <row r="58" spans="1:9">
      <c r="A58" s="2"/>
      <c r="B58" s="42" t="s">
        <v>4</v>
      </c>
      <c r="C58" s="35"/>
      <c r="D58" s="35"/>
      <c r="E58" s="35"/>
      <c r="F58" s="35"/>
      <c r="G58" s="35"/>
      <c r="H58" s="35"/>
      <c r="I58" s="1182">
        <v>0</v>
      </c>
    </row>
    <row r="59" spans="1:9">
      <c r="A59" s="2"/>
      <c r="B59" s="33" t="s">
        <v>104</v>
      </c>
      <c r="C59" s="35"/>
      <c r="D59" s="35"/>
      <c r="E59" s="35"/>
      <c r="F59" s="35"/>
      <c r="G59" s="35"/>
      <c r="H59" s="35"/>
      <c r="I59" s="36"/>
    </row>
    <row r="60" spans="1:9">
      <c r="A60" s="2"/>
      <c r="B60" s="33"/>
      <c r="C60" s="35"/>
      <c r="D60" s="35"/>
      <c r="E60" s="35"/>
      <c r="F60" s="35"/>
      <c r="G60" s="35"/>
      <c r="H60" s="35"/>
      <c r="I60" s="36"/>
    </row>
    <row r="61" spans="1:9">
      <c r="A61" s="2"/>
      <c r="B61" s="42" t="s">
        <v>468</v>
      </c>
      <c r="C61" s="35"/>
      <c r="D61" s="35"/>
      <c r="E61" s="35"/>
      <c r="F61" s="35"/>
      <c r="G61" s="35"/>
      <c r="H61" s="35"/>
      <c r="I61" s="1182">
        <v>0</v>
      </c>
    </row>
    <row r="62" spans="1:9">
      <c r="A62" s="2"/>
      <c r="B62" s="33" t="s">
        <v>104</v>
      </c>
      <c r="C62" s="35"/>
      <c r="D62" s="35"/>
      <c r="E62" s="35"/>
      <c r="F62" s="35"/>
      <c r="G62" s="35"/>
      <c r="H62" s="35"/>
      <c r="I62" s="36"/>
    </row>
    <row r="63" spans="1:9">
      <c r="A63" s="2"/>
      <c r="B63" s="37"/>
      <c r="C63" s="35"/>
      <c r="D63" s="35"/>
      <c r="E63" s="35"/>
      <c r="F63" s="35"/>
      <c r="G63" s="35"/>
      <c r="H63" s="35"/>
      <c r="I63" s="36"/>
    </row>
    <row r="64" spans="1:9">
      <c r="A64" s="2"/>
      <c r="B64" s="42" t="s">
        <v>7</v>
      </c>
      <c r="C64" s="35"/>
      <c r="D64" s="35"/>
      <c r="E64" s="35"/>
      <c r="F64" s="35"/>
      <c r="G64" s="35"/>
      <c r="H64" s="35"/>
      <c r="I64" s="1166">
        <v>0</v>
      </c>
    </row>
    <row r="65" spans="1:9">
      <c r="A65" s="2"/>
      <c r="B65" s="33" t="s">
        <v>104</v>
      </c>
      <c r="C65" s="35"/>
      <c r="D65" s="35"/>
      <c r="E65" s="35"/>
      <c r="F65" s="35"/>
      <c r="G65" s="35"/>
      <c r="H65" s="35"/>
      <c r="I65" s="36"/>
    </row>
    <row r="66" spans="1:9">
      <c r="A66" s="2"/>
      <c r="B66" s="37"/>
      <c r="C66" s="35"/>
      <c r="D66" s="35"/>
      <c r="E66" s="35"/>
      <c r="F66" s="35"/>
      <c r="G66" s="35"/>
      <c r="H66" s="35"/>
      <c r="I66" s="36"/>
    </row>
    <row r="67" spans="1:9">
      <c r="A67" s="2"/>
      <c r="B67" s="42" t="s">
        <v>471</v>
      </c>
      <c r="C67" s="35"/>
      <c r="D67" s="35"/>
      <c r="E67" s="35"/>
      <c r="F67" s="39"/>
      <c r="G67" s="35"/>
      <c r="H67" s="35"/>
      <c r="I67" s="1166">
        <v>0</v>
      </c>
    </row>
    <row r="68" spans="1:9">
      <c r="A68" s="2"/>
      <c r="B68" s="756" t="s">
        <v>104</v>
      </c>
      <c r="C68" s="35"/>
      <c r="D68" s="35"/>
      <c r="E68" s="35"/>
      <c r="F68" s="35"/>
      <c r="G68" s="35"/>
      <c r="H68" s="35"/>
      <c r="I68" s="47"/>
    </row>
    <row r="69" spans="1:9">
      <c r="A69" s="2"/>
      <c r="B69" s="756"/>
      <c r="C69" s="35"/>
      <c r="D69" s="35"/>
      <c r="E69" s="35"/>
      <c r="F69" s="35"/>
      <c r="G69" s="35"/>
      <c r="H69" s="35"/>
      <c r="I69" s="47"/>
    </row>
    <row r="70" spans="1:9">
      <c r="A70" s="2"/>
      <c r="B70" s="37"/>
      <c r="C70" s="35"/>
      <c r="D70" s="35"/>
      <c r="E70" s="35"/>
      <c r="F70" s="35"/>
      <c r="G70" s="35"/>
      <c r="H70" s="35"/>
      <c r="I70" s="36"/>
    </row>
    <row r="71" spans="1:9">
      <c r="A71" s="2"/>
      <c r="B71" s="42" t="s">
        <v>5</v>
      </c>
      <c r="C71" s="35"/>
      <c r="D71" s="1189"/>
      <c r="E71" s="35"/>
      <c r="F71" s="35"/>
      <c r="G71" s="35"/>
      <c r="H71" s="35"/>
      <c r="I71" s="1166">
        <v>0</v>
      </c>
    </row>
    <row r="72" spans="1:9">
      <c r="A72" s="2"/>
      <c r="B72" s="33" t="s">
        <v>104</v>
      </c>
      <c r="C72" s="35"/>
      <c r="D72" s="35"/>
      <c r="E72" s="35"/>
      <c r="F72" s="35"/>
      <c r="G72" s="35"/>
      <c r="H72" s="35"/>
      <c r="I72" s="47"/>
    </row>
    <row r="73" spans="1:9">
      <c r="A73" s="2"/>
      <c r="B73" s="37"/>
      <c r="C73" s="35"/>
      <c r="D73" s="35"/>
      <c r="E73" s="35"/>
      <c r="F73" s="35"/>
      <c r="G73" s="35"/>
      <c r="H73" s="35"/>
      <c r="I73" s="36"/>
    </row>
    <row r="74" spans="1:9">
      <c r="A74" s="2"/>
      <c r="B74" s="37"/>
      <c r="C74" s="35"/>
      <c r="D74" s="35"/>
      <c r="E74" s="35"/>
      <c r="F74" s="35"/>
      <c r="G74" s="35"/>
      <c r="H74" s="35"/>
      <c r="I74" s="36"/>
    </row>
    <row r="75" spans="1:9">
      <c r="A75" s="2"/>
      <c r="B75" s="42" t="s">
        <v>20</v>
      </c>
      <c r="C75" s="35"/>
      <c r="D75" s="1189"/>
      <c r="E75" s="35"/>
      <c r="F75" s="35"/>
      <c r="G75" s="35"/>
      <c r="H75" s="35"/>
      <c r="I75" s="1166">
        <v>0</v>
      </c>
    </row>
    <row r="76" spans="1:9">
      <c r="A76" s="2"/>
      <c r="B76" s="33" t="s">
        <v>104</v>
      </c>
      <c r="C76" s="35"/>
      <c r="D76" s="35"/>
      <c r="E76" s="35"/>
      <c r="F76" s="35"/>
      <c r="G76" s="35"/>
      <c r="H76" s="35"/>
      <c r="I76" s="36"/>
    </row>
    <row r="77" spans="1:9">
      <c r="A77" s="2"/>
      <c r="B77" s="40"/>
      <c r="C77" s="35"/>
      <c r="D77" s="35"/>
      <c r="E77" s="35"/>
      <c r="F77" s="35"/>
      <c r="G77" s="35"/>
      <c r="H77" s="35"/>
      <c r="I77" s="36"/>
    </row>
    <row r="78" spans="1:9">
      <c r="A78" s="2"/>
      <c r="B78" s="42" t="s">
        <v>473</v>
      </c>
      <c r="C78" s="35"/>
      <c r="D78" s="35"/>
      <c r="E78" s="35"/>
      <c r="F78" s="35"/>
      <c r="G78" s="35"/>
      <c r="H78" s="35"/>
      <c r="I78" s="1183">
        <f>+I41+I47+I44+I58+I64+I75</f>
        <v>23.771999999999998</v>
      </c>
    </row>
    <row r="79" spans="1:9" ht="15.75">
      <c r="A79" s="2"/>
      <c r="B79" s="33" t="s">
        <v>474</v>
      </c>
      <c r="C79" s="35"/>
      <c r="D79" s="35"/>
      <c r="E79" s="35"/>
      <c r="F79" s="35"/>
      <c r="G79" s="35"/>
      <c r="H79" s="35"/>
      <c r="I79" s="36"/>
    </row>
    <row r="80" spans="1:9">
      <c r="A80" s="2"/>
      <c r="B80" s="40"/>
      <c r="C80" s="35"/>
      <c r="D80" s="35"/>
      <c r="E80" s="35"/>
      <c r="F80" s="35"/>
      <c r="G80" s="35"/>
      <c r="H80" s="35"/>
      <c r="I80" s="36"/>
    </row>
    <row r="81" spans="1:9">
      <c r="A81" s="2"/>
      <c r="B81" s="43" t="s">
        <v>11</v>
      </c>
      <c r="C81" s="44"/>
      <c r="D81" s="44"/>
      <c r="E81" s="44"/>
      <c r="F81" s="44"/>
      <c r="G81" s="44"/>
      <c r="H81" s="44"/>
      <c r="I81" s="1392">
        <f>SUM(I41:I75)</f>
        <v>23.771999999999998</v>
      </c>
    </row>
  </sheetData>
  <mergeCells count="2">
    <mergeCell ref="B1:D1"/>
    <mergeCell ref="E44:H44"/>
  </mergeCells>
  <pageMargins left="0.75" right="0.75" top="1" bottom="1" header="0.5" footer="0.5"/>
  <pageSetup scale="51" orientation="portrait" r:id="rId1"/>
  <headerFooter alignWithMargins="0"/>
</worksheet>
</file>

<file path=xl/worksheets/sheet71.xml><?xml version="1.0" encoding="utf-8"?>
<worksheet xmlns="http://schemas.openxmlformats.org/spreadsheetml/2006/main" xmlns:r="http://schemas.openxmlformats.org/officeDocument/2006/relationships">
  <sheetPr>
    <pageSetUpPr fitToPage="1"/>
  </sheetPr>
  <dimension ref="A1:L81"/>
  <sheetViews>
    <sheetView zoomScale="75" zoomScaleNormal="75" workbookViewId="0">
      <selection activeCell="E7" sqref="E7"/>
    </sheetView>
  </sheetViews>
  <sheetFormatPr defaultRowHeight="12.75"/>
  <cols>
    <col min="1" max="1" width="1.85546875" customWidth="1"/>
    <col min="3" max="3" width="24.140625" customWidth="1"/>
    <col min="4" max="4" width="23.140625" customWidth="1"/>
    <col min="5" max="5" width="51.710937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38.25">
      <c r="A6" s="2"/>
      <c r="B6" s="54">
        <v>328</v>
      </c>
      <c r="C6" s="7" t="str">
        <f>+E12</f>
        <v>EQIP</v>
      </c>
      <c r="D6" s="110" t="s">
        <v>1317</v>
      </c>
      <c r="E6" s="110" t="s">
        <v>2449</v>
      </c>
      <c r="F6" s="7" t="s">
        <v>394</v>
      </c>
      <c r="G6" s="85">
        <f>+I25</f>
        <v>3.7800000000000002</v>
      </c>
    </row>
    <row r="7" spans="1:12" ht="38.25">
      <c r="A7" s="2"/>
      <c r="B7" s="54">
        <f>+B6</f>
        <v>328</v>
      </c>
      <c r="C7" s="7" t="str">
        <f>+C6</f>
        <v>EQIP</v>
      </c>
      <c r="D7" s="110" t="str">
        <f>+D6</f>
        <v>Conservation Crop Rotation (Ac)</v>
      </c>
      <c r="E7" s="110" t="str">
        <f>CONCATENATE(E6, "-HU")</f>
        <v>Conservation Crop Rotation 25-100 acres - Develop and implement a crop rotation with average soil losses within acceptable levels (T) - -HU</v>
      </c>
      <c r="F7" s="7" t="str">
        <f>+F6</f>
        <v>Acre</v>
      </c>
      <c r="G7" s="85">
        <f>+J25</f>
        <v>4.5360000000000005</v>
      </c>
    </row>
    <row r="8" spans="1:12" ht="38.25">
      <c r="A8" s="2"/>
      <c r="B8" s="54">
        <f>+B7</f>
        <v>328</v>
      </c>
      <c r="C8" s="7" t="str">
        <f>+G12</f>
        <v>WHIP</v>
      </c>
      <c r="D8" s="110" t="str">
        <f>+D7</f>
        <v>Conservation Crop Rotation (Ac)</v>
      </c>
      <c r="E8" s="110" t="str">
        <f>+E6</f>
        <v xml:space="preserve">Conservation Crop Rotation 25-100 acres - Develop and implement a crop rotation with average soil losses within acceptable levels (T) - </v>
      </c>
      <c r="F8" s="7" t="str">
        <f>+F7</f>
        <v>Acre</v>
      </c>
      <c r="G8" s="85">
        <f>+K25</f>
        <v>0</v>
      </c>
    </row>
    <row r="9" spans="1:12" ht="38.25">
      <c r="A9" s="2"/>
      <c r="B9" s="8">
        <f>+B8</f>
        <v>328</v>
      </c>
      <c r="C9" s="10" t="str">
        <f>+C8</f>
        <v>WHIP</v>
      </c>
      <c r="D9" s="111" t="str">
        <f>+D8</f>
        <v>Conservation Crop Rotation (Ac)</v>
      </c>
      <c r="E9" s="111" t="str">
        <f>CONCATENATE(E6, "-HU")</f>
        <v>Conservation Crop Rotation 25-100 acres - Develop and implement a crop rotation with average soil losses within acceptable levels (T) - -HU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+I41</f>
        <v>0</v>
      </c>
      <c r="E16" s="160">
        <f>+'[16]Payment Factors'!D11</f>
        <v>0.75</v>
      </c>
      <c r="F16" s="160">
        <f>+'[16]Payment Factors'!E28</f>
        <v>0.9</v>
      </c>
      <c r="G16" s="160">
        <f>+'[16]Payment Factors'!F28</f>
        <v>0</v>
      </c>
      <c r="H16" s="160">
        <f>+'[16]Payment Factors'!G28</f>
        <v>0</v>
      </c>
      <c r="I16" s="1154">
        <f t="shared" ref="I16:L24" si="0">+$D16*E16</f>
        <v>0</v>
      </c>
      <c r="J16" s="1154">
        <f t="shared" si="0"/>
        <v>0</v>
      </c>
      <c r="K16" s="1154">
        <f t="shared" si="0"/>
        <v>0</v>
      </c>
      <c r="L16" s="1155">
        <f t="shared" si="0"/>
        <v>0</v>
      </c>
    </row>
    <row r="17" spans="1:12">
      <c r="A17" s="2"/>
      <c r="B17" s="15" t="s">
        <v>2</v>
      </c>
      <c r="C17" s="16"/>
      <c r="D17" s="24">
        <f>+I44</f>
        <v>0</v>
      </c>
      <c r="E17" s="160">
        <f t="shared" ref="E17:H18" si="1">+E16</f>
        <v>0.75</v>
      </c>
      <c r="F17" s="160">
        <f t="shared" si="1"/>
        <v>0.9</v>
      </c>
      <c r="G17" s="160">
        <f t="shared" si="1"/>
        <v>0</v>
      </c>
      <c r="H17" s="160">
        <f t="shared" si="1"/>
        <v>0</v>
      </c>
      <c r="I17" s="1154">
        <f t="shared" si="0"/>
        <v>0</v>
      </c>
      <c r="J17" s="1154">
        <f t="shared" si="0"/>
        <v>0</v>
      </c>
      <c r="K17" s="1154">
        <f t="shared" si="0"/>
        <v>0</v>
      </c>
      <c r="L17" s="1155">
        <f t="shared" si="0"/>
        <v>0</v>
      </c>
    </row>
    <row r="18" spans="1:12">
      <c r="A18" s="2"/>
      <c r="B18" s="15" t="s">
        <v>3</v>
      </c>
      <c r="C18" s="16"/>
      <c r="D18" s="24">
        <f>+I47</f>
        <v>5.04</v>
      </c>
      <c r="E18" s="160">
        <f t="shared" si="1"/>
        <v>0.75</v>
      </c>
      <c r="F18" s="160">
        <f t="shared" si="1"/>
        <v>0.9</v>
      </c>
      <c r="G18" s="160">
        <f t="shared" si="1"/>
        <v>0</v>
      </c>
      <c r="H18" s="160">
        <f t="shared" si="1"/>
        <v>0</v>
      </c>
      <c r="I18" s="1154">
        <f t="shared" si="0"/>
        <v>3.7800000000000002</v>
      </c>
      <c r="J18" s="1154">
        <f t="shared" si="0"/>
        <v>4.5360000000000005</v>
      </c>
      <c r="K18" s="1154">
        <f t="shared" si="0"/>
        <v>0</v>
      </c>
      <c r="L18" s="1155">
        <f t="shared" si="0"/>
        <v>0</v>
      </c>
    </row>
    <row r="19" spans="1:12">
      <c r="A19" s="2"/>
      <c r="B19" s="15" t="s">
        <v>4</v>
      </c>
      <c r="C19" s="16"/>
      <c r="D19" s="24">
        <f>+I58</f>
        <v>0</v>
      </c>
      <c r="E19" s="160">
        <f>+E18</f>
        <v>0.75</v>
      </c>
      <c r="F19" s="160">
        <f>+F18</f>
        <v>0.9</v>
      </c>
      <c r="G19" s="160">
        <v>0</v>
      </c>
      <c r="H19" s="160">
        <v>0</v>
      </c>
      <c r="I19" s="1154">
        <f t="shared" si="0"/>
        <v>0</v>
      </c>
      <c r="J19" s="1154">
        <f t="shared" si="0"/>
        <v>0</v>
      </c>
      <c r="K19" s="1154">
        <f t="shared" si="0"/>
        <v>0</v>
      </c>
      <c r="L19" s="1155">
        <f t="shared" si="0"/>
        <v>0</v>
      </c>
    </row>
    <row r="20" spans="1:12">
      <c r="A20" s="2"/>
      <c r="B20" s="15" t="s">
        <v>26</v>
      </c>
      <c r="C20" s="16"/>
      <c r="D20" s="24">
        <f>+I61</f>
        <v>0</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+I64</f>
        <v>0</v>
      </c>
      <c r="E21" s="160">
        <f>+E16</f>
        <v>0.75</v>
      </c>
      <c r="F21" s="160">
        <f>+F16</f>
        <v>0.9</v>
      </c>
      <c r="G21" s="160">
        <f>+G16</f>
        <v>0</v>
      </c>
      <c r="H21" s="160">
        <f>+H16</f>
        <v>0</v>
      </c>
      <c r="I21" s="1154">
        <f t="shared" si="0"/>
        <v>0</v>
      </c>
      <c r="J21" s="1154">
        <f t="shared" si="0"/>
        <v>0</v>
      </c>
      <c r="K21" s="1154">
        <f t="shared" si="0"/>
        <v>0</v>
      </c>
      <c r="L21" s="1155">
        <f t="shared" si="0"/>
        <v>0</v>
      </c>
    </row>
    <row r="22" spans="1:12">
      <c r="A22" s="2"/>
      <c r="B22" s="15" t="s">
        <v>27</v>
      </c>
      <c r="C22" s="16"/>
      <c r="D22" s="24">
        <f>+I67</f>
        <v>0</v>
      </c>
      <c r="E22" s="160">
        <f>+E16+0.25</f>
        <v>1</v>
      </c>
      <c r="F22" s="160">
        <f>+F16+0.1</f>
        <v>1</v>
      </c>
      <c r="G22" s="160">
        <f>+G17</f>
        <v>0</v>
      </c>
      <c r="H22" s="160">
        <f>+H17</f>
        <v>0</v>
      </c>
      <c r="I22" s="1154">
        <f t="shared" si="0"/>
        <v>0</v>
      </c>
      <c r="J22" s="1154">
        <f t="shared" si="0"/>
        <v>0</v>
      </c>
      <c r="K22" s="1154">
        <f t="shared" si="0"/>
        <v>0</v>
      </c>
      <c r="L22" s="1155">
        <f t="shared" si="0"/>
        <v>0</v>
      </c>
    </row>
    <row r="23" spans="1:12">
      <c r="A23" s="2"/>
      <c r="B23" s="15" t="s">
        <v>5</v>
      </c>
      <c r="C23" s="16"/>
      <c r="D23" s="24">
        <f>+I71</f>
        <v>0</v>
      </c>
      <c r="E23" s="160">
        <v>0</v>
      </c>
      <c r="F23" s="160">
        <v>0</v>
      </c>
      <c r="G23" s="160">
        <f>+G18</f>
        <v>0</v>
      </c>
      <c r="H23" s="160">
        <f>+H18</f>
        <v>0</v>
      </c>
      <c r="I23" s="1154">
        <f t="shared" si="0"/>
        <v>0</v>
      </c>
      <c r="J23" s="1154">
        <f t="shared" si="0"/>
        <v>0</v>
      </c>
      <c r="K23" s="1154">
        <f t="shared" si="0"/>
        <v>0</v>
      </c>
      <c r="L23" s="1155">
        <f t="shared" si="0"/>
        <v>0</v>
      </c>
    </row>
    <row r="24" spans="1:12">
      <c r="A24" s="2"/>
      <c r="B24" s="15" t="s">
        <v>20</v>
      </c>
      <c r="C24" s="16"/>
      <c r="D24" s="75">
        <f>+I75</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(+D16+D17+D18+D19+D20*(D38-1)+D21+D22*D38+D23*D38+D24)/D38</f>
        <v>5.04</v>
      </c>
      <c r="E25" s="1158"/>
      <c r="F25" s="1158"/>
      <c r="G25" s="28"/>
      <c r="H25" s="28"/>
      <c r="I25" s="1159">
        <f>SUM(I16:I24)</f>
        <v>3.7800000000000002</v>
      </c>
      <c r="J25" s="1159">
        <f>SUM(J16:J24)</f>
        <v>4.5360000000000005</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1326</v>
      </c>
      <c r="C29" s="34"/>
      <c r="D29" s="34"/>
      <c r="E29" s="35"/>
      <c r="F29" s="35"/>
      <c r="G29" s="35"/>
      <c r="H29" s="35"/>
      <c r="I29" s="36"/>
    </row>
    <row r="30" spans="1:12">
      <c r="A30" s="2"/>
      <c r="B30" s="37" t="s">
        <v>1319</v>
      </c>
      <c r="C30" s="143"/>
      <c r="D30" s="34"/>
      <c r="E30" s="35"/>
      <c r="F30" s="1163"/>
      <c r="G30" s="35"/>
      <c r="H30" s="35"/>
      <c r="I30" s="36"/>
    </row>
    <row r="31" spans="1:12">
      <c r="A31" s="2"/>
      <c r="B31" s="1161"/>
      <c r="C31" s="34"/>
      <c r="D31" s="34"/>
      <c r="E31" s="35"/>
      <c r="F31" s="35"/>
      <c r="G31" s="35"/>
      <c r="H31" s="35"/>
      <c r="I31" s="36"/>
    </row>
    <row r="32" spans="1:12">
      <c r="A32" s="2"/>
      <c r="B32" s="37" t="s">
        <v>1327</v>
      </c>
      <c r="C32" s="34"/>
      <c r="D32" s="34"/>
      <c r="E32" s="35"/>
      <c r="F32" s="35"/>
      <c r="G32" s="35"/>
      <c r="H32" s="35"/>
      <c r="I32" s="36"/>
    </row>
    <row r="33" spans="1:9">
      <c r="A33" s="2"/>
      <c r="B33" s="37"/>
      <c r="C33" s="34"/>
      <c r="D33" s="34"/>
      <c r="E33" s="35"/>
      <c r="F33" s="35"/>
      <c r="G33" s="35"/>
      <c r="H33" s="35"/>
      <c r="I33" s="36"/>
    </row>
    <row r="34" spans="1:9">
      <c r="A34" s="2"/>
      <c r="B34" s="33"/>
      <c r="C34" s="34"/>
      <c r="D34" s="34"/>
      <c r="E34" s="35"/>
      <c r="F34" s="35"/>
      <c r="G34" s="35"/>
      <c r="H34" s="35"/>
      <c r="I34" s="36"/>
    </row>
    <row r="35" spans="1:9">
      <c r="A35" s="2"/>
      <c r="B35" s="38" t="s">
        <v>25</v>
      </c>
      <c r="C35" s="34"/>
      <c r="D35" s="39" t="s">
        <v>91</v>
      </c>
      <c r="E35" s="6"/>
      <c r="F35" s="35"/>
      <c r="G35" s="35"/>
      <c r="H35" s="35"/>
      <c r="I35" s="36"/>
    </row>
    <row r="36" spans="1:9">
      <c r="A36" s="2"/>
      <c r="B36" s="37"/>
      <c r="C36" s="34"/>
      <c r="D36" s="35"/>
      <c r="E36" s="6"/>
      <c r="F36" s="35"/>
      <c r="G36" s="35"/>
      <c r="H36" s="35"/>
      <c r="I36" s="36"/>
    </row>
    <row r="37" spans="1:9">
      <c r="A37" s="2"/>
      <c r="B37" s="38" t="s">
        <v>8</v>
      </c>
      <c r="C37" s="34"/>
      <c r="D37" s="39" t="s">
        <v>759</v>
      </c>
      <c r="E37" s="6"/>
      <c r="F37" s="35"/>
      <c r="G37" s="35"/>
      <c r="H37" s="35"/>
      <c r="I37" s="36"/>
    </row>
    <row r="38" spans="1:9">
      <c r="A38" s="2"/>
      <c r="B38" s="38" t="s">
        <v>9</v>
      </c>
      <c r="C38" s="34"/>
      <c r="D38" s="1164">
        <f>+'[16]Payment Factors'!C28</f>
        <v>1</v>
      </c>
      <c r="E38" s="6"/>
      <c r="F38" s="35"/>
      <c r="G38" s="35"/>
      <c r="H38" s="35"/>
      <c r="I38" s="36"/>
    </row>
    <row r="39" spans="1:9">
      <c r="A39" s="2"/>
      <c r="B39" s="38" t="s">
        <v>10</v>
      </c>
      <c r="C39" s="35"/>
      <c r="D39" s="93"/>
      <c r="E39" s="1165"/>
      <c r="F39" s="35"/>
      <c r="G39" s="35"/>
      <c r="H39" s="35"/>
      <c r="I39" s="147" t="s">
        <v>6</v>
      </c>
    </row>
    <row r="40" spans="1:9">
      <c r="A40" s="2"/>
      <c r="B40" s="40"/>
      <c r="C40" s="35"/>
      <c r="D40" s="1189"/>
      <c r="E40" s="41"/>
      <c r="F40" s="35"/>
      <c r="G40" s="35"/>
      <c r="H40" s="35"/>
      <c r="I40" s="149"/>
    </row>
    <row r="41" spans="1:9">
      <c r="A41" s="2"/>
      <c r="B41" s="42" t="s">
        <v>0</v>
      </c>
      <c r="C41" s="35"/>
      <c r="D41" s="1189"/>
      <c r="E41" s="35"/>
      <c r="F41" s="39"/>
      <c r="G41" s="35"/>
      <c r="H41" s="35"/>
      <c r="I41" s="1166">
        <f>SUM(G43:G43)</f>
        <v>0</v>
      </c>
    </row>
    <row r="42" spans="1:9">
      <c r="A42" s="2"/>
      <c r="B42" s="33" t="s">
        <v>104</v>
      </c>
      <c r="C42" s="35"/>
      <c r="D42" s="1167"/>
      <c r="E42" s="1167"/>
      <c r="F42" s="1167"/>
      <c r="G42" s="1167"/>
      <c r="H42" s="35"/>
      <c r="I42" s="46"/>
    </row>
    <row r="43" spans="1:9">
      <c r="A43" s="2"/>
      <c r="B43" s="1191"/>
      <c r="C43" s="6"/>
      <c r="D43" s="1189"/>
      <c r="E43" s="1189"/>
      <c r="F43" s="1170"/>
      <c r="G43" s="1171"/>
      <c r="H43" s="35"/>
      <c r="I43" s="36"/>
    </row>
    <row r="44" spans="1:9">
      <c r="A44" s="2"/>
      <c r="B44" s="42" t="s">
        <v>2</v>
      </c>
      <c r="C44" s="35"/>
      <c r="D44" s="1189"/>
      <c r="E44" s="2003"/>
      <c r="F44" s="2003"/>
      <c r="G44" s="2003"/>
      <c r="H44" s="2003"/>
      <c r="I44" s="1182">
        <v>0</v>
      </c>
    </row>
    <row r="45" spans="1:9">
      <c r="A45" s="2"/>
      <c r="B45" s="33" t="s">
        <v>104</v>
      </c>
      <c r="C45" s="6"/>
      <c r="D45" s="63"/>
      <c r="E45" s="150"/>
      <c r="F45" s="150"/>
      <c r="G45" s="1169"/>
      <c r="H45" s="35"/>
      <c r="I45" s="47"/>
    </row>
    <row r="46" spans="1:9">
      <c r="A46" s="2"/>
      <c r="B46" s="1177"/>
      <c r="C46" s="1178"/>
      <c r="D46" s="1189"/>
      <c r="E46" s="1178"/>
      <c r="F46" s="1178"/>
      <c r="G46" s="1178"/>
      <c r="H46" s="1178"/>
      <c r="I46" s="1179"/>
    </row>
    <row r="47" spans="1:9">
      <c r="A47" s="2"/>
      <c r="B47" s="42" t="s">
        <v>3</v>
      </c>
      <c r="C47" s="35"/>
      <c r="D47" s="35"/>
      <c r="E47" s="35"/>
      <c r="F47" s="39"/>
      <c r="G47" s="35"/>
      <c r="H47" s="35"/>
      <c r="I47" s="1166">
        <f>(SUM(G49:G53))</f>
        <v>5.04</v>
      </c>
    </row>
    <row r="48" spans="1:9">
      <c r="A48" s="2"/>
      <c r="B48" s="1172"/>
      <c r="C48" s="35"/>
      <c r="D48" s="1167" t="s">
        <v>447</v>
      </c>
      <c r="E48" s="1167" t="s">
        <v>448</v>
      </c>
      <c r="F48" s="1167" t="s">
        <v>449</v>
      </c>
      <c r="G48" s="1167" t="s">
        <v>450</v>
      </c>
      <c r="H48" s="35"/>
      <c r="I48" s="46"/>
    </row>
    <row r="49" spans="1:9">
      <c r="A49" s="2"/>
      <c r="B49" s="40" t="s">
        <v>1321</v>
      </c>
      <c r="C49" s="35"/>
      <c r="D49" s="1388" t="str">
        <f>'[17]Core Rates'!B229</f>
        <v>Hrs</v>
      </c>
      <c r="E49" s="1169">
        <f>+'[18]Core Rates'!C229</f>
        <v>42</v>
      </c>
      <c r="F49" s="1388">
        <v>1.6E-2</v>
      </c>
      <c r="G49" s="1171">
        <f>SUM(E49*F49)</f>
        <v>0.67200000000000004</v>
      </c>
      <c r="H49" s="35"/>
      <c r="I49" s="46"/>
    </row>
    <row r="50" spans="1:9">
      <c r="A50" s="2"/>
      <c r="B50" s="1389" t="s">
        <v>1322</v>
      </c>
      <c r="C50" s="6"/>
      <c r="D50" s="1189" t="str">
        <f>'[17]Core Rates'!B229</f>
        <v>Hrs</v>
      </c>
      <c r="E50" s="1391">
        <f>+'[18]Core Rates'!C229</f>
        <v>42</v>
      </c>
      <c r="F50" s="1388">
        <v>3.2000000000000001E-2</v>
      </c>
      <c r="G50" s="1171">
        <f>SUM(E50*F50)</f>
        <v>1.3440000000000001</v>
      </c>
      <c r="H50" s="35"/>
      <c r="I50" s="47"/>
    </row>
    <row r="51" spans="1:9">
      <c r="A51" s="2"/>
      <c r="B51" s="1389" t="s">
        <v>1323</v>
      </c>
      <c r="C51" s="6"/>
      <c r="D51" s="1189" t="str">
        <f>'[17]Core Rates'!B229</f>
        <v>Hrs</v>
      </c>
      <c r="E51" s="1391">
        <f>+'[18]Core Rates'!C229</f>
        <v>42</v>
      </c>
      <c r="F51" s="1388">
        <v>2.4E-2</v>
      </c>
      <c r="G51" s="1171">
        <f>SUM(E51*F51)</f>
        <v>1.008</v>
      </c>
      <c r="H51" s="35"/>
      <c r="I51" s="47"/>
    </row>
    <row r="52" spans="1:9">
      <c r="A52" s="2"/>
      <c r="B52" s="1389" t="s">
        <v>1324</v>
      </c>
      <c r="C52" s="6"/>
      <c r="D52" s="1189" t="str">
        <f>'[17]Core Rates'!B229</f>
        <v>Hrs</v>
      </c>
      <c r="E52" s="1391">
        <f>+'[18]Core Rates'!C229</f>
        <v>42</v>
      </c>
      <c r="F52" s="1388">
        <v>1.6E-2</v>
      </c>
      <c r="G52" s="1171">
        <f>SUM(E52*F52)</f>
        <v>0.67200000000000004</v>
      </c>
      <c r="H52" s="35"/>
      <c r="I52" s="47"/>
    </row>
    <row r="53" spans="1:9">
      <c r="A53" s="2"/>
      <c r="B53" s="1389" t="s">
        <v>1325</v>
      </c>
      <c r="C53" s="6"/>
      <c r="D53" s="1189" t="str">
        <f>'[17]Core Rates'!B229</f>
        <v>Hrs</v>
      </c>
      <c r="E53" s="1391">
        <f>+'[18]Core Rates'!C229</f>
        <v>42</v>
      </c>
      <c r="F53" s="1388">
        <v>3.2000000000000001E-2</v>
      </c>
      <c r="G53" s="1171">
        <f>SUM(E53*F53)</f>
        <v>1.3440000000000001</v>
      </c>
      <c r="H53" s="35"/>
      <c r="I53" s="47"/>
    </row>
    <row r="54" spans="1:9">
      <c r="A54" s="2"/>
      <c r="B54" s="1389"/>
      <c r="C54" s="6"/>
      <c r="D54" s="1189"/>
      <c r="E54" s="1189"/>
      <c r="F54" s="1170"/>
      <c r="G54" s="1171"/>
      <c r="H54" s="35"/>
      <c r="I54" s="47"/>
    </row>
    <row r="55" spans="1:9">
      <c r="A55" s="2"/>
      <c r="B55" s="37" t="s">
        <v>43</v>
      </c>
      <c r="C55" s="6"/>
      <c r="D55" s="1189"/>
      <c r="E55" s="1189"/>
      <c r="F55" s="1170"/>
      <c r="G55" s="1171"/>
      <c r="H55" s="35"/>
      <c r="I55" s="47"/>
    </row>
    <row r="56" spans="1:9">
      <c r="A56" s="2"/>
      <c r="B56" s="40" t="s">
        <v>457</v>
      </c>
      <c r="C56" s="6"/>
      <c r="D56" s="1189"/>
      <c r="E56" s="1189"/>
      <c r="F56" s="1170"/>
      <c r="G56" s="1171"/>
      <c r="H56" s="35"/>
      <c r="I56" s="47"/>
    </row>
    <row r="57" spans="1:9">
      <c r="A57" s="2"/>
      <c r="B57" s="1389"/>
      <c r="C57" s="6"/>
      <c r="D57" s="1189"/>
      <c r="E57" s="1189"/>
      <c r="F57" s="1170"/>
      <c r="G57" s="1171"/>
      <c r="H57" s="35"/>
      <c r="I57" s="47"/>
    </row>
    <row r="58" spans="1:9">
      <c r="A58" s="2"/>
      <c r="B58" s="42" t="s">
        <v>4</v>
      </c>
      <c r="C58" s="35"/>
      <c r="D58" s="35"/>
      <c r="E58" s="35"/>
      <c r="F58" s="35"/>
      <c r="G58" s="35"/>
      <c r="H58" s="35"/>
      <c r="I58" s="1182">
        <v>0</v>
      </c>
    </row>
    <row r="59" spans="1:9">
      <c r="A59" s="2"/>
      <c r="B59" s="33" t="s">
        <v>104</v>
      </c>
      <c r="C59" s="35"/>
      <c r="D59" s="35"/>
      <c r="E59" s="35"/>
      <c r="F59" s="35"/>
      <c r="G59" s="35"/>
      <c r="H59" s="35"/>
      <c r="I59" s="36"/>
    </row>
    <row r="60" spans="1:9">
      <c r="A60" s="2"/>
      <c r="B60" s="33"/>
      <c r="C60" s="35"/>
      <c r="D60" s="35"/>
      <c r="E60" s="35"/>
      <c r="F60" s="35"/>
      <c r="G60" s="35"/>
      <c r="H60" s="35"/>
      <c r="I60" s="36"/>
    </row>
    <row r="61" spans="1:9">
      <c r="A61" s="2"/>
      <c r="B61" s="42" t="s">
        <v>468</v>
      </c>
      <c r="C61" s="35"/>
      <c r="D61" s="35"/>
      <c r="E61" s="35"/>
      <c r="F61" s="35"/>
      <c r="G61" s="35"/>
      <c r="H61" s="35"/>
      <c r="I61" s="1182">
        <v>0</v>
      </c>
    </row>
    <row r="62" spans="1:9">
      <c r="A62" s="2"/>
      <c r="B62" s="33" t="s">
        <v>104</v>
      </c>
      <c r="C62" s="35"/>
      <c r="D62" s="35"/>
      <c r="E62" s="35"/>
      <c r="F62" s="35"/>
      <c r="G62" s="35"/>
      <c r="H62" s="35"/>
      <c r="I62" s="36"/>
    </row>
    <row r="63" spans="1:9">
      <c r="A63" s="2"/>
      <c r="B63" s="37"/>
      <c r="C63" s="35"/>
      <c r="D63" s="35"/>
      <c r="E63" s="35"/>
      <c r="F63" s="35"/>
      <c r="G63" s="35"/>
      <c r="H63" s="35"/>
      <c r="I63" s="36"/>
    </row>
    <row r="64" spans="1:9">
      <c r="A64" s="2"/>
      <c r="B64" s="42" t="s">
        <v>7</v>
      </c>
      <c r="C64" s="35"/>
      <c r="D64" s="35"/>
      <c r="E64" s="35"/>
      <c r="F64" s="35"/>
      <c r="G64" s="35"/>
      <c r="H64" s="35"/>
      <c r="I64" s="1166">
        <v>0</v>
      </c>
    </row>
    <row r="65" spans="1:9">
      <c r="A65" s="2"/>
      <c r="B65" s="33" t="s">
        <v>104</v>
      </c>
      <c r="C65" s="35"/>
      <c r="D65" s="35"/>
      <c r="E65" s="35"/>
      <c r="F65" s="35"/>
      <c r="G65" s="35"/>
      <c r="H65" s="35"/>
      <c r="I65" s="36"/>
    </row>
    <row r="66" spans="1:9">
      <c r="A66" s="2"/>
      <c r="B66" s="37"/>
      <c r="C66" s="35"/>
      <c r="D66" s="35"/>
      <c r="E66" s="35"/>
      <c r="F66" s="35"/>
      <c r="G66" s="35"/>
      <c r="H66" s="35"/>
      <c r="I66" s="36"/>
    </row>
    <row r="67" spans="1:9">
      <c r="A67" s="2"/>
      <c r="B67" s="42" t="s">
        <v>471</v>
      </c>
      <c r="C67" s="35"/>
      <c r="D67" s="35"/>
      <c r="E67" s="35"/>
      <c r="F67" s="39"/>
      <c r="G67" s="35"/>
      <c r="H67" s="35"/>
      <c r="I67" s="1166">
        <v>0</v>
      </c>
    </row>
    <row r="68" spans="1:9">
      <c r="A68" s="2"/>
      <c r="B68" s="756" t="s">
        <v>104</v>
      </c>
      <c r="C68" s="35"/>
      <c r="D68" s="35"/>
      <c r="E68" s="35"/>
      <c r="F68" s="35"/>
      <c r="G68" s="35"/>
      <c r="H68" s="35"/>
      <c r="I68" s="47"/>
    </row>
    <row r="69" spans="1:9">
      <c r="A69" s="2"/>
      <c r="B69" s="756"/>
      <c r="C69" s="35"/>
      <c r="D69" s="35"/>
      <c r="E69" s="35"/>
      <c r="F69" s="35"/>
      <c r="G69" s="35"/>
      <c r="H69" s="35"/>
      <c r="I69" s="47"/>
    </row>
    <row r="70" spans="1:9">
      <c r="A70" s="2"/>
      <c r="B70" s="37"/>
      <c r="C70" s="35"/>
      <c r="D70" s="35"/>
      <c r="E70" s="35"/>
      <c r="F70" s="35"/>
      <c r="G70" s="35"/>
      <c r="H70" s="35"/>
      <c r="I70" s="36"/>
    </row>
    <row r="71" spans="1:9">
      <c r="A71" s="2"/>
      <c r="B71" s="42" t="s">
        <v>5</v>
      </c>
      <c r="C71" s="35"/>
      <c r="D71" s="1189"/>
      <c r="E71" s="35"/>
      <c r="F71" s="35"/>
      <c r="G71" s="35"/>
      <c r="H71" s="35"/>
      <c r="I71" s="1166">
        <v>0</v>
      </c>
    </row>
    <row r="72" spans="1:9">
      <c r="A72" s="2"/>
      <c r="B72" s="33" t="s">
        <v>104</v>
      </c>
      <c r="C72" s="35"/>
      <c r="D72" s="35"/>
      <c r="E72" s="35"/>
      <c r="F72" s="35"/>
      <c r="G72" s="35"/>
      <c r="H72" s="35"/>
      <c r="I72" s="47"/>
    </row>
    <row r="73" spans="1:9">
      <c r="A73" s="2"/>
      <c r="B73" s="37"/>
      <c r="C73" s="35"/>
      <c r="D73" s="35"/>
      <c r="E73" s="35"/>
      <c r="F73" s="35"/>
      <c r="G73" s="35"/>
      <c r="H73" s="35"/>
      <c r="I73" s="36"/>
    </row>
    <row r="74" spans="1:9">
      <c r="A74" s="2"/>
      <c r="B74" s="37"/>
      <c r="C74" s="35"/>
      <c r="D74" s="35"/>
      <c r="E74" s="35"/>
      <c r="F74" s="35"/>
      <c r="G74" s="35"/>
      <c r="H74" s="35"/>
      <c r="I74" s="36"/>
    </row>
    <row r="75" spans="1:9">
      <c r="A75" s="2"/>
      <c r="B75" s="42" t="s">
        <v>20</v>
      </c>
      <c r="C75" s="35"/>
      <c r="D75" s="1189"/>
      <c r="E75" s="35"/>
      <c r="F75" s="35"/>
      <c r="G75" s="35"/>
      <c r="H75" s="35"/>
      <c r="I75" s="1166">
        <v>0</v>
      </c>
    </row>
    <row r="76" spans="1:9">
      <c r="A76" s="2"/>
      <c r="B76" s="33" t="s">
        <v>104</v>
      </c>
      <c r="C76" s="35"/>
      <c r="D76" s="35"/>
      <c r="E76" s="35"/>
      <c r="F76" s="35"/>
      <c r="G76" s="35"/>
      <c r="H76" s="35"/>
      <c r="I76" s="36"/>
    </row>
    <row r="77" spans="1:9">
      <c r="A77" s="2"/>
      <c r="B77" s="40"/>
      <c r="C77" s="35"/>
      <c r="D77" s="35"/>
      <c r="E77" s="35"/>
      <c r="F77" s="35"/>
      <c r="G77" s="35"/>
      <c r="H77" s="35"/>
      <c r="I77" s="36"/>
    </row>
    <row r="78" spans="1:9">
      <c r="A78" s="2"/>
      <c r="B78" s="42" t="s">
        <v>473</v>
      </c>
      <c r="C78" s="35"/>
      <c r="D78" s="35"/>
      <c r="E78" s="35"/>
      <c r="F78" s="35"/>
      <c r="G78" s="35"/>
      <c r="H78" s="35"/>
      <c r="I78" s="1183">
        <f>+I41+I47+I44+I58+I64+I75</f>
        <v>5.04</v>
      </c>
    </row>
    <row r="79" spans="1:9" ht="15.75">
      <c r="A79" s="2"/>
      <c r="B79" s="33" t="s">
        <v>474</v>
      </c>
      <c r="C79" s="35"/>
      <c r="D79" s="35"/>
      <c r="E79" s="35"/>
      <c r="F79" s="35"/>
      <c r="G79" s="35"/>
      <c r="H79" s="35"/>
      <c r="I79" s="36"/>
    </row>
    <row r="80" spans="1:9">
      <c r="A80" s="2"/>
      <c r="B80" s="40"/>
      <c r="C80" s="35"/>
      <c r="D80" s="35"/>
      <c r="E80" s="35"/>
      <c r="F80" s="35"/>
      <c r="G80" s="35"/>
      <c r="H80" s="35"/>
      <c r="I80" s="36"/>
    </row>
    <row r="81" spans="1:9">
      <c r="A81" s="2"/>
      <c r="B81" s="43" t="s">
        <v>11</v>
      </c>
      <c r="C81" s="44"/>
      <c r="D81" s="44"/>
      <c r="E81" s="44"/>
      <c r="F81" s="44"/>
      <c r="G81" s="44"/>
      <c r="H81" s="44"/>
      <c r="I81" s="1392">
        <f>SUM(I41:I75)</f>
        <v>5.04</v>
      </c>
    </row>
  </sheetData>
  <mergeCells count="2">
    <mergeCell ref="B1:D1"/>
    <mergeCell ref="E44:H44"/>
  </mergeCells>
  <pageMargins left="0.75" right="0.75" top="1" bottom="1" header="0.5" footer="0.5"/>
  <pageSetup scale="51" orientation="portrait" r:id="rId1"/>
  <headerFooter alignWithMargins="0"/>
</worksheet>
</file>

<file path=xl/worksheets/sheet72.xml><?xml version="1.0" encoding="utf-8"?>
<worksheet xmlns="http://schemas.openxmlformats.org/spreadsheetml/2006/main" xmlns:r="http://schemas.openxmlformats.org/officeDocument/2006/relationships">
  <sheetPr>
    <pageSetUpPr fitToPage="1"/>
  </sheetPr>
  <dimension ref="A1:L81"/>
  <sheetViews>
    <sheetView zoomScale="75" zoomScaleNormal="75" workbookViewId="0">
      <selection activeCell="E8" sqref="E8"/>
    </sheetView>
  </sheetViews>
  <sheetFormatPr defaultRowHeight="12.75"/>
  <cols>
    <col min="1" max="1" width="1.85546875" customWidth="1"/>
    <col min="3" max="3" width="24.140625" customWidth="1"/>
    <col min="4" max="4" width="23.140625" customWidth="1"/>
    <col min="5" max="5" width="51.710937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38.25">
      <c r="A6" s="2"/>
      <c r="B6" s="54">
        <v>328</v>
      </c>
      <c r="C6" s="7" t="str">
        <f>+E12</f>
        <v>EQIP</v>
      </c>
      <c r="D6" s="110" t="s">
        <v>1317</v>
      </c>
      <c r="E6" s="110" t="s">
        <v>2450</v>
      </c>
      <c r="F6" s="7" t="s">
        <v>394</v>
      </c>
      <c r="G6" s="85">
        <f>+I25</f>
        <v>1.8900000000000001</v>
      </c>
    </row>
    <row r="7" spans="1:12" ht="38.25">
      <c r="A7" s="2"/>
      <c r="B7" s="54">
        <f>+B6</f>
        <v>328</v>
      </c>
      <c r="C7" s="7" t="str">
        <f>+C6</f>
        <v>EQIP</v>
      </c>
      <c r="D7" s="110" t="str">
        <f>+D6</f>
        <v>Conservation Crop Rotation (Ac)</v>
      </c>
      <c r="E7" s="110" t="str">
        <f>CONCATENATE(E6, "-HU")</f>
        <v>Conservation Crop Rotation &gt;100 acres - Develop and implement a crop rotation with average soil losses within acceptable levels (T) - -HU</v>
      </c>
      <c r="F7" s="7" t="str">
        <f>+F6</f>
        <v>Acre</v>
      </c>
      <c r="G7" s="85">
        <f>+J25</f>
        <v>2.2680000000000002</v>
      </c>
    </row>
    <row r="8" spans="1:12" ht="38.25">
      <c r="A8" s="2"/>
      <c r="B8" s="54">
        <f>+B7</f>
        <v>328</v>
      </c>
      <c r="C8" s="7" t="str">
        <f>+G12</f>
        <v>WHIP</v>
      </c>
      <c r="D8" s="110" t="str">
        <f>+D7</f>
        <v>Conservation Crop Rotation (Ac)</v>
      </c>
      <c r="E8" s="110" t="str">
        <f>+E6</f>
        <v xml:space="preserve">Conservation Crop Rotation &gt;100 acres - Develop and implement a crop rotation with average soil losses within acceptable levels (T) - </v>
      </c>
      <c r="F8" s="7" t="str">
        <f>+F7</f>
        <v>Acre</v>
      </c>
      <c r="G8" s="85">
        <f>+K25</f>
        <v>0</v>
      </c>
    </row>
    <row r="9" spans="1:12" ht="38.25">
      <c r="A9" s="2"/>
      <c r="B9" s="8">
        <f>+B8</f>
        <v>328</v>
      </c>
      <c r="C9" s="10" t="str">
        <f>+C8</f>
        <v>WHIP</v>
      </c>
      <c r="D9" s="111" t="str">
        <f>+D8</f>
        <v>Conservation Crop Rotation (Ac)</v>
      </c>
      <c r="E9" s="111" t="str">
        <f>CONCATENATE(E6, "-HU")</f>
        <v>Conservation Crop Rotation &gt;100 acres - Develop and implement a crop rotation with average soil losses within acceptable levels (T) - -HU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+I41</f>
        <v>0</v>
      </c>
      <c r="E16" s="160">
        <f>+'[16]Payment Factors'!D11</f>
        <v>0.75</v>
      </c>
      <c r="F16" s="160">
        <f>+'[16]Payment Factors'!E28</f>
        <v>0.9</v>
      </c>
      <c r="G16" s="160">
        <f>+'[16]Payment Factors'!F28</f>
        <v>0</v>
      </c>
      <c r="H16" s="160">
        <f>+'[16]Payment Factors'!G28</f>
        <v>0</v>
      </c>
      <c r="I16" s="1154">
        <f t="shared" ref="I16:L24" si="0">+$D16*E16</f>
        <v>0</v>
      </c>
      <c r="J16" s="1154">
        <f t="shared" si="0"/>
        <v>0</v>
      </c>
      <c r="K16" s="1154">
        <f t="shared" si="0"/>
        <v>0</v>
      </c>
      <c r="L16" s="1155">
        <f t="shared" si="0"/>
        <v>0</v>
      </c>
    </row>
    <row r="17" spans="1:12">
      <c r="A17" s="2"/>
      <c r="B17" s="15" t="s">
        <v>2</v>
      </c>
      <c r="C17" s="16"/>
      <c r="D17" s="24">
        <f>+I44</f>
        <v>0</v>
      </c>
      <c r="E17" s="160">
        <f t="shared" ref="E17:H18" si="1">+E16</f>
        <v>0.75</v>
      </c>
      <c r="F17" s="160">
        <f t="shared" si="1"/>
        <v>0.9</v>
      </c>
      <c r="G17" s="160">
        <f t="shared" si="1"/>
        <v>0</v>
      </c>
      <c r="H17" s="160">
        <f t="shared" si="1"/>
        <v>0</v>
      </c>
      <c r="I17" s="1154">
        <f t="shared" si="0"/>
        <v>0</v>
      </c>
      <c r="J17" s="1154">
        <f t="shared" si="0"/>
        <v>0</v>
      </c>
      <c r="K17" s="1154">
        <f t="shared" si="0"/>
        <v>0</v>
      </c>
      <c r="L17" s="1155">
        <f t="shared" si="0"/>
        <v>0</v>
      </c>
    </row>
    <row r="18" spans="1:12">
      <c r="A18" s="2"/>
      <c r="B18" s="15" t="s">
        <v>3</v>
      </c>
      <c r="C18" s="16"/>
      <c r="D18" s="24">
        <f>+I47</f>
        <v>2.52</v>
      </c>
      <c r="E18" s="160">
        <f t="shared" si="1"/>
        <v>0.75</v>
      </c>
      <c r="F18" s="160">
        <f t="shared" si="1"/>
        <v>0.9</v>
      </c>
      <c r="G18" s="160">
        <f t="shared" si="1"/>
        <v>0</v>
      </c>
      <c r="H18" s="160">
        <f t="shared" si="1"/>
        <v>0</v>
      </c>
      <c r="I18" s="1154">
        <f t="shared" si="0"/>
        <v>1.8900000000000001</v>
      </c>
      <c r="J18" s="1154">
        <f t="shared" si="0"/>
        <v>2.2680000000000002</v>
      </c>
      <c r="K18" s="1154">
        <f t="shared" si="0"/>
        <v>0</v>
      </c>
      <c r="L18" s="1155">
        <f t="shared" si="0"/>
        <v>0</v>
      </c>
    </row>
    <row r="19" spans="1:12">
      <c r="A19" s="2"/>
      <c r="B19" s="15" t="s">
        <v>4</v>
      </c>
      <c r="C19" s="16"/>
      <c r="D19" s="24">
        <f>+I58</f>
        <v>0</v>
      </c>
      <c r="E19" s="160">
        <f>+E18</f>
        <v>0.75</v>
      </c>
      <c r="F19" s="160">
        <f>+F18</f>
        <v>0.9</v>
      </c>
      <c r="G19" s="160">
        <v>0</v>
      </c>
      <c r="H19" s="160">
        <v>0</v>
      </c>
      <c r="I19" s="1154">
        <f t="shared" si="0"/>
        <v>0</v>
      </c>
      <c r="J19" s="1154">
        <f t="shared" si="0"/>
        <v>0</v>
      </c>
      <c r="K19" s="1154">
        <f t="shared" si="0"/>
        <v>0</v>
      </c>
      <c r="L19" s="1155">
        <f t="shared" si="0"/>
        <v>0</v>
      </c>
    </row>
    <row r="20" spans="1:12">
      <c r="A20" s="2"/>
      <c r="B20" s="15" t="s">
        <v>26</v>
      </c>
      <c r="C20" s="16"/>
      <c r="D20" s="24">
        <f>+I61</f>
        <v>0</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+I64</f>
        <v>0</v>
      </c>
      <c r="E21" s="160">
        <f>+E16</f>
        <v>0.75</v>
      </c>
      <c r="F21" s="160">
        <f>+F16</f>
        <v>0.9</v>
      </c>
      <c r="G21" s="160">
        <f>+G16</f>
        <v>0</v>
      </c>
      <c r="H21" s="160">
        <f>+H16</f>
        <v>0</v>
      </c>
      <c r="I21" s="1154">
        <f t="shared" si="0"/>
        <v>0</v>
      </c>
      <c r="J21" s="1154">
        <f t="shared" si="0"/>
        <v>0</v>
      </c>
      <c r="K21" s="1154">
        <f t="shared" si="0"/>
        <v>0</v>
      </c>
      <c r="L21" s="1155">
        <f t="shared" si="0"/>
        <v>0</v>
      </c>
    </row>
    <row r="22" spans="1:12">
      <c r="A22" s="2"/>
      <c r="B22" s="15" t="s">
        <v>27</v>
      </c>
      <c r="C22" s="16"/>
      <c r="D22" s="24">
        <f>+I67</f>
        <v>0</v>
      </c>
      <c r="E22" s="160">
        <f>+E16+0.25</f>
        <v>1</v>
      </c>
      <c r="F22" s="160">
        <f>+F16+0.1</f>
        <v>1</v>
      </c>
      <c r="G22" s="160">
        <f>+G17</f>
        <v>0</v>
      </c>
      <c r="H22" s="160">
        <f>+H17</f>
        <v>0</v>
      </c>
      <c r="I22" s="1154">
        <f t="shared" si="0"/>
        <v>0</v>
      </c>
      <c r="J22" s="1154">
        <f t="shared" si="0"/>
        <v>0</v>
      </c>
      <c r="K22" s="1154">
        <f t="shared" si="0"/>
        <v>0</v>
      </c>
      <c r="L22" s="1155">
        <f t="shared" si="0"/>
        <v>0</v>
      </c>
    </row>
    <row r="23" spans="1:12">
      <c r="A23" s="2"/>
      <c r="B23" s="15" t="s">
        <v>5</v>
      </c>
      <c r="C23" s="16"/>
      <c r="D23" s="24">
        <f>+I71</f>
        <v>0</v>
      </c>
      <c r="E23" s="160">
        <v>0</v>
      </c>
      <c r="F23" s="160">
        <v>0</v>
      </c>
      <c r="G23" s="160">
        <f>+G18</f>
        <v>0</v>
      </c>
      <c r="H23" s="160">
        <f>+H18</f>
        <v>0</v>
      </c>
      <c r="I23" s="1154">
        <f t="shared" si="0"/>
        <v>0</v>
      </c>
      <c r="J23" s="1154">
        <f t="shared" si="0"/>
        <v>0</v>
      </c>
      <c r="K23" s="1154">
        <f t="shared" si="0"/>
        <v>0</v>
      </c>
      <c r="L23" s="1155">
        <f t="shared" si="0"/>
        <v>0</v>
      </c>
    </row>
    <row r="24" spans="1:12">
      <c r="A24" s="2"/>
      <c r="B24" s="15" t="s">
        <v>20</v>
      </c>
      <c r="C24" s="16"/>
      <c r="D24" s="75">
        <f>+I75</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(+D16+D17+D18+D19+D20*(D38-1)+D21+D22*D38+D23*D38+D24)/D38</f>
        <v>2.52</v>
      </c>
      <c r="E25" s="1158"/>
      <c r="F25" s="1158"/>
      <c r="G25" s="28"/>
      <c r="H25" s="28"/>
      <c r="I25" s="1159">
        <f>SUM(I16:I24)</f>
        <v>1.8900000000000001</v>
      </c>
      <c r="J25" s="1159">
        <f>SUM(J16:J24)</f>
        <v>2.2680000000000002</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1328</v>
      </c>
      <c r="C29" s="34"/>
      <c r="D29" s="34"/>
      <c r="E29" s="35"/>
      <c r="F29" s="35"/>
      <c r="G29" s="35"/>
      <c r="H29" s="35"/>
      <c r="I29" s="36"/>
    </row>
    <row r="30" spans="1:12">
      <c r="A30" s="2"/>
      <c r="B30" s="37" t="s">
        <v>1319</v>
      </c>
      <c r="C30" s="143"/>
      <c r="D30" s="34"/>
      <c r="E30" s="35"/>
      <c r="F30" s="1163"/>
      <c r="G30" s="35"/>
      <c r="H30" s="35"/>
      <c r="I30" s="36"/>
    </row>
    <row r="31" spans="1:12">
      <c r="A31" s="2"/>
      <c r="B31" s="1161"/>
      <c r="C31" s="34"/>
      <c r="D31" s="34"/>
      <c r="E31" s="35"/>
      <c r="F31" s="35"/>
      <c r="G31" s="35"/>
      <c r="H31" s="35"/>
      <c r="I31" s="36"/>
    </row>
    <row r="32" spans="1:12">
      <c r="A32" s="2"/>
      <c r="B32" s="37" t="s">
        <v>1329</v>
      </c>
      <c r="C32" s="34"/>
      <c r="D32" s="34"/>
      <c r="E32" s="35"/>
      <c r="F32" s="35"/>
      <c r="G32" s="35"/>
      <c r="H32" s="35"/>
      <c r="I32" s="36"/>
    </row>
    <row r="33" spans="1:9">
      <c r="A33" s="2"/>
      <c r="B33" s="37"/>
      <c r="C33" s="34"/>
      <c r="D33" s="34"/>
      <c r="E33" s="35"/>
      <c r="F33" s="35"/>
      <c r="G33" s="35"/>
      <c r="H33" s="35"/>
      <c r="I33" s="36"/>
    </row>
    <row r="34" spans="1:9">
      <c r="A34" s="2"/>
      <c r="B34" s="33"/>
      <c r="C34" s="34"/>
      <c r="D34" s="34"/>
      <c r="E34" s="35"/>
      <c r="F34" s="35"/>
      <c r="G34" s="35"/>
      <c r="H34" s="35"/>
      <c r="I34" s="36"/>
    </row>
    <row r="35" spans="1:9">
      <c r="A35" s="2"/>
      <c r="B35" s="38" t="s">
        <v>25</v>
      </c>
      <c r="C35" s="34"/>
      <c r="D35" s="39" t="s">
        <v>91</v>
      </c>
      <c r="E35" s="6"/>
      <c r="F35" s="35"/>
      <c r="G35" s="35"/>
      <c r="H35" s="35"/>
      <c r="I35" s="36"/>
    </row>
    <row r="36" spans="1:9">
      <c r="A36" s="2"/>
      <c r="B36" s="37"/>
      <c r="C36" s="34"/>
      <c r="D36" s="35"/>
      <c r="E36" s="6"/>
      <c r="F36" s="35"/>
      <c r="G36" s="35"/>
      <c r="H36" s="35"/>
      <c r="I36" s="36"/>
    </row>
    <row r="37" spans="1:9">
      <c r="A37" s="2"/>
      <c r="B37" s="38" t="s">
        <v>8</v>
      </c>
      <c r="C37" s="34"/>
      <c r="D37" s="39" t="s">
        <v>759</v>
      </c>
      <c r="E37" s="6"/>
      <c r="F37" s="35"/>
      <c r="G37" s="35"/>
      <c r="H37" s="35"/>
      <c r="I37" s="36"/>
    </row>
    <row r="38" spans="1:9">
      <c r="A38" s="2"/>
      <c r="B38" s="38" t="s">
        <v>9</v>
      </c>
      <c r="C38" s="34"/>
      <c r="D38" s="1164">
        <f>+'[16]Payment Factors'!C28</f>
        <v>1</v>
      </c>
      <c r="E38" s="6"/>
      <c r="F38" s="35"/>
      <c r="G38" s="35"/>
      <c r="H38" s="35"/>
      <c r="I38" s="36"/>
    </row>
    <row r="39" spans="1:9">
      <c r="A39" s="2"/>
      <c r="B39" s="38" t="s">
        <v>10</v>
      </c>
      <c r="C39" s="35"/>
      <c r="D39" s="93"/>
      <c r="E39" s="1165"/>
      <c r="F39" s="35"/>
      <c r="G39" s="35"/>
      <c r="H39" s="35"/>
      <c r="I39" s="147" t="s">
        <v>6</v>
      </c>
    </row>
    <row r="40" spans="1:9">
      <c r="A40" s="2"/>
      <c r="B40" s="40"/>
      <c r="C40" s="35"/>
      <c r="D40" s="1189"/>
      <c r="E40" s="41"/>
      <c r="F40" s="35"/>
      <c r="G40" s="35"/>
      <c r="H40" s="35"/>
      <c r="I40" s="149"/>
    </row>
    <row r="41" spans="1:9">
      <c r="A41" s="2"/>
      <c r="B41" s="42" t="s">
        <v>0</v>
      </c>
      <c r="C41" s="35"/>
      <c r="D41" s="1189"/>
      <c r="E41" s="35"/>
      <c r="F41" s="39"/>
      <c r="G41" s="35"/>
      <c r="H41" s="35"/>
      <c r="I41" s="1166">
        <f>SUM(G43:G43)</f>
        <v>0</v>
      </c>
    </row>
    <row r="42" spans="1:9">
      <c r="A42" s="2"/>
      <c r="B42" s="33" t="s">
        <v>104</v>
      </c>
      <c r="C42" s="35"/>
      <c r="D42" s="1167"/>
      <c r="E42" s="1167"/>
      <c r="F42" s="1167"/>
      <c r="G42" s="1167"/>
      <c r="H42" s="35"/>
      <c r="I42" s="46"/>
    </row>
    <row r="43" spans="1:9">
      <c r="A43" s="2"/>
      <c r="B43" s="1191"/>
      <c r="C43" s="6"/>
      <c r="D43" s="1189"/>
      <c r="E43" s="1189"/>
      <c r="F43" s="1170"/>
      <c r="G43" s="1171"/>
      <c r="H43" s="35"/>
      <c r="I43" s="36"/>
    </row>
    <row r="44" spans="1:9">
      <c r="A44" s="2"/>
      <c r="B44" s="42" t="s">
        <v>2</v>
      </c>
      <c r="C44" s="35"/>
      <c r="D44" s="1189"/>
      <c r="E44" s="2003"/>
      <c r="F44" s="2003"/>
      <c r="G44" s="2003"/>
      <c r="H44" s="2003"/>
      <c r="I44" s="1182">
        <v>0</v>
      </c>
    </row>
    <row r="45" spans="1:9">
      <c r="A45" s="2"/>
      <c r="B45" s="33" t="s">
        <v>104</v>
      </c>
      <c r="C45" s="6"/>
      <c r="D45" s="63"/>
      <c r="E45" s="150"/>
      <c r="F45" s="150"/>
      <c r="G45" s="1169"/>
      <c r="H45" s="35"/>
      <c r="I45" s="47"/>
    </row>
    <row r="46" spans="1:9">
      <c r="A46" s="2"/>
      <c r="B46" s="1177"/>
      <c r="C46" s="1178"/>
      <c r="D46" s="1189"/>
      <c r="E46" s="1178"/>
      <c r="F46" s="1178"/>
      <c r="G46" s="1178"/>
      <c r="H46" s="1178"/>
      <c r="I46" s="1179"/>
    </row>
    <row r="47" spans="1:9">
      <c r="A47" s="2"/>
      <c r="B47" s="42" t="s">
        <v>3</v>
      </c>
      <c r="C47" s="35"/>
      <c r="D47" s="35"/>
      <c r="E47" s="35"/>
      <c r="F47" s="39"/>
      <c r="G47" s="35"/>
      <c r="H47" s="35"/>
      <c r="I47" s="1166">
        <f>(SUM(G49:G53))</f>
        <v>2.52</v>
      </c>
    </row>
    <row r="48" spans="1:9">
      <c r="A48" s="2"/>
      <c r="B48" s="1172"/>
      <c r="C48" s="35"/>
      <c r="D48" s="1167" t="s">
        <v>447</v>
      </c>
      <c r="E48" s="1167" t="s">
        <v>448</v>
      </c>
      <c r="F48" s="1167" t="s">
        <v>449</v>
      </c>
      <c r="G48" s="1167" t="s">
        <v>450</v>
      </c>
      <c r="H48" s="35"/>
      <c r="I48" s="46"/>
    </row>
    <row r="49" spans="1:9">
      <c r="A49" s="2"/>
      <c r="B49" s="40" t="s">
        <v>1321</v>
      </c>
      <c r="C49" s="35"/>
      <c r="D49" s="1388" t="str">
        <f>'[17]Core Rates 2011'!B229</f>
        <v>Hrs</v>
      </c>
      <c r="E49" s="1169"/>
      <c r="F49" s="1388" t="s">
        <v>1330</v>
      </c>
      <c r="G49" s="1171">
        <f>SUM(E49*F49)</f>
        <v>0</v>
      </c>
      <c r="H49" s="35"/>
      <c r="I49" s="46"/>
    </row>
    <row r="50" spans="1:9">
      <c r="A50" s="2"/>
      <c r="B50" s="1389" t="s">
        <v>1322</v>
      </c>
      <c r="C50" s="6"/>
      <c r="D50" s="1189" t="str">
        <f>'[17]Core Rates 2011'!B229</f>
        <v>Hrs</v>
      </c>
      <c r="E50" s="1391">
        <f>+'[18]Core Rates'!C229</f>
        <v>42</v>
      </c>
      <c r="F50" s="1388" t="s">
        <v>1331</v>
      </c>
      <c r="G50" s="1171">
        <f>SUM(E50*F50)</f>
        <v>0.63</v>
      </c>
      <c r="H50" s="35"/>
      <c r="I50" s="47"/>
    </row>
    <row r="51" spans="1:9">
      <c r="A51" s="2"/>
      <c r="B51" s="1389" t="s">
        <v>1323</v>
      </c>
      <c r="C51" s="6"/>
      <c r="D51" s="1189" t="str">
        <f>'[17]Core Rates 2011'!B229</f>
        <v>Hrs</v>
      </c>
      <c r="E51" s="1391">
        <f>+'[18]Core Rates'!C229</f>
        <v>42</v>
      </c>
      <c r="F51" s="1388" t="s">
        <v>1331</v>
      </c>
      <c r="G51" s="1171">
        <f>SUM(E51*F51)</f>
        <v>0.63</v>
      </c>
      <c r="H51" s="35"/>
      <c r="I51" s="47"/>
    </row>
    <row r="52" spans="1:9">
      <c r="A52" s="2"/>
      <c r="B52" s="1389" t="s">
        <v>1324</v>
      </c>
      <c r="C52" s="6"/>
      <c r="D52" s="1189" t="str">
        <f>'[17]Core Rates 2011'!B229</f>
        <v>Hrs</v>
      </c>
      <c r="E52" s="1391">
        <f>+'[18]Core Rates'!C229</f>
        <v>42</v>
      </c>
      <c r="F52" s="1388" t="s">
        <v>1332</v>
      </c>
      <c r="G52" s="1171">
        <f>SUM(E52*F52)</f>
        <v>0.42</v>
      </c>
      <c r="H52" s="35"/>
      <c r="I52" s="47"/>
    </row>
    <row r="53" spans="1:9">
      <c r="A53" s="2"/>
      <c r="B53" s="1389" t="s">
        <v>1325</v>
      </c>
      <c r="C53" s="6"/>
      <c r="D53" s="1189" t="str">
        <f>'[17]Core Rates 2011'!B229</f>
        <v>Hrs</v>
      </c>
      <c r="E53" s="1391">
        <f>+'[18]Core Rates'!C229</f>
        <v>42</v>
      </c>
      <c r="F53" s="1388" t="s">
        <v>1333</v>
      </c>
      <c r="G53" s="1171">
        <f>SUM(E53*F53)</f>
        <v>0.84</v>
      </c>
      <c r="H53" s="35"/>
      <c r="I53" s="47"/>
    </row>
    <row r="54" spans="1:9">
      <c r="A54" s="2"/>
      <c r="B54" s="1389"/>
      <c r="C54" s="6"/>
      <c r="D54" s="1189"/>
      <c r="E54" s="1189"/>
      <c r="F54" s="1170"/>
      <c r="G54" s="1171"/>
      <c r="H54" s="35"/>
      <c r="I54" s="47"/>
    </row>
    <row r="55" spans="1:9">
      <c r="A55" s="2"/>
      <c r="B55" s="37" t="s">
        <v>43</v>
      </c>
      <c r="C55" s="6"/>
      <c r="D55" s="1189"/>
      <c r="E55" s="1189"/>
      <c r="F55" s="1170"/>
      <c r="G55" s="1171"/>
      <c r="H55" s="35"/>
      <c r="I55" s="47"/>
    </row>
    <row r="56" spans="1:9">
      <c r="A56" s="2"/>
      <c r="B56" s="40" t="s">
        <v>457</v>
      </c>
      <c r="C56" s="6"/>
      <c r="D56" s="1189"/>
      <c r="E56" s="1189"/>
      <c r="F56" s="1170"/>
      <c r="G56" s="1171"/>
      <c r="H56" s="35"/>
      <c r="I56" s="47"/>
    </row>
    <row r="57" spans="1:9">
      <c r="A57" s="2"/>
      <c r="B57" s="1389"/>
      <c r="C57" s="6"/>
      <c r="D57" s="1189"/>
      <c r="E57" s="1189"/>
      <c r="F57" s="1170"/>
      <c r="G57" s="1171"/>
      <c r="H57" s="35"/>
      <c r="I57" s="47"/>
    </row>
    <row r="58" spans="1:9">
      <c r="A58" s="2"/>
      <c r="B58" s="42" t="s">
        <v>4</v>
      </c>
      <c r="C58" s="35"/>
      <c r="D58" s="35"/>
      <c r="E58" s="35"/>
      <c r="F58" s="35"/>
      <c r="G58" s="35"/>
      <c r="H58" s="35"/>
      <c r="I58" s="1182">
        <v>0</v>
      </c>
    </row>
    <row r="59" spans="1:9">
      <c r="A59" s="2"/>
      <c r="B59" s="33" t="s">
        <v>104</v>
      </c>
      <c r="C59" s="35"/>
      <c r="D59" s="35"/>
      <c r="E59" s="35"/>
      <c r="F59" s="35"/>
      <c r="G59" s="35"/>
      <c r="H59" s="35"/>
      <c r="I59" s="36"/>
    </row>
    <row r="60" spans="1:9">
      <c r="A60" s="2"/>
      <c r="B60" s="33"/>
      <c r="C60" s="35"/>
      <c r="D60" s="35"/>
      <c r="E60" s="35"/>
      <c r="F60" s="35"/>
      <c r="G60" s="35"/>
      <c r="H60" s="35"/>
      <c r="I60" s="36"/>
    </row>
    <row r="61" spans="1:9">
      <c r="A61" s="2"/>
      <c r="B61" s="42" t="s">
        <v>468</v>
      </c>
      <c r="C61" s="35"/>
      <c r="D61" s="35"/>
      <c r="E61" s="35"/>
      <c r="F61" s="35"/>
      <c r="G61" s="35"/>
      <c r="H61" s="35"/>
      <c r="I61" s="1182">
        <v>0</v>
      </c>
    </row>
    <row r="62" spans="1:9">
      <c r="A62" s="2"/>
      <c r="B62" s="33" t="s">
        <v>104</v>
      </c>
      <c r="C62" s="35"/>
      <c r="D62" s="35"/>
      <c r="E62" s="35"/>
      <c r="F62" s="35"/>
      <c r="G62" s="35"/>
      <c r="H62" s="35"/>
      <c r="I62" s="36"/>
    </row>
    <row r="63" spans="1:9">
      <c r="A63" s="2"/>
      <c r="B63" s="37"/>
      <c r="C63" s="35"/>
      <c r="D63" s="35"/>
      <c r="E63" s="35"/>
      <c r="F63" s="35"/>
      <c r="G63" s="35"/>
      <c r="H63" s="35"/>
      <c r="I63" s="36"/>
    </row>
    <row r="64" spans="1:9">
      <c r="A64" s="2"/>
      <c r="B64" s="42" t="s">
        <v>7</v>
      </c>
      <c r="C64" s="35"/>
      <c r="D64" s="35"/>
      <c r="E64" s="35"/>
      <c r="F64" s="35"/>
      <c r="G64" s="35"/>
      <c r="H64" s="35"/>
      <c r="I64" s="1166">
        <v>0</v>
      </c>
    </row>
    <row r="65" spans="1:9">
      <c r="A65" s="2"/>
      <c r="B65" s="33" t="s">
        <v>104</v>
      </c>
      <c r="C65" s="35"/>
      <c r="D65" s="35"/>
      <c r="E65" s="35"/>
      <c r="F65" s="35"/>
      <c r="G65" s="35"/>
      <c r="H65" s="35"/>
      <c r="I65" s="36"/>
    </row>
    <row r="66" spans="1:9">
      <c r="A66" s="2"/>
      <c r="B66" s="37"/>
      <c r="C66" s="35"/>
      <c r="D66" s="35"/>
      <c r="E66" s="35"/>
      <c r="F66" s="35"/>
      <c r="G66" s="35"/>
      <c r="H66" s="35"/>
      <c r="I66" s="36"/>
    </row>
    <row r="67" spans="1:9">
      <c r="A67" s="2"/>
      <c r="B67" s="42" t="s">
        <v>471</v>
      </c>
      <c r="C67" s="35"/>
      <c r="D67" s="35"/>
      <c r="E67" s="35"/>
      <c r="F67" s="39"/>
      <c r="G67" s="35"/>
      <c r="H67" s="35"/>
      <c r="I67" s="1166">
        <v>0</v>
      </c>
    </row>
    <row r="68" spans="1:9">
      <c r="A68" s="2"/>
      <c r="B68" s="756" t="s">
        <v>104</v>
      </c>
      <c r="C68" s="35"/>
      <c r="D68" s="35"/>
      <c r="E68" s="35"/>
      <c r="F68" s="35"/>
      <c r="G68" s="35"/>
      <c r="H68" s="35"/>
      <c r="I68" s="47"/>
    </row>
    <row r="69" spans="1:9">
      <c r="A69" s="2"/>
      <c r="B69" s="756"/>
      <c r="C69" s="35"/>
      <c r="D69" s="35"/>
      <c r="E69" s="35"/>
      <c r="F69" s="35"/>
      <c r="G69" s="35"/>
      <c r="H69" s="35"/>
      <c r="I69" s="47"/>
    </row>
    <row r="70" spans="1:9">
      <c r="A70" s="2"/>
      <c r="B70" s="37"/>
      <c r="C70" s="35"/>
      <c r="D70" s="35"/>
      <c r="E70" s="35"/>
      <c r="F70" s="35"/>
      <c r="G70" s="35"/>
      <c r="H70" s="35"/>
      <c r="I70" s="36"/>
    </row>
    <row r="71" spans="1:9">
      <c r="A71" s="2"/>
      <c r="B71" s="42" t="s">
        <v>5</v>
      </c>
      <c r="C71" s="35"/>
      <c r="D71" s="1189"/>
      <c r="E71" s="35"/>
      <c r="F71" s="35"/>
      <c r="G71" s="35"/>
      <c r="H71" s="35"/>
      <c r="I71" s="1166">
        <v>0</v>
      </c>
    </row>
    <row r="72" spans="1:9">
      <c r="A72" s="2"/>
      <c r="B72" s="33" t="s">
        <v>104</v>
      </c>
      <c r="C72" s="35"/>
      <c r="D72" s="35"/>
      <c r="E72" s="35"/>
      <c r="F72" s="35"/>
      <c r="G72" s="35"/>
      <c r="H72" s="35"/>
      <c r="I72" s="47"/>
    </row>
    <row r="73" spans="1:9">
      <c r="A73" s="2"/>
      <c r="B73" s="37"/>
      <c r="C73" s="35"/>
      <c r="D73" s="35"/>
      <c r="E73" s="35"/>
      <c r="F73" s="35"/>
      <c r="G73" s="35"/>
      <c r="H73" s="35"/>
      <c r="I73" s="36"/>
    </row>
    <row r="74" spans="1:9">
      <c r="A74" s="2"/>
      <c r="B74" s="37"/>
      <c r="C74" s="35"/>
      <c r="D74" s="35"/>
      <c r="E74" s="35"/>
      <c r="F74" s="35"/>
      <c r="G74" s="35"/>
      <c r="H74" s="35"/>
      <c r="I74" s="36"/>
    </row>
    <row r="75" spans="1:9">
      <c r="A75" s="2"/>
      <c r="B75" s="42" t="s">
        <v>20</v>
      </c>
      <c r="C75" s="35"/>
      <c r="D75" s="1189"/>
      <c r="E75" s="35"/>
      <c r="F75" s="35"/>
      <c r="G75" s="35"/>
      <c r="H75" s="35"/>
      <c r="I75" s="1166">
        <v>0</v>
      </c>
    </row>
    <row r="76" spans="1:9">
      <c r="A76" s="2"/>
      <c r="B76" s="33" t="s">
        <v>104</v>
      </c>
      <c r="C76" s="35"/>
      <c r="D76" s="35"/>
      <c r="E76" s="35"/>
      <c r="F76" s="35"/>
      <c r="G76" s="35"/>
      <c r="H76" s="35"/>
      <c r="I76" s="36"/>
    </row>
    <row r="77" spans="1:9">
      <c r="A77" s="2"/>
      <c r="B77" s="40"/>
      <c r="C77" s="35"/>
      <c r="D77" s="35"/>
      <c r="E77" s="35"/>
      <c r="F77" s="35"/>
      <c r="G77" s="35"/>
      <c r="H77" s="35"/>
      <c r="I77" s="36"/>
    </row>
    <row r="78" spans="1:9">
      <c r="A78" s="2"/>
      <c r="B78" s="42" t="s">
        <v>473</v>
      </c>
      <c r="C78" s="35"/>
      <c r="D78" s="35"/>
      <c r="E78" s="35"/>
      <c r="F78" s="35"/>
      <c r="G78" s="35"/>
      <c r="H78" s="35"/>
      <c r="I78" s="1183">
        <f>+I41+I47+I44+I58+I64+I75</f>
        <v>2.52</v>
      </c>
    </row>
    <row r="79" spans="1:9" ht="15.75">
      <c r="A79" s="2"/>
      <c r="B79" s="33" t="s">
        <v>474</v>
      </c>
      <c r="C79" s="35"/>
      <c r="D79" s="35"/>
      <c r="E79" s="35"/>
      <c r="F79" s="35"/>
      <c r="G79" s="35"/>
      <c r="H79" s="35"/>
      <c r="I79" s="36"/>
    </row>
    <row r="80" spans="1:9">
      <c r="A80" s="2"/>
      <c r="B80" s="40"/>
      <c r="C80" s="35"/>
      <c r="D80" s="35"/>
      <c r="E80" s="35"/>
      <c r="F80" s="35"/>
      <c r="G80" s="35"/>
      <c r="H80" s="35"/>
      <c r="I80" s="36"/>
    </row>
    <row r="81" spans="1:9">
      <c r="A81" s="2"/>
      <c r="B81" s="43" t="s">
        <v>11</v>
      </c>
      <c r="C81" s="44"/>
      <c r="D81" s="44"/>
      <c r="E81" s="44"/>
      <c r="F81" s="44"/>
      <c r="G81" s="44"/>
      <c r="H81" s="44"/>
      <c r="I81" s="1392">
        <f>SUM(I41:I75)</f>
        <v>2.52</v>
      </c>
    </row>
  </sheetData>
  <mergeCells count="2">
    <mergeCell ref="B1:D1"/>
    <mergeCell ref="E44:H44"/>
  </mergeCells>
  <pageMargins left="0.75" right="0.75" top="1" bottom="1" header="0.5" footer="0.5"/>
  <pageSetup scale="51" orientation="portrait" r:id="rId1"/>
  <headerFooter alignWithMargins="0"/>
</worksheet>
</file>

<file path=xl/worksheets/sheet73.xml><?xml version="1.0" encoding="utf-8"?>
<worksheet xmlns="http://schemas.openxmlformats.org/spreadsheetml/2006/main" xmlns:r="http://schemas.openxmlformats.org/officeDocument/2006/relationships">
  <sheetPr>
    <pageSetUpPr fitToPage="1"/>
  </sheetPr>
  <dimension ref="A1:L73"/>
  <sheetViews>
    <sheetView zoomScale="75" zoomScaleNormal="75" workbookViewId="0">
      <selection activeCell="B54" sqref="B54:I55"/>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63.75">
      <c r="A6" s="2"/>
      <c r="B6" s="1393">
        <v>329</v>
      </c>
      <c r="C6" s="1394" t="str">
        <f>+E12</f>
        <v>EQIP</v>
      </c>
      <c r="D6" s="1395" t="s">
        <v>1334</v>
      </c>
      <c r="E6" s="1395" t="s">
        <v>1335</v>
      </c>
      <c r="F6" s="1394" t="s">
        <v>394</v>
      </c>
      <c r="G6" s="1396">
        <f>+I25</f>
        <v>7.5412500000000007</v>
      </c>
    </row>
    <row r="7" spans="1:12" ht="63.75">
      <c r="A7" s="2"/>
      <c r="B7" s="1393">
        <f>+B6</f>
        <v>329</v>
      </c>
      <c r="C7" s="1394" t="str">
        <f>+C6</f>
        <v>EQIP</v>
      </c>
      <c r="D7" s="1395" t="s">
        <v>1334</v>
      </c>
      <c r="E7" s="1395" t="str">
        <f>CONCATENATE(E6, "-HU")</f>
        <v>Every Crop and/or Cover Crop that is part of the rotation is seeded with no-till drills OR broadcast and incorporated without full width tillage implement AND there is no full width tillage at all in the rotation.  Additionally, the STIR for the ROTATION MUST BE LESS THAN 30 and ≥15-HU</v>
      </c>
      <c r="F7" s="1394" t="str">
        <f>+F6</f>
        <v>Acre</v>
      </c>
      <c r="G7" s="1396">
        <f>+J25</f>
        <v>9.0495000000000001</v>
      </c>
    </row>
    <row r="8" spans="1:12" ht="63.75">
      <c r="A8" s="2"/>
      <c r="B8" s="1393">
        <v>329</v>
      </c>
      <c r="C8" s="1394" t="str">
        <f>+G12</f>
        <v>WHIP</v>
      </c>
      <c r="D8" s="1395" t="s">
        <v>1334</v>
      </c>
      <c r="E8" s="1395" t="str">
        <f>+E6</f>
        <v>Every Crop and/or Cover Crop that is part of the rotation is seeded with no-till drills OR broadcast and incorporated without full width tillage implement AND there is no full width tillage at all in the rotation.  Additionally, the STIR for the ROTATION MUST BE LESS THAN 30 and ≥15</v>
      </c>
      <c r="F8" s="1394" t="s">
        <v>394</v>
      </c>
      <c r="G8" s="1396">
        <f>+K25</f>
        <v>0</v>
      </c>
    </row>
    <row r="9" spans="1:12" ht="63.75">
      <c r="A9" s="2"/>
      <c r="B9" s="1397">
        <f>+B8</f>
        <v>329</v>
      </c>
      <c r="C9" s="1398" t="str">
        <f>+C8</f>
        <v>WHIP</v>
      </c>
      <c r="D9" s="1399" t="s">
        <v>1334</v>
      </c>
      <c r="E9" s="1399" t="str">
        <f>CONCATENATE(E6, "-HU")</f>
        <v>Every Crop and/or Cover Crop that is part of the rotation is seeded with no-till drills OR broadcast and incorporated without full width tillage implement AND there is no full width tillage at all in the rotation.  Additionally, the STIR for the ROTATION MUST BE LESS THAN 30 and ≥15-HU</v>
      </c>
      <c r="F9" s="1398" t="str">
        <f>+F8</f>
        <v>Acre</v>
      </c>
      <c r="G9" s="1400">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+I39</f>
        <v>0.2</v>
      </c>
      <c r="E16" s="160">
        <f>+'[10]Payment Factors'!D23</f>
        <v>0.75</v>
      </c>
      <c r="F16" s="160">
        <f>+'[10]Payment Factors'!E23</f>
        <v>0.9</v>
      </c>
      <c r="G16" s="160">
        <f>+'[10]Payment Factors'!F23</f>
        <v>0</v>
      </c>
      <c r="H16" s="160">
        <f>+'[10]Payment Factors'!G23</f>
        <v>0</v>
      </c>
      <c r="I16" s="1154">
        <f t="shared" ref="I16:L24" si="0">+$D16*E16</f>
        <v>0.15000000000000002</v>
      </c>
      <c r="J16" s="1154">
        <f t="shared" si="0"/>
        <v>0.18000000000000002</v>
      </c>
      <c r="K16" s="1154">
        <f t="shared" si="0"/>
        <v>0</v>
      </c>
      <c r="L16" s="1155">
        <f t="shared" si="0"/>
        <v>0</v>
      </c>
    </row>
    <row r="17" spans="1:12">
      <c r="A17" s="2"/>
      <c r="B17" s="15" t="s">
        <v>2</v>
      </c>
      <c r="C17" s="16"/>
      <c r="D17" s="24">
        <f>+I42</f>
        <v>0</v>
      </c>
      <c r="E17" s="160">
        <f>+E16</f>
        <v>0.75</v>
      </c>
      <c r="F17" s="160">
        <f>+F16</f>
        <v>0.9</v>
      </c>
      <c r="G17" s="160">
        <f>+G16</f>
        <v>0</v>
      </c>
      <c r="H17" s="160">
        <f>+H16</f>
        <v>0</v>
      </c>
      <c r="I17" s="1154">
        <f t="shared" si="0"/>
        <v>0</v>
      </c>
      <c r="J17" s="1154">
        <f t="shared" si="0"/>
        <v>0</v>
      </c>
      <c r="K17" s="1154">
        <f t="shared" si="0"/>
        <v>0</v>
      </c>
      <c r="L17" s="1155">
        <f t="shared" si="0"/>
        <v>0</v>
      </c>
    </row>
    <row r="18" spans="1:12">
      <c r="A18" s="2"/>
      <c r="B18" s="15" t="s">
        <v>3</v>
      </c>
      <c r="C18" s="16"/>
      <c r="D18" s="24">
        <f>+I45</f>
        <v>9.375</v>
      </c>
      <c r="E18" s="160">
        <f>+E16</f>
        <v>0.75</v>
      </c>
      <c r="F18" s="160">
        <f>+F16</f>
        <v>0.9</v>
      </c>
      <c r="G18" s="160">
        <f>+G16</f>
        <v>0</v>
      </c>
      <c r="H18" s="160">
        <f>+H16</f>
        <v>0</v>
      </c>
      <c r="I18" s="1154">
        <f t="shared" si="0"/>
        <v>7.03125</v>
      </c>
      <c r="J18" s="1154">
        <f t="shared" si="0"/>
        <v>8.4375</v>
      </c>
      <c r="K18" s="1154">
        <f t="shared" si="0"/>
        <v>0</v>
      </c>
      <c r="L18" s="1155">
        <f t="shared" si="0"/>
        <v>0</v>
      </c>
    </row>
    <row r="19" spans="1:12">
      <c r="A19" s="2"/>
      <c r="B19" s="15" t="s">
        <v>4</v>
      </c>
      <c r="C19" s="16"/>
      <c r="D19" s="24">
        <f>+I50</f>
        <v>0</v>
      </c>
      <c r="E19" s="160">
        <v>0</v>
      </c>
      <c r="F19" s="160">
        <v>0</v>
      </c>
      <c r="G19" s="160">
        <v>0</v>
      </c>
      <c r="H19" s="160">
        <v>0</v>
      </c>
      <c r="I19" s="1154">
        <f t="shared" si="0"/>
        <v>0</v>
      </c>
      <c r="J19" s="1154">
        <f t="shared" si="0"/>
        <v>0</v>
      </c>
      <c r="K19" s="1154">
        <f t="shared" si="0"/>
        <v>0</v>
      </c>
      <c r="L19" s="1155">
        <f t="shared" si="0"/>
        <v>0</v>
      </c>
    </row>
    <row r="20" spans="1:12">
      <c r="A20" s="2"/>
      <c r="B20" s="15" t="s">
        <v>26</v>
      </c>
      <c r="C20" s="16"/>
      <c r="D20" s="24">
        <f>+I53</f>
        <v>0</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+I56</f>
        <v>0.48</v>
      </c>
      <c r="E21" s="160">
        <f>+E16</f>
        <v>0.75</v>
      </c>
      <c r="F21" s="160">
        <f>+F16</f>
        <v>0.9</v>
      </c>
      <c r="G21" s="160">
        <f t="shared" ref="G21:H23" si="1">+G16</f>
        <v>0</v>
      </c>
      <c r="H21" s="160">
        <f t="shared" si="1"/>
        <v>0</v>
      </c>
      <c r="I21" s="1154">
        <f t="shared" si="0"/>
        <v>0.36</v>
      </c>
      <c r="J21" s="1154">
        <f t="shared" si="0"/>
        <v>0.432</v>
      </c>
      <c r="K21" s="1154">
        <f t="shared" si="0"/>
        <v>0</v>
      </c>
      <c r="L21" s="1155">
        <f t="shared" si="0"/>
        <v>0</v>
      </c>
    </row>
    <row r="22" spans="1:12">
      <c r="A22" s="2"/>
      <c r="B22" s="15" t="s">
        <v>27</v>
      </c>
      <c r="C22" s="16"/>
      <c r="D22" s="24">
        <f>+I61</f>
        <v>0</v>
      </c>
      <c r="E22" s="160">
        <f>+E16+0.25</f>
        <v>1</v>
      </c>
      <c r="F22" s="160">
        <f>+F16+0.1</f>
        <v>1</v>
      </c>
      <c r="G22" s="160">
        <f t="shared" si="1"/>
        <v>0</v>
      </c>
      <c r="H22" s="160">
        <f t="shared" si="1"/>
        <v>0</v>
      </c>
      <c r="I22" s="1154">
        <f t="shared" si="0"/>
        <v>0</v>
      </c>
      <c r="J22" s="1154">
        <f t="shared" si="0"/>
        <v>0</v>
      </c>
      <c r="K22" s="1154">
        <f t="shared" si="0"/>
        <v>0</v>
      </c>
      <c r="L22" s="1155">
        <f t="shared" si="0"/>
        <v>0</v>
      </c>
    </row>
    <row r="23" spans="1:12">
      <c r="A23" s="2"/>
      <c r="B23" s="15" t="s">
        <v>5</v>
      </c>
      <c r="C23" s="16"/>
      <c r="D23" s="24">
        <f>+I64</f>
        <v>0</v>
      </c>
      <c r="E23" s="160">
        <v>0</v>
      </c>
      <c r="F23" s="160">
        <v>0</v>
      </c>
      <c r="G23" s="160">
        <f t="shared" si="1"/>
        <v>0</v>
      </c>
      <c r="H23" s="160">
        <f t="shared" si="1"/>
        <v>0</v>
      </c>
      <c r="I23" s="1154">
        <f t="shared" si="0"/>
        <v>0</v>
      </c>
      <c r="J23" s="1154">
        <f t="shared" si="0"/>
        <v>0</v>
      </c>
      <c r="K23" s="1154">
        <f t="shared" si="0"/>
        <v>0</v>
      </c>
      <c r="L23" s="1155">
        <f t="shared" si="0"/>
        <v>0</v>
      </c>
    </row>
    <row r="24" spans="1:12">
      <c r="A24" s="2"/>
      <c r="B24" s="15" t="s">
        <v>20</v>
      </c>
      <c r="C24" s="16"/>
      <c r="D24" s="75">
        <f>+I67</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10.055</v>
      </c>
      <c r="E25" s="1158"/>
      <c r="F25" s="1158"/>
      <c r="G25" s="28"/>
      <c r="H25" s="28"/>
      <c r="I25" s="1159">
        <f>SUM(I16:I24)</f>
        <v>7.5412500000000007</v>
      </c>
      <c r="J25" s="1159">
        <f>SUM(J16:J24)</f>
        <v>9.0495000000000001</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ht="12.75" customHeight="1">
      <c r="A29" s="2"/>
      <c r="B29" s="2023" t="s">
        <v>1336</v>
      </c>
      <c r="C29" s="2024"/>
      <c r="D29" s="2024"/>
      <c r="E29" s="2024"/>
      <c r="F29" s="2024"/>
      <c r="G29" s="2024"/>
      <c r="H29" s="2024"/>
      <c r="I29" s="2025"/>
    </row>
    <row r="30" spans="1:12">
      <c r="A30" s="2"/>
      <c r="B30" s="2026"/>
      <c r="C30" s="2024"/>
      <c r="D30" s="2024"/>
      <c r="E30" s="2024"/>
      <c r="F30" s="2024"/>
      <c r="G30" s="2024"/>
      <c r="H30" s="2024"/>
      <c r="I30" s="2025"/>
    </row>
    <row r="31" spans="1:12" ht="25.5" customHeight="1">
      <c r="A31" s="2"/>
      <c r="B31" s="2026"/>
      <c r="C31" s="2024"/>
      <c r="D31" s="2024"/>
      <c r="E31" s="2024"/>
      <c r="F31" s="2024"/>
      <c r="G31" s="2024"/>
      <c r="H31" s="2024"/>
      <c r="I31" s="2025"/>
    </row>
    <row r="32" spans="1:12">
      <c r="A32" s="2"/>
      <c r="B32" s="37" t="s">
        <v>1337</v>
      </c>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f>+'[10]Payment Factors'!C23</f>
        <v>1</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v>0.2</v>
      </c>
    </row>
    <row r="40" spans="1:9">
      <c r="A40" s="2"/>
      <c r="B40" s="33" t="s">
        <v>104</v>
      </c>
      <c r="C40" s="35"/>
      <c r="D40" s="1167"/>
      <c r="E40" s="1167"/>
      <c r="F40" s="1167"/>
      <c r="G40" s="1167"/>
      <c r="H40" s="35"/>
      <c r="I40" s="36"/>
    </row>
    <row r="41" spans="1:9">
      <c r="A41" s="2"/>
      <c r="B41" s="1401"/>
      <c r="C41" s="35"/>
      <c r="D41" s="1388"/>
      <c r="E41" s="1388"/>
      <c r="F41" s="35"/>
      <c r="G41" s="1171"/>
      <c r="H41" s="35"/>
      <c r="I41" s="46"/>
    </row>
    <row r="42" spans="1:9">
      <c r="A42" s="2"/>
      <c r="B42" s="42" t="s">
        <v>2</v>
      </c>
      <c r="C42" s="35"/>
      <c r="D42" s="35"/>
      <c r="E42" s="2003"/>
      <c r="F42" s="2003"/>
      <c r="G42" s="2003"/>
      <c r="H42" s="2003"/>
      <c r="I42" s="1166">
        <v>0</v>
      </c>
    </row>
    <row r="43" spans="1:9">
      <c r="A43" s="2"/>
      <c r="B43" s="33" t="s">
        <v>104</v>
      </c>
      <c r="C43" s="35"/>
      <c r="D43" s="35"/>
      <c r="E43" s="1402"/>
      <c r="F43" s="1402"/>
      <c r="G43" s="1402"/>
      <c r="H43" s="1402"/>
      <c r="I43" s="1166"/>
    </row>
    <row r="44" spans="1:9">
      <c r="A44" s="2"/>
      <c r="B44" s="1177"/>
      <c r="C44" s="1178"/>
      <c r="D44" s="1178"/>
      <c r="E44" s="1178"/>
      <c r="F44" s="1178"/>
      <c r="G44" s="1178"/>
      <c r="H44" s="1178"/>
      <c r="I44" s="1179"/>
    </row>
    <row r="45" spans="1:9">
      <c r="A45" s="2"/>
      <c r="B45" s="42" t="s">
        <v>3</v>
      </c>
      <c r="C45" s="35"/>
      <c r="D45" s="1178"/>
      <c r="E45" s="1178"/>
      <c r="F45" s="39"/>
      <c r="G45" s="35"/>
      <c r="H45" s="35"/>
      <c r="I45" s="1166">
        <f>(SUM(G47:G49))</f>
        <v>9.375</v>
      </c>
    </row>
    <row r="46" spans="1:9">
      <c r="A46" s="2"/>
      <c r="B46" s="33"/>
      <c r="C46" s="35"/>
      <c r="D46" s="1167" t="s">
        <v>447</v>
      </c>
      <c r="E46" s="1167" t="s">
        <v>448</v>
      </c>
      <c r="F46" s="1167" t="s">
        <v>449</v>
      </c>
      <c r="G46" s="1167" t="s">
        <v>450</v>
      </c>
      <c r="H46" s="35"/>
      <c r="I46" s="36"/>
    </row>
    <row r="47" spans="1:9">
      <c r="A47" s="2"/>
      <c r="B47" s="1401" t="str">
        <f>+'[19]Core Rates'!A128</f>
        <v>Field Scouting (for insects, weeds or diseases)</v>
      </c>
      <c r="C47" s="35"/>
      <c r="D47" s="1388" t="str">
        <f>+'[19]Core Rates'!B128</f>
        <v>Hrs</v>
      </c>
      <c r="E47" s="1388">
        <f>+'[19]Core Rates'!C128</f>
        <v>9.5</v>
      </c>
      <c r="F47" s="35">
        <v>0.45</v>
      </c>
      <c r="G47" s="1171">
        <f>+F47*E47</f>
        <v>4.2750000000000004</v>
      </c>
      <c r="H47" s="35"/>
      <c r="I47" s="36"/>
    </row>
    <row r="48" spans="1:9">
      <c r="A48" s="2"/>
      <c r="B48" s="1401" t="str">
        <f>+'[19]Core Rates'!A276</f>
        <v>Sample Collection (Soil, Manure, Water and/or Plant Tissue Samples)</v>
      </c>
      <c r="C48" s="35"/>
      <c r="D48" s="1388" t="str">
        <f>+'[19]Core Rates'!B276</f>
        <v>Hrs</v>
      </c>
      <c r="E48" s="1388">
        <f>+'[19]Core Rates'!C276</f>
        <v>20.399999999999999</v>
      </c>
      <c r="F48" s="35">
        <v>0.25</v>
      </c>
      <c r="G48" s="1171">
        <f>+F48*E48</f>
        <v>5.0999999999999996</v>
      </c>
      <c r="H48" s="35"/>
      <c r="I48" s="36"/>
    </row>
    <row r="49" spans="1:9">
      <c r="A49" s="2"/>
      <c r="B49" s="33"/>
      <c r="C49" s="35"/>
      <c r="D49" s="35"/>
      <c r="E49" s="35"/>
      <c r="F49" s="35"/>
      <c r="G49" s="35"/>
      <c r="H49" s="35"/>
      <c r="I49" s="36"/>
    </row>
    <row r="50" spans="1:9">
      <c r="A50" s="2"/>
      <c r="B50" s="42" t="s">
        <v>4</v>
      </c>
      <c r="C50" s="35"/>
      <c r="D50" s="35"/>
      <c r="E50" s="35"/>
      <c r="F50" s="35"/>
      <c r="G50" s="35"/>
      <c r="H50" s="35"/>
      <c r="I50" s="1182">
        <v>0</v>
      </c>
    </row>
    <row r="51" spans="1:9">
      <c r="A51" s="2"/>
      <c r="B51" s="33" t="s">
        <v>104</v>
      </c>
      <c r="C51" s="35"/>
      <c r="D51" s="35"/>
      <c r="E51" s="35"/>
      <c r="F51" s="35"/>
      <c r="G51" s="35"/>
      <c r="H51" s="35"/>
      <c r="I51" s="36"/>
    </row>
    <row r="52" spans="1:9">
      <c r="A52" s="2"/>
      <c r="B52" s="33"/>
      <c r="C52" s="35"/>
      <c r="D52" s="35"/>
      <c r="E52" s="35"/>
      <c r="F52" s="35"/>
      <c r="G52" s="35"/>
      <c r="H52" s="35"/>
      <c r="I52" s="36"/>
    </row>
    <row r="53" spans="1:9">
      <c r="A53" s="2"/>
      <c r="B53" s="42" t="s">
        <v>468</v>
      </c>
      <c r="C53" s="35"/>
      <c r="D53" s="35"/>
      <c r="E53" s="35"/>
      <c r="F53" s="35"/>
      <c r="G53" s="35"/>
      <c r="H53" s="35"/>
      <c r="I53" s="1182">
        <v>0</v>
      </c>
    </row>
    <row r="54" spans="1:9">
      <c r="A54" s="2"/>
      <c r="B54" s="33" t="s">
        <v>104</v>
      </c>
      <c r="C54" s="35"/>
      <c r="D54" s="35"/>
      <c r="E54" s="35"/>
      <c r="F54" s="35"/>
      <c r="G54" s="35"/>
      <c r="H54" s="35"/>
      <c r="I54" s="36"/>
    </row>
    <row r="55" spans="1:9">
      <c r="A55" s="2"/>
      <c r="B55" s="37"/>
      <c r="C55" s="35"/>
      <c r="D55" s="35"/>
      <c r="E55" s="35"/>
      <c r="F55" s="35"/>
      <c r="G55" s="35"/>
      <c r="H55" s="35"/>
      <c r="I55" s="36"/>
    </row>
    <row r="56" spans="1:9">
      <c r="A56" s="2"/>
      <c r="B56" s="42" t="s">
        <v>7</v>
      </c>
      <c r="C56" s="35"/>
      <c r="D56" s="35"/>
      <c r="E56" s="35"/>
      <c r="F56" s="35"/>
      <c r="G56" s="35"/>
      <c r="H56" s="35"/>
      <c r="I56" s="1166">
        <f>(SUM(G58))</f>
        <v>0.48</v>
      </c>
    </row>
    <row r="57" spans="1:9">
      <c r="A57" s="2"/>
      <c r="B57" s="33"/>
      <c r="C57" s="35"/>
      <c r="D57" s="1167" t="s">
        <v>447</v>
      </c>
      <c r="E57" s="1167" t="s">
        <v>448</v>
      </c>
      <c r="F57" s="1167" t="s">
        <v>449</v>
      </c>
      <c r="G57" s="1167" t="s">
        <v>450</v>
      </c>
      <c r="H57" s="35"/>
      <c r="I57" s="1166"/>
    </row>
    <row r="58" spans="1:9">
      <c r="A58" s="2"/>
      <c r="B58" s="1401" t="s">
        <v>1338</v>
      </c>
      <c r="C58" s="35"/>
      <c r="D58" s="1388" t="str">
        <f>+'[19]Core Rates'!B229</f>
        <v>Hrs</v>
      </c>
      <c r="E58" s="1388">
        <f>+'[19]Core Rates'!C229</f>
        <v>60</v>
      </c>
      <c r="F58" s="35">
        <f>4/500</f>
        <v>8.0000000000000002E-3</v>
      </c>
      <c r="G58" s="1171">
        <f>+F58*E58</f>
        <v>0.48</v>
      </c>
      <c r="H58" s="35"/>
      <c r="I58" s="1166"/>
    </row>
    <row r="59" spans="1:9">
      <c r="A59" s="2"/>
      <c r="B59" s="33" t="s">
        <v>1339</v>
      </c>
      <c r="C59" s="35"/>
      <c r="D59" s="35"/>
      <c r="E59" s="35"/>
      <c r="F59" s="35"/>
      <c r="G59" s="35"/>
      <c r="H59" s="35"/>
      <c r="I59" s="36"/>
    </row>
    <row r="60" spans="1:9">
      <c r="A60" s="2"/>
      <c r="B60" s="37"/>
      <c r="C60" s="35"/>
      <c r="D60" s="35"/>
      <c r="E60" s="35"/>
      <c r="F60" s="35"/>
      <c r="G60" s="35"/>
      <c r="H60" s="35"/>
      <c r="I60" s="36"/>
    </row>
    <row r="61" spans="1:9">
      <c r="A61" s="2"/>
      <c r="B61" s="42" t="s">
        <v>471</v>
      </c>
      <c r="C61" s="35"/>
      <c r="D61" s="35"/>
      <c r="E61" s="35"/>
      <c r="F61" s="39"/>
      <c r="G61" s="35"/>
      <c r="H61" s="35"/>
      <c r="I61" s="1166">
        <v>0</v>
      </c>
    </row>
    <row r="62" spans="1:9">
      <c r="A62" s="2"/>
      <c r="B62" s="756" t="s">
        <v>104</v>
      </c>
      <c r="C62" s="35"/>
      <c r="D62" s="35"/>
      <c r="E62" s="35"/>
      <c r="F62" s="35"/>
      <c r="G62" s="35"/>
      <c r="H62" s="35"/>
      <c r="I62" s="47"/>
    </row>
    <row r="63" spans="1:9">
      <c r="A63" s="2"/>
      <c r="B63" s="37"/>
      <c r="C63" s="35"/>
      <c r="D63" s="35"/>
      <c r="E63" s="35"/>
      <c r="F63" s="35"/>
      <c r="G63" s="35"/>
      <c r="H63" s="35"/>
      <c r="I63" s="36"/>
    </row>
    <row r="64" spans="1:9">
      <c r="A64" s="2"/>
      <c r="B64" s="42" t="s">
        <v>5</v>
      </c>
      <c r="C64" s="35"/>
      <c r="D64" s="35"/>
      <c r="E64" s="35"/>
      <c r="F64" s="35"/>
      <c r="G64" s="35"/>
      <c r="H64" s="35"/>
      <c r="I64" s="1166">
        <v>0</v>
      </c>
    </row>
    <row r="65" spans="1:9">
      <c r="A65" s="2"/>
      <c r="B65" s="756" t="s">
        <v>104</v>
      </c>
      <c r="C65" s="35"/>
      <c r="D65" s="35"/>
      <c r="E65" s="35"/>
      <c r="F65" s="35"/>
      <c r="G65" s="35"/>
      <c r="H65" s="35"/>
      <c r="I65" s="47"/>
    </row>
    <row r="66" spans="1:9">
      <c r="A66" s="2"/>
      <c r="B66" s="37"/>
      <c r="C66" s="35"/>
      <c r="D66" s="35"/>
      <c r="E66" s="35"/>
      <c r="F66" s="35"/>
      <c r="G66" s="35"/>
      <c r="H66" s="35"/>
      <c r="I66" s="36"/>
    </row>
    <row r="67" spans="1:9">
      <c r="A67" s="2"/>
      <c r="B67" s="42" t="s">
        <v>20</v>
      </c>
      <c r="C67" s="35"/>
      <c r="D67" s="35"/>
      <c r="E67" s="35"/>
      <c r="F67" s="35"/>
      <c r="G67" s="35"/>
      <c r="H67" s="35"/>
      <c r="I67" s="1166">
        <v>0</v>
      </c>
    </row>
    <row r="68" spans="1:9">
      <c r="A68" s="2"/>
      <c r="B68" s="33" t="s">
        <v>104</v>
      </c>
      <c r="C68" s="35"/>
      <c r="D68" s="35"/>
      <c r="E68" s="35"/>
      <c r="F68" s="35"/>
      <c r="G68" s="35"/>
      <c r="H68" s="35"/>
      <c r="I68" s="36"/>
    </row>
    <row r="69" spans="1:9">
      <c r="A69" s="2"/>
      <c r="B69" s="40"/>
      <c r="C69" s="35"/>
      <c r="D69" s="35"/>
      <c r="E69" s="35"/>
      <c r="F69" s="35"/>
      <c r="G69" s="35"/>
      <c r="H69" s="35"/>
      <c r="I69" s="36"/>
    </row>
    <row r="70" spans="1:9">
      <c r="A70" s="2"/>
      <c r="B70" s="42" t="s">
        <v>473</v>
      </c>
      <c r="C70" s="35"/>
      <c r="D70" s="35"/>
      <c r="E70" s="35"/>
      <c r="F70" s="35"/>
      <c r="G70" s="35"/>
      <c r="H70" s="35"/>
      <c r="I70" s="1183">
        <f>+I39+I42+I45+I50+I56+I67</f>
        <v>10.055</v>
      </c>
    </row>
    <row r="71" spans="1:9" ht="15.75">
      <c r="A71" s="2"/>
      <c r="B71" s="33" t="s">
        <v>474</v>
      </c>
      <c r="C71" s="35"/>
      <c r="D71" s="35"/>
      <c r="E71" s="35"/>
      <c r="F71" s="35"/>
      <c r="G71" s="35"/>
      <c r="H71" s="35"/>
      <c r="I71" s="36"/>
    </row>
    <row r="72" spans="1:9">
      <c r="A72" s="2"/>
      <c r="B72" s="40"/>
      <c r="C72" s="35"/>
      <c r="D72" s="35"/>
      <c r="E72" s="35"/>
      <c r="F72" s="35"/>
      <c r="G72" s="35"/>
      <c r="H72" s="35"/>
      <c r="I72" s="36"/>
    </row>
    <row r="73" spans="1:9">
      <c r="A73" s="2"/>
      <c r="B73" s="43" t="s">
        <v>11</v>
      </c>
      <c r="C73" s="44"/>
      <c r="D73" s="44"/>
      <c r="E73" s="44"/>
      <c r="F73" s="44"/>
      <c r="G73" s="44"/>
      <c r="H73" s="44"/>
      <c r="I73" s="621">
        <f>SUM(I39:I67)</f>
        <v>10.055</v>
      </c>
    </row>
  </sheetData>
  <mergeCells count="3">
    <mergeCell ref="B1:D1"/>
    <mergeCell ref="B29:I31"/>
    <mergeCell ref="E42:H42"/>
  </mergeCells>
  <pageMargins left="0.75" right="0.75" top="1" bottom="1" header="0.5" footer="0.5"/>
  <pageSetup scale="46" orientation="portrait" r:id="rId1"/>
  <headerFooter alignWithMargins="0"/>
</worksheet>
</file>

<file path=xl/worksheets/sheet74.xml><?xml version="1.0" encoding="utf-8"?>
<worksheet xmlns="http://schemas.openxmlformats.org/spreadsheetml/2006/main" xmlns:r="http://schemas.openxmlformats.org/officeDocument/2006/relationships">
  <sheetPr>
    <pageSetUpPr fitToPage="1"/>
  </sheetPr>
  <dimension ref="A1:L73"/>
  <sheetViews>
    <sheetView workbookViewId="0">
      <selection activeCell="B54" sqref="B54:I55"/>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63.75" hidden="1">
      <c r="A6" s="2"/>
      <c r="B6" s="1393">
        <v>329</v>
      </c>
      <c r="C6" s="1394" t="str">
        <f>+E12</f>
        <v>EQIP</v>
      </c>
      <c r="D6" s="1395" t="s">
        <v>1334</v>
      </c>
      <c r="E6" s="110" t="s">
        <v>1340</v>
      </c>
      <c r="F6" s="1394" t="s">
        <v>394</v>
      </c>
      <c r="G6" s="1396">
        <f>+I25</f>
        <v>15.5025</v>
      </c>
    </row>
    <row r="7" spans="1:12" ht="63.75" hidden="1">
      <c r="A7" s="2"/>
      <c r="B7" s="1393">
        <f>+B6</f>
        <v>329</v>
      </c>
      <c r="C7" s="1394" t="str">
        <f>+C6</f>
        <v>EQIP</v>
      </c>
      <c r="D7" s="1395" t="s">
        <v>1334</v>
      </c>
      <c r="E7" s="110" t="str">
        <f>CONCATENATE(E6, "-HU")</f>
        <v>Every Crop and/or Cover Crop that is part of the rotation is seeded with no-till drills OR broadcast and incorporated without full width tillage implement AND there is no full width tillage at all in the rotation.  Additionally, the STIR for the ROTATION MUST BE LESS THAN 15 and ≥8-HU</v>
      </c>
      <c r="F7" s="1394" t="str">
        <f>+F6</f>
        <v>Acre</v>
      </c>
      <c r="G7" s="1396">
        <f>+J25</f>
        <v>18.603000000000002</v>
      </c>
    </row>
    <row r="8" spans="1:12" ht="63.75" hidden="1">
      <c r="A8" s="2"/>
      <c r="B8" s="1393">
        <v>329</v>
      </c>
      <c r="C8" s="1394" t="str">
        <f>+G12</f>
        <v>WHIP</v>
      </c>
      <c r="D8" s="1395" t="s">
        <v>1334</v>
      </c>
      <c r="E8" s="110" t="str">
        <f>+E6</f>
        <v>Every Crop and/or Cover Crop that is part of the rotation is seeded with no-till drills OR broadcast and incorporated without full width tillage implement AND there is no full width tillage at all in the rotation.  Additionally, the STIR for the ROTATION MUST BE LESS THAN 15 and ≥8</v>
      </c>
      <c r="F8" s="1394" t="s">
        <v>394</v>
      </c>
      <c r="G8" s="1396">
        <f>+K25</f>
        <v>0</v>
      </c>
    </row>
    <row r="9" spans="1:12" ht="63.75" hidden="1">
      <c r="A9" s="2"/>
      <c r="B9" s="1397">
        <f>+B8</f>
        <v>329</v>
      </c>
      <c r="C9" s="1398" t="str">
        <f>+C8</f>
        <v>WHIP</v>
      </c>
      <c r="D9" s="1399" t="s">
        <v>1334</v>
      </c>
      <c r="E9" s="111" t="str">
        <f>CONCATENATE(E6, "-HU")</f>
        <v>Every Crop and/or Cover Crop that is part of the rotation is seeded with no-till drills OR broadcast and incorporated without full width tillage implement AND there is no full width tillage at all in the rotation.  Additionally, the STIR for the ROTATION MUST BE LESS THAN 15 and ≥8-HU</v>
      </c>
      <c r="F9" s="1398" t="str">
        <f>+F8</f>
        <v>Acre</v>
      </c>
      <c r="G9" s="1400">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+I39</f>
        <v>0</v>
      </c>
      <c r="E16" s="160">
        <f>+'[10]Payment Factors'!D23</f>
        <v>0.75</v>
      </c>
      <c r="F16" s="160">
        <f>+'[10]Payment Factors'!E23</f>
        <v>0.9</v>
      </c>
      <c r="G16" s="160">
        <f>+'[10]Payment Factors'!F23</f>
        <v>0</v>
      </c>
      <c r="H16" s="160">
        <f>+'[10]Payment Factors'!G23</f>
        <v>0</v>
      </c>
      <c r="I16" s="1154">
        <f t="shared" ref="I16:L24" si="0">+$D16*E16</f>
        <v>0</v>
      </c>
      <c r="J16" s="1154">
        <f t="shared" si="0"/>
        <v>0</v>
      </c>
      <c r="K16" s="1154">
        <f t="shared" si="0"/>
        <v>0</v>
      </c>
      <c r="L16" s="1155">
        <f t="shared" si="0"/>
        <v>0</v>
      </c>
    </row>
    <row r="17" spans="1:12" hidden="1">
      <c r="A17" s="2"/>
      <c r="B17" s="15" t="s">
        <v>2</v>
      </c>
      <c r="C17" s="16"/>
      <c r="D17" s="24">
        <f>+I42</f>
        <v>0</v>
      </c>
      <c r="E17" s="160">
        <f>+E16</f>
        <v>0.75</v>
      </c>
      <c r="F17" s="160">
        <f>+F16</f>
        <v>0.9</v>
      </c>
      <c r="G17" s="160">
        <f>+G16</f>
        <v>0</v>
      </c>
      <c r="H17" s="160">
        <f>+H16</f>
        <v>0</v>
      </c>
      <c r="I17" s="1154">
        <f t="shared" si="0"/>
        <v>0</v>
      </c>
      <c r="J17" s="1154">
        <f t="shared" si="0"/>
        <v>0</v>
      </c>
      <c r="K17" s="1154">
        <f t="shared" si="0"/>
        <v>0</v>
      </c>
      <c r="L17" s="1155">
        <f t="shared" si="0"/>
        <v>0</v>
      </c>
    </row>
    <row r="18" spans="1:12" hidden="1">
      <c r="A18" s="2"/>
      <c r="B18" s="15" t="s">
        <v>3</v>
      </c>
      <c r="C18" s="16"/>
      <c r="D18" s="24">
        <f>+I45</f>
        <v>18.75</v>
      </c>
      <c r="E18" s="160">
        <f>+E16</f>
        <v>0.75</v>
      </c>
      <c r="F18" s="160">
        <f>+F16</f>
        <v>0.9</v>
      </c>
      <c r="G18" s="160">
        <f>+G16</f>
        <v>0</v>
      </c>
      <c r="H18" s="160">
        <f>+H16</f>
        <v>0</v>
      </c>
      <c r="I18" s="1154">
        <f t="shared" si="0"/>
        <v>14.0625</v>
      </c>
      <c r="J18" s="1154">
        <f t="shared" si="0"/>
        <v>16.875</v>
      </c>
      <c r="K18" s="1154">
        <f t="shared" si="0"/>
        <v>0</v>
      </c>
      <c r="L18" s="1155">
        <f t="shared" si="0"/>
        <v>0</v>
      </c>
    </row>
    <row r="19" spans="1:12" hidden="1">
      <c r="A19" s="2"/>
      <c r="B19" s="15" t="s">
        <v>4</v>
      </c>
      <c r="C19" s="16"/>
      <c r="D19" s="24">
        <f>+I50</f>
        <v>0</v>
      </c>
      <c r="E19" s="160">
        <v>0</v>
      </c>
      <c r="F19" s="160">
        <v>0</v>
      </c>
      <c r="G19" s="160">
        <v>0</v>
      </c>
      <c r="H19" s="160">
        <v>0</v>
      </c>
      <c r="I19" s="1154">
        <f t="shared" si="0"/>
        <v>0</v>
      </c>
      <c r="J19" s="1154">
        <f t="shared" si="0"/>
        <v>0</v>
      </c>
      <c r="K19" s="1154">
        <f t="shared" si="0"/>
        <v>0</v>
      </c>
      <c r="L19" s="1155">
        <f t="shared" si="0"/>
        <v>0</v>
      </c>
    </row>
    <row r="20" spans="1:12" hidden="1">
      <c r="A20" s="2"/>
      <c r="B20" s="15" t="s">
        <v>26</v>
      </c>
      <c r="C20" s="16"/>
      <c r="D20" s="24">
        <f>+I53</f>
        <v>0</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+I56</f>
        <v>1.92</v>
      </c>
      <c r="E21" s="160">
        <f>+E16</f>
        <v>0.75</v>
      </c>
      <c r="F21" s="160">
        <f>+F16</f>
        <v>0.9</v>
      </c>
      <c r="G21" s="160">
        <f t="shared" ref="G21:H23" si="1">+G16</f>
        <v>0</v>
      </c>
      <c r="H21" s="160">
        <f t="shared" si="1"/>
        <v>0</v>
      </c>
      <c r="I21" s="1154">
        <f t="shared" si="0"/>
        <v>1.44</v>
      </c>
      <c r="J21" s="1154">
        <f t="shared" si="0"/>
        <v>1.728</v>
      </c>
      <c r="K21" s="1154">
        <f t="shared" si="0"/>
        <v>0</v>
      </c>
      <c r="L21" s="1155">
        <f t="shared" si="0"/>
        <v>0</v>
      </c>
    </row>
    <row r="22" spans="1:12" hidden="1">
      <c r="A22" s="2"/>
      <c r="B22" s="15" t="s">
        <v>27</v>
      </c>
      <c r="C22" s="16"/>
      <c r="D22" s="24">
        <f>+I61</f>
        <v>0</v>
      </c>
      <c r="E22" s="160">
        <f>+E16+0.25</f>
        <v>1</v>
      </c>
      <c r="F22" s="160">
        <f>+F16+0.1</f>
        <v>1</v>
      </c>
      <c r="G22" s="160">
        <f t="shared" si="1"/>
        <v>0</v>
      </c>
      <c r="H22" s="160">
        <f t="shared" si="1"/>
        <v>0</v>
      </c>
      <c r="I22" s="1154">
        <f t="shared" si="0"/>
        <v>0</v>
      </c>
      <c r="J22" s="1154">
        <f t="shared" si="0"/>
        <v>0</v>
      </c>
      <c r="K22" s="1154">
        <f t="shared" si="0"/>
        <v>0</v>
      </c>
      <c r="L22" s="1155">
        <f t="shared" si="0"/>
        <v>0</v>
      </c>
    </row>
    <row r="23" spans="1:12" hidden="1">
      <c r="A23" s="2"/>
      <c r="B23" s="15" t="s">
        <v>5</v>
      </c>
      <c r="C23" s="16"/>
      <c r="D23" s="24">
        <f>+I64</f>
        <v>0</v>
      </c>
      <c r="E23" s="160">
        <v>0</v>
      </c>
      <c r="F23" s="160">
        <v>0</v>
      </c>
      <c r="G23" s="160">
        <f t="shared" si="1"/>
        <v>0</v>
      </c>
      <c r="H23" s="160">
        <f t="shared" si="1"/>
        <v>0</v>
      </c>
      <c r="I23" s="1154">
        <f t="shared" si="0"/>
        <v>0</v>
      </c>
      <c r="J23" s="1154">
        <f t="shared" si="0"/>
        <v>0</v>
      </c>
      <c r="K23" s="1154">
        <f t="shared" si="0"/>
        <v>0</v>
      </c>
      <c r="L23" s="1155">
        <f t="shared" si="0"/>
        <v>0</v>
      </c>
    </row>
    <row r="24" spans="1:12" hidden="1">
      <c r="A24" s="2"/>
      <c r="B24" s="15" t="s">
        <v>20</v>
      </c>
      <c r="C24" s="16"/>
      <c r="D24" s="75">
        <f>+I67</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20.67</v>
      </c>
      <c r="E25" s="1158"/>
      <c r="F25" s="1158"/>
      <c r="G25" s="28"/>
      <c r="H25" s="28"/>
      <c r="I25" s="1159">
        <f>SUM(I16:I24)</f>
        <v>15.5025</v>
      </c>
      <c r="J25" s="1159">
        <f>SUM(J16:J24)</f>
        <v>18.603000000000002</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ht="12.75" customHeight="1">
      <c r="A29" s="2"/>
      <c r="B29" s="2023" t="s">
        <v>1336</v>
      </c>
      <c r="C29" s="2024"/>
      <c r="D29" s="2024"/>
      <c r="E29" s="2024"/>
      <c r="F29" s="2024"/>
      <c r="G29" s="2024"/>
      <c r="H29" s="2024"/>
      <c r="I29" s="2025"/>
    </row>
    <row r="30" spans="1:12">
      <c r="A30" s="2"/>
      <c r="B30" s="2026"/>
      <c r="C30" s="2024"/>
      <c r="D30" s="2024"/>
      <c r="E30" s="2024"/>
      <c r="F30" s="2024"/>
      <c r="G30" s="2024"/>
      <c r="H30" s="2024"/>
      <c r="I30" s="2025"/>
    </row>
    <row r="31" spans="1:12" ht="25.5" customHeight="1">
      <c r="A31" s="2"/>
      <c r="B31" s="2026"/>
      <c r="C31" s="2024"/>
      <c r="D31" s="2024"/>
      <c r="E31" s="2024"/>
      <c r="F31" s="2024"/>
      <c r="G31" s="2024"/>
      <c r="H31" s="2024"/>
      <c r="I31" s="2025"/>
    </row>
    <row r="32" spans="1:12">
      <c r="A32" s="2"/>
      <c r="B32" s="37" t="s">
        <v>1337</v>
      </c>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f>+'[10]Payment Factors'!C23</f>
        <v>1</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v>0</v>
      </c>
    </row>
    <row r="40" spans="1:9">
      <c r="A40" s="2"/>
      <c r="B40" s="33" t="s">
        <v>104</v>
      </c>
      <c r="C40" s="35"/>
      <c r="D40" s="35"/>
      <c r="E40" s="35"/>
      <c r="F40" s="35"/>
      <c r="G40" s="35"/>
      <c r="H40" s="35"/>
      <c r="I40" s="36"/>
    </row>
    <row r="41" spans="1:9">
      <c r="A41" s="2"/>
      <c r="B41" s="1174"/>
      <c r="C41" s="35"/>
      <c r="D41" s="1167"/>
      <c r="E41" s="1167"/>
      <c r="F41" s="1167"/>
      <c r="G41" s="1167"/>
      <c r="H41" s="35"/>
      <c r="I41" s="46"/>
    </row>
    <row r="42" spans="1:9">
      <c r="A42" s="2"/>
      <c r="B42" s="42" t="s">
        <v>2</v>
      </c>
      <c r="C42" s="35"/>
      <c r="D42" s="35"/>
      <c r="E42" s="2003"/>
      <c r="F42" s="2003"/>
      <c r="G42" s="2003"/>
      <c r="H42" s="2003"/>
      <c r="I42" s="1166">
        <v>0</v>
      </c>
    </row>
    <row r="43" spans="1:9">
      <c r="A43" s="2"/>
      <c r="B43" s="33" t="s">
        <v>104</v>
      </c>
      <c r="C43" s="35"/>
      <c r="D43" s="35"/>
      <c r="E43" s="1402"/>
      <c r="F43" s="1402"/>
      <c r="G43" s="1402"/>
      <c r="H43" s="1402"/>
      <c r="I43" s="1166"/>
    </row>
    <row r="44" spans="1:9">
      <c r="A44" s="2"/>
      <c r="B44" s="1177"/>
      <c r="C44" s="1178"/>
      <c r="D44" s="1178"/>
      <c r="E44" s="1178"/>
      <c r="F44" s="1178"/>
      <c r="G44" s="1178"/>
      <c r="H44" s="1178"/>
      <c r="I44" s="1179"/>
    </row>
    <row r="45" spans="1:9">
      <c r="A45" s="2"/>
      <c r="B45" s="42" t="s">
        <v>3</v>
      </c>
      <c r="C45" s="35"/>
      <c r="D45" s="1178"/>
      <c r="E45" s="1178"/>
      <c r="F45" s="39"/>
      <c r="G45" s="35"/>
      <c r="H45" s="35"/>
      <c r="I45" s="1166">
        <f>(SUM(G47:G49))</f>
        <v>18.75</v>
      </c>
    </row>
    <row r="46" spans="1:9">
      <c r="A46" s="2"/>
      <c r="B46" s="33"/>
      <c r="C46" s="35"/>
      <c r="D46" s="1167" t="s">
        <v>447</v>
      </c>
      <c r="E46" s="1167" t="s">
        <v>448</v>
      </c>
      <c r="F46" s="1167" t="s">
        <v>449</v>
      </c>
      <c r="G46" s="1167" t="s">
        <v>450</v>
      </c>
      <c r="H46" s="35"/>
      <c r="I46" s="36"/>
    </row>
    <row r="47" spans="1:9">
      <c r="A47" s="2"/>
      <c r="B47" s="1401" t="str">
        <f>+'[19]Core Rates'!A128</f>
        <v>Field Scouting (for insects, weeds or diseases)</v>
      </c>
      <c r="C47" s="35"/>
      <c r="D47" s="1388" t="str">
        <f>+'[19]Core Rates'!B128</f>
        <v>Hrs</v>
      </c>
      <c r="E47" s="1388">
        <f>+'[19]Core Rates'!C128</f>
        <v>9.5</v>
      </c>
      <c r="F47" s="35">
        <v>0.9</v>
      </c>
      <c r="G47" s="1171">
        <f>+F47*E47</f>
        <v>8.5500000000000007</v>
      </c>
      <c r="H47" s="35"/>
      <c r="I47" s="36"/>
    </row>
    <row r="48" spans="1:9">
      <c r="A48" s="2"/>
      <c r="B48" s="1401" t="str">
        <f>+'[19]Core Rates'!A276</f>
        <v>Sample Collection (Soil, Manure, Water and/or Plant Tissue Samples)</v>
      </c>
      <c r="C48" s="35"/>
      <c r="D48" s="1388" t="str">
        <f>+'[19]Core Rates'!B276</f>
        <v>Hrs</v>
      </c>
      <c r="E48" s="1388">
        <f>+'[19]Core Rates'!C276</f>
        <v>20.399999999999999</v>
      </c>
      <c r="F48" s="35">
        <v>0.5</v>
      </c>
      <c r="G48" s="1171">
        <f>+F48*E48</f>
        <v>10.199999999999999</v>
      </c>
      <c r="H48" s="35"/>
      <c r="I48" s="36"/>
    </row>
    <row r="49" spans="1:9">
      <c r="A49" s="2"/>
      <c r="B49" s="33"/>
      <c r="C49" s="35"/>
      <c r="D49" s="35"/>
      <c r="E49" s="35"/>
      <c r="F49" s="35"/>
      <c r="G49" s="35"/>
      <c r="H49" s="35"/>
      <c r="I49" s="36"/>
    </row>
    <row r="50" spans="1:9">
      <c r="A50" s="2"/>
      <c r="B50" s="42" t="s">
        <v>4</v>
      </c>
      <c r="C50" s="35"/>
      <c r="D50" s="35"/>
      <c r="E50" s="35"/>
      <c r="F50" s="35"/>
      <c r="G50" s="35"/>
      <c r="H50" s="35"/>
      <c r="I50" s="1182">
        <v>0</v>
      </c>
    </row>
    <row r="51" spans="1:9">
      <c r="A51" s="2"/>
      <c r="B51" s="33" t="s">
        <v>104</v>
      </c>
      <c r="C51" s="35"/>
      <c r="D51" s="35"/>
      <c r="E51" s="35"/>
      <c r="F51" s="35"/>
      <c r="G51" s="35"/>
      <c r="H51" s="35"/>
      <c r="I51" s="36"/>
    </row>
    <row r="52" spans="1:9">
      <c r="A52" s="2"/>
      <c r="B52" s="33"/>
      <c r="C52" s="35"/>
      <c r="D52" s="35"/>
      <c r="E52" s="35"/>
      <c r="F52" s="35"/>
      <c r="G52" s="35"/>
      <c r="H52" s="35"/>
      <c r="I52" s="36"/>
    </row>
    <row r="53" spans="1:9">
      <c r="A53" s="2"/>
      <c r="B53" s="42" t="s">
        <v>468</v>
      </c>
      <c r="C53" s="35"/>
      <c r="D53" s="35"/>
      <c r="E53" s="35"/>
      <c r="F53" s="35"/>
      <c r="G53" s="35"/>
      <c r="H53" s="35"/>
      <c r="I53" s="1182">
        <v>0</v>
      </c>
    </row>
    <row r="54" spans="1:9">
      <c r="A54" s="2"/>
      <c r="B54" s="33" t="s">
        <v>104</v>
      </c>
      <c r="C54" s="35"/>
      <c r="D54" s="35"/>
      <c r="E54" s="35"/>
      <c r="F54" s="35"/>
      <c r="G54" s="35"/>
      <c r="H54" s="35"/>
      <c r="I54" s="36"/>
    </row>
    <row r="55" spans="1:9">
      <c r="A55" s="2"/>
      <c r="B55" s="37"/>
      <c r="C55" s="35"/>
      <c r="D55" s="35"/>
      <c r="E55" s="35"/>
      <c r="F55" s="35"/>
      <c r="G55" s="35"/>
      <c r="H55" s="35"/>
      <c r="I55" s="36"/>
    </row>
    <row r="56" spans="1:9">
      <c r="A56" s="2"/>
      <c r="B56" s="42" t="s">
        <v>7</v>
      </c>
      <c r="C56" s="35"/>
      <c r="D56" s="35"/>
      <c r="E56" s="35"/>
      <c r="F56" s="35"/>
      <c r="G56" s="35"/>
      <c r="H56" s="35"/>
      <c r="I56" s="1166">
        <f>(SUM(G58))</f>
        <v>1.92</v>
      </c>
    </row>
    <row r="57" spans="1:9">
      <c r="A57" s="2"/>
      <c r="B57" s="33"/>
      <c r="C57" s="35"/>
      <c r="D57" s="1167" t="s">
        <v>447</v>
      </c>
      <c r="E57" s="1167" t="s">
        <v>448</v>
      </c>
      <c r="F57" s="1167" t="s">
        <v>449</v>
      </c>
      <c r="G57" s="1167" t="s">
        <v>450</v>
      </c>
      <c r="H57" s="35"/>
      <c r="I57" s="1166"/>
    </row>
    <row r="58" spans="1:9">
      <c r="A58" s="2"/>
      <c r="B58" s="1401" t="s">
        <v>1338</v>
      </c>
      <c r="C58" s="35"/>
      <c r="D58" s="1388" t="str">
        <f>+'[19]Core Rates'!B229</f>
        <v>Hrs</v>
      </c>
      <c r="E58" s="1388">
        <f>+'[19]Core Rates'!C229</f>
        <v>60</v>
      </c>
      <c r="F58" s="35">
        <f>8/250</f>
        <v>3.2000000000000001E-2</v>
      </c>
      <c r="G58" s="1171">
        <f>+F58*E58</f>
        <v>1.92</v>
      </c>
      <c r="H58" s="35"/>
      <c r="I58" s="1166"/>
    </row>
    <row r="59" spans="1:9">
      <c r="A59" s="2"/>
      <c r="B59" s="33" t="s">
        <v>1341</v>
      </c>
      <c r="C59" s="35"/>
      <c r="D59" s="35"/>
      <c r="E59" s="35"/>
      <c r="F59" s="35"/>
      <c r="G59" s="35"/>
      <c r="H59" s="35"/>
      <c r="I59" s="36"/>
    </row>
    <row r="60" spans="1:9">
      <c r="A60" s="2"/>
      <c r="B60" s="33"/>
      <c r="C60" s="35"/>
      <c r="D60" s="35"/>
      <c r="E60" s="35"/>
      <c r="F60" s="35"/>
      <c r="G60" s="35"/>
      <c r="H60" s="35"/>
      <c r="I60" s="36"/>
    </row>
    <row r="61" spans="1:9">
      <c r="A61" s="2"/>
      <c r="B61" s="42" t="s">
        <v>471</v>
      </c>
      <c r="C61" s="35"/>
      <c r="D61" s="35"/>
      <c r="E61" s="35"/>
      <c r="F61" s="39"/>
      <c r="G61" s="35"/>
      <c r="H61" s="35"/>
      <c r="I61" s="1166">
        <v>0</v>
      </c>
    </row>
    <row r="62" spans="1:9">
      <c r="A62" s="2"/>
      <c r="B62" s="756" t="s">
        <v>104</v>
      </c>
      <c r="C62" s="35"/>
      <c r="D62" s="35"/>
      <c r="E62" s="35"/>
      <c r="F62" s="35"/>
      <c r="G62" s="35"/>
      <c r="H62" s="35"/>
      <c r="I62" s="47"/>
    </row>
    <row r="63" spans="1:9">
      <c r="A63" s="2"/>
      <c r="B63" s="37"/>
      <c r="C63" s="35"/>
      <c r="D63" s="35"/>
      <c r="E63" s="35"/>
      <c r="F63" s="35"/>
      <c r="G63" s="35"/>
      <c r="H63" s="35"/>
      <c r="I63" s="36"/>
    </row>
    <row r="64" spans="1:9">
      <c r="A64" s="2"/>
      <c r="B64" s="42" t="s">
        <v>5</v>
      </c>
      <c r="C64" s="35"/>
      <c r="D64" s="35"/>
      <c r="E64" s="35"/>
      <c r="F64" s="35"/>
      <c r="G64" s="35"/>
      <c r="H64" s="35"/>
      <c r="I64" s="1166">
        <v>0</v>
      </c>
    </row>
    <row r="65" spans="1:9">
      <c r="A65" s="2"/>
      <c r="B65" s="756" t="s">
        <v>104</v>
      </c>
      <c r="C65" s="35"/>
      <c r="D65" s="35"/>
      <c r="E65" s="35"/>
      <c r="F65" s="35"/>
      <c r="G65" s="35"/>
      <c r="H65" s="35"/>
      <c r="I65" s="47"/>
    </row>
    <row r="66" spans="1:9">
      <c r="A66" s="2"/>
      <c r="B66" s="37"/>
      <c r="C66" s="35"/>
      <c r="D66" s="35"/>
      <c r="E66" s="35"/>
      <c r="F66" s="35"/>
      <c r="G66" s="35"/>
      <c r="H66" s="35"/>
      <c r="I66" s="36"/>
    </row>
    <row r="67" spans="1:9">
      <c r="A67" s="2"/>
      <c r="B67" s="42" t="s">
        <v>20</v>
      </c>
      <c r="C67" s="35"/>
      <c r="D67" s="35"/>
      <c r="E67" s="35"/>
      <c r="F67" s="35"/>
      <c r="G67" s="35"/>
      <c r="H67" s="35"/>
      <c r="I67" s="1166">
        <v>0</v>
      </c>
    </row>
    <row r="68" spans="1:9">
      <c r="A68" s="2"/>
      <c r="B68" s="33" t="s">
        <v>104</v>
      </c>
      <c r="C68" s="35"/>
      <c r="D68" s="35"/>
      <c r="E68" s="35"/>
      <c r="F68" s="35"/>
      <c r="G68" s="35"/>
      <c r="H68" s="35"/>
      <c r="I68" s="36"/>
    </row>
    <row r="69" spans="1:9">
      <c r="A69" s="2"/>
      <c r="B69" s="40"/>
      <c r="C69" s="35"/>
      <c r="D69" s="35"/>
      <c r="E69" s="35"/>
      <c r="F69" s="35"/>
      <c r="G69" s="35"/>
      <c r="H69" s="35"/>
      <c r="I69" s="36"/>
    </row>
    <row r="70" spans="1:9">
      <c r="A70" s="2"/>
      <c r="B70" s="42" t="s">
        <v>473</v>
      </c>
      <c r="C70" s="35"/>
      <c r="D70" s="35"/>
      <c r="E70" s="35"/>
      <c r="F70" s="35"/>
      <c r="G70" s="35"/>
      <c r="H70" s="35"/>
      <c r="I70" s="1183">
        <f>+I39+I42+I45+I50+I56+I67</f>
        <v>20.67</v>
      </c>
    </row>
    <row r="71" spans="1:9" ht="15.75">
      <c r="A71" s="2"/>
      <c r="B71" s="33" t="s">
        <v>474</v>
      </c>
      <c r="C71" s="35"/>
      <c r="D71" s="35"/>
      <c r="E71" s="35"/>
      <c r="F71" s="35"/>
      <c r="G71" s="35"/>
      <c r="H71" s="35"/>
      <c r="I71" s="36"/>
    </row>
    <row r="72" spans="1:9">
      <c r="A72" s="2"/>
      <c r="B72" s="40"/>
      <c r="C72" s="35"/>
      <c r="D72" s="35"/>
      <c r="E72" s="35"/>
      <c r="F72" s="35"/>
      <c r="G72" s="35"/>
      <c r="H72" s="35"/>
      <c r="I72" s="36"/>
    </row>
    <row r="73" spans="1:9">
      <c r="A73" s="2"/>
      <c r="B73" s="43" t="s">
        <v>11</v>
      </c>
      <c r="C73" s="44"/>
      <c r="D73" s="44"/>
      <c r="E73" s="44"/>
      <c r="F73" s="44"/>
      <c r="G73" s="44"/>
      <c r="H73" s="44"/>
      <c r="I73" s="621">
        <f>SUM(I39:I67)</f>
        <v>20.67</v>
      </c>
    </row>
  </sheetData>
  <mergeCells count="3">
    <mergeCell ref="B1:D1"/>
    <mergeCell ref="B29:I31"/>
    <mergeCell ref="E42:H42"/>
  </mergeCells>
  <pageMargins left="0.75" right="0.75" top="1" bottom="1" header="0.5" footer="0.5"/>
  <pageSetup scale="54" orientation="portrait" r:id="rId1"/>
  <headerFooter alignWithMargins="0"/>
</worksheet>
</file>

<file path=xl/worksheets/sheet75.xml><?xml version="1.0" encoding="utf-8"?>
<worksheet xmlns="http://schemas.openxmlformats.org/spreadsheetml/2006/main" xmlns:r="http://schemas.openxmlformats.org/officeDocument/2006/relationships">
  <sheetPr>
    <pageSetUpPr fitToPage="1"/>
  </sheetPr>
  <dimension ref="A1:L73"/>
  <sheetViews>
    <sheetView workbookViewId="0">
      <selection activeCell="B54" sqref="B54:I55"/>
    </sheetView>
  </sheetViews>
  <sheetFormatPr defaultRowHeight="12.75"/>
  <cols>
    <col min="1" max="1" width="1.85546875" customWidth="1"/>
    <col min="3" max="3" width="24.140625" customWidth="1"/>
    <col min="4" max="4" width="35" customWidth="1"/>
    <col min="5" max="5" width="59.42578125" bestFit="1" customWidth="1"/>
    <col min="6" max="6" width="10.42578125" customWidth="1"/>
  </cols>
  <sheetData>
    <row r="1" spans="1:12">
      <c r="A1" s="2"/>
      <c r="B1" s="2001" t="s">
        <v>438</v>
      </c>
      <c r="C1" s="2002"/>
      <c r="D1" s="2002"/>
      <c r="E1" s="2"/>
      <c r="F1" s="1153"/>
      <c r="G1" s="2"/>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52.5" hidden="1" customHeight="1">
      <c r="A6" s="2"/>
      <c r="B6" s="1393">
        <v>329</v>
      </c>
      <c r="C6" s="1394" t="str">
        <f>+E12</f>
        <v>EQIP</v>
      </c>
      <c r="D6" s="1395" t="s">
        <v>1334</v>
      </c>
      <c r="E6" s="1395" t="s">
        <v>1342</v>
      </c>
      <c r="F6" s="1394" t="s">
        <v>394</v>
      </c>
      <c r="G6" s="1396">
        <f>+I25</f>
        <v>25.125</v>
      </c>
    </row>
    <row r="7" spans="1:12" ht="52.5" hidden="1" customHeight="1">
      <c r="A7" s="2"/>
      <c r="B7" s="1393">
        <f>+B6</f>
        <v>329</v>
      </c>
      <c r="C7" s="1394" t="str">
        <f>+C6</f>
        <v>EQIP</v>
      </c>
      <c r="D7" s="1395" t="s">
        <v>1334</v>
      </c>
      <c r="E7" s="1395" t="str">
        <f>CONCATENATE(E6, "-HU")</f>
        <v>Every Crop and/or Cover Crop that is part of the rotation is seeded with no-till drills OR broadcast and incorporated without full width tillage implement AND there is no full width tillage at all in the rotation.  Additionally, the STIR for the ROTATION MUST BE LESS THAN 8-HU</v>
      </c>
      <c r="F7" s="1394" t="str">
        <f>+F6</f>
        <v>Acre</v>
      </c>
      <c r="G7" s="1396">
        <f>+J25</f>
        <v>30.15</v>
      </c>
    </row>
    <row r="8" spans="1:12" ht="52.5" hidden="1" customHeight="1">
      <c r="A8" s="2"/>
      <c r="B8" s="1393">
        <v>329</v>
      </c>
      <c r="C8" s="1394" t="str">
        <f>+G12</f>
        <v>WHIP</v>
      </c>
      <c r="D8" s="1395" t="s">
        <v>1334</v>
      </c>
      <c r="E8" s="1395" t="str">
        <f>+E6</f>
        <v>Every Crop and/or Cover Crop that is part of the rotation is seeded with no-till drills OR broadcast and incorporated without full width tillage implement AND there is no full width tillage at all in the rotation.  Additionally, the STIR for the ROTATION MUST BE LESS THAN 8</v>
      </c>
      <c r="F8" s="1394" t="s">
        <v>394</v>
      </c>
      <c r="G8" s="1396">
        <f>+K25</f>
        <v>0</v>
      </c>
    </row>
    <row r="9" spans="1:12" ht="49.5" hidden="1" customHeight="1">
      <c r="A9" s="2"/>
      <c r="B9" s="1397">
        <f>+B8</f>
        <v>329</v>
      </c>
      <c r="C9" s="1398" t="str">
        <f>+C8</f>
        <v>WHIP</v>
      </c>
      <c r="D9" s="1399" t="s">
        <v>1334</v>
      </c>
      <c r="E9" s="1399" t="str">
        <f>CONCATENATE(E6, "-HU")</f>
        <v>Every Crop and/or Cover Crop that is part of the rotation is seeded with no-till drills OR broadcast and incorporated without full width tillage implement AND there is no full width tillage at all in the rotation.  Additionally, the STIR for the ROTATION MUST BE LESS THAN 8-HU</v>
      </c>
      <c r="F9" s="1398" t="str">
        <f>+F8</f>
        <v>Acre</v>
      </c>
      <c r="G9" s="1400">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+I39</f>
        <v>0</v>
      </c>
      <c r="E16" s="160">
        <f>+'[10]Payment Factors'!D23</f>
        <v>0.75</v>
      </c>
      <c r="F16" s="160">
        <f>+'[10]Payment Factors'!E23</f>
        <v>0.9</v>
      </c>
      <c r="G16" s="160">
        <f>+'[10]Payment Factors'!F23</f>
        <v>0</v>
      </c>
      <c r="H16" s="160">
        <f>+'[10]Payment Factors'!G23</f>
        <v>0</v>
      </c>
      <c r="I16" s="1154">
        <f t="shared" ref="I16:L24" si="0">+$D16*E16</f>
        <v>0</v>
      </c>
      <c r="J16" s="1154">
        <f t="shared" si="0"/>
        <v>0</v>
      </c>
      <c r="K16" s="1154">
        <f t="shared" si="0"/>
        <v>0</v>
      </c>
      <c r="L16" s="1155">
        <f t="shared" si="0"/>
        <v>0</v>
      </c>
    </row>
    <row r="17" spans="1:12" hidden="1">
      <c r="A17" s="2"/>
      <c r="B17" s="15" t="s">
        <v>2</v>
      </c>
      <c r="C17" s="16"/>
      <c r="D17" s="24">
        <f>+I42</f>
        <v>0</v>
      </c>
      <c r="E17" s="160">
        <f>+E16</f>
        <v>0.75</v>
      </c>
      <c r="F17" s="160">
        <f>+F16</f>
        <v>0.9</v>
      </c>
      <c r="G17" s="160">
        <f>+G16</f>
        <v>0</v>
      </c>
      <c r="H17" s="160">
        <f>+H16</f>
        <v>0</v>
      </c>
      <c r="I17" s="1154">
        <f t="shared" si="0"/>
        <v>0</v>
      </c>
      <c r="J17" s="1154">
        <f t="shared" si="0"/>
        <v>0</v>
      </c>
      <c r="K17" s="1154">
        <f t="shared" si="0"/>
        <v>0</v>
      </c>
      <c r="L17" s="1155">
        <f t="shared" si="0"/>
        <v>0</v>
      </c>
    </row>
    <row r="18" spans="1:12" hidden="1">
      <c r="A18" s="2"/>
      <c r="B18" s="15" t="s">
        <v>3</v>
      </c>
      <c r="C18" s="16"/>
      <c r="D18" s="24">
        <f>+I45</f>
        <v>25.82</v>
      </c>
      <c r="E18" s="160">
        <f>+E16</f>
        <v>0.75</v>
      </c>
      <c r="F18" s="160">
        <f>+F16</f>
        <v>0.9</v>
      </c>
      <c r="G18" s="160">
        <f>+G16</f>
        <v>0</v>
      </c>
      <c r="H18" s="160">
        <f>+H16</f>
        <v>0</v>
      </c>
      <c r="I18" s="1154">
        <f t="shared" si="0"/>
        <v>19.365000000000002</v>
      </c>
      <c r="J18" s="1154">
        <f t="shared" si="0"/>
        <v>23.238</v>
      </c>
      <c r="K18" s="1154">
        <f t="shared" si="0"/>
        <v>0</v>
      </c>
      <c r="L18" s="1155">
        <f t="shared" si="0"/>
        <v>0</v>
      </c>
    </row>
    <row r="19" spans="1:12" hidden="1">
      <c r="A19" s="2"/>
      <c r="B19" s="15" t="s">
        <v>4</v>
      </c>
      <c r="C19" s="16"/>
      <c r="D19" s="24">
        <f>+I50</f>
        <v>0</v>
      </c>
      <c r="E19" s="160">
        <v>0</v>
      </c>
      <c r="F19" s="160">
        <v>0</v>
      </c>
      <c r="G19" s="160">
        <v>0</v>
      </c>
      <c r="H19" s="160">
        <v>0</v>
      </c>
      <c r="I19" s="1154">
        <f t="shared" si="0"/>
        <v>0</v>
      </c>
      <c r="J19" s="1154">
        <f t="shared" si="0"/>
        <v>0</v>
      </c>
      <c r="K19" s="1154">
        <f t="shared" si="0"/>
        <v>0</v>
      </c>
      <c r="L19" s="1155">
        <f t="shared" si="0"/>
        <v>0</v>
      </c>
    </row>
    <row r="20" spans="1:12" hidden="1">
      <c r="A20" s="2"/>
      <c r="B20" s="15" t="s">
        <v>26</v>
      </c>
      <c r="C20" s="16"/>
      <c r="D20" s="24">
        <f>+I53</f>
        <v>0</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+I56</f>
        <v>7.68</v>
      </c>
      <c r="E21" s="160">
        <f>+E16</f>
        <v>0.75</v>
      </c>
      <c r="F21" s="160">
        <f>+F16</f>
        <v>0.9</v>
      </c>
      <c r="G21" s="160">
        <f t="shared" ref="G21:H23" si="1">+G16</f>
        <v>0</v>
      </c>
      <c r="H21" s="160">
        <f t="shared" si="1"/>
        <v>0</v>
      </c>
      <c r="I21" s="1154">
        <f t="shared" si="0"/>
        <v>5.76</v>
      </c>
      <c r="J21" s="1154">
        <f t="shared" si="0"/>
        <v>6.9119999999999999</v>
      </c>
      <c r="K21" s="1154">
        <f t="shared" si="0"/>
        <v>0</v>
      </c>
      <c r="L21" s="1155">
        <f t="shared" si="0"/>
        <v>0</v>
      </c>
    </row>
    <row r="22" spans="1:12" hidden="1">
      <c r="A22" s="2"/>
      <c r="B22" s="15" t="s">
        <v>27</v>
      </c>
      <c r="C22" s="16"/>
      <c r="D22" s="24">
        <f>+I61</f>
        <v>0</v>
      </c>
      <c r="E22" s="160">
        <f>+E16+0.25</f>
        <v>1</v>
      </c>
      <c r="F22" s="160">
        <f>+F16+0.1</f>
        <v>1</v>
      </c>
      <c r="G22" s="160">
        <f t="shared" si="1"/>
        <v>0</v>
      </c>
      <c r="H22" s="160">
        <f t="shared" si="1"/>
        <v>0</v>
      </c>
      <c r="I22" s="1154">
        <f t="shared" si="0"/>
        <v>0</v>
      </c>
      <c r="J22" s="1154">
        <f t="shared" si="0"/>
        <v>0</v>
      </c>
      <c r="K22" s="1154">
        <f t="shared" si="0"/>
        <v>0</v>
      </c>
      <c r="L22" s="1155">
        <f t="shared" si="0"/>
        <v>0</v>
      </c>
    </row>
    <row r="23" spans="1:12" hidden="1">
      <c r="A23" s="2"/>
      <c r="B23" s="15" t="s">
        <v>5</v>
      </c>
      <c r="C23" s="16"/>
      <c r="D23" s="24">
        <f>+I64</f>
        <v>0</v>
      </c>
      <c r="E23" s="160">
        <v>0</v>
      </c>
      <c r="F23" s="160">
        <v>0</v>
      </c>
      <c r="G23" s="160">
        <f t="shared" si="1"/>
        <v>0</v>
      </c>
      <c r="H23" s="160">
        <f t="shared" si="1"/>
        <v>0</v>
      </c>
      <c r="I23" s="1154">
        <f t="shared" si="0"/>
        <v>0</v>
      </c>
      <c r="J23" s="1154">
        <f t="shared" si="0"/>
        <v>0</v>
      </c>
      <c r="K23" s="1154">
        <f t="shared" si="0"/>
        <v>0</v>
      </c>
      <c r="L23" s="1155">
        <f t="shared" si="0"/>
        <v>0</v>
      </c>
    </row>
    <row r="24" spans="1:12" hidden="1">
      <c r="A24" s="2"/>
      <c r="B24" s="15" t="s">
        <v>20</v>
      </c>
      <c r="C24" s="16"/>
      <c r="D24" s="75">
        <f>+I67</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33.5</v>
      </c>
      <c r="E25" s="1158"/>
      <c r="F25" s="1158"/>
      <c r="G25" s="28"/>
      <c r="H25" s="28"/>
      <c r="I25" s="1159">
        <f>SUM(I16:I24)</f>
        <v>25.125</v>
      </c>
      <c r="J25" s="1159">
        <f>SUM(J16:J24)</f>
        <v>30.15</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ht="12.75" customHeight="1">
      <c r="A29" s="2"/>
      <c r="B29" s="2023" t="s">
        <v>1336</v>
      </c>
      <c r="C29" s="2024"/>
      <c r="D29" s="2024"/>
      <c r="E29" s="2024"/>
      <c r="F29" s="2024"/>
      <c r="G29" s="2024"/>
      <c r="H29" s="2024"/>
      <c r="I29" s="2025"/>
    </row>
    <row r="30" spans="1:12">
      <c r="A30" s="2"/>
      <c r="B30" s="2026"/>
      <c r="C30" s="2024"/>
      <c r="D30" s="2024"/>
      <c r="E30" s="2024"/>
      <c r="F30" s="2024"/>
      <c r="G30" s="2024"/>
      <c r="H30" s="2024"/>
      <c r="I30" s="2025"/>
    </row>
    <row r="31" spans="1:12" ht="25.5" customHeight="1">
      <c r="A31" s="2"/>
      <c r="B31" s="2026"/>
      <c r="C31" s="2024"/>
      <c r="D31" s="2024"/>
      <c r="E31" s="2024"/>
      <c r="F31" s="2024"/>
      <c r="G31" s="2024"/>
      <c r="H31" s="2024"/>
      <c r="I31" s="2025"/>
    </row>
    <row r="32" spans="1:12">
      <c r="A32" s="2"/>
      <c r="B32" s="37" t="s">
        <v>1337</v>
      </c>
      <c r="C32" s="34"/>
      <c r="D32" s="34"/>
      <c r="E32" s="35"/>
      <c r="F32" s="35"/>
      <c r="G32" s="35"/>
      <c r="H32" s="35"/>
      <c r="I32" s="36"/>
    </row>
    <row r="33" spans="1:9">
      <c r="A33" s="2"/>
      <c r="B33" s="38" t="s">
        <v>25</v>
      </c>
      <c r="C33" s="34"/>
      <c r="D33" s="39" t="s">
        <v>91</v>
      </c>
      <c r="E33" s="6"/>
      <c r="F33" s="35"/>
      <c r="G33" s="35"/>
      <c r="H33" s="35"/>
      <c r="I33" s="36"/>
    </row>
    <row r="34" spans="1:9">
      <c r="A34" s="2"/>
      <c r="B34" s="37"/>
      <c r="C34" s="34"/>
      <c r="D34" s="35"/>
      <c r="E34" s="6"/>
      <c r="F34" s="35"/>
      <c r="G34" s="35"/>
      <c r="H34" s="35"/>
      <c r="I34" s="36"/>
    </row>
    <row r="35" spans="1:9">
      <c r="A35" s="2"/>
      <c r="B35" s="38" t="s">
        <v>8</v>
      </c>
      <c r="C35" s="34"/>
      <c r="D35" s="39" t="s">
        <v>394</v>
      </c>
      <c r="E35" s="6"/>
      <c r="F35" s="35"/>
      <c r="G35" s="35"/>
      <c r="H35" s="35"/>
      <c r="I35" s="36"/>
    </row>
    <row r="36" spans="1:9">
      <c r="A36" s="2"/>
      <c r="B36" s="38" t="s">
        <v>9</v>
      </c>
      <c r="C36" s="34"/>
      <c r="D36" s="1164">
        <f>+'[10]Payment Factors'!C23</f>
        <v>1</v>
      </c>
      <c r="E36" s="6"/>
      <c r="F36" s="35"/>
      <c r="G36" s="35"/>
      <c r="H36" s="35"/>
      <c r="I36" s="36"/>
    </row>
    <row r="37" spans="1:9">
      <c r="A37" s="2"/>
      <c r="B37" s="38" t="s">
        <v>10</v>
      </c>
      <c r="C37" s="35"/>
      <c r="D37" s="93"/>
      <c r="E37" s="1165"/>
      <c r="F37" s="35"/>
      <c r="G37" s="35"/>
      <c r="H37" s="35"/>
      <c r="I37" s="147" t="s">
        <v>6</v>
      </c>
    </row>
    <row r="38" spans="1:9">
      <c r="A38" s="2"/>
      <c r="B38" s="40"/>
      <c r="C38" s="35"/>
      <c r="D38" s="35"/>
      <c r="E38" s="41"/>
      <c r="F38" s="35"/>
      <c r="G38" s="35"/>
      <c r="H38" s="35"/>
      <c r="I38" s="149"/>
    </row>
    <row r="39" spans="1:9">
      <c r="A39" s="2"/>
      <c r="B39" s="42" t="s">
        <v>0</v>
      </c>
      <c r="C39" s="35"/>
      <c r="D39" s="35"/>
      <c r="E39" s="35"/>
      <c r="F39" s="39"/>
      <c r="G39" s="35"/>
      <c r="H39" s="35"/>
      <c r="I39" s="1166">
        <v>0</v>
      </c>
    </row>
    <row r="40" spans="1:9">
      <c r="A40" s="2"/>
      <c r="B40" s="33" t="s">
        <v>104</v>
      </c>
      <c r="C40" s="35"/>
      <c r="D40" s="35"/>
      <c r="E40" s="35"/>
      <c r="F40" s="35"/>
      <c r="G40" s="35"/>
      <c r="H40" s="35"/>
      <c r="I40" s="36"/>
    </row>
    <row r="41" spans="1:9">
      <c r="A41" s="2"/>
      <c r="B41" s="1174"/>
      <c r="C41" s="35"/>
      <c r="D41" s="1167"/>
      <c r="E41" s="1167"/>
      <c r="F41" s="1167"/>
      <c r="G41" s="1167"/>
      <c r="H41" s="35"/>
      <c r="I41" s="46"/>
    </row>
    <row r="42" spans="1:9">
      <c r="A42" s="2"/>
      <c r="B42" s="42" t="s">
        <v>2</v>
      </c>
      <c r="C42" s="35"/>
      <c r="D42" s="35"/>
      <c r="E42" s="2003"/>
      <c r="F42" s="2003"/>
      <c r="G42" s="2003"/>
      <c r="H42" s="2003"/>
      <c r="I42" s="1166">
        <v>0</v>
      </c>
    </row>
    <row r="43" spans="1:9">
      <c r="A43" s="2"/>
      <c r="B43" s="33" t="s">
        <v>104</v>
      </c>
      <c r="C43" s="35"/>
      <c r="D43" s="35"/>
      <c r="E43" s="1402"/>
      <c r="F43" s="1402"/>
      <c r="G43" s="1402"/>
      <c r="H43" s="1402"/>
      <c r="I43" s="1166"/>
    </row>
    <row r="44" spans="1:9">
      <c r="A44" s="2"/>
      <c r="B44" s="1177"/>
      <c r="C44" s="1178"/>
      <c r="D44" s="1178"/>
      <c r="E44" s="1178"/>
      <c r="F44" s="1178"/>
      <c r="G44" s="1178"/>
      <c r="H44" s="1178"/>
      <c r="I44" s="1179"/>
    </row>
    <row r="45" spans="1:9">
      <c r="A45" s="2"/>
      <c r="B45" s="42" t="s">
        <v>3</v>
      </c>
      <c r="C45" s="35"/>
      <c r="D45" s="1178"/>
      <c r="E45" s="1178"/>
      <c r="F45" s="39"/>
      <c r="G45" s="35"/>
      <c r="H45" s="35"/>
      <c r="I45" s="1166">
        <f>(SUM(G47:G49))</f>
        <v>25.82</v>
      </c>
    </row>
    <row r="46" spans="1:9">
      <c r="A46" s="2"/>
      <c r="B46" s="33"/>
      <c r="C46" s="35"/>
      <c r="D46" s="1167" t="s">
        <v>447</v>
      </c>
      <c r="E46" s="1167" t="s">
        <v>448</v>
      </c>
      <c r="F46" s="1167" t="s">
        <v>449</v>
      </c>
      <c r="G46" s="1167" t="s">
        <v>450</v>
      </c>
      <c r="H46" s="35"/>
      <c r="I46" s="36"/>
    </row>
    <row r="47" spans="1:9">
      <c r="A47" s="2"/>
      <c r="B47" s="1401" t="str">
        <f>+'[19]Core Rates'!A128</f>
        <v>Field Scouting (for insects, weeds or diseases)</v>
      </c>
      <c r="C47" s="35"/>
      <c r="D47" s="1388" t="str">
        <f>+'[19]Core Rates'!B128</f>
        <v>Hrs</v>
      </c>
      <c r="E47" s="1388">
        <f>+'[19]Core Rates'!C128</f>
        <v>9.5</v>
      </c>
      <c r="F47" s="35">
        <v>1</v>
      </c>
      <c r="G47" s="1171">
        <f>+F47*E47</f>
        <v>9.5</v>
      </c>
      <c r="H47" s="35"/>
      <c r="I47" s="36"/>
    </row>
    <row r="48" spans="1:9">
      <c r="A48" s="2"/>
      <c r="B48" s="1401" t="str">
        <f>+'[19]Core Rates'!A276</f>
        <v>Sample Collection (Soil, Manure, Water and/or Plant Tissue Samples)</v>
      </c>
      <c r="C48" s="35"/>
      <c r="D48" s="1388" t="str">
        <f>+'[19]Core Rates'!B276</f>
        <v>Hrs</v>
      </c>
      <c r="E48" s="1388">
        <f>+'[19]Core Rates'!C276</f>
        <v>20.399999999999999</v>
      </c>
      <c r="F48" s="35">
        <v>0.8</v>
      </c>
      <c r="G48" s="1171">
        <f>+F48*E48</f>
        <v>16.32</v>
      </c>
      <c r="H48" s="35"/>
      <c r="I48" s="36"/>
    </row>
    <row r="49" spans="1:9">
      <c r="A49" s="2"/>
      <c r="B49" s="33"/>
      <c r="C49" s="35"/>
      <c r="D49" s="35"/>
      <c r="E49" s="35"/>
      <c r="F49" s="35"/>
      <c r="G49" s="35"/>
      <c r="H49" s="35"/>
      <c r="I49" s="36"/>
    </row>
    <row r="50" spans="1:9">
      <c r="A50" s="2"/>
      <c r="B50" s="42" t="s">
        <v>4</v>
      </c>
      <c r="C50" s="35"/>
      <c r="D50" s="35"/>
      <c r="E50" s="35"/>
      <c r="F50" s="35"/>
      <c r="G50" s="35"/>
      <c r="H50" s="35"/>
      <c r="I50" s="1182">
        <v>0</v>
      </c>
    </row>
    <row r="51" spans="1:9">
      <c r="A51" s="2"/>
      <c r="B51" s="33" t="s">
        <v>104</v>
      </c>
      <c r="C51" s="35"/>
      <c r="D51" s="35"/>
      <c r="E51" s="35"/>
      <c r="F51" s="35"/>
      <c r="G51" s="35"/>
      <c r="H51" s="35"/>
      <c r="I51" s="36"/>
    </row>
    <row r="52" spans="1:9">
      <c r="A52" s="2"/>
      <c r="B52" s="33"/>
      <c r="C52" s="35"/>
      <c r="D52" s="35"/>
      <c r="E52" s="35"/>
      <c r="F52" s="35"/>
      <c r="G52" s="35"/>
      <c r="H52" s="35"/>
      <c r="I52" s="36"/>
    </row>
    <row r="53" spans="1:9">
      <c r="A53" s="2"/>
      <c r="B53" s="42" t="s">
        <v>468</v>
      </c>
      <c r="C53" s="35"/>
      <c r="D53" s="35"/>
      <c r="E53" s="35"/>
      <c r="F53" s="35"/>
      <c r="G53" s="35"/>
      <c r="H53" s="35"/>
      <c r="I53" s="1182">
        <v>0</v>
      </c>
    </row>
    <row r="54" spans="1:9">
      <c r="A54" s="2"/>
      <c r="B54" s="33" t="s">
        <v>104</v>
      </c>
      <c r="C54" s="35"/>
      <c r="D54" s="35"/>
      <c r="E54" s="35"/>
      <c r="F54" s="35"/>
      <c r="G54" s="35"/>
      <c r="H54" s="35"/>
      <c r="I54" s="36"/>
    </row>
    <row r="55" spans="1:9">
      <c r="A55" s="2"/>
      <c r="B55" s="37"/>
      <c r="C55" s="35"/>
      <c r="D55" s="35"/>
      <c r="E55" s="35"/>
      <c r="F55" s="35"/>
      <c r="G55" s="35"/>
      <c r="H55" s="35"/>
      <c r="I55" s="36"/>
    </row>
    <row r="56" spans="1:9">
      <c r="A56" s="2"/>
      <c r="B56" s="42" t="s">
        <v>7</v>
      </c>
      <c r="C56" s="35"/>
      <c r="D56" s="35"/>
      <c r="E56" s="35"/>
      <c r="F56" s="35"/>
      <c r="G56" s="35"/>
      <c r="H56" s="35"/>
      <c r="I56" s="1166">
        <f>(SUM(G58))</f>
        <v>7.68</v>
      </c>
    </row>
    <row r="57" spans="1:9">
      <c r="A57" s="2"/>
      <c r="B57" s="33"/>
      <c r="C57" s="35"/>
      <c r="D57" s="1167" t="s">
        <v>447</v>
      </c>
      <c r="E57" s="1167" t="s">
        <v>448</v>
      </c>
      <c r="F57" s="1167" t="s">
        <v>449</v>
      </c>
      <c r="G57" s="1167" t="s">
        <v>450</v>
      </c>
      <c r="H57" s="35"/>
      <c r="I57" s="1166"/>
    </row>
    <row r="58" spans="1:9">
      <c r="A58" s="2"/>
      <c r="B58" s="1401" t="s">
        <v>1338</v>
      </c>
      <c r="C58" s="35"/>
      <c r="D58" s="1388" t="str">
        <f>+'[19]Core Rates'!B229</f>
        <v>Hrs</v>
      </c>
      <c r="E58" s="1388">
        <f>+'[19]Core Rates'!C229</f>
        <v>60</v>
      </c>
      <c r="F58" s="35">
        <f>16/125</f>
        <v>0.128</v>
      </c>
      <c r="G58" s="1171">
        <f>+F58*E58</f>
        <v>7.68</v>
      </c>
      <c r="H58" s="35"/>
      <c r="I58" s="1166"/>
    </row>
    <row r="59" spans="1:9">
      <c r="A59" s="2"/>
      <c r="B59" s="33" t="s">
        <v>1343</v>
      </c>
      <c r="C59" s="35"/>
      <c r="D59" s="35"/>
      <c r="E59" s="35"/>
      <c r="F59" s="35"/>
      <c r="G59" s="35"/>
      <c r="H59" s="35"/>
      <c r="I59" s="36"/>
    </row>
    <row r="60" spans="1:9">
      <c r="A60" s="2"/>
      <c r="B60" s="37"/>
      <c r="C60" s="35"/>
      <c r="D60" s="35"/>
      <c r="E60" s="35"/>
      <c r="F60" s="35"/>
      <c r="G60" s="35"/>
      <c r="H60" s="35"/>
      <c r="I60" s="36"/>
    </row>
    <row r="61" spans="1:9">
      <c r="A61" s="2"/>
      <c r="B61" s="42" t="s">
        <v>471</v>
      </c>
      <c r="C61" s="35"/>
      <c r="D61" s="35"/>
      <c r="E61" s="35"/>
      <c r="F61" s="39"/>
      <c r="G61" s="35"/>
      <c r="H61" s="35"/>
      <c r="I61" s="1166">
        <v>0</v>
      </c>
    </row>
    <row r="62" spans="1:9">
      <c r="A62" s="2"/>
      <c r="B62" s="756" t="s">
        <v>104</v>
      </c>
      <c r="C62" s="35"/>
      <c r="D62" s="35"/>
      <c r="E62" s="35"/>
      <c r="F62" s="35"/>
      <c r="G62" s="35"/>
      <c r="H62" s="35"/>
      <c r="I62" s="47"/>
    </row>
    <row r="63" spans="1:9">
      <c r="A63" s="2"/>
      <c r="B63" s="37"/>
      <c r="C63" s="35"/>
      <c r="D63" s="35"/>
      <c r="E63" s="35"/>
      <c r="F63" s="35"/>
      <c r="G63" s="35"/>
      <c r="H63" s="35"/>
      <c r="I63" s="36"/>
    </row>
    <row r="64" spans="1:9">
      <c r="A64" s="2"/>
      <c r="B64" s="42" t="s">
        <v>5</v>
      </c>
      <c r="C64" s="35"/>
      <c r="D64" s="35"/>
      <c r="E64" s="35"/>
      <c r="F64" s="35"/>
      <c r="G64" s="35"/>
      <c r="H64" s="35"/>
      <c r="I64" s="1166">
        <v>0</v>
      </c>
    </row>
    <row r="65" spans="1:9">
      <c r="A65" s="2"/>
      <c r="B65" s="756" t="s">
        <v>104</v>
      </c>
      <c r="C65" s="35"/>
      <c r="D65" s="35"/>
      <c r="E65" s="35"/>
      <c r="F65" s="35"/>
      <c r="G65" s="35"/>
      <c r="H65" s="35"/>
      <c r="I65" s="47"/>
    </row>
    <row r="66" spans="1:9">
      <c r="A66" s="2"/>
      <c r="B66" s="37"/>
      <c r="C66" s="35"/>
      <c r="D66" s="35"/>
      <c r="E66" s="35"/>
      <c r="F66" s="35"/>
      <c r="G66" s="35"/>
      <c r="H66" s="35"/>
      <c r="I66" s="36"/>
    </row>
    <row r="67" spans="1:9">
      <c r="A67" s="2"/>
      <c r="B67" s="42" t="s">
        <v>20</v>
      </c>
      <c r="C67" s="35"/>
      <c r="D67" s="35"/>
      <c r="E67" s="35"/>
      <c r="F67" s="35"/>
      <c r="G67" s="35"/>
      <c r="H67" s="35"/>
      <c r="I67" s="1166">
        <v>0</v>
      </c>
    </row>
    <row r="68" spans="1:9">
      <c r="A68" s="2"/>
      <c r="B68" s="33" t="s">
        <v>104</v>
      </c>
      <c r="C68" s="35"/>
      <c r="D68" s="35"/>
      <c r="E68" s="35"/>
      <c r="F68" s="35"/>
      <c r="G68" s="35"/>
      <c r="H68" s="35"/>
      <c r="I68" s="36"/>
    </row>
    <row r="69" spans="1:9">
      <c r="A69" s="2"/>
      <c r="B69" s="40"/>
      <c r="C69" s="35"/>
      <c r="D69" s="35"/>
      <c r="E69" s="35"/>
      <c r="F69" s="35"/>
      <c r="G69" s="35"/>
      <c r="H69" s="35"/>
      <c r="I69" s="36"/>
    </row>
    <row r="70" spans="1:9">
      <c r="A70" s="2"/>
      <c r="B70" s="42" t="s">
        <v>473</v>
      </c>
      <c r="C70" s="35"/>
      <c r="D70" s="35"/>
      <c r="E70" s="35"/>
      <c r="F70" s="35"/>
      <c r="G70" s="35"/>
      <c r="H70" s="35"/>
      <c r="I70" s="1183">
        <f>+I39+I42+I45+I50+I56+I67</f>
        <v>33.5</v>
      </c>
    </row>
    <row r="71" spans="1:9" ht="15.75">
      <c r="A71" s="2"/>
      <c r="B71" s="33" t="s">
        <v>474</v>
      </c>
      <c r="C71" s="35"/>
      <c r="D71" s="35"/>
      <c r="E71" s="35"/>
      <c r="F71" s="35"/>
      <c r="G71" s="35"/>
      <c r="H71" s="35"/>
      <c r="I71" s="36"/>
    </row>
    <row r="72" spans="1:9">
      <c r="A72" s="2"/>
      <c r="B72" s="40"/>
      <c r="C72" s="35"/>
      <c r="D72" s="35"/>
      <c r="E72" s="35"/>
      <c r="F72" s="35"/>
      <c r="G72" s="35"/>
      <c r="H72" s="35"/>
      <c r="I72" s="36"/>
    </row>
    <row r="73" spans="1:9">
      <c r="A73" s="2"/>
      <c r="B73" s="43" t="s">
        <v>11</v>
      </c>
      <c r="C73" s="44"/>
      <c r="D73" s="44"/>
      <c r="E73" s="44"/>
      <c r="F73" s="44"/>
      <c r="G73" s="44"/>
      <c r="H73" s="44"/>
      <c r="I73" s="621">
        <f>SUM(I39:I67)</f>
        <v>33.5</v>
      </c>
    </row>
  </sheetData>
  <mergeCells count="3">
    <mergeCell ref="B1:D1"/>
    <mergeCell ref="B29:I31"/>
    <mergeCell ref="E42:H42"/>
  </mergeCells>
  <pageMargins left="0.75" right="0.75" top="1" bottom="1" header="0.5" footer="0.5"/>
  <pageSetup scale="54" orientation="portrait" r:id="rId1"/>
  <headerFooter alignWithMargins="0"/>
</worksheet>
</file>

<file path=xl/worksheets/sheet76.xml><?xml version="1.0" encoding="utf-8"?>
<worksheet xmlns="http://schemas.openxmlformats.org/spreadsheetml/2006/main" xmlns:r="http://schemas.openxmlformats.org/officeDocument/2006/relationships">
  <dimension ref="A1:M99"/>
  <sheetViews>
    <sheetView zoomScaleNormal="100" workbookViewId="0">
      <selection activeCell="D77" sqref="D77:H79"/>
    </sheetView>
  </sheetViews>
  <sheetFormatPr defaultRowHeight="12.75"/>
  <cols>
    <col min="1" max="1" width="11.42578125" style="637" customWidth="1"/>
    <col min="2" max="2" width="17.5703125" style="637" customWidth="1"/>
    <col min="3" max="3" width="12.28515625" style="637" customWidth="1"/>
    <col min="4" max="4" width="11.140625" style="637" customWidth="1"/>
    <col min="5" max="12" width="15.7109375" style="637" customWidth="1"/>
    <col min="13" max="16384" width="9.140625" style="637"/>
  </cols>
  <sheetData>
    <row r="1" spans="1:13" ht="15.75" customHeight="1">
      <c r="A1" s="2027" t="s">
        <v>493</v>
      </c>
      <c r="B1" s="2028"/>
      <c r="C1" s="2028"/>
      <c r="D1" s="2029"/>
      <c r="E1" s="2029"/>
      <c r="F1" s="2029"/>
      <c r="G1" s="2029"/>
      <c r="H1" s="2030"/>
      <c r="I1" s="636"/>
      <c r="J1" s="636"/>
      <c r="K1" s="636"/>
      <c r="L1" s="636"/>
      <c r="M1" s="636"/>
    </row>
    <row r="2" spans="1:13" ht="15.75">
      <c r="A2" s="2031" t="s">
        <v>494</v>
      </c>
      <c r="B2" s="2032"/>
      <c r="C2" s="2032"/>
      <c r="D2" s="2033"/>
      <c r="E2" s="2033"/>
      <c r="F2" s="2033"/>
      <c r="G2" s="2033"/>
      <c r="H2" s="2034"/>
      <c r="I2" s="636"/>
      <c r="J2" s="636"/>
      <c r="K2" s="636"/>
      <c r="L2" s="636"/>
      <c r="M2" s="636"/>
    </row>
    <row r="3" spans="1:13" ht="15.75">
      <c r="A3" s="2031" t="s">
        <v>495</v>
      </c>
      <c r="B3" s="2032"/>
      <c r="C3" s="2032"/>
      <c r="D3" s="2033"/>
      <c r="E3" s="2033"/>
      <c r="F3" s="2033"/>
      <c r="G3" s="2033"/>
      <c r="H3" s="2034"/>
      <c r="I3" s="636"/>
      <c r="J3" s="636"/>
      <c r="K3" s="636"/>
      <c r="L3" s="636"/>
      <c r="M3" s="636"/>
    </row>
    <row r="4" spans="1:13" ht="16.5" thickBot="1">
      <c r="A4" s="2031" t="s">
        <v>496</v>
      </c>
      <c r="B4" s="2032"/>
      <c r="C4" s="2032"/>
      <c r="D4" s="2033"/>
      <c r="E4" s="2033"/>
      <c r="F4" s="2033"/>
      <c r="G4" s="2033"/>
      <c r="H4" s="2034"/>
      <c r="I4" s="636"/>
      <c r="J4" s="636"/>
      <c r="K4" s="636"/>
      <c r="L4" s="636"/>
      <c r="M4" s="636"/>
    </row>
    <row r="5" spans="1:13" ht="17.25" thickBot="1">
      <c r="A5" s="2035" t="s">
        <v>17</v>
      </c>
      <c r="B5" s="2036"/>
      <c r="C5" s="2036"/>
      <c r="D5" s="2037"/>
      <c r="E5" s="2037"/>
      <c r="F5" s="2037"/>
      <c r="G5" s="2037"/>
      <c r="H5" s="2037"/>
      <c r="I5" s="636"/>
      <c r="J5" s="636"/>
      <c r="K5" s="636"/>
      <c r="L5" s="636"/>
      <c r="M5" s="636"/>
    </row>
    <row r="6" spans="1:13" ht="33">
      <c r="A6" s="638" t="s">
        <v>37</v>
      </c>
      <c r="B6" s="639" t="s">
        <v>22</v>
      </c>
      <c r="C6" s="2038" t="s">
        <v>497</v>
      </c>
      <c r="D6" s="2038"/>
      <c r="E6" s="2038" t="s">
        <v>30</v>
      </c>
      <c r="F6" s="2038"/>
      <c r="G6" s="639" t="s">
        <v>498</v>
      </c>
      <c r="H6" s="640" t="s">
        <v>76</v>
      </c>
      <c r="I6" s="641"/>
    </row>
    <row r="7" spans="1:13" ht="16.5">
      <c r="A7" s="642">
        <f>D23</f>
        <v>330</v>
      </c>
      <c r="B7" s="643" t="s">
        <v>499</v>
      </c>
      <c r="C7" s="2041" t="str">
        <f>E23</f>
        <v>Contour Farming</v>
      </c>
      <c r="D7" s="2041"/>
      <c r="E7" s="2042" t="str">
        <f>D24</f>
        <v>Contour Farming</v>
      </c>
      <c r="F7" s="2042"/>
      <c r="G7" s="644" t="str">
        <f>H31</f>
        <v>Acre</v>
      </c>
      <c r="H7" s="645">
        <f>ROUND(F20,1)</f>
        <v>10.199999999999999</v>
      </c>
    </row>
    <row r="8" spans="1:13" ht="17.25" thickBot="1">
      <c r="A8" s="646">
        <f>D23</f>
        <v>330</v>
      </c>
      <c r="B8" s="643" t="s">
        <v>499</v>
      </c>
      <c r="C8" s="2043" t="str">
        <f>E23</f>
        <v>Contour Farming</v>
      </c>
      <c r="D8" s="2043"/>
      <c r="E8" s="2043" t="s">
        <v>500</v>
      </c>
      <c r="F8" s="2043"/>
      <c r="G8" s="647" t="str">
        <f>H31</f>
        <v>Acre</v>
      </c>
      <c r="H8" s="648">
        <f>ROUND(H20,1)</f>
        <v>12.2</v>
      </c>
    </row>
    <row r="9" spans="1:13" ht="15.75" customHeight="1" thickBot="1">
      <c r="A9" s="2044" t="s">
        <v>18</v>
      </c>
      <c r="B9" s="2045"/>
      <c r="C9" s="2045"/>
      <c r="D9" s="2046"/>
      <c r="E9" s="2046"/>
      <c r="F9" s="2046"/>
      <c r="G9" s="2046"/>
      <c r="H9" s="2046"/>
    </row>
    <row r="10" spans="1:13" ht="49.5">
      <c r="A10" s="2047" t="s">
        <v>16</v>
      </c>
      <c r="B10" s="2048"/>
      <c r="C10" s="2048"/>
      <c r="D10" s="649" t="s">
        <v>6</v>
      </c>
      <c r="E10" s="649" t="s">
        <v>501</v>
      </c>
      <c r="F10" s="649" t="s">
        <v>502</v>
      </c>
      <c r="G10" s="649" t="s">
        <v>503</v>
      </c>
      <c r="H10" s="650" t="s">
        <v>504</v>
      </c>
    </row>
    <row r="11" spans="1:13" ht="16.5">
      <c r="A11" s="2039" t="s">
        <v>0</v>
      </c>
      <c r="B11" s="2040"/>
      <c r="C11" s="2040"/>
      <c r="D11" s="651">
        <f>G39</f>
        <v>0</v>
      </c>
      <c r="E11" s="652">
        <v>0.75</v>
      </c>
      <c r="F11" s="651">
        <f>D11*E11</f>
        <v>0</v>
      </c>
      <c r="G11" s="652">
        <v>0.9</v>
      </c>
      <c r="H11" s="653">
        <f>D11*G11</f>
        <v>0</v>
      </c>
    </row>
    <row r="12" spans="1:13" ht="16.5">
      <c r="A12" s="2039" t="s">
        <v>505</v>
      </c>
      <c r="B12" s="2040"/>
      <c r="C12" s="2040"/>
      <c r="D12" s="651">
        <f>G45</f>
        <v>0</v>
      </c>
      <c r="E12" s="652">
        <v>0.75</v>
      </c>
      <c r="F12" s="651">
        <f t="shared" ref="F12:F19" si="0">D12*E12</f>
        <v>0</v>
      </c>
      <c r="G12" s="652">
        <v>0.9</v>
      </c>
      <c r="H12" s="653">
        <f t="shared" ref="H12:H19" si="1">D12*G12</f>
        <v>0</v>
      </c>
    </row>
    <row r="13" spans="1:13" ht="16.5">
      <c r="A13" s="2039" t="s">
        <v>3</v>
      </c>
      <c r="B13" s="2040"/>
      <c r="C13" s="2040"/>
      <c r="D13" s="651">
        <f>G51</f>
        <v>0.73280000000000001</v>
      </c>
      <c r="E13" s="652">
        <v>0.75</v>
      </c>
      <c r="F13" s="651">
        <f t="shared" si="0"/>
        <v>0.54959999999999998</v>
      </c>
      <c r="G13" s="652">
        <v>0.9</v>
      </c>
      <c r="H13" s="653">
        <f t="shared" si="1"/>
        <v>0.65952</v>
      </c>
    </row>
    <row r="14" spans="1:13" ht="16.5">
      <c r="A14" s="2039" t="s">
        <v>4</v>
      </c>
      <c r="B14" s="2040"/>
      <c r="C14" s="2040"/>
      <c r="D14" s="651">
        <f>G58</f>
        <v>0</v>
      </c>
      <c r="E14" s="652">
        <v>0.75</v>
      </c>
      <c r="F14" s="651">
        <f t="shared" si="0"/>
        <v>0</v>
      </c>
      <c r="G14" s="652">
        <v>0.9</v>
      </c>
      <c r="H14" s="653">
        <f t="shared" si="1"/>
        <v>0</v>
      </c>
    </row>
    <row r="15" spans="1:13" ht="16.5">
      <c r="A15" s="2039" t="s">
        <v>506</v>
      </c>
      <c r="B15" s="2040"/>
      <c r="C15" s="2040"/>
      <c r="D15" s="651">
        <f>G64</f>
        <v>0.232656</v>
      </c>
      <c r="E15" s="652">
        <v>0</v>
      </c>
      <c r="F15" s="651">
        <f t="shared" si="0"/>
        <v>0</v>
      </c>
      <c r="G15" s="652">
        <v>0</v>
      </c>
      <c r="H15" s="653">
        <f t="shared" si="1"/>
        <v>0</v>
      </c>
    </row>
    <row r="16" spans="1:13" ht="16.5">
      <c r="A16" s="2039" t="s">
        <v>507</v>
      </c>
      <c r="B16" s="2040"/>
      <c r="C16" s="2040"/>
      <c r="D16" s="651">
        <f>G70</f>
        <v>1.96</v>
      </c>
      <c r="E16" s="652">
        <v>0.75</v>
      </c>
      <c r="F16" s="651">
        <f t="shared" si="0"/>
        <v>1.47</v>
      </c>
      <c r="G16" s="652">
        <v>0.9</v>
      </c>
      <c r="H16" s="653">
        <f t="shared" si="1"/>
        <v>1.764</v>
      </c>
    </row>
    <row r="17" spans="1:12" ht="16.5">
      <c r="A17" s="2039" t="s">
        <v>27</v>
      </c>
      <c r="B17" s="2040"/>
      <c r="C17" s="2040"/>
      <c r="D17" s="651">
        <f>G76</f>
        <v>10.9</v>
      </c>
      <c r="E17" s="652">
        <v>0.75</v>
      </c>
      <c r="F17" s="651">
        <f t="shared" si="0"/>
        <v>8.1750000000000007</v>
      </c>
      <c r="G17" s="652">
        <v>0.9</v>
      </c>
      <c r="H17" s="653">
        <f t="shared" si="1"/>
        <v>9.81</v>
      </c>
      <c r="I17" s="641"/>
    </row>
    <row r="18" spans="1:12" ht="16.5">
      <c r="A18" s="2039" t="s">
        <v>5</v>
      </c>
      <c r="B18" s="2040"/>
      <c r="C18" s="2040"/>
      <c r="D18" s="651">
        <f>G84</f>
        <v>0</v>
      </c>
      <c r="E18" s="652">
        <v>0</v>
      </c>
      <c r="F18" s="651">
        <f t="shared" si="0"/>
        <v>0</v>
      </c>
      <c r="G18" s="652">
        <v>0</v>
      </c>
      <c r="H18" s="653">
        <f t="shared" si="1"/>
        <v>0</v>
      </c>
    </row>
    <row r="19" spans="1:12" ht="16.5">
      <c r="A19" s="2039" t="s">
        <v>508</v>
      </c>
      <c r="B19" s="2040"/>
      <c r="C19" s="2040"/>
      <c r="D19" s="651">
        <f>G90</f>
        <v>0</v>
      </c>
      <c r="E19" s="652">
        <v>0</v>
      </c>
      <c r="F19" s="651">
        <f t="shared" si="0"/>
        <v>0</v>
      </c>
      <c r="G19" s="652">
        <v>0</v>
      </c>
      <c r="H19" s="653">
        <f t="shared" si="1"/>
        <v>0</v>
      </c>
    </row>
    <row r="20" spans="1:12" ht="17.25" thickBot="1">
      <c r="A20" s="2063" t="s">
        <v>509</v>
      </c>
      <c r="B20" s="2064"/>
      <c r="C20" s="2064"/>
      <c r="D20" s="654">
        <f>SUM(D11:D19)</f>
        <v>13.825456000000001</v>
      </c>
      <c r="E20" s="655"/>
      <c r="F20" s="654">
        <f>SUM(F11:F19)</f>
        <v>10.194600000000001</v>
      </c>
      <c r="G20" s="656"/>
      <c r="H20" s="657">
        <f>SUM(H11:H19)</f>
        <v>12.23352</v>
      </c>
    </row>
    <row r="21" spans="1:12" ht="15">
      <c r="A21" s="658"/>
      <c r="B21" s="658"/>
      <c r="C21" s="658"/>
      <c r="D21" s="659"/>
      <c r="E21" s="660"/>
      <c r="F21" s="659"/>
      <c r="G21" s="661"/>
      <c r="H21" s="659"/>
      <c r="I21" s="661"/>
      <c r="J21" s="659"/>
      <c r="K21" s="661"/>
      <c r="L21" s="659"/>
    </row>
    <row r="22" spans="1:12" ht="17.25" thickBot="1">
      <c r="A22" s="2044" t="s">
        <v>510</v>
      </c>
      <c r="B22" s="2045"/>
      <c r="C22" s="2045"/>
      <c r="D22" s="2046"/>
      <c r="E22" s="2046"/>
      <c r="F22" s="2046"/>
      <c r="G22" s="2046"/>
      <c r="H22" s="2046"/>
    </row>
    <row r="23" spans="1:12" ht="16.5">
      <c r="A23" s="2065" t="s">
        <v>511</v>
      </c>
      <c r="B23" s="2066"/>
      <c r="C23" s="2067"/>
      <c r="D23" s="662">
        <v>330</v>
      </c>
      <c r="E23" s="2068" t="s">
        <v>512</v>
      </c>
      <c r="F23" s="2069"/>
      <c r="G23" s="2069"/>
      <c r="H23" s="2070"/>
    </row>
    <row r="24" spans="1:12" ht="16.5">
      <c r="A24" s="2049" t="s">
        <v>513</v>
      </c>
      <c r="B24" s="2050"/>
      <c r="C24" s="2051"/>
      <c r="D24" s="2052" t="s">
        <v>512</v>
      </c>
      <c r="E24" s="2053"/>
      <c r="F24" s="2053"/>
      <c r="G24" s="2053"/>
      <c r="H24" s="2054"/>
    </row>
    <row r="25" spans="1:12" ht="16.5">
      <c r="A25" s="2055" t="s">
        <v>385</v>
      </c>
      <c r="B25" s="2056"/>
      <c r="C25" s="2056"/>
      <c r="D25" s="2056"/>
      <c r="E25" s="2056"/>
      <c r="F25" s="2056"/>
      <c r="G25" s="2056"/>
      <c r="H25" s="2057"/>
    </row>
    <row r="26" spans="1:12" ht="51.75" customHeight="1">
      <c r="A26" s="2058" t="s">
        <v>514</v>
      </c>
      <c r="B26" s="2059"/>
      <c r="C26" s="2059"/>
      <c r="D26" s="2059"/>
      <c r="E26" s="2059"/>
      <c r="F26" s="2059"/>
      <c r="G26" s="2059"/>
      <c r="H26" s="2060"/>
    </row>
    <row r="27" spans="1:12" ht="12.75" customHeight="1">
      <c r="A27" s="2055" t="s">
        <v>391</v>
      </c>
      <c r="B27" s="2056"/>
      <c r="C27" s="2056"/>
      <c r="D27" s="2056"/>
      <c r="E27" s="2056"/>
      <c r="F27" s="2056"/>
      <c r="G27" s="2056"/>
      <c r="H27" s="2057"/>
    </row>
    <row r="28" spans="1:12" ht="17.25" customHeight="1">
      <c r="A28" s="2058" t="s">
        <v>515</v>
      </c>
      <c r="B28" s="2059"/>
      <c r="C28" s="2059"/>
      <c r="D28" s="2061"/>
      <c r="E28" s="2061"/>
      <c r="F28" s="2061"/>
      <c r="G28" s="2061"/>
      <c r="H28" s="2062"/>
    </row>
    <row r="29" spans="1:12">
      <c r="A29" s="663"/>
      <c r="B29" s="664"/>
      <c r="C29" s="664"/>
      <c r="D29" s="664"/>
      <c r="E29" s="664"/>
      <c r="F29" s="664"/>
      <c r="G29" s="664"/>
      <c r="H29" s="665"/>
    </row>
    <row r="30" spans="1:12" ht="16.5">
      <c r="A30" s="2090" t="s">
        <v>516</v>
      </c>
      <c r="B30" s="2091"/>
      <c r="C30" s="2091"/>
      <c r="D30" s="2092"/>
      <c r="E30" s="2092"/>
      <c r="F30" s="2092"/>
      <c r="G30" s="2093"/>
      <c r="H30" s="666" t="s">
        <v>91</v>
      </c>
    </row>
    <row r="31" spans="1:12" ht="16.5">
      <c r="A31" s="2094" t="s">
        <v>517</v>
      </c>
      <c r="B31" s="2095"/>
      <c r="C31" s="2095"/>
      <c r="D31" s="2096"/>
      <c r="E31" s="2096"/>
      <c r="F31" s="2096"/>
      <c r="G31" s="2097"/>
      <c r="H31" s="666" t="s">
        <v>394</v>
      </c>
    </row>
    <row r="32" spans="1:12" ht="16.5">
      <c r="A32" s="2084" t="s">
        <v>518</v>
      </c>
      <c r="B32" s="2085"/>
      <c r="C32" s="2085"/>
      <c r="D32" s="2098"/>
      <c r="E32" s="2098"/>
      <c r="F32" s="2098"/>
      <c r="G32" s="2099"/>
      <c r="H32" s="2100">
        <v>50</v>
      </c>
    </row>
    <row r="33" spans="1:8">
      <c r="A33" s="2102" t="s">
        <v>519</v>
      </c>
      <c r="B33" s="2103"/>
      <c r="C33" s="2103"/>
      <c r="D33" s="2103"/>
      <c r="E33" s="2103"/>
      <c r="F33" s="2103"/>
      <c r="G33" s="2104"/>
      <c r="H33" s="2101"/>
    </row>
    <row r="34" spans="1:8" ht="13.5">
      <c r="A34" s="2105" t="s">
        <v>520</v>
      </c>
      <c r="B34" s="2106"/>
      <c r="C34" s="2107"/>
      <c r="D34" s="667">
        <v>5</v>
      </c>
      <c r="E34" s="2108" t="s">
        <v>521</v>
      </c>
      <c r="F34" s="2109"/>
      <c r="G34" s="2110"/>
      <c r="H34" s="668">
        <v>0.06</v>
      </c>
    </row>
    <row r="35" spans="1:8" ht="5.25" customHeight="1">
      <c r="A35" s="669"/>
      <c r="B35" s="670"/>
      <c r="C35" s="670"/>
      <c r="D35" s="670"/>
      <c r="E35" s="670"/>
      <c r="F35" s="670"/>
      <c r="G35" s="670"/>
      <c r="H35" s="671"/>
    </row>
    <row r="36" spans="1:8" ht="16.5">
      <c r="A36" s="2071" t="s">
        <v>0</v>
      </c>
      <c r="B36" s="2072"/>
      <c r="C36" s="2072"/>
      <c r="D36" s="2072"/>
      <c r="E36" s="2072"/>
      <c r="F36" s="2072"/>
      <c r="G36" s="2072"/>
      <c r="H36" s="2073"/>
    </row>
    <row r="37" spans="1:8" ht="33">
      <c r="A37" s="2074" t="s">
        <v>522</v>
      </c>
      <c r="B37" s="2075"/>
      <c r="C37" s="2076"/>
      <c r="D37" s="672" t="s">
        <v>447</v>
      </c>
      <c r="E37" s="672" t="s">
        <v>6</v>
      </c>
      <c r="F37" s="672" t="s">
        <v>523</v>
      </c>
      <c r="G37" s="672" t="s">
        <v>524</v>
      </c>
      <c r="H37" s="673" t="s">
        <v>525</v>
      </c>
    </row>
    <row r="38" spans="1:8" ht="13.5" thickBot="1">
      <c r="A38" s="2077" t="s">
        <v>526</v>
      </c>
      <c r="B38" s="2078"/>
      <c r="C38" s="2079"/>
      <c r="D38" s="674"/>
      <c r="E38" s="675"/>
      <c r="F38" s="674"/>
      <c r="G38" s="675">
        <f>E38*F38</f>
        <v>0</v>
      </c>
      <c r="H38" s="676"/>
    </row>
    <row r="39" spans="1:8" ht="17.25" thickTop="1">
      <c r="A39" s="2080" t="s">
        <v>527</v>
      </c>
      <c r="B39" s="2081"/>
      <c r="C39" s="2081"/>
      <c r="D39" s="2082"/>
      <c r="E39" s="2082"/>
      <c r="F39" s="2083"/>
      <c r="G39" s="677">
        <f>SUM(G38:G38)</f>
        <v>0</v>
      </c>
      <c r="H39" s="678">
        <f>SUM(H38:H38)</f>
        <v>0</v>
      </c>
    </row>
    <row r="40" spans="1:8" ht="16.5">
      <c r="A40" s="2084" t="s">
        <v>528</v>
      </c>
      <c r="B40" s="2085"/>
      <c r="C40" s="2086"/>
      <c r="D40" s="2087"/>
      <c r="E40" s="2088"/>
      <c r="F40" s="2088"/>
      <c r="G40" s="2088"/>
      <c r="H40" s="2089"/>
    </row>
    <row r="41" spans="1:8" ht="5.25" customHeight="1">
      <c r="A41" s="669"/>
      <c r="B41" s="670"/>
      <c r="C41" s="670"/>
      <c r="D41" s="670"/>
      <c r="E41" s="670"/>
      <c r="F41" s="670"/>
      <c r="G41" s="670"/>
      <c r="H41" s="671"/>
    </row>
    <row r="42" spans="1:8" ht="16.5">
      <c r="A42" s="2071" t="s">
        <v>2</v>
      </c>
      <c r="B42" s="2072"/>
      <c r="C42" s="2072"/>
      <c r="D42" s="2072"/>
      <c r="E42" s="2072"/>
      <c r="F42" s="2072"/>
      <c r="G42" s="2072"/>
      <c r="H42" s="2073"/>
    </row>
    <row r="43" spans="1:8" ht="33">
      <c r="A43" s="2074" t="s">
        <v>529</v>
      </c>
      <c r="B43" s="2075"/>
      <c r="C43" s="2076"/>
      <c r="D43" s="672" t="s">
        <v>447</v>
      </c>
      <c r="E43" s="672" t="s">
        <v>6</v>
      </c>
      <c r="F43" s="672" t="s">
        <v>523</v>
      </c>
      <c r="G43" s="672" t="s">
        <v>524</v>
      </c>
      <c r="H43" s="673" t="s">
        <v>525</v>
      </c>
    </row>
    <row r="44" spans="1:8" ht="13.5" thickBot="1">
      <c r="A44" s="2120" t="s">
        <v>526</v>
      </c>
      <c r="B44" s="2121"/>
      <c r="C44" s="2122"/>
      <c r="D44" s="674"/>
      <c r="E44" s="675"/>
      <c r="F44" s="674"/>
      <c r="G44" s="675"/>
      <c r="H44" s="676"/>
    </row>
    <row r="45" spans="1:8" ht="17.25" thickTop="1">
      <c r="A45" s="2080" t="s">
        <v>530</v>
      </c>
      <c r="B45" s="2081"/>
      <c r="C45" s="2081"/>
      <c r="D45" s="2082"/>
      <c r="E45" s="2082"/>
      <c r="F45" s="2083"/>
      <c r="G45" s="677">
        <f>SUM(G44:G44)</f>
        <v>0</v>
      </c>
      <c r="H45" s="678">
        <f>SUM(H44:H44)</f>
        <v>0</v>
      </c>
    </row>
    <row r="46" spans="1:8" ht="16.5">
      <c r="A46" s="2084" t="s">
        <v>528</v>
      </c>
      <c r="B46" s="2085"/>
      <c r="C46" s="2086"/>
      <c r="D46" s="2087"/>
      <c r="E46" s="2088"/>
      <c r="F46" s="2088"/>
      <c r="G46" s="2088"/>
      <c r="H46" s="2089"/>
    </row>
    <row r="47" spans="1:8" ht="5.25" customHeight="1">
      <c r="A47" s="669"/>
      <c r="B47" s="670"/>
      <c r="C47" s="670"/>
      <c r="D47" s="670"/>
      <c r="E47" s="670"/>
      <c r="F47" s="670"/>
      <c r="G47" s="670"/>
      <c r="H47" s="671"/>
    </row>
    <row r="48" spans="1:8" ht="16.5">
      <c r="A48" s="2071" t="s">
        <v>3</v>
      </c>
      <c r="B48" s="2072"/>
      <c r="C48" s="2072"/>
      <c r="D48" s="2072"/>
      <c r="E48" s="2072"/>
      <c r="F48" s="2072"/>
      <c r="G48" s="2072"/>
      <c r="H48" s="2073"/>
    </row>
    <row r="49" spans="1:8" ht="33">
      <c r="A49" s="2074" t="s">
        <v>531</v>
      </c>
      <c r="B49" s="2075"/>
      <c r="C49" s="2076"/>
      <c r="D49" s="672" t="s">
        <v>447</v>
      </c>
      <c r="E49" s="672" t="s">
        <v>6</v>
      </c>
      <c r="F49" s="672" t="s">
        <v>523</v>
      </c>
      <c r="G49" s="672" t="s">
        <v>524</v>
      </c>
      <c r="H49" s="673" t="s">
        <v>525</v>
      </c>
    </row>
    <row r="50" spans="1:8" ht="26.25" customHeight="1" thickBot="1">
      <c r="A50" s="2077" t="s">
        <v>532</v>
      </c>
      <c r="B50" s="2078"/>
      <c r="C50" s="2079"/>
      <c r="D50" s="674" t="s">
        <v>533</v>
      </c>
      <c r="E50" s="679">
        <v>18.32</v>
      </c>
      <c r="F50" s="674">
        <v>2</v>
      </c>
      <c r="G50" s="675">
        <f>E50*F50/H32</f>
        <v>0.73280000000000001</v>
      </c>
      <c r="H50" s="676"/>
    </row>
    <row r="51" spans="1:8" ht="17.25" thickTop="1">
      <c r="A51" s="2080" t="s">
        <v>534</v>
      </c>
      <c r="B51" s="2081"/>
      <c r="C51" s="2081"/>
      <c r="D51" s="2082"/>
      <c r="E51" s="2082"/>
      <c r="F51" s="2083"/>
      <c r="G51" s="677">
        <f>SUM(G50:G50)</f>
        <v>0.73280000000000001</v>
      </c>
      <c r="H51" s="678">
        <f>SUM(H50:H50)</f>
        <v>0</v>
      </c>
    </row>
    <row r="52" spans="1:8">
      <c r="A52" s="2084" t="s">
        <v>528</v>
      </c>
      <c r="B52" s="2085"/>
      <c r="C52" s="2086"/>
      <c r="D52" s="2114" t="s">
        <v>535</v>
      </c>
      <c r="E52" s="2115"/>
      <c r="F52" s="2115"/>
      <c r="G52" s="2115"/>
      <c r="H52" s="2116"/>
    </row>
    <row r="53" spans="1:8">
      <c r="A53" s="2111"/>
      <c r="B53" s="2112"/>
      <c r="C53" s="2113"/>
      <c r="D53" s="2117"/>
      <c r="E53" s="2118"/>
      <c r="F53" s="2118"/>
      <c r="G53" s="2118"/>
      <c r="H53" s="2119"/>
    </row>
    <row r="54" spans="1:8" ht="5.25" customHeight="1">
      <c r="A54" s="669"/>
      <c r="B54" s="670"/>
      <c r="C54" s="670"/>
      <c r="D54" s="670"/>
      <c r="E54" s="670"/>
      <c r="F54" s="670"/>
      <c r="G54" s="670"/>
      <c r="H54" s="671"/>
    </row>
    <row r="55" spans="1:8" ht="16.5">
      <c r="A55" s="2071" t="s">
        <v>4</v>
      </c>
      <c r="B55" s="2072"/>
      <c r="C55" s="2072"/>
      <c r="D55" s="2072"/>
      <c r="E55" s="2072"/>
      <c r="F55" s="2072"/>
      <c r="G55" s="2072"/>
      <c r="H55" s="2073"/>
    </row>
    <row r="56" spans="1:8" ht="59.25" customHeight="1">
      <c r="A56" s="2074" t="s">
        <v>536</v>
      </c>
      <c r="B56" s="2075"/>
      <c r="C56" s="2076"/>
      <c r="D56" s="672" t="s">
        <v>447</v>
      </c>
      <c r="E56" s="672" t="s">
        <v>537</v>
      </c>
      <c r="F56" s="672" t="s">
        <v>538</v>
      </c>
      <c r="G56" s="672" t="s">
        <v>524</v>
      </c>
      <c r="H56" s="673" t="s">
        <v>525</v>
      </c>
    </row>
    <row r="57" spans="1:8" ht="13.5" thickBot="1">
      <c r="A57" s="2120" t="s">
        <v>526</v>
      </c>
      <c r="B57" s="2121"/>
      <c r="C57" s="2122"/>
      <c r="D57" s="674"/>
      <c r="E57" s="680"/>
      <c r="F57" s="675"/>
      <c r="G57" s="675">
        <f>E57*F57</f>
        <v>0</v>
      </c>
      <c r="H57" s="676"/>
    </row>
    <row r="58" spans="1:8" ht="17.25" thickTop="1">
      <c r="A58" s="2080" t="s">
        <v>539</v>
      </c>
      <c r="B58" s="2081"/>
      <c r="C58" s="2081"/>
      <c r="D58" s="2082"/>
      <c r="E58" s="2082"/>
      <c r="F58" s="2083"/>
      <c r="G58" s="677">
        <f>SUM(G57:G57)</f>
        <v>0</v>
      </c>
      <c r="H58" s="678">
        <f>SUM(H57:H57)</f>
        <v>0</v>
      </c>
    </row>
    <row r="59" spans="1:8" ht="16.5">
      <c r="A59" s="2084" t="s">
        <v>528</v>
      </c>
      <c r="B59" s="2085"/>
      <c r="C59" s="2086"/>
      <c r="D59" s="2087"/>
      <c r="E59" s="2088"/>
      <c r="F59" s="2088"/>
      <c r="G59" s="2088"/>
      <c r="H59" s="2089"/>
    </row>
    <row r="60" spans="1:8" ht="5.25" customHeight="1">
      <c r="A60" s="669"/>
      <c r="B60" s="670"/>
      <c r="C60" s="670"/>
      <c r="D60" s="670"/>
      <c r="E60" s="670"/>
      <c r="F60" s="670"/>
      <c r="G60" s="670"/>
      <c r="H60" s="671"/>
    </row>
    <row r="61" spans="1:8" ht="16.5">
      <c r="A61" s="2071" t="s">
        <v>468</v>
      </c>
      <c r="B61" s="2072"/>
      <c r="C61" s="2072"/>
      <c r="D61" s="2072"/>
      <c r="E61" s="2072"/>
      <c r="F61" s="2072"/>
      <c r="G61" s="2072"/>
      <c r="H61" s="2073"/>
    </row>
    <row r="62" spans="1:8" ht="59.25" customHeight="1">
      <c r="A62" s="2074" t="s">
        <v>540</v>
      </c>
      <c r="B62" s="2075"/>
      <c r="C62" s="2076"/>
      <c r="D62" s="672" t="s">
        <v>447</v>
      </c>
      <c r="E62" s="672" t="s">
        <v>541</v>
      </c>
      <c r="F62" s="672" t="s">
        <v>538</v>
      </c>
      <c r="G62" s="672" t="s">
        <v>524</v>
      </c>
      <c r="H62" s="673" t="s">
        <v>525</v>
      </c>
    </row>
    <row r="63" spans="1:8" ht="69" customHeight="1" thickBot="1">
      <c r="A63" s="2077" t="s">
        <v>542</v>
      </c>
      <c r="B63" s="2078"/>
      <c r="C63" s="2079"/>
      <c r="D63" s="674" t="s">
        <v>408</v>
      </c>
      <c r="E63" s="680">
        <v>0.02</v>
      </c>
      <c r="F63" s="675">
        <f>G51+G76</f>
        <v>11.6328</v>
      </c>
      <c r="G63" s="675">
        <f>E63*F63</f>
        <v>0.232656</v>
      </c>
      <c r="H63" s="676"/>
    </row>
    <row r="64" spans="1:8" ht="17.25" thickTop="1">
      <c r="A64" s="2080" t="s">
        <v>543</v>
      </c>
      <c r="B64" s="2081"/>
      <c r="C64" s="2081"/>
      <c r="D64" s="2082"/>
      <c r="E64" s="2082"/>
      <c r="F64" s="2083"/>
      <c r="G64" s="677">
        <f>SUM(G63:G63)</f>
        <v>0.232656</v>
      </c>
      <c r="H64" s="678">
        <f>SUM(H63:H63)</f>
        <v>0</v>
      </c>
    </row>
    <row r="65" spans="1:8" ht="16.5">
      <c r="A65" s="2084" t="s">
        <v>528</v>
      </c>
      <c r="B65" s="2085"/>
      <c r="C65" s="2086"/>
      <c r="D65" s="2087"/>
      <c r="E65" s="2088"/>
      <c r="F65" s="2088"/>
      <c r="G65" s="2088"/>
      <c r="H65" s="2089"/>
    </row>
    <row r="66" spans="1:8" ht="5.25" customHeight="1">
      <c r="A66" s="669"/>
      <c r="B66" s="670"/>
      <c r="C66" s="670"/>
      <c r="D66" s="670"/>
      <c r="E66" s="670"/>
      <c r="F66" s="670"/>
      <c r="G66" s="670"/>
      <c r="H66" s="671"/>
    </row>
    <row r="67" spans="1:8" ht="16.5">
      <c r="A67" s="2071" t="s">
        <v>507</v>
      </c>
      <c r="B67" s="2072"/>
      <c r="C67" s="2072"/>
      <c r="D67" s="2072"/>
      <c r="E67" s="2072"/>
      <c r="F67" s="2072"/>
      <c r="G67" s="2072"/>
      <c r="H67" s="2073"/>
    </row>
    <row r="68" spans="1:8" ht="57.75" customHeight="1">
      <c r="A68" s="2074" t="s">
        <v>544</v>
      </c>
      <c r="B68" s="2075"/>
      <c r="C68" s="2076"/>
      <c r="D68" s="672" t="s">
        <v>447</v>
      </c>
      <c r="E68" s="672" t="s">
        <v>6</v>
      </c>
      <c r="F68" s="672" t="s">
        <v>523</v>
      </c>
      <c r="G68" s="672" t="s">
        <v>524</v>
      </c>
      <c r="H68" s="673" t="s">
        <v>525</v>
      </c>
    </row>
    <row r="69" spans="1:8" ht="13.5" customHeight="1" thickBot="1">
      <c r="A69" s="2077" t="s">
        <v>545</v>
      </c>
      <c r="B69" s="2078"/>
      <c r="C69" s="2079"/>
      <c r="D69" s="674" t="s">
        <v>533</v>
      </c>
      <c r="E69" s="675">
        <v>49</v>
      </c>
      <c r="F69" s="674">
        <v>2</v>
      </c>
      <c r="G69" s="675">
        <f>E69*F69/H32</f>
        <v>1.96</v>
      </c>
      <c r="H69" s="676"/>
    </row>
    <row r="70" spans="1:8" ht="17.25" thickTop="1">
      <c r="A70" s="2080" t="s">
        <v>546</v>
      </c>
      <c r="B70" s="2081"/>
      <c r="C70" s="2081"/>
      <c r="D70" s="2082"/>
      <c r="E70" s="2082"/>
      <c r="F70" s="2083"/>
      <c r="G70" s="677">
        <f>SUM(G69:G69)</f>
        <v>1.96</v>
      </c>
      <c r="H70" s="678">
        <f>SUM(H69:H69)</f>
        <v>0</v>
      </c>
    </row>
    <row r="71" spans="1:8" ht="16.5">
      <c r="A71" s="2084" t="s">
        <v>528</v>
      </c>
      <c r="B71" s="2085"/>
      <c r="C71" s="2086"/>
      <c r="D71" s="2114" t="s">
        <v>547</v>
      </c>
      <c r="E71" s="2115"/>
      <c r="F71" s="2115"/>
      <c r="G71" s="2115"/>
      <c r="H71" s="2116"/>
    </row>
    <row r="72" spans="1:8" ht="5.25" customHeight="1">
      <c r="A72" s="669"/>
      <c r="B72" s="670"/>
      <c r="C72" s="670"/>
      <c r="D72" s="670"/>
      <c r="E72" s="670"/>
      <c r="F72" s="670"/>
      <c r="G72" s="670"/>
      <c r="H72" s="671"/>
    </row>
    <row r="73" spans="1:8" ht="16.5">
      <c r="A73" s="2071" t="s">
        <v>421</v>
      </c>
      <c r="B73" s="2072"/>
      <c r="C73" s="2072"/>
      <c r="D73" s="2072"/>
      <c r="E73" s="2072"/>
      <c r="F73" s="2072"/>
      <c r="G73" s="2072"/>
      <c r="H73" s="2073"/>
    </row>
    <row r="74" spans="1:8" ht="59.25" customHeight="1">
      <c r="A74" s="2074" t="s">
        <v>548</v>
      </c>
      <c r="B74" s="2075"/>
      <c r="C74" s="2076"/>
      <c r="D74" s="672" t="s">
        <v>447</v>
      </c>
      <c r="E74" s="672" t="s">
        <v>6</v>
      </c>
      <c r="F74" s="672" t="s">
        <v>523</v>
      </c>
      <c r="G74" s="672" t="s">
        <v>524</v>
      </c>
      <c r="H74" s="673" t="s">
        <v>525</v>
      </c>
    </row>
    <row r="75" spans="1:8" ht="13.5" thickBot="1">
      <c r="A75" s="2120" t="s">
        <v>549</v>
      </c>
      <c r="B75" s="2121"/>
      <c r="C75" s="2122"/>
      <c r="D75" s="674" t="s">
        <v>408</v>
      </c>
      <c r="E75" s="675">
        <v>109</v>
      </c>
      <c r="F75" s="680">
        <v>0.1</v>
      </c>
      <c r="G75" s="675">
        <f>E75*F75</f>
        <v>10.9</v>
      </c>
      <c r="H75" s="676"/>
    </row>
    <row r="76" spans="1:8" ht="17.25" thickTop="1">
      <c r="A76" s="2080" t="s">
        <v>550</v>
      </c>
      <c r="B76" s="2081"/>
      <c r="C76" s="2081"/>
      <c r="D76" s="2082"/>
      <c r="E76" s="2082"/>
      <c r="F76" s="2083"/>
      <c r="G76" s="677">
        <f>SUM(G75:G75)</f>
        <v>10.9</v>
      </c>
      <c r="H76" s="678">
        <f>SUM(H75:H75)</f>
        <v>0</v>
      </c>
    </row>
    <row r="77" spans="1:8">
      <c r="A77" s="2084" t="s">
        <v>528</v>
      </c>
      <c r="B77" s="2085"/>
      <c r="C77" s="2086"/>
      <c r="D77" s="2126" t="s">
        <v>551</v>
      </c>
      <c r="E77" s="2127"/>
      <c r="F77" s="2127"/>
      <c r="G77" s="2127"/>
      <c r="H77" s="2128"/>
    </row>
    <row r="78" spans="1:8" ht="12.75" customHeight="1">
      <c r="A78" s="2123"/>
      <c r="B78" s="2124"/>
      <c r="C78" s="2125"/>
      <c r="D78" s="2129"/>
      <c r="E78" s="2130"/>
      <c r="F78" s="2130"/>
      <c r="G78" s="2130"/>
      <c r="H78" s="2131"/>
    </row>
    <row r="79" spans="1:8">
      <c r="A79" s="2123"/>
      <c r="B79" s="2124"/>
      <c r="C79" s="2125"/>
      <c r="D79" s="2129"/>
      <c r="E79" s="2130"/>
      <c r="F79" s="2130"/>
      <c r="G79" s="2130"/>
      <c r="H79" s="2131"/>
    </row>
    <row r="80" spans="1:8" ht="5.25" customHeight="1">
      <c r="A80" s="669"/>
      <c r="B80" s="670"/>
      <c r="C80" s="670"/>
      <c r="D80" s="670"/>
      <c r="E80" s="670"/>
      <c r="F80" s="670"/>
      <c r="G80" s="670"/>
      <c r="H80" s="671"/>
    </row>
    <row r="81" spans="1:8" ht="16.5">
      <c r="A81" s="2071" t="s">
        <v>5</v>
      </c>
      <c r="B81" s="2072"/>
      <c r="C81" s="2072"/>
      <c r="D81" s="2072"/>
      <c r="E81" s="2072"/>
      <c r="F81" s="2072"/>
      <c r="G81" s="2072"/>
      <c r="H81" s="2073"/>
    </row>
    <row r="82" spans="1:8" ht="68.25" customHeight="1">
      <c r="A82" s="2074" t="s">
        <v>552</v>
      </c>
      <c r="B82" s="2075"/>
      <c r="C82" s="2076"/>
      <c r="D82" s="672" t="s">
        <v>447</v>
      </c>
      <c r="E82" s="672" t="s">
        <v>6</v>
      </c>
      <c r="F82" s="672" t="s">
        <v>523</v>
      </c>
      <c r="G82" s="672" t="s">
        <v>524</v>
      </c>
      <c r="H82" s="673" t="s">
        <v>525</v>
      </c>
    </row>
    <row r="83" spans="1:8" ht="13.5" thickBot="1">
      <c r="A83" s="2120" t="s">
        <v>526</v>
      </c>
      <c r="B83" s="2121"/>
      <c r="C83" s="2122"/>
      <c r="D83" s="674"/>
      <c r="E83" s="675"/>
      <c r="F83" s="674"/>
      <c r="G83" s="675"/>
      <c r="H83" s="676"/>
    </row>
    <row r="84" spans="1:8" ht="17.25" thickTop="1">
      <c r="A84" s="2080" t="s">
        <v>553</v>
      </c>
      <c r="B84" s="2081"/>
      <c r="C84" s="2081"/>
      <c r="D84" s="2082"/>
      <c r="E84" s="2082"/>
      <c r="F84" s="2083"/>
      <c r="G84" s="677">
        <f>SUM(G83:G83)</f>
        <v>0</v>
      </c>
      <c r="H84" s="678">
        <f>SUM(H83:H83)</f>
        <v>0</v>
      </c>
    </row>
    <row r="85" spans="1:8" ht="16.5">
      <c r="A85" s="2084" t="s">
        <v>528</v>
      </c>
      <c r="B85" s="2085"/>
      <c r="C85" s="2086"/>
      <c r="D85" s="2087"/>
      <c r="E85" s="2088"/>
      <c r="F85" s="2088"/>
      <c r="G85" s="2088"/>
      <c r="H85" s="2089"/>
    </row>
    <row r="86" spans="1:8" ht="5.25" customHeight="1">
      <c r="A86" s="669"/>
      <c r="B86" s="670"/>
      <c r="C86" s="670"/>
      <c r="D86" s="670"/>
      <c r="E86" s="670"/>
      <c r="F86" s="670"/>
      <c r="G86" s="670"/>
      <c r="H86" s="671"/>
    </row>
    <row r="87" spans="1:8" ht="16.5">
      <c r="A87" s="2071" t="s">
        <v>554</v>
      </c>
      <c r="B87" s="2072"/>
      <c r="C87" s="2072"/>
      <c r="D87" s="2072"/>
      <c r="E87" s="2072"/>
      <c r="F87" s="2072"/>
      <c r="G87" s="2072"/>
      <c r="H87" s="2073"/>
    </row>
    <row r="88" spans="1:8" ht="57.75" customHeight="1">
      <c r="A88" s="2074" t="s">
        <v>555</v>
      </c>
      <c r="B88" s="2075"/>
      <c r="C88" s="2076"/>
      <c r="D88" s="672" t="s">
        <v>447</v>
      </c>
      <c r="E88" s="672" t="s">
        <v>6</v>
      </c>
      <c r="F88" s="672" t="s">
        <v>523</v>
      </c>
      <c r="G88" s="672" t="s">
        <v>524</v>
      </c>
      <c r="H88" s="673" t="s">
        <v>525</v>
      </c>
    </row>
    <row r="89" spans="1:8" ht="13.5" thickBot="1">
      <c r="A89" s="2120" t="s">
        <v>526</v>
      </c>
      <c r="B89" s="2121"/>
      <c r="C89" s="2122"/>
      <c r="D89" s="674"/>
      <c r="E89" s="675"/>
      <c r="F89" s="674"/>
      <c r="G89" s="675"/>
      <c r="H89" s="676"/>
    </row>
    <row r="90" spans="1:8" ht="17.25" thickTop="1">
      <c r="A90" s="2080" t="s">
        <v>556</v>
      </c>
      <c r="B90" s="2081"/>
      <c r="C90" s="2081"/>
      <c r="D90" s="2082"/>
      <c r="E90" s="2082"/>
      <c r="F90" s="2083"/>
      <c r="G90" s="677">
        <f>SUM(G89:G89)</f>
        <v>0</v>
      </c>
      <c r="H90" s="678">
        <f>SUM(H89:H89)</f>
        <v>0</v>
      </c>
    </row>
    <row r="91" spans="1:8" ht="16.5">
      <c r="A91" s="2084" t="s">
        <v>528</v>
      </c>
      <c r="B91" s="2085"/>
      <c r="C91" s="2086"/>
      <c r="D91" s="2087"/>
      <c r="E91" s="2088"/>
      <c r="F91" s="2088"/>
      <c r="G91" s="2088"/>
      <c r="H91" s="2089"/>
    </row>
    <row r="92" spans="1:8" ht="5.25" customHeight="1">
      <c r="A92" s="669"/>
      <c r="B92" s="670"/>
      <c r="C92" s="670"/>
      <c r="D92" s="670"/>
      <c r="E92" s="670"/>
      <c r="F92" s="670"/>
      <c r="G92" s="670"/>
      <c r="H92" s="671"/>
    </row>
    <row r="93" spans="1:8" ht="16.5">
      <c r="A93" s="2071" t="s">
        <v>557</v>
      </c>
      <c r="B93" s="2072"/>
      <c r="C93" s="2072"/>
      <c r="D93" s="2072"/>
      <c r="E93" s="2072"/>
      <c r="F93" s="2072"/>
      <c r="G93" s="2072"/>
      <c r="H93" s="2073"/>
    </row>
    <row r="94" spans="1:8" ht="16.5">
      <c r="A94" s="2090" t="s">
        <v>558</v>
      </c>
      <c r="B94" s="2091"/>
      <c r="C94" s="2136"/>
      <c r="D94" s="681">
        <f>G39+G45+G51+G58+G64+G70+G76+G84+G90</f>
        <v>13.825456000000001</v>
      </c>
      <c r="E94" s="2137" t="s">
        <v>559</v>
      </c>
      <c r="F94" s="2137"/>
      <c r="G94" s="2137"/>
      <c r="H94" s="682">
        <f>H39+H45+H51+H58+H64+H70+H76+H84+H90</f>
        <v>0</v>
      </c>
    </row>
    <row r="95" spans="1:8" ht="16.5">
      <c r="A95" s="2090" t="s">
        <v>560</v>
      </c>
      <c r="B95" s="2091"/>
      <c r="C95" s="2136"/>
      <c r="D95" s="683"/>
      <c r="E95" s="2138" t="s">
        <v>561</v>
      </c>
      <c r="F95" s="2139"/>
      <c r="G95" s="2139"/>
      <c r="H95" s="2140">
        <f>H94*D95</f>
        <v>0</v>
      </c>
    </row>
    <row r="96" spans="1:8" ht="16.5">
      <c r="A96" s="2090" t="s">
        <v>562</v>
      </c>
      <c r="B96" s="2091"/>
      <c r="C96" s="2136"/>
      <c r="D96" s="681">
        <f>D94*D95</f>
        <v>0</v>
      </c>
      <c r="E96" s="2139"/>
      <c r="F96" s="2139"/>
      <c r="G96" s="2139"/>
      <c r="H96" s="2141"/>
    </row>
    <row r="97" spans="1:8" ht="5.25" customHeight="1">
      <c r="A97" s="669"/>
      <c r="B97" s="670"/>
      <c r="C97" s="670"/>
      <c r="D97" s="670"/>
      <c r="E97" s="670"/>
      <c r="F97" s="670"/>
      <c r="G97" s="670"/>
      <c r="H97" s="671"/>
    </row>
    <row r="98" spans="1:8" ht="16.5">
      <c r="A98" s="2071" t="s">
        <v>563</v>
      </c>
      <c r="B98" s="2072"/>
      <c r="C98" s="2072"/>
      <c r="D98" s="2072"/>
      <c r="E98" s="2072"/>
      <c r="F98" s="2072"/>
      <c r="G98" s="2072"/>
      <c r="H98" s="2073"/>
    </row>
    <row r="99" spans="1:8" ht="30" customHeight="1" thickBot="1">
      <c r="A99" s="2132"/>
      <c r="B99" s="2133"/>
      <c r="C99" s="2133"/>
      <c r="D99" s="2134"/>
      <c r="E99" s="2134"/>
      <c r="F99" s="2134"/>
      <c r="G99" s="2134"/>
      <c r="H99" s="2135"/>
    </row>
  </sheetData>
  <mergeCells count="102">
    <mergeCell ref="A98:H98"/>
    <mergeCell ref="A99:H99"/>
    <mergeCell ref="A93:H93"/>
    <mergeCell ref="A94:C94"/>
    <mergeCell ref="E94:G94"/>
    <mergeCell ref="A95:C95"/>
    <mergeCell ref="E95:G96"/>
    <mergeCell ref="H95:H96"/>
    <mergeCell ref="A96:C96"/>
    <mergeCell ref="A87:H87"/>
    <mergeCell ref="A88:C88"/>
    <mergeCell ref="A89:C89"/>
    <mergeCell ref="A90:F90"/>
    <mergeCell ref="A91:C91"/>
    <mergeCell ref="D91:H91"/>
    <mergeCell ref="A81:H81"/>
    <mergeCell ref="A82:C82"/>
    <mergeCell ref="A83:C83"/>
    <mergeCell ref="A84:F84"/>
    <mergeCell ref="A85:C85"/>
    <mergeCell ref="D85:H85"/>
    <mergeCell ref="A73:H73"/>
    <mergeCell ref="A74:C74"/>
    <mergeCell ref="A75:C75"/>
    <mergeCell ref="A76:F76"/>
    <mergeCell ref="A77:C79"/>
    <mergeCell ref="D77:H79"/>
    <mergeCell ref="A67:H67"/>
    <mergeCell ref="A68:C68"/>
    <mergeCell ref="A69:C69"/>
    <mergeCell ref="A70:F70"/>
    <mergeCell ref="A71:C71"/>
    <mergeCell ref="D71:H71"/>
    <mergeCell ref="A61:H61"/>
    <mergeCell ref="A62:C62"/>
    <mergeCell ref="A63:C63"/>
    <mergeCell ref="A64:F64"/>
    <mergeCell ref="A65:C65"/>
    <mergeCell ref="D65:H65"/>
    <mergeCell ref="A55:H55"/>
    <mergeCell ref="A56:C56"/>
    <mergeCell ref="A57:C57"/>
    <mergeCell ref="A58:F58"/>
    <mergeCell ref="A59:C59"/>
    <mergeCell ref="D59:H59"/>
    <mergeCell ref="A48:H48"/>
    <mergeCell ref="A49:C49"/>
    <mergeCell ref="A50:C50"/>
    <mergeCell ref="A51:F51"/>
    <mergeCell ref="A52:C53"/>
    <mergeCell ref="D52:H53"/>
    <mergeCell ref="A42:H42"/>
    <mergeCell ref="A43:C43"/>
    <mergeCell ref="A44:C44"/>
    <mergeCell ref="A45:F45"/>
    <mergeCell ref="A46:C46"/>
    <mergeCell ref="D46:H46"/>
    <mergeCell ref="A36:H36"/>
    <mergeCell ref="A37:C37"/>
    <mergeCell ref="A38:C38"/>
    <mergeCell ref="A39:F39"/>
    <mergeCell ref="A40:C40"/>
    <mergeCell ref="D40:H40"/>
    <mergeCell ref="A30:G30"/>
    <mergeCell ref="A31:G31"/>
    <mergeCell ref="A32:G32"/>
    <mergeCell ref="H32:H33"/>
    <mergeCell ref="A33:G33"/>
    <mergeCell ref="A34:C34"/>
    <mergeCell ref="E34:G34"/>
    <mergeCell ref="A24:C24"/>
    <mergeCell ref="D24:H24"/>
    <mergeCell ref="A25:H25"/>
    <mergeCell ref="A26:H26"/>
    <mergeCell ref="A27:H27"/>
    <mergeCell ref="A28:H28"/>
    <mergeCell ref="A17:C17"/>
    <mergeCell ref="A18:C18"/>
    <mergeCell ref="A19:C19"/>
    <mergeCell ref="A20:C20"/>
    <mergeCell ref="A22:H22"/>
    <mergeCell ref="A23:C23"/>
    <mergeCell ref="E23:H23"/>
    <mergeCell ref="A13:C13"/>
    <mergeCell ref="A14:C14"/>
    <mergeCell ref="A15:C15"/>
    <mergeCell ref="A16:C16"/>
    <mergeCell ref="C7:D7"/>
    <mergeCell ref="E7:F7"/>
    <mergeCell ref="C8:D8"/>
    <mergeCell ref="E8:F8"/>
    <mergeCell ref="A9:H9"/>
    <mergeCell ref="A10:C10"/>
    <mergeCell ref="A1:H1"/>
    <mergeCell ref="A2:H2"/>
    <mergeCell ref="A3:H3"/>
    <mergeCell ref="A4:H4"/>
    <mergeCell ref="A5:H5"/>
    <mergeCell ref="C6:D6"/>
    <mergeCell ref="E6:F6"/>
    <mergeCell ref="A11:C11"/>
    <mergeCell ref="A12:C12"/>
  </mergeCells>
  <pageMargins left="0.75" right="0.75" top="1" bottom="1" header="0.5" footer="0.5"/>
  <pageSetup scale="78" orientation="portrait" r:id="rId1"/>
  <headerFooter alignWithMargins="0"/>
  <rowBreaks count="2" manualBreakCount="2">
    <brk id="21" max="16383" man="1"/>
    <brk id="59" max="5" man="1"/>
  </rowBreaks>
  <legacyDrawing r:id="rId2"/>
</worksheet>
</file>

<file path=xl/worksheets/sheet77.xml><?xml version="1.0" encoding="utf-8"?>
<worksheet xmlns="http://schemas.openxmlformats.org/spreadsheetml/2006/main" xmlns:r="http://schemas.openxmlformats.org/officeDocument/2006/relationships">
  <sheetPr>
    <pageSetUpPr fitToPage="1"/>
  </sheetPr>
  <dimension ref="A1:H103"/>
  <sheetViews>
    <sheetView topLeftCell="A13" zoomScaleNormal="100" workbookViewId="0">
      <selection activeCell="B25" sqref="B25"/>
    </sheetView>
  </sheetViews>
  <sheetFormatPr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11.1406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564</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565</v>
      </c>
      <c r="D8" s="461"/>
      <c r="E8" s="457"/>
      <c r="F8" s="457"/>
      <c r="G8" s="461"/>
    </row>
    <row r="9" spans="1:7" ht="47.25" customHeight="1">
      <c r="A9" s="454" t="s">
        <v>382</v>
      </c>
      <c r="B9" s="454" t="s">
        <v>385</v>
      </c>
      <c r="C9" s="2009" t="s">
        <v>566</v>
      </c>
      <c r="D9" s="2010"/>
      <c r="E9" s="2010"/>
      <c r="F9" s="2010"/>
      <c r="G9" s="2011"/>
    </row>
    <row r="10" spans="1:7" ht="51.75" customHeight="1">
      <c r="A10" s="454" t="s">
        <v>382</v>
      </c>
      <c r="B10" s="454" t="s">
        <v>387</v>
      </c>
      <c r="C10" s="2009" t="s">
        <v>567</v>
      </c>
      <c r="D10" s="2010"/>
      <c r="E10" s="2010"/>
      <c r="F10" s="2010"/>
      <c r="G10" s="2011"/>
    </row>
    <row r="11" spans="1:7" ht="51.75" customHeight="1">
      <c r="A11" s="454" t="s">
        <v>382</v>
      </c>
      <c r="B11" s="454" t="s">
        <v>389</v>
      </c>
      <c r="C11" s="2009" t="s">
        <v>568</v>
      </c>
      <c r="D11" s="2010"/>
      <c r="E11" s="2010"/>
      <c r="F11" s="2010"/>
      <c r="G11" s="2011"/>
    </row>
    <row r="12" spans="1:7" ht="51.75" customHeight="1">
      <c r="A12" s="454" t="s">
        <v>382</v>
      </c>
      <c r="B12" s="454" t="s">
        <v>391</v>
      </c>
      <c r="C12" s="2009" t="s">
        <v>569</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SUM(H31:H31)</f>
        <v>1586.25</v>
      </c>
      <c r="C18" s="466">
        <f>B18/C$14</f>
        <v>31.725000000000001</v>
      </c>
      <c r="D18" s="49"/>
      <c r="E18" s="89"/>
      <c r="F18" s="89"/>
      <c r="G18" s="49"/>
    </row>
    <row r="19" spans="1:8" ht="15">
      <c r="A19" s="454" t="s">
        <v>2</v>
      </c>
      <c r="B19" s="465">
        <f>SUM(H32:H33)</f>
        <v>862.51419166749179</v>
      </c>
      <c r="C19" s="466">
        <f t="shared" ref="C19:C27" si="0">B19/C$14</f>
        <v>17.250283833349837</v>
      </c>
      <c r="D19" s="49"/>
      <c r="E19" s="89"/>
      <c r="F19" s="89"/>
      <c r="G19" s="49"/>
    </row>
    <row r="20" spans="1:8" ht="15">
      <c r="A20" s="454" t="s">
        <v>3</v>
      </c>
      <c r="B20" s="465">
        <f>SUM(H34:H36)</f>
        <v>41.163957219251401</v>
      </c>
      <c r="C20" s="466">
        <f t="shared" si="0"/>
        <v>0.82327914438502803</v>
      </c>
      <c r="D20" s="49"/>
      <c r="E20" s="89"/>
      <c r="F20" s="89"/>
      <c r="G20" s="49"/>
    </row>
    <row r="21" spans="1:8" ht="15">
      <c r="A21" s="454" t="s">
        <v>4</v>
      </c>
      <c r="B21" s="465">
        <f>H37</f>
        <v>0</v>
      </c>
      <c r="C21" s="466">
        <f t="shared" si="0"/>
        <v>0</v>
      </c>
      <c r="D21" s="49"/>
      <c r="E21" s="89"/>
      <c r="F21" s="89"/>
      <c r="G21" s="49"/>
    </row>
    <row r="22" spans="1:8" ht="15">
      <c r="A22" s="454" t="s">
        <v>26</v>
      </c>
      <c r="B22" s="465">
        <f>H38</f>
        <v>0</v>
      </c>
      <c r="C22" s="466">
        <f t="shared" si="0"/>
        <v>0</v>
      </c>
      <c r="D22" s="49"/>
      <c r="E22" s="89"/>
      <c r="F22" s="89"/>
      <c r="G22" s="49"/>
    </row>
    <row r="23" spans="1:8" ht="15">
      <c r="A23" s="454" t="s">
        <v>7</v>
      </c>
      <c r="B23" s="465">
        <f>SUM(H39:H41)</f>
        <v>0</v>
      </c>
      <c r="C23" s="466">
        <f t="shared" si="0"/>
        <v>0</v>
      </c>
      <c r="D23" s="49"/>
      <c r="E23" s="89"/>
      <c r="F23" s="89"/>
      <c r="G23" s="49"/>
    </row>
    <row r="24" spans="1:8" ht="15">
      <c r="A24" s="454" t="s">
        <v>27</v>
      </c>
      <c r="B24" s="465">
        <f>SUM(H42:H44)</f>
        <v>0</v>
      </c>
      <c r="C24" s="466">
        <f t="shared" si="0"/>
        <v>0</v>
      </c>
      <c r="D24" s="49"/>
      <c r="E24" s="89"/>
      <c r="F24" s="89"/>
      <c r="G24" s="49"/>
    </row>
    <row r="25" spans="1:8" ht="15">
      <c r="A25" s="454" t="s">
        <v>5</v>
      </c>
      <c r="B25" s="465">
        <f>H45</f>
        <v>0</v>
      </c>
      <c r="C25" s="466">
        <f t="shared" si="0"/>
        <v>0</v>
      </c>
      <c r="D25" s="49"/>
      <c r="E25" s="89"/>
      <c r="F25" s="89"/>
      <c r="G25" s="49"/>
    </row>
    <row r="26" spans="1:8" ht="15">
      <c r="A26" s="454" t="s">
        <v>20</v>
      </c>
      <c r="B26" s="465">
        <f>H45</f>
        <v>0</v>
      </c>
      <c r="C26" s="466">
        <f t="shared" si="0"/>
        <v>0</v>
      </c>
      <c r="D26" s="49"/>
      <c r="E26" s="89"/>
      <c r="F26" s="89"/>
      <c r="G26" s="49"/>
    </row>
    <row r="27" spans="1:8" ht="15">
      <c r="A27" s="454" t="s">
        <v>399</v>
      </c>
      <c r="B27" s="465">
        <f>SUM(B18:B26)</f>
        <v>2489.9281488867432</v>
      </c>
      <c r="C27" s="466">
        <f t="shared" si="0"/>
        <v>49.798562977734861</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198</v>
      </c>
      <c r="C31" s="470" t="s">
        <v>570</v>
      </c>
      <c r="D31" s="471" t="s">
        <v>571</v>
      </c>
      <c r="E31" s="471" t="s">
        <v>572</v>
      </c>
      <c r="F31" s="472">
        <v>0.35249999999999998</v>
      </c>
      <c r="G31" s="486">
        <v>4500</v>
      </c>
      <c r="H31" s="474">
        <f>IF(G31&lt;=0, 0, F31*G31)</f>
        <v>1586.25</v>
      </c>
    </row>
    <row r="32" spans="1:8" ht="15">
      <c r="A32" s="454" t="s">
        <v>573</v>
      </c>
      <c r="B32" s="470">
        <v>962</v>
      </c>
      <c r="C32" s="470" t="s">
        <v>574</v>
      </c>
      <c r="D32" s="471" t="s">
        <v>575</v>
      </c>
      <c r="E32" s="471" t="s">
        <v>411</v>
      </c>
      <c r="F32" s="472">
        <v>28.351244769915901</v>
      </c>
      <c r="G32" s="486">
        <v>2</v>
      </c>
      <c r="H32" s="474">
        <f t="shared" ref="H32:H46" si="1">IF(G32&lt;=0, 0, F32*G32)</f>
        <v>56.702489539831802</v>
      </c>
    </row>
    <row r="33" spans="1:8" ht="15">
      <c r="A33" s="454" t="s">
        <v>2</v>
      </c>
      <c r="B33" s="470">
        <v>960</v>
      </c>
      <c r="C33" s="470" t="s">
        <v>576</v>
      </c>
      <c r="D33" s="471" t="s">
        <v>577</v>
      </c>
      <c r="E33" s="471" t="s">
        <v>408</v>
      </c>
      <c r="F33" s="472">
        <v>16.116234042553199</v>
      </c>
      <c r="G33" s="486">
        <v>50</v>
      </c>
      <c r="H33" s="474">
        <f t="shared" si="1"/>
        <v>805.81170212765994</v>
      </c>
    </row>
    <row r="34" spans="1:8" ht="15">
      <c r="A34" s="454" t="s">
        <v>3</v>
      </c>
      <c r="B34" s="470">
        <v>231</v>
      </c>
      <c r="C34" s="470" t="s">
        <v>578</v>
      </c>
      <c r="D34" s="471" t="s">
        <v>579</v>
      </c>
      <c r="E34" s="471" t="s">
        <v>411</v>
      </c>
      <c r="F34" s="472">
        <v>20.5819786096257</v>
      </c>
      <c r="G34" s="486">
        <v>2</v>
      </c>
      <c r="H34" s="474">
        <f t="shared" si="1"/>
        <v>41.163957219251401</v>
      </c>
    </row>
    <row r="35" spans="1:8" ht="15">
      <c r="A35" s="454" t="s">
        <v>3</v>
      </c>
      <c r="B35" s="470"/>
      <c r="C35" s="470"/>
      <c r="D35" s="471"/>
      <c r="E35" s="471"/>
      <c r="F35" s="472"/>
      <c r="G35" s="486"/>
      <c r="H35" s="474">
        <f t="shared" si="1"/>
        <v>0</v>
      </c>
    </row>
    <row r="36" spans="1:8" ht="15">
      <c r="A36" s="454" t="s">
        <v>3</v>
      </c>
      <c r="B36" s="470"/>
      <c r="C36" s="470"/>
      <c r="D36" s="471"/>
      <c r="E36" s="471"/>
      <c r="F36" s="472"/>
      <c r="G36" s="486"/>
      <c r="H36" s="474">
        <f t="shared" si="1"/>
        <v>0</v>
      </c>
    </row>
    <row r="37" spans="1:8" ht="15">
      <c r="A37" s="454" t="s">
        <v>4</v>
      </c>
      <c r="B37" s="470"/>
      <c r="C37" s="470"/>
      <c r="D37" s="471"/>
      <c r="E37" s="471"/>
      <c r="F37" s="481"/>
      <c r="G37" s="486"/>
      <c r="H37" s="474">
        <f t="shared" si="1"/>
        <v>0</v>
      </c>
    </row>
    <row r="38" spans="1:8" ht="16.5" customHeight="1">
      <c r="A38" s="454" t="s">
        <v>419</v>
      </c>
      <c r="B38" s="470"/>
      <c r="C38" s="470"/>
      <c r="D38" s="471"/>
      <c r="E38" s="471"/>
      <c r="F38" s="481"/>
      <c r="G38" s="486"/>
      <c r="H38" s="474">
        <f t="shared" si="1"/>
        <v>0</v>
      </c>
    </row>
    <row r="39" spans="1:8" ht="15">
      <c r="A39" s="454" t="s">
        <v>7</v>
      </c>
      <c r="B39" s="470"/>
      <c r="C39" s="470"/>
      <c r="D39" s="471"/>
      <c r="E39" s="471"/>
      <c r="F39" s="472"/>
      <c r="G39" s="486"/>
      <c r="H39" s="474">
        <f t="shared" si="1"/>
        <v>0</v>
      </c>
    </row>
    <row r="40" spans="1:8" ht="15">
      <c r="A40" s="454" t="s">
        <v>7</v>
      </c>
      <c r="B40" s="470"/>
      <c r="C40" s="470"/>
      <c r="D40" s="471"/>
      <c r="E40" s="471"/>
      <c r="F40" s="472"/>
      <c r="G40" s="486"/>
      <c r="H40" s="474">
        <f t="shared" si="1"/>
        <v>0</v>
      </c>
    </row>
    <row r="41" spans="1:8" ht="15">
      <c r="A41" s="454" t="s">
        <v>7</v>
      </c>
      <c r="B41" s="470"/>
      <c r="C41" s="470"/>
      <c r="D41" s="471"/>
      <c r="E41" s="471"/>
      <c r="F41" s="472"/>
      <c r="G41" s="486"/>
      <c r="H41" s="474">
        <f t="shared" si="1"/>
        <v>0</v>
      </c>
    </row>
    <row r="42" spans="1:8" ht="15">
      <c r="A42" s="454" t="s">
        <v>421</v>
      </c>
      <c r="B42" s="470"/>
      <c r="C42" s="470"/>
      <c r="D42" s="471"/>
      <c r="E42" s="471"/>
      <c r="F42" s="472"/>
      <c r="G42" s="486"/>
      <c r="H42" s="474">
        <f t="shared" si="1"/>
        <v>0</v>
      </c>
    </row>
    <row r="43" spans="1:8" ht="15">
      <c r="A43" s="454" t="s">
        <v>421</v>
      </c>
      <c r="B43" s="470"/>
      <c r="C43" s="470"/>
      <c r="D43" s="471"/>
      <c r="E43" s="471"/>
      <c r="F43" s="472"/>
      <c r="G43" s="486"/>
      <c r="H43" s="474">
        <f t="shared" si="1"/>
        <v>0</v>
      </c>
    </row>
    <row r="44" spans="1:8" ht="15">
      <c r="A44" s="454" t="s">
        <v>421</v>
      </c>
      <c r="B44" s="470"/>
      <c r="C44" s="470"/>
      <c r="D44" s="471"/>
      <c r="E44" s="471"/>
      <c r="F44" s="472"/>
      <c r="G44" s="486"/>
      <c r="H44" s="474">
        <f t="shared" si="1"/>
        <v>0</v>
      </c>
    </row>
    <row r="45" spans="1:8" ht="15">
      <c r="A45" s="454" t="s">
        <v>5</v>
      </c>
      <c r="B45" s="470"/>
      <c r="C45" s="470"/>
      <c r="D45" s="471"/>
      <c r="E45" s="471"/>
      <c r="F45" s="472"/>
      <c r="G45" s="486"/>
      <c r="H45" s="474">
        <f t="shared" si="1"/>
        <v>0</v>
      </c>
    </row>
    <row r="46" spans="1:8" ht="15">
      <c r="A46" s="454" t="s">
        <v>20</v>
      </c>
      <c r="B46" s="470"/>
      <c r="C46" s="470"/>
      <c r="D46" s="471"/>
      <c r="E46" s="471"/>
      <c r="F46" s="472"/>
      <c r="G46" s="486"/>
      <c r="H46" s="474">
        <f t="shared" si="1"/>
        <v>0</v>
      </c>
    </row>
    <row r="47" spans="1:8">
      <c r="A47" s="82"/>
      <c r="B47" s="82"/>
      <c r="C47" s="82"/>
      <c r="D47" s="82"/>
      <c r="E47" s="82"/>
      <c r="F47" s="82"/>
      <c r="G47" s="82"/>
    </row>
    <row r="48" spans="1:8">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91" spans="4:4">
      <c r="D91" s="57"/>
    </row>
    <row r="92" spans="4:4">
      <c r="D92" s="57"/>
    </row>
    <row r="93" spans="4:4">
      <c r="D93" s="57"/>
    </row>
    <row r="94" spans="4:4">
      <c r="D94" s="57"/>
    </row>
    <row r="95" spans="4:4">
      <c r="D95" s="57"/>
    </row>
    <row r="96" spans="4:4">
      <c r="D96" s="57"/>
    </row>
    <row r="97" spans="4:4">
      <c r="D97" s="57"/>
    </row>
    <row r="99" spans="4:4">
      <c r="D99" s="57"/>
    </row>
    <row r="101" spans="4:4">
      <c r="D101" s="56"/>
    </row>
    <row r="103" spans="4:4">
      <c r="D103"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rintOptions headings="1"/>
  <pageMargins left="0.75" right="0.75" top="1" bottom="1" header="0.5" footer="0.5"/>
  <pageSetup scale="56" orientation="portrait" r:id="rId1"/>
  <headerFooter alignWithMargins="0"/>
</worksheet>
</file>

<file path=xl/worksheets/sheet78.xml><?xml version="1.0" encoding="utf-8"?>
<worksheet xmlns="http://schemas.openxmlformats.org/spreadsheetml/2006/main" xmlns:r="http://schemas.openxmlformats.org/officeDocument/2006/relationships">
  <dimension ref="A1:H105"/>
  <sheetViews>
    <sheetView topLeftCell="A17" workbookViewId="0">
      <selection activeCell="B25" sqref="B25"/>
    </sheetView>
  </sheetViews>
  <sheetFormatPr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9.85546875" style="2" bestFit="1"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564</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580</v>
      </c>
      <c r="D8" s="461"/>
      <c r="E8" s="457"/>
      <c r="F8" s="457"/>
      <c r="G8" s="461"/>
    </row>
    <row r="9" spans="1:7" ht="47.25" customHeight="1">
      <c r="A9" s="454" t="s">
        <v>382</v>
      </c>
      <c r="B9" s="454" t="s">
        <v>385</v>
      </c>
      <c r="C9" s="2009" t="s">
        <v>581</v>
      </c>
      <c r="D9" s="2010"/>
      <c r="E9" s="2010"/>
      <c r="F9" s="2010"/>
      <c r="G9" s="2011"/>
    </row>
    <row r="10" spans="1:7" ht="51.75" customHeight="1">
      <c r="A10" s="454" t="s">
        <v>382</v>
      </c>
      <c r="B10" s="454" t="s">
        <v>387</v>
      </c>
      <c r="C10" s="2009" t="s">
        <v>582</v>
      </c>
      <c r="D10" s="2010"/>
      <c r="E10" s="2010"/>
      <c r="F10" s="2010"/>
      <c r="G10" s="2011"/>
    </row>
    <row r="11" spans="1:7" ht="51.75" customHeight="1">
      <c r="A11" s="454" t="s">
        <v>382</v>
      </c>
      <c r="B11" s="454" t="s">
        <v>389</v>
      </c>
      <c r="C11" s="2009" t="s">
        <v>583</v>
      </c>
      <c r="D11" s="2010"/>
      <c r="E11" s="2010"/>
      <c r="F11" s="2010"/>
      <c r="G11" s="2011"/>
    </row>
    <row r="12" spans="1:7" ht="51.75" customHeight="1">
      <c r="A12" s="454" t="s">
        <v>382</v>
      </c>
      <c r="B12" s="454" t="s">
        <v>391</v>
      </c>
      <c r="C12" s="2009" t="s">
        <v>569</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3150.625</v>
      </c>
      <c r="C18" s="466">
        <f>B18/C$14</f>
        <v>63.012500000000003</v>
      </c>
      <c r="D18" s="49"/>
      <c r="E18" s="89"/>
      <c r="F18" s="89"/>
      <c r="G18" s="49"/>
    </row>
    <row r="19" spans="1:8" ht="15">
      <c r="A19" s="454" t="s">
        <v>2</v>
      </c>
      <c r="B19" s="465">
        <f>SUM(H34:H35)</f>
        <v>862.51419166749179</v>
      </c>
      <c r="C19" s="466">
        <f t="shared" ref="C19:C27" si="0">B19/C$14</f>
        <v>17.250283833349837</v>
      </c>
      <c r="D19" s="49"/>
      <c r="E19" s="89"/>
      <c r="F19" s="89"/>
      <c r="G19" s="49"/>
    </row>
    <row r="20" spans="1:8" ht="15">
      <c r="A20" s="454" t="s">
        <v>3</v>
      </c>
      <c r="B20" s="465">
        <f>SUM(H36:H38)</f>
        <v>61.745935828877101</v>
      </c>
      <c r="C20" s="466">
        <f t="shared" si="0"/>
        <v>1.2349187165775419</v>
      </c>
      <c r="D20" s="49"/>
      <c r="E20" s="89"/>
      <c r="F20" s="89"/>
      <c r="G20" s="49"/>
    </row>
    <row r="21" spans="1:8" ht="15">
      <c r="A21" s="454" t="s">
        <v>4</v>
      </c>
      <c r="B21" s="465">
        <f>H39</f>
        <v>0</v>
      </c>
      <c r="C21" s="466">
        <f t="shared" si="0"/>
        <v>0</v>
      </c>
      <c r="D21" s="49"/>
      <c r="E21" s="89"/>
      <c r="F21" s="89"/>
      <c r="G21" s="49"/>
    </row>
    <row r="22" spans="1:8" ht="15">
      <c r="A22" s="454" t="s">
        <v>26</v>
      </c>
      <c r="B22" s="465">
        <f>H40</f>
        <v>0</v>
      </c>
      <c r="C22" s="466">
        <f t="shared" si="0"/>
        <v>0</v>
      </c>
      <c r="D22" s="49"/>
      <c r="E22" s="89"/>
      <c r="F22" s="89"/>
      <c r="G22" s="49"/>
    </row>
    <row r="23" spans="1:8" ht="15">
      <c r="A23" s="454" t="s">
        <v>7</v>
      </c>
      <c r="B23" s="465">
        <f>SUM(H41:H43)</f>
        <v>0</v>
      </c>
      <c r="C23" s="466">
        <f t="shared" si="0"/>
        <v>0</v>
      </c>
      <c r="D23" s="49"/>
      <c r="E23" s="89"/>
      <c r="F23" s="89"/>
      <c r="G23" s="49"/>
    </row>
    <row r="24" spans="1:8" ht="15">
      <c r="A24" s="454" t="s">
        <v>27</v>
      </c>
      <c r="B24" s="465">
        <f>SUM(H44:H46)</f>
        <v>0</v>
      </c>
      <c r="C24" s="466">
        <f t="shared" si="0"/>
        <v>0</v>
      </c>
      <c r="D24" s="49"/>
      <c r="E24" s="89"/>
      <c r="F24" s="89"/>
      <c r="G24" s="49"/>
    </row>
    <row r="25" spans="1:8" ht="15">
      <c r="A25" s="454" t="s">
        <v>5</v>
      </c>
      <c r="B25" s="465">
        <f>H47</f>
        <v>0</v>
      </c>
      <c r="C25" s="466">
        <f t="shared" si="0"/>
        <v>0</v>
      </c>
      <c r="D25" s="49"/>
      <c r="E25" s="89"/>
      <c r="F25" s="89"/>
      <c r="G25" s="49"/>
    </row>
    <row r="26" spans="1:8" ht="15">
      <c r="A26" s="454" t="s">
        <v>20</v>
      </c>
      <c r="B26" s="465">
        <f>H47</f>
        <v>0</v>
      </c>
      <c r="C26" s="466">
        <f t="shared" si="0"/>
        <v>0</v>
      </c>
      <c r="D26" s="49"/>
      <c r="E26" s="89"/>
      <c r="F26" s="89"/>
      <c r="G26" s="49"/>
    </row>
    <row r="27" spans="1:8" ht="15">
      <c r="A27" s="454" t="s">
        <v>399</v>
      </c>
      <c r="B27" s="465">
        <f>SUM(B18:B26)</f>
        <v>4074.885127496369</v>
      </c>
      <c r="C27" s="466">
        <f t="shared" si="0"/>
        <v>81.497702549927382</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198</v>
      </c>
      <c r="C31" s="470" t="s">
        <v>570</v>
      </c>
      <c r="D31" s="471" t="s">
        <v>571</v>
      </c>
      <c r="E31" s="471" t="s">
        <v>572</v>
      </c>
      <c r="F31" s="472">
        <v>0.35249999999999998</v>
      </c>
      <c r="G31" s="486">
        <v>3000</v>
      </c>
      <c r="H31" s="474">
        <f>IF(G31&lt;=0, 0, F31*G31)</f>
        <v>1057.5</v>
      </c>
    </row>
    <row r="32" spans="1:8" ht="15">
      <c r="A32" s="454" t="s">
        <v>0</v>
      </c>
      <c r="B32" s="470">
        <v>185</v>
      </c>
      <c r="C32" s="470" t="s">
        <v>584</v>
      </c>
      <c r="D32" s="471" t="s">
        <v>585</v>
      </c>
      <c r="E32" s="471" t="s">
        <v>572</v>
      </c>
      <c r="F32" s="472">
        <v>2.6</v>
      </c>
      <c r="G32" s="486">
        <v>650</v>
      </c>
      <c r="H32" s="474">
        <f t="shared" ref="H32:H48" si="1">IF(G32&lt;=0, 0, F32*G32)</f>
        <v>1690</v>
      </c>
    </row>
    <row r="33" spans="1:8" ht="15">
      <c r="A33" s="454" t="s">
        <v>0</v>
      </c>
      <c r="B33" s="470">
        <v>168</v>
      </c>
      <c r="C33" s="470" t="s">
        <v>586</v>
      </c>
      <c r="D33" s="471" t="s">
        <v>587</v>
      </c>
      <c r="E33" s="471" t="s">
        <v>572</v>
      </c>
      <c r="F33" s="472">
        <v>5.375</v>
      </c>
      <c r="G33" s="486">
        <v>75</v>
      </c>
      <c r="H33" s="474">
        <f t="shared" si="1"/>
        <v>403.125</v>
      </c>
    </row>
    <row r="34" spans="1:8" ht="15">
      <c r="A34" s="454" t="s">
        <v>2</v>
      </c>
      <c r="B34" s="470">
        <v>962</v>
      </c>
      <c r="C34" s="470" t="s">
        <v>574</v>
      </c>
      <c r="D34" s="471" t="s">
        <v>575</v>
      </c>
      <c r="E34" s="471" t="s">
        <v>411</v>
      </c>
      <c r="F34" s="472">
        <v>28.351244769915901</v>
      </c>
      <c r="G34" s="486">
        <v>2</v>
      </c>
      <c r="H34" s="474">
        <f t="shared" si="1"/>
        <v>56.702489539831802</v>
      </c>
    </row>
    <row r="35" spans="1:8" ht="15">
      <c r="A35" s="454" t="s">
        <v>2</v>
      </c>
      <c r="B35" s="470">
        <v>960</v>
      </c>
      <c r="C35" s="470" t="s">
        <v>576</v>
      </c>
      <c r="D35" s="471" t="s">
        <v>577</v>
      </c>
      <c r="E35" s="471" t="s">
        <v>408</v>
      </c>
      <c r="F35" s="472">
        <v>16.116234042553199</v>
      </c>
      <c r="G35" s="486">
        <v>50</v>
      </c>
      <c r="H35" s="474">
        <f t="shared" si="1"/>
        <v>805.81170212765994</v>
      </c>
    </row>
    <row r="36" spans="1:8" ht="15">
      <c r="A36" s="454" t="s">
        <v>3</v>
      </c>
      <c r="B36" s="470">
        <v>231</v>
      </c>
      <c r="C36" s="470" t="s">
        <v>578</v>
      </c>
      <c r="D36" s="471" t="s">
        <v>579</v>
      </c>
      <c r="E36" s="471" t="s">
        <v>411</v>
      </c>
      <c r="F36" s="472">
        <v>20.5819786096257</v>
      </c>
      <c r="G36" s="486">
        <v>3</v>
      </c>
      <c r="H36" s="474">
        <f t="shared" si="1"/>
        <v>61.745935828877101</v>
      </c>
    </row>
    <row r="37" spans="1:8" ht="15">
      <c r="A37" s="454" t="s">
        <v>3</v>
      </c>
      <c r="B37" s="470"/>
      <c r="C37" s="470"/>
      <c r="D37" s="471"/>
      <c r="E37" s="471"/>
      <c r="F37" s="472"/>
      <c r="G37" s="486"/>
      <c r="H37" s="474">
        <f>IF(G37&lt;=0, 0,#REF!* G37)</f>
        <v>0</v>
      </c>
    </row>
    <row r="38" spans="1:8" ht="15">
      <c r="A38" s="454" t="s">
        <v>3</v>
      </c>
      <c r="B38" s="470"/>
      <c r="C38" s="470"/>
      <c r="D38" s="471"/>
      <c r="E38" s="471"/>
      <c r="F38" s="472"/>
      <c r="G38" s="486"/>
      <c r="H38" s="474">
        <f t="shared" si="1"/>
        <v>0</v>
      </c>
    </row>
    <row r="39" spans="1:8" ht="15">
      <c r="A39" s="454" t="s">
        <v>4</v>
      </c>
      <c r="B39" s="470"/>
      <c r="C39" s="470"/>
      <c r="D39" s="471"/>
      <c r="E39" s="471"/>
      <c r="F39" s="481"/>
      <c r="G39" s="486"/>
      <c r="H39" s="474">
        <f t="shared" si="1"/>
        <v>0</v>
      </c>
    </row>
    <row r="40" spans="1:8" ht="16.5" customHeight="1">
      <c r="A40" s="454" t="s">
        <v>419</v>
      </c>
      <c r="B40" s="470"/>
      <c r="C40" s="470"/>
      <c r="D40" s="471"/>
      <c r="E40" s="471"/>
      <c r="F40" s="481"/>
      <c r="G40" s="486"/>
      <c r="H40" s="474">
        <f t="shared" si="1"/>
        <v>0</v>
      </c>
    </row>
    <row r="41" spans="1:8" ht="15">
      <c r="A41" s="454" t="s">
        <v>7</v>
      </c>
      <c r="B41" s="470"/>
      <c r="C41" s="470"/>
      <c r="D41" s="471"/>
      <c r="E41" s="471"/>
      <c r="F41" s="472"/>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421</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5</v>
      </c>
      <c r="B47" s="470"/>
      <c r="C47" s="470"/>
      <c r="D47" s="471"/>
      <c r="E47" s="471"/>
      <c r="F47" s="472"/>
      <c r="G47" s="486"/>
      <c r="H47" s="474">
        <f t="shared" si="1"/>
        <v>0</v>
      </c>
    </row>
    <row r="48" spans="1:8" ht="15">
      <c r="A48" s="454" t="s">
        <v>20</v>
      </c>
      <c r="B48" s="470"/>
      <c r="C48" s="470"/>
      <c r="D48" s="471"/>
      <c r="E48" s="471"/>
      <c r="F48" s="472"/>
      <c r="G48" s="486"/>
      <c r="H48" s="474">
        <f t="shared" si="1"/>
        <v>0</v>
      </c>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93" spans="1:7">
      <c r="D93" s="57"/>
    </row>
    <row r="94" spans="1:7">
      <c r="D94" s="57"/>
    </row>
    <row r="95" spans="1:7">
      <c r="D95" s="57"/>
    </row>
    <row r="96" spans="1:7">
      <c r="D96" s="57"/>
    </row>
    <row r="97" spans="4:4">
      <c r="D97" s="57"/>
    </row>
    <row r="98" spans="4:4">
      <c r="D98" s="57"/>
    </row>
    <row r="99" spans="4:4">
      <c r="D99" s="57"/>
    </row>
    <row r="101" spans="4:4">
      <c r="D101" s="57"/>
    </row>
    <row r="103" spans="4:4">
      <c r="D103" s="56"/>
    </row>
    <row r="105" spans="4:4">
      <c r="D105"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worksheet>
</file>

<file path=xl/worksheets/sheet79.xml><?xml version="1.0" encoding="utf-8"?>
<worksheet xmlns="http://schemas.openxmlformats.org/spreadsheetml/2006/main" xmlns:r="http://schemas.openxmlformats.org/officeDocument/2006/relationships">
  <dimension ref="A1:H108"/>
  <sheetViews>
    <sheetView topLeftCell="A18" zoomScaleNormal="100" workbookViewId="0">
      <selection activeCell="B25" sqref="B25"/>
    </sheetView>
  </sheetViews>
  <sheetFormatPr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9.85546875" style="2" bestFit="1"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564</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588</v>
      </c>
      <c r="D8" s="461"/>
      <c r="E8" s="457"/>
      <c r="F8" s="457"/>
      <c r="G8" s="461"/>
    </row>
    <row r="9" spans="1:7" ht="47.25" customHeight="1">
      <c r="A9" s="454" t="s">
        <v>382</v>
      </c>
      <c r="B9" s="454" t="s">
        <v>385</v>
      </c>
      <c r="C9" s="2009" t="s">
        <v>589</v>
      </c>
      <c r="D9" s="2010"/>
      <c r="E9" s="2010"/>
      <c r="F9" s="2010"/>
      <c r="G9" s="2011"/>
    </row>
    <row r="10" spans="1:7" ht="51.75" customHeight="1">
      <c r="A10" s="454" t="s">
        <v>382</v>
      </c>
      <c r="B10" s="454" t="s">
        <v>387</v>
      </c>
      <c r="C10" s="2009" t="s">
        <v>590</v>
      </c>
      <c r="D10" s="2010"/>
      <c r="E10" s="2010"/>
      <c r="F10" s="2010"/>
      <c r="G10" s="2011"/>
    </row>
    <row r="11" spans="1:7" ht="51.75" customHeight="1">
      <c r="A11" s="454" t="s">
        <v>382</v>
      </c>
      <c r="B11" s="454" t="s">
        <v>389</v>
      </c>
      <c r="C11" s="2009" t="s">
        <v>591</v>
      </c>
      <c r="D11" s="2010"/>
      <c r="E11" s="2010"/>
      <c r="F11" s="2010"/>
      <c r="G11" s="2011"/>
    </row>
    <row r="12" spans="1:7" ht="51.75" customHeight="1">
      <c r="A12" s="454" t="s">
        <v>382</v>
      </c>
      <c r="B12" s="454" t="s">
        <v>391</v>
      </c>
      <c r="C12" s="2009" t="s">
        <v>569</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50</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SUM(H31:H36)</f>
        <v>3587.5</v>
      </c>
      <c r="C18" s="466">
        <f>B18/C$14</f>
        <v>71.75</v>
      </c>
      <c r="D18" s="49"/>
      <c r="E18" s="89"/>
      <c r="F18" s="89"/>
      <c r="G18" s="49"/>
    </row>
    <row r="19" spans="1:8" ht="15">
      <c r="A19" s="454" t="s">
        <v>2</v>
      </c>
      <c r="B19" s="465">
        <f>SUM(H37:H38)</f>
        <v>890.86543643740765</v>
      </c>
      <c r="C19" s="466">
        <f t="shared" ref="C19:C27" si="0">B19/C$14</f>
        <v>17.817308728748152</v>
      </c>
      <c r="D19" s="49"/>
      <c r="E19" s="89"/>
      <c r="F19" s="89"/>
      <c r="G19" s="49"/>
    </row>
    <row r="20" spans="1:8" ht="15">
      <c r="A20" s="454" t="s">
        <v>3</v>
      </c>
      <c r="B20" s="465">
        <f>SUM(H39:H41)</f>
        <v>82.327914438502802</v>
      </c>
      <c r="C20" s="466">
        <f t="shared" si="0"/>
        <v>1.6465582887700561</v>
      </c>
      <c r="D20" s="49"/>
      <c r="E20" s="89"/>
      <c r="F20" s="89"/>
      <c r="G20" s="49"/>
    </row>
    <row r="21" spans="1:8" ht="15">
      <c r="A21" s="454" t="s">
        <v>4</v>
      </c>
      <c r="B21" s="465">
        <f>H42</f>
        <v>0</v>
      </c>
      <c r="C21" s="466">
        <f t="shared" si="0"/>
        <v>0</v>
      </c>
      <c r="D21" s="49"/>
      <c r="E21" s="89"/>
      <c r="F21" s="89"/>
      <c r="G21" s="49"/>
    </row>
    <row r="22" spans="1:8" ht="15">
      <c r="A22" s="454" t="s">
        <v>26</v>
      </c>
      <c r="B22" s="465">
        <f>H43</f>
        <v>0</v>
      </c>
      <c r="C22" s="466">
        <f t="shared" si="0"/>
        <v>0</v>
      </c>
      <c r="D22" s="49"/>
      <c r="E22" s="89"/>
      <c r="F22" s="89"/>
      <c r="G22" s="49"/>
    </row>
    <row r="23" spans="1:8" ht="15">
      <c r="A23" s="454" t="s">
        <v>7</v>
      </c>
      <c r="B23" s="465">
        <f>SUM(H44:H46)</f>
        <v>0</v>
      </c>
      <c r="C23" s="466">
        <f t="shared" si="0"/>
        <v>0</v>
      </c>
      <c r="D23" s="49"/>
      <c r="E23" s="89"/>
      <c r="F23" s="89"/>
      <c r="G23" s="49"/>
    </row>
    <row r="24" spans="1:8" ht="15">
      <c r="A24" s="454" t="s">
        <v>27</v>
      </c>
      <c r="B24" s="465">
        <f>SUM(H47:H49)</f>
        <v>0</v>
      </c>
      <c r="C24" s="466">
        <f t="shared" si="0"/>
        <v>0</v>
      </c>
      <c r="D24" s="49"/>
      <c r="E24" s="89"/>
      <c r="F24" s="89"/>
      <c r="G24" s="49"/>
    </row>
    <row r="25" spans="1:8" ht="15">
      <c r="A25" s="454" t="s">
        <v>5</v>
      </c>
      <c r="B25" s="465">
        <f>H50</f>
        <v>0</v>
      </c>
      <c r="C25" s="466">
        <f t="shared" si="0"/>
        <v>0</v>
      </c>
      <c r="D25" s="49"/>
      <c r="E25" s="89"/>
      <c r="F25" s="89"/>
      <c r="G25" s="49"/>
    </row>
    <row r="26" spans="1:8" ht="15">
      <c r="A26" s="454" t="s">
        <v>20</v>
      </c>
      <c r="B26" s="465">
        <f>H50</f>
        <v>0</v>
      </c>
      <c r="C26" s="466">
        <f t="shared" si="0"/>
        <v>0</v>
      </c>
      <c r="D26" s="49"/>
      <c r="E26" s="89"/>
      <c r="F26" s="89"/>
      <c r="G26" s="49"/>
    </row>
    <row r="27" spans="1:8" ht="15">
      <c r="A27" s="454" t="s">
        <v>399</v>
      </c>
      <c r="B27" s="465">
        <f>SUM(H31:H39)</f>
        <v>4560.6933508759103</v>
      </c>
      <c r="C27" s="466">
        <f t="shared" si="0"/>
        <v>91.213867017518211</v>
      </c>
      <c r="D27" s="49"/>
      <c r="E27" s="89"/>
      <c r="F27" s="89"/>
      <c r="G27" s="49"/>
    </row>
    <row r="28" spans="1:8">
      <c r="A28" s="467"/>
      <c r="B28" s="684"/>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198</v>
      </c>
      <c r="C31" s="470" t="s">
        <v>570</v>
      </c>
      <c r="D31" s="471" t="s">
        <v>571</v>
      </c>
      <c r="E31" s="471" t="s">
        <v>572</v>
      </c>
      <c r="F31" s="472">
        <v>0.35249999999999998</v>
      </c>
      <c r="G31" s="486">
        <v>3000</v>
      </c>
      <c r="H31" s="474">
        <f>IF(G31&lt;=0, 0, F31*G31)</f>
        <v>1057.5</v>
      </c>
    </row>
    <row r="32" spans="1:8" ht="15">
      <c r="A32" s="454" t="s">
        <v>0</v>
      </c>
      <c r="B32" s="470">
        <v>185</v>
      </c>
      <c r="C32" s="470" t="s">
        <v>584</v>
      </c>
      <c r="D32" s="471" t="s">
        <v>585</v>
      </c>
      <c r="E32" s="471" t="s">
        <v>572</v>
      </c>
      <c r="F32" s="472">
        <v>2.6</v>
      </c>
      <c r="G32" s="486">
        <v>650</v>
      </c>
      <c r="H32" s="474">
        <f t="shared" ref="H32:H51" si="1">IF(G32&lt;=0, 0, F32*G32)</f>
        <v>1690</v>
      </c>
    </row>
    <row r="33" spans="1:8" ht="15">
      <c r="A33" s="454" t="s">
        <v>0</v>
      </c>
      <c r="B33" s="470">
        <v>183</v>
      </c>
      <c r="C33" s="470" t="s">
        <v>592</v>
      </c>
      <c r="D33" s="471" t="s">
        <v>585</v>
      </c>
      <c r="E33" s="471" t="s">
        <v>572</v>
      </c>
      <c r="F33" s="472">
        <v>1.125</v>
      </c>
      <c r="G33" s="486">
        <v>150</v>
      </c>
      <c r="H33" s="474">
        <f t="shared" si="1"/>
        <v>168.75</v>
      </c>
    </row>
    <row r="34" spans="1:8" ht="15">
      <c r="A34" s="454" t="s">
        <v>0</v>
      </c>
      <c r="B34" s="470">
        <v>113</v>
      </c>
      <c r="C34" s="470" t="s">
        <v>593</v>
      </c>
      <c r="D34" s="471" t="s">
        <v>594</v>
      </c>
      <c r="E34" s="471" t="s">
        <v>572</v>
      </c>
      <c r="F34" s="472">
        <v>2.5625</v>
      </c>
      <c r="G34" s="486">
        <v>50</v>
      </c>
      <c r="H34" s="474">
        <f t="shared" si="1"/>
        <v>128.125</v>
      </c>
    </row>
    <row r="35" spans="1:8" ht="15">
      <c r="A35" s="454" t="s">
        <v>0</v>
      </c>
      <c r="B35" s="470">
        <v>169</v>
      </c>
      <c r="C35" s="470" t="s">
        <v>595</v>
      </c>
      <c r="D35" s="471" t="s">
        <v>587</v>
      </c>
      <c r="E35" s="471" t="s">
        <v>572</v>
      </c>
      <c r="F35" s="472">
        <v>2.8</v>
      </c>
      <c r="G35" s="486">
        <v>50</v>
      </c>
      <c r="H35" s="474">
        <f t="shared" si="1"/>
        <v>140</v>
      </c>
    </row>
    <row r="36" spans="1:8" ht="15">
      <c r="A36" s="454" t="s">
        <v>0</v>
      </c>
      <c r="B36" s="470">
        <v>168</v>
      </c>
      <c r="C36" s="470" t="s">
        <v>586</v>
      </c>
      <c r="D36" s="471" t="s">
        <v>587</v>
      </c>
      <c r="E36" s="471" t="s">
        <v>572</v>
      </c>
      <c r="F36" s="472">
        <v>5.375</v>
      </c>
      <c r="G36" s="486">
        <v>75</v>
      </c>
      <c r="H36" s="474">
        <f t="shared" si="1"/>
        <v>403.125</v>
      </c>
    </row>
    <row r="37" spans="1:8" ht="15">
      <c r="A37" s="454" t="s">
        <v>2</v>
      </c>
      <c r="B37" s="470">
        <v>962</v>
      </c>
      <c r="C37" s="470" t="s">
        <v>574</v>
      </c>
      <c r="D37" s="471" t="s">
        <v>575</v>
      </c>
      <c r="E37" s="471" t="s">
        <v>411</v>
      </c>
      <c r="F37" s="472">
        <v>28.351244769915901</v>
      </c>
      <c r="G37" s="486">
        <v>3</v>
      </c>
      <c r="H37" s="474">
        <f t="shared" si="1"/>
        <v>85.053734309747711</v>
      </c>
    </row>
    <row r="38" spans="1:8" ht="15">
      <c r="A38" s="454" t="s">
        <v>2</v>
      </c>
      <c r="B38" s="470">
        <v>960</v>
      </c>
      <c r="C38" s="470" t="s">
        <v>576</v>
      </c>
      <c r="D38" s="471" t="s">
        <v>577</v>
      </c>
      <c r="E38" s="471" t="s">
        <v>408</v>
      </c>
      <c r="F38" s="472">
        <v>16.116234042553199</v>
      </c>
      <c r="G38" s="486">
        <v>50</v>
      </c>
      <c r="H38" s="474">
        <f t="shared" si="1"/>
        <v>805.81170212765994</v>
      </c>
    </row>
    <row r="39" spans="1:8" ht="15">
      <c r="A39" s="454" t="s">
        <v>3</v>
      </c>
      <c r="B39" s="470">
        <v>231</v>
      </c>
      <c r="C39" s="470" t="s">
        <v>578</v>
      </c>
      <c r="D39" s="471" t="s">
        <v>579</v>
      </c>
      <c r="E39" s="471" t="s">
        <v>411</v>
      </c>
      <c r="F39" s="472">
        <v>20.5819786096257</v>
      </c>
      <c r="G39" s="486">
        <v>4</v>
      </c>
      <c r="H39" s="474">
        <f t="shared" si="1"/>
        <v>82.327914438502802</v>
      </c>
    </row>
    <row r="40" spans="1:8" ht="15">
      <c r="A40" s="454" t="s">
        <v>3</v>
      </c>
      <c r="B40" s="470"/>
      <c r="C40" s="470"/>
      <c r="D40" s="471"/>
      <c r="E40" s="471"/>
      <c r="F40" s="472"/>
      <c r="G40" s="486"/>
      <c r="H40" s="474">
        <f t="shared" si="1"/>
        <v>0</v>
      </c>
    </row>
    <row r="41" spans="1:8" ht="15">
      <c r="A41" s="454" t="s">
        <v>3</v>
      </c>
      <c r="B41" s="470"/>
      <c r="C41" s="470"/>
      <c r="D41" s="471"/>
      <c r="E41" s="471"/>
      <c r="F41" s="472"/>
      <c r="G41" s="486"/>
      <c r="H41" s="474">
        <f t="shared" si="1"/>
        <v>0</v>
      </c>
    </row>
    <row r="42" spans="1:8" ht="15">
      <c r="A42" s="454" t="s">
        <v>4</v>
      </c>
      <c r="B42" s="470"/>
      <c r="C42" s="470"/>
      <c r="D42" s="471"/>
      <c r="E42" s="471"/>
      <c r="F42" s="481"/>
      <c r="G42" s="486"/>
      <c r="H42" s="474">
        <f t="shared" si="1"/>
        <v>0</v>
      </c>
    </row>
    <row r="43" spans="1:8" ht="16.5" customHeight="1">
      <c r="A43" s="454" t="s">
        <v>419</v>
      </c>
      <c r="B43" s="470"/>
      <c r="C43" s="470"/>
      <c r="D43" s="471"/>
      <c r="E43" s="471"/>
      <c r="F43" s="481"/>
      <c r="G43" s="486"/>
      <c r="H43" s="474">
        <f t="shared" si="1"/>
        <v>0</v>
      </c>
    </row>
    <row r="44" spans="1:8" ht="15">
      <c r="A44" s="454" t="s">
        <v>7</v>
      </c>
      <c r="B44" s="470"/>
      <c r="C44" s="470"/>
      <c r="D44" s="471"/>
      <c r="E44" s="471"/>
      <c r="F44" s="472"/>
      <c r="G44" s="486"/>
      <c r="H44" s="474">
        <f t="shared" si="1"/>
        <v>0</v>
      </c>
    </row>
    <row r="45" spans="1:8" ht="15">
      <c r="A45" s="454" t="s">
        <v>7</v>
      </c>
      <c r="B45" s="470"/>
      <c r="C45" s="470"/>
      <c r="D45" s="471"/>
      <c r="E45" s="471"/>
      <c r="F45" s="472"/>
      <c r="G45" s="486"/>
      <c r="H45" s="474">
        <f t="shared" si="1"/>
        <v>0</v>
      </c>
    </row>
    <row r="46" spans="1:8" ht="15">
      <c r="A46" s="454" t="s">
        <v>7</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421</v>
      </c>
      <c r="B48" s="470"/>
      <c r="C48" s="470"/>
      <c r="D48" s="471"/>
      <c r="E48" s="471"/>
      <c r="F48" s="472"/>
      <c r="G48" s="486"/>
      <c r="H48" s="474">
        <f t="shared" si="1"/>
        <v>0</v>
      </c>
    </row>
    <row r="49" spans="1:8" ht="15">
      <c r="A49" s="454" t="s">
        <v>421</v>
      </c>
      <c r="B49" s="470"/>
      <c r="C49" s="470"/>
      <c r="D49" s="471"/>
      <c r="E49" s="471"/>
      <c r="F49" s="472"/>
      <c r="G49" s="486"/>
      <c r="H49" s="474">
        <f t="shared" si="1"/>
        <v>0</v>
      </c>
    </row>
    <row r="50" spans="1:8" ht="15">
      <c r="A50" s="454" t="s">
        <v>5</v>
      </c>
      <c r="B50" s="470"/>
      <c r="C50" s="470"/>
      <c r="D50" s="471"/>
      <c r="E50" s="471"/>
      <c r="F50" s="472"/>
      <c r="G50" s="486"/>
      <c r="H50" s="474">
        <f t="shared" si="1"/>
        <v>0</v>
      </c>
    </row>
    <row r="51" spans="1:8" ht="15">
      <c r="A51" s="454" t="s">
        <v>20</v>
      </c>
      <c r="B51" s="470"/>
      <c r="C51" s="470"/>
      <c r="D51" s="471"/>
      <c r="E51" s="471"/>
      <c r="F51" s="472"/>
      <c r="G51" s="486"/>
      <c r="H51" s="474">
        <f t="shared" si="1"/>
        <v>0</v>
      </c>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96" spans="1:7">
      <c r="D96" s="57"/>
    </row>
    <row r="97" spans="4:4">
      <c r="D97" s="57"/>
    </row>
    <row r="98" spans="4:4">
      <c r="D98" s="57"/>
    </row>
    <row r="99" spans="4:4">
      <c r="D99" s="57"/>
    </row>
    <row r="100" spans="4:4">
      <c r="D100" s="57"/>
    </row>
    <row r="101" spans="4:4">
      <c r="D101" s="57"/>
    </row>
    <row r="102" spans="4:4">
      <c r="D102" s="57"/>
    </row>
    <row r="104" spans="4:4">
      <c r="D104" s="57"/>
    </row>
    <row r="106" spans="4:4">
      <c r="D106" s="56"/>
    </row>
    <row r="108" spans="4:4">
      <c r="D108"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I62"/>
  <sheetViews>
    <sheetView view="pageBreakPreview" zoomScaleNormal="100" zoomScaleSheetLayoutView="100" workbookViewId="0">
      <selection activeCell="I22" sqref="I22"/>
    </sheetView>
  </sheetViews>
  <sheetFormatPr defaultRowHeight="12.75"/>
  <cols>
    <col min="1" max="1" width="13.7109375" customWidth="1"/>
    <col min="2" max="2" width="18.28515625" customWidth="1"/>
    <col min="3" max="3" width="22" customWidth="1"/>
    <col min="4" max="4" width="16.85546875" customWidth="1"/>
    <col min="5" max="5" width="15.42578125" customWidth="1"/>
    <col min="6" max="6" width="13.28515625" customWidth="1"/>
    <col min="7" max="7" width="14.42578125" customWidth="1"/>
    <col min="8" max="8" width="13.85546875" customWidth="1"/>
    <col min="9" max="9" width="15.5703125" customWidth="1"/>
  </cols>
  <sheetData>
    <row r="1" spans="1:9">
      <c r="A1" s="2"/>
      <c r="B1" s="2"/>
      <c r="C1" s="2"/>
      <c r="D1" s="2"/>
      <c r="E1" s="2"/>
      <c r="F1" s="2"/>
      <c r="G1" s="2"/>
      <c r="H1" s="2"/>
      <c r="I1" s="2"/>
    </row>
    <row r="2" spans="1:9" ht="15.75">
      <c r="A2" s="118" t="s">
        <v>17</v>
      </c>
      <c r="B2" s="119"/>
      <c r="C2" s="119"/>
      <c r="D2" s="119"/>
      <c r="E2" s="119"/>
      <c r="F2" s="119"/>
      <c r="G2" s="2"/>
      <c r="H2" s="2"/>
      <c r="I2" s="2"/>
    </row>
    <row r="3" spans="1:9" ht="25.5">
      <c r="A3" s="120" t="s">
        <v>37</v>
      </c>
      <c r="B3" s="121" t="s">
        <v>75</v>
      </c>
      <c r="C3" s="122" t="s">
        <v>29</v>
      </c>
      <c r="D3" s="122" t="s">
        <v>30</v>
      </c>
      <c r="E3" s="121" t="s">
        <v>23</v>
      </c>
      <c r="F3" s="123" t="s">
        <v>76</v>
      </c>
      <c r="G3" s="124" t="s">
        <v>77</v>
      </c>
      <c r="H3" s="109"/>
    </row>
    <row r="4" spans="1:9" ht="38.25" customHeight="1">
      <c r="A4" s="54">
        <v>102</v>
      </c>
      <c r="B4" s="7" t="s">
        <v>15</v>
      </c>
      <c r="C4" s="125" t="s">
        <v>79</v>
      </c>
      <c r="D4" s="110" t="s">
        <v>125</v>
      </c>
      <c r="E4" s="7" t="s">
        <v>81</v>
      </c>
      <c r="F4" s="85">
        <f>+F21</f>
        <v>1500</v>
      </c>
      <c r="G4" s="126" t="str">
        <f>+C26</f>
        <v>Statewide</v>
      </c>
      <c r="H4" s="159"/>
    </row>
    <row r="5" spans="1:9" ht="42" customHeight="1">
      <c r="A5" s="8">
        <v>102</v>
      </c>
      <c r="B5" s="10" t="s">
        <v>15</v>
      </c>
      <c r="C5" s="127" t="s">
        <v>79</v>
      </c>
      <c r="D5" s="111" t="s">
        <v>126</v>
      </c>
      <c r="E5" s="10" t="s">
        <v>81</v>
      </c>
      <c r="F5" s="86">
        <f>G21</f>
        <v>1800</v>
      </c>
      <c r="G5" s="2" t="str">
        <f>+C26</f>
        <v>Statewide</v>
      </c>
      <c r="H5" s="159"/>
    </row>
    <row r="6" spans="1:9">
      <c r="A6" s="4"/>
      <c r="B6" s="3"/>
      <c r="C6" s="3"/>
      <c r="D6" s="2"/>
      <c r="E6" s="2"/>
    </row>
    <row r="7" spans="1:9" ht="15.75">
      <c r="A7" s="1" t="s">
        <v>18</v>
      </c>
      <c r="B7" s="3"/>
      <c r="C7" s="3"/>
      <c r="D7" s="2"/>
      <c r="E7" s="2"/>
      <c r="I7" s="81"/>
    </row>
    <row r="8" spans="1:9">
      <c r="A8" s="128"/>
      <c r="B8" s="11"/>
      <c r="C8" s="12"/>
      <c r="D8" s="13" t="s">
        <v>15</v>
      </c>
      <c r="E8" s="13" t="s">
        <v>84</v>
      </c>
      <c r="F8" s="13" t="s">
        <v>15</v>
      </c>
      <c r="G8" s="14" t="s">
        <v>15</v>
      </c>
      <c r="H8" s="87"/>
      <c r="I8" s="87"/>
    </row>
    <row r="9" spans="1:9">
      <c r="A9" s="15"/>
      <c r="B9" s="67"/>
      <c r="C9" s="16"/>
      <c r="D9" s="17" t="s">
        <v>22</v>
      </c>
      <c r="E9" s="17" t="s">
        <v>22</v>
      </c>
      <c r="F9" s="17"/>
      <c r="G9" s="18" t="s">
        <v>87</v>
      </c>
      <c r="H9" s="87"/>
      <c r="I9" s="87"/>
    </row>
    <row r="10" spans="1:9">
      <c r="A10" s="19"/>
      <c r="B10" s="16"/>
      <c r="C10" s="16"/>
      <c r="D10" s="17" t="s">
        <v>12</v>
      </c>
      <c r="E10" s="17" t="s">
        <v>12</v>
      </c>
      <c r="F10" s="17" t="s">
        <v>12</v>
      </c>
      <c r="G10" s="18" t="s">
        <v>12</v>
      </c>
      <c r="H10" s="87"/>
      <c r="I10" s="87"/>
    </row>
    <row r="11" spans="1:9">
      <c r="A11" s="129" t="s">
        <v>16</v>
      </c>
      <c r="B11" s="16"/>
      <c r="C11" s="22" t="s">
        <v>6</v>
      </c>
      <c r="D11" s="22" t="s">
        <v>24</v>
      </c>
      <c r="E11" s="22" t="s">
        <v>24</v>
      </c>
      <c r="F11" s="22" t="s">
        <v>14</v>
      </c>
      <c r="G11" s="23" t="s">
        <v>14</v>
      </c>
      <c r="H11" s="88"/>
      <c r="I11" s="88"/>
    </row>
    <row r="12" spans="1:9">
      <c r="A12" s="15" t="s">
        <v>0</v>
      </c>
      <c r="B12" s="16"/>
      <c r="C12" s="24">
        <f>+I34/C29</f>
        <v>0</v>
      </c>
      <c r="D12" s="160">
        <v>0.75</v>
      </c>
      <c r="E12" s="160">
        <v>0.9</v>
      </c>
      <c r="F12" s="73">
        <f t="shared" ref="F12:G20" si="0">+$C12*D12</f>
        <v>0</v>
      </c>
      <c r="G12" s="74">
        <f t="shared" si="0"/>
        <v>0</v>
      </c>
      <c r="H12" s="131"/>
      <c r="I12" s="132"/>
    </row>
    <row r="13" spans="1:9">
      <c r="A13" s="15" t="s">
        <v>2</v>
      </c>
      <c r="B13" s="16"/>
      <c r="C13" s="24">
        <f>+I37/C29</f>
        <v>0</v>
      </c>
      <c r="D13" s="160">
        <v>0.75</v>
      </c>
      <c r="E13" s="160">
        <v>0.9</v>
      </c>
      <c r="F13" s="73">
        <f t="shared" si="0"/>
        <v>0</v>
      </c>
      <c r="G13" s="74">
        <f t="shared" si="0"/>
        <v>0</v>
      </c>
      <c r="H13" s="131"/>
      <c r="I13" s="132"/>
    </row>
    <row r="14" spans="1:9">
      <c r="A14" s="15" t="s">
        <v>3</v>
      </c>
      <c r="B14" s="16"/>
      <c r="C14" s="24">
        <f>+I40/C29</f>
        <v>2000</v>
      </c>
      <c r="D14" s="160">
        <v>0.75</v>
      </c>
      <c r="E14" s="160">
        <v>0.9</v>
      </c>
      <c r="F14" s="73">
        <f t="shared" si="0"/>
        <v>1500</v>
      </c>
      <c r="G14" s="74">
        <f t="shared" si="0"/>
        <v>1800</v>
      </c>
      <c r="H14" s="131"/>
      <c r="I14" s="132"/>
    </row>
    <row r="15" spans="1:9">
      <c r="A15" s="15" t="s">
        <v>4</v>
      </c>
      <c r="B15" s="16"/>
      <c r="C15" s="24">
        <f>+I44/C29</f>
        <v>0</v>
      </c>
      <c r="D15" s="160">
        <v>0.75</v>
      </c>
      <c r="E15" s="160">
        <v>0.9</v>
      </c>
      <c r="F15" s="73">
        <f t="shared" si="0"/>
        <v>0</v>
      </c>
      <c r="G15" s="74">
        <f t="shared" si="0"/>
        <v>0</v>
      </c>
      <c r="H15" s="131"/>
      <c r="I15" s="132"/>
    </row>
    <row r="16" spans="1:9">
      <c r="A16" s="15" t="s">
        <v>26</v>
      </c>
      <c r="B16" s="16"/>
      <c r="C16" s="24">
        <f>+I47/C29</f>
        <v>0</v>
      </c>
      <c r="D16" s="160">
        <v>0</v>
      </c>
      <c r="E16" s="160">
        <v>0</v>
      </c>
      <c r="F16" s="73">
        <f t="shared" si="0"/>
        <v>0</v>
      </c>
      <c r="G16" s="74">
        <f t="shared" si="0"/>
        <v>0</v>
      </c>
      <c r="H16" s="131"/>
      <c r="I16" s="132"/>
    </row>
    <row r="17" spans="1:9">
      <c r="A17" s="15" t="s">
        <v>7</v>
      </c>
      <c r="B17" s="16"/>
      <c r="C17" s="24">
        <f>+I50/C29</f>
        <v>0</v>
      </c>
      <c r="D17" s="160">
        <v>0</v>
      </c>
      <c r="E17" s="160">
        <v>0</v>
      </c>
      <c r="F17" s="73">
        <f t="shared" si="0"/>
        <v>0</v>
      </c>
      <c r="G17" s="74">
        <f t="shared" si="0"/>
        <v>0</v>
      </c>
      <c r="H17" s="131"/>
      <c r="I17" s="132"/>
    </row>
    <row r="18" spans="1:9">
      <c r="A18" s="15" t="s">
        <v>27</v>
      </c>
      <c r="B18" s="16"/>
      <c r="C18" s="24">
        <f>+I53/C29</f>
        <v>0</v>
      </c>
      <c r="D18" s="160">
        <v>0</v>
      </c>
      <c r="E18" s="160">
        <v>0</v>
      </c>
      <c r="F18" s="73">
        <f t="shared" si="0"/>
        <v>0</v>
      </c>
      <c r="G18" s="74">
        <f t="shared" si="0"/>
        <v>0</v>
      </c>
      <c r="H18" s="131"/>
      <c r="I18" s="132"/>
    </row>
    <row r="19" spans="1:9">
      <c r="A19" s="15" t="s">
        <v>5</v>
      </c>
      <c r="B19" s="16"/>
      <c r="C19" s="24">
        <f>+I56/C29</f>
        <v>0</v>
      </c>
      <c r="D19" s="160">
        <v>0</v>
      </c>
      <c r="E19" s="160">
        <v>0</v>
      </c>
      <c r="F19" s="73">
        <f t="shared" si="0"/>
        <v>0</v>
      </c>
      <c r="G19" s="74">
        <f t="shared" si="0"/>
        <v>0</v>
      </c>
      <c r="H19" s="131"/>
      <c r="I19" s="132"/>
    </row>
    <row r="20" spans="1:9">
      <c r="A20" s="15" t="s">
        <v>88</v>
      </c>
      <c r="B20" s="16"/>
      <c r="C20" s="75">
        <f>+I59/C29</f>
        <v>0</v>
      </c>
      <c r="D20" s="160">
        <v>0</v>
      </c>
      <c r="E20" s="160">
        <v>0</v>
      </c>
      <c r="F20" s="75">
        <f t="shared" si="0"/>
        <v>0</v>
      </c>
      <c r="G20" s="76">
        <f t="shared" si="0"/>
        <v>0</v>
      </c>
      <c r="H20" s="136"/>
      <c r="I20" s="136"/>
    </row>
    <row r="21" spans="1:9">
      <c r="A21" s="137" t="s">
        <v>19</v>
      </c>
      <c r="B21" s="27"/>
      <c r="C21" s="51">
        <f>SUM(C12:C20)</f>
        <v>2000</v>
      </c>
      <c r="D21" s="28"/>
      <c r="E21" s="28"/>
      <c r="F21" s="138">
        <f>SUM(F12:F20)</f>
        <v>1500</v>
      </c>
      <c r="G21" s="139">
        <f>SUM(G12:G20)</f>
        <v>1800</v>
      </c>
      <c r="H21" s="132"/>
      <c r="I21" s="132"/>
    </row>
    <row r="22" spans="1:9">
      <c r="A22" s="2"/>
      <c r="B22" s="2"/>
      <c r="C22" s="2"/>
      <c r="D22" s="2"/>
      <c r="E22" s="2"/>
      <c r="F22" s="2"/>
      <c r="G22" s="2"/>
      <c r="H22" s="2"/>
      <c r="I22" s="49"/>
    </row>
    <row r="23" spans="1:9" ht="15.75">
      <c r="A23" s="50" t="s">
        <v>28</v>
      </c>
      <c r="B23" s="2"/>
      <c r="C23" s="2"/>
      <c r="D23" s="2"/>
      <c r="E23" s="2"/>
      <c r="F23" s="2"/>
      <c r="G23" s="2"/>
      <c r="H23" s="2"/>
      <c r="I23" s="5"/>
    </row>
    <row r="24" spans="1:9">
      <c r="A24" s="29" t="s">
        <v>89</v>
      </c>
      <c r="B24" s="30"/>
      <c r="C24" s="30"/>
      <c r="D24" s="31"/>
      <c r="E24" s="31"/>
      <c r="F24" s="31"/>
      <c r="G24" s="31"/>
      <c r="H24" s="31"/>
      <c r="I24" s="32"/>
    </row>
    <row r="25" spans="1:9">
      <c r="A25" s="1943" t="s">
        <v>127</v>
      </c>
      <c r="B25" s="1944"/>
      <c r="C25" s="1944"/>
      <c r="D25" s="1944"/>
      <c r="E25" s="1944"/>
      <c r="F25" s="1944"/>
      <c r="G25" s="1944"/>
      <c r="H25" s="1944"/>
      <c r="I25" s="1945"/>
    </row>
    <row r="26" spans="1:9">
      <c r="A26" s="38" t="s">
        <v>25</v>
      </c>
      <c r="B26" s="34"/>
      <c r="C26" s="39" t="s">
        <v>91</v>
      </c>
      <c r="D26" s="6"/>
      <c r="E26" s="35"/>
      <c r="F26" s="35"/>
      <c r="G26" s="35"/>
      <c r="H26" s="35"/>
      <c r="I26" s="36"/>
    </row>
    <row r="27" spans="1:9">
      <c r="A27" s="142"/>
      <c r="B27" s="143"/>
      <c r="C27" s="143"/>
      <c r="D27" s="6"/>
      <c r="E27" s="35"/>
      <c r="F27" s="35"/>
      <c r="G27" s="35"/>
      <c r="H27" s="35"/>
      <c r="I27" s="36"/>
    </row>
    <row r="28" spans="1:9">
      <c r="A28" s="38" t="s">
        <v>8</v>
      </c>
      <c r="B28" s="34"/>
      <c r="C28" s="39" t="s">
        <v>81</v>
      </c>
      <c r="D28" s="6"/>
      <c r="E28" s="35"/>
      <c r="F28" s="35"/>
      <c r="G28" s="35"/>
      <c r="H28" s="35"/>
      <c r="I28" s="36"/>
    </row>
    <row r="29" spans="1:9">
      <c r="A29" s="38" t="s">
        <v>92</v>
      </c>
      <c r="B29" s="34"/>
      <c r="C29" s="144">
        <v>1</v>
      </c>
      <c r="D29" s="6"/>
      <c r="E29" s="145"/>
      <c r="F29" s="145"/>
      <c r="G29" s="145"/>
      <c r="H29" s="145"/>
      <c r="I29" s="146"/>
    </row>
    <row r="30" spans="1:9">
      <c r="A30" s="38" t="s">
        <v>9</v>
      </c>
      <c r="B30" s="34"/>
      <c r="C30" s="92">
        <v>1</v>
      </c>
      <c r="D30" s="6"/>
      <c r="E30" s="35"/>
      <c r="F30" s="35"/>
      <c r="G30" s="35"/>
      <c r="H30" s="35"/>
      <c r="I30" s="36"/>
    </row>
    <row r="31" spans="1:9">
      <c r="A31" s="38" t="s">
        <v>10</v>
      </c>
      <c r="B31" s="35"/>
      <c r="C31" s="93">
        <v>0.05</v>
      </c>
      <c r="D31" s="6"/>
      <c r="E31" s="35"/>
      <c r="F31" s="35"/>
      <c r="G31" s="35"/>
      <c r="H31" s="35"/>
      <c r="I31" s="147" t="s">
        <v>6</v>
      </c>
    </row>
    <row r="32" spans="1:9">
      <c r="A32" s="38" t="s">
        <v>93</v>
      </c>
      <c r="B32" s="35"/>
      <c r="C32" s="148">
        <f>SUM(I34,I37,I40,I44,I47,I48,I48,I50,I53,I56,I59)/C29</f>
        <v>2000</v>
      </c>
      <c r="D32" s="6"/>
      <c r="E32" s="35"/>
      <c r="F32" s="35"/>
      <c r="G32" s="35"/>
      <c r="H32" s="35"/>
      <c r="I32" s="147"/>
    </row>
    <row r="33" spans="1:9">
      <c r="A33" s="40"/>
      <c r="B33" s="35"/>
      <c r="C33" s="35"/>
      <c r="D33" s="41"/>
      <c r="E33" s="35"/>
      <c r="F33" s="35"/>
      <c r="G33" s="35"/>
      <c r="H33" s="35"/>
      <c r="I33" s="149"/>
    </row>
    <row r="34" spans="1:9">
      <c r="A34" s="42" t="s">
        <v>0</v>
      </c>
      <c r="B34" s="35"/>
      <c r="C34" s="35"/>
      <c r="D34" s="41"/>
      <c r="E34" s="35"/>
      <c r="F34" s="35"/>
      <c r="G34" s="35"/>
      <c r="H34" s="35"/>
      <c r="I34" s="46">
        <v>0</v>
      </c>
    </row>
    <row r="35" spans="1:9">
      <c r="A35" s="40" t="s">
        <v>104</v>
      </c>
      <c r="B35" s="35"/>
      <c r="C35" s="92"/>
      <c r="D35" s="41"/>
      <c r="E35" s="35"/>
      <c r="F35" s="35"/>
      <c r="G35" s="35"/>
      <c r="H35" s="35"/>
      <c r="I35" s="47"/>
    </row>
    <row r="36" spans="1:9">
      <c r="A36" s="40"/>
      <c r="B36" s="35"/>
      <c r="C36" s="92"/>
      <c r="D36" s="41"/>
      <c r="E36" s="35"/>
      <c r="F36" s="35"/>
      <c r="G36" s="35"/>
      <c r="H36" s="35"/>
      <c r="I36" s="47"/>
    </row>
    <row r="37" spans="1:9">
      <c r="A37" s="42" t="s">
        <v>2</v>
      </c>
      <c r="B37" s="35"/>
      <c r="C37" s="35"/>
      <c r="D37" s="35"/>
      <c r="E37" s="35"/>
      <c r="F37" s="35"/>
      <c r="G37" s="35"/>
      <c r="H37" s="35"/>
      <c r="I37" s="46">
        <f>SUM(F38)</f>
        <v>0</v>
      </c>
    </row>
    <row r="38" spans="1:9">
      <c r="A38" s="40" t="s">
        <v>104</v>
      </c>
      <c r="B38" s="35"/>
      <c r="C38" s="35"/>
      <c r="D38" s="35"/>
      <c r="E38" s="35"/>
      <c r="F38" s="35"/>
      <c r="G38" s="35"/>
      <c r="H38" s="35"/>
      <c r="I38" s="36"/>
    </row>
    <row r="39" spans="1:9">
      <c r="A39" s="40"/>
      <c r="B39" s="35"/>
      <c r="C39" s="35"/>
      <c r="D39" s="35"/>
      <c r="E39" s="35"/>
      <c r="F39" s="35"/>
      <c r="G39" s="35"/>
      <c r="H39" s="35"/>
      <c r="I39" s="36"/>
    </row>
    <row r="40" spans="1:9">
      <c r="A40" s="42" t="s">
        <v>3</v>
      </c>
      <c r="B40" s="35"/>
      <c r="C40" s="35"/>
      <c r="D40" s="35"/>
      <c r="E40" s="35"/>
      <c r="F40" s="35"/>
      <c r="G40" s="35"/>
      <c r="H40" s="35"/>
      <c r="I40" s="46">
        <f>SUM(F42)</f>
        <v>2000</v>
      </c>
    </row>
    <row r="41" spans="1:9">
      <c r="A41" s="40" t="s">
        <v>99</v>
      </c>
      <c r="B41" s="35"/>
      <c r="C41" s="35"/>
      <c r="D41" s="35"/>
      <c r="E41" s="35"/>
      <c r="F41" s="35"/>
      <c r="G41" s="35"/>
      <c r="H41" s="35"/>
      <c r="I41" s="46"/>
    </row>
    <row r="42" spans="1:9">
      <c r="A42" s="1948" t="s">
        <v>128</v>
      </c>
      <c r="B42" s="1949"/>
      <c r="C42" s="150" t="s">
        <v>101</v>
      </c>
      <c r="D42" s="154">
        <v>2000</v>
      </c>
      <c r="E42" s="155">
        <v>1</v>
      </c>
      <c r="F42" s="156">
        <v>2000</v>
      </c>
      <c r="G42" s="35"/>
      <c r="H42" s="35"/>
      <c r="I42" s="46"/>
    </row>
    <row r="43" spans="1:9">
      <c r="A43" s="161"/>
      <c r="B43" s="161"/>
      <c r="C43" s="150"/>
      <c r="D43" s="154"/>
      <c r="E43" s="155"/>
      <c r="F43" s="156"/>
      <c r="G43" s="35"/>
      <c r="H43" s="35"/>
      <c r="I43" s="46"/>
    </row>
    <row r="44" spans="1:9">
      <c r="A44" s="42" t="s">
        <v>4</v>
      </c>
      <c r="B44" s="35"/>
      <c r="C44" s="35"/>
      <c r="D44" s="35"/>
      <c r="E44" s="35"/>
      <c r="F44" s="35"/>
      <c r="G44" s="35"/>
      <c r="H44" s="35"/>
      <c r="I44" s="48">
        <v>0</v>
      </c>
    </row>
    <row r="45" spans="1:9">
      <c r="A45" s="1950" t="s">
        <v>104</v>
      </c>
      <c r="B45" s="1951"/>
      <c r="C45" s="150"/>
      <c r="D45" s="157"/>
      <c r="E45" s="153"/>
      <c r="F45" s="153"/>
      <c r="G45" s="143"/>
      <c r="H45" s="35"/>
      <c r="I45" s="48"/>
    </row>
    <row r="46" spans="1:9">
      <c r="A46" s="162"/>
      <c r="B46" s="162"/>
      <c r="C46" s="150"/>
      <c r="D46" s="157"/>
      <c r="E46" s="153"/>
      <c r="F46" s="153"/>
      <c r="G46" s="143"/>
      <c r="H46" s="35"/>
      <c r="I46" s="48"/>
    </row>
    <row r="47" spans="1:9">
      <c r="A47" s="42" t="s">
        <v>26</v>
      </c>
      <c r="B47" s="35"/>
      <c r="C47" s="35"/>
      <c r="D47" s="35"/>
      <c r="E47" s="35"/>
      <c r="F47" s="35"/>
      <c r="G47" s="35"/>
      <c r="H47" s="35"/>
      <c r="I47" s="48">
        <f>F48</f>
        <v>0</v>
      </c>
    </row>
    <row r="48" spans="1:9">
      <c r="A48" s="37" t="s">
        <v>104</v>
      </c>
      <c r="B48" s="35"/>
      <c r="C48" s="35"/>
      <c r="D48" s="35"/>
      <c r="E48" s="35"/>
      <c r="F48" s="35"/>
      <c r="G48" s="35"/>
      <c r="H48" s="35"/>
      <c r="I48" s="48"/>
    </row>
    <row r="49" spans="1:9">
      <c r="A49" s="37"/>
      <c r="B49" s="35"/>
      <c r="C49" s="35"/>
      <c r="D49" s="35"/>
      <c r="E49" s="35"/>
      <c r="F49" s="35"/>
      <c r="G49" s="35"/>
      <c r="H49" s="35"/>
      <c r="I49" s="48"/>
    </row>
    <row r="50" spans="1:9">
      <c r="A50" s="42" t="s">
        <v>7</v>
      </c>
      <c r="B50" s="35"/>
      <c r="C50" s="35"/>
      <c r="D50" s="35"/>
      <c r="E50" s="35"/>
      <c r="F50" s="35"/>
      <c r="G50" s="35"/>
      <c r="H50" s="35"/>
      <c r="I50" s="48">
        <f>F51</f>
        <v>0</v>
      </c>
    </row>
    <row r="51" spans="1:9">
      <c r="A51" s="37" t="s">
        <v>104</v>
      </c>
      <c r="B51" s="35"/>
      <c r="C51" s="35"/>
      <c r="D51" s="35"/>
      <c r="E51" s="35"/>
      <c r="F51" s="35"/>
      <c r="G51" s="35"/>
      <c r="H51" s="35"/>
      <c r="I51" s="48"/>
    </row>
    <row r="52" spans="1:9">
      <c r="A52" s="37"/>
      <c r="B52" s="35"/>
      <c r="C52" s="35"/>
      <c r="D52" s="35"/>
      <c r="E52" s="35"/>
      <c r="F52" s="35"/>
      <c r="G52" s="35"/>
      <c r="H52" s="35"/>
      <c r="I52" s="48"/>
    </row>
    <row r="53" spans="1:9">
      <c r="A53" s="42" t="s">
        <v>27</v>
      </c>
      <c r="B53" s="35"/>
      <c r="C53" s="35"/>
      <c r="D53" s="35"/>
      <c r="E53" s="35"/>
      <c r="F53" s="35"/>
      <c r="G53" s="35"/>
      <c r="H53" s="35"/>
      <c r="I53" s="48">
        <f>F54</f>
        <v>0</v>
      </c>
    </row>
    <row r="54" spans="1:9">
      <c r="A54" s="37" t="s">
        <v>104</v>
      </c>
      <c r="B54" s="35"/>
      <c r="C54" s="35"/>
      <c r="D54" s="35"/>
      <c r="E54" s="35"/>
      <c r="F54" s="35"/>
      <c r="G54" s="35"/>
      <c r="H54" s="35"/>
      <c r="I54" s="48"/>
    </row>
    <row r="55" spans="1:9">
      <c r="A55" s="37"/>
      <c r="B55" s="35"/>
      <c r="C55" s="35"/>
      <c r="D55" s="35"/>
      <c r="E55" s="35"/>
      <c r="F55" s="35"/>
      <c r="G55" s="35"/>
      <c r="H55" s="35"/>
      <c r="I55" s="48"/>
    </row>
    <row r="56" spans="1:9">
      <c r="A56" s="42" t="s">
        <v>5</v>
      </c>
      <c r="B56" s="35"/>
      <c r="C56" s="35"/>
      <c r="D56" s="35"/>
      <c r="E56" s="35"/>
      <c r="F56" s="35"/>
      <c r="G56" s="35"/>
      <c r="H56" s="35"/>
      <c r="I56" s="48">
        <f>F57</f>
        <v>0</v>
      </c>
    </row>
    <row r="57" spans="1:9">
      <c r="A57" s="37" t="s">
        <v>104</v>
      </c>
      <c r="B57" s="35"/>
      <c r="C57" s="35"/>
      <c r="D57" s="35"/>
      <c r="E57" s="35"/>
      <c r="F57" s="35"/>
      <c r="G57" s="35"/>
      <c r="H57" s="35"/>
      <c r="I57" s="48"/>
    </row>
    <row r="58" spans="1:9">
      <c r="A58" s="37"/>
      <c r="B58" s="35"/>
      <c r="C58" s="35"/>
      <c r="D58" s="35"/>
      <c r="E58" s="35"/>
      <c r="F58" s="35"/>
      <c r="G58" s="35"/>
      <c r="H58" s="35"/>
      <c r="I58" s="48"/>
    </row>
    <row r="59" spans="1:9">
      <c r="A59" s="42" t="s">
        <v>20</v>
      </c>
      <c r="B59" s="35"/>
      <c r="C59" s="35"/>
      <c r="D59" s="35"/>
      <c r="E59" s="35"/>
      <c r="F59" s="35"/>
      <c r="G59" s="35"/>
      <c r="H59" s="35"/>
      <c r="I59" s="48">
        <f>F60</f>
        <v>0</v>
      </c>
    </row>
    <row r="60" spans="1:9">
      <c r="A60" s="37" t="s">
        <v>104</v>
      </c>
      <c r="B60" s="35"/>
      <c r="C60" s="35"/>
      <c r="D60" s="35"/>
      <c r="E60" s="35"/>
      <c r="F60" s="35"/>
      <c r="G60" s="35"/>
      <c r="H60" s="35"/>
      <c r="I60" s="36"/>
    </row>
    <row r="61" spans="1:9">
      <c r="A61" s="37"/>
      <c r="B61" s="35"/>
      <c r="C61" s="35"/>
      <c r="D61" s="35"/>
      <c r="E61" s="35"/>
      <c r="F61" s="35"/>
      <c r="G61" s="35"/>
      <c r="H61" s="35"/>
      <c r="I61" s="36"/>
    </row>
    <row r="62" spans="1:9">
      <c r="A62" s="43" t="s">
        <v>11</v>
      </c>
      <c r="B62" s="44"/>
      <c r="C62" s="44"/>
      <c r="D62" s="44"/>
      <c r="E62" s="44"/>
      <c r="F62" s="44"/>
      <c r="G62" s="44"/>
      <c r="H62" s="44"/>
      <c r="I62" s="52">
        <f>+I59+I56+I53+I50+I47+I44+I40+I37+I34</f>
        <v>2000</v>
      </c>
    </row>
  </sheetData>
  <mergeCells count="3">
    <mergeCell ref="A25:I25"/>
    <mergeCell ref="A42:B42"/>
    <mergeCell ref="A45:B45"/>
  </mergeCells>
  <pageMargins left="0.7" right="0.7" top="0.75" bottom="0.75" header="0.3" footer="0.3"/>
  <pageSetup scale="64" orientation="portrait" r:id="rId1"/>
</worksheet>
</file>

<file path=xl/worksheets/sheet80.xml><?xml version="1.0" encoding="utf-8"?>
<worksheet xmlns="http://schemas.openxmlformats.org/spreadsheetml/2006/main" xmlns:r="http://schemas.openxmlformats.org/officeDocument/2006/relationships">
  <sheetPr>
    <pageSetUpPr fitToPage="1"/>
  </sheetPr>
  <dimension ref="A1:H104"/>
  <sheetViews>
    <sheetView topLeftCell="A3" zoomScaleNormal="100" workbookViewId="0">
      <selection activeCell="B25" sqref="B25"/>
    </sheetView>
  </sheetViews>
  <sheetFormatPr defaultRowHeight="12.75"/>
  <cols>
    <col min="1" max="1" width="34.5703125" style="2" customWidth="1"/>
    <col min="2" max="2" width="25.42578125" style="2" customWidth="1"/>
    <col min="3" max="3" width="29.42578125" style="2" customWidth="1"/>
    <col min="4" max="4" width="29.7109375" style="2" customWidth="1"/>
    <col min="5" max="5" width="15.140625" style="2" customWidth="1"/>
    <col min="6" max="6" width="11" style="2" customWidth="1"/>
    <col min="7" max="7" width="10.7109375" style="2" bestFit="1" customWidth="1"/>
    <col min="8" max="8" width="11.140625" style="2"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564</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565</v>
      </c>
      <c r="D8" s="461"/>
      <c r="E8" s="457"/>
      <c r="F8" s="457"/>
      <c r="G8" s="461"/>
    </row>
    <row r="9" spans="1:7" ht="47.25" customHeight="1">
      <c r="A9" s="454" t="s">
        <v>382</v>
      </c>
      <c r="B9" s="454" t="s">
        <v>385</v>
      </c>
      <c r="C9" s="2009" t="s">
        <v>596</v>
      </c>
      <c r="D9" s="2010"/>
      <c r="E9" s="2010"/>
      <c r="F9" s="2010"/>
      <c r="G9" s="2011"/>
    </row>
    <row r="10" spans="1:7" ht="51.75" customHeight="1">
      <c r="A10" s="454" t="s">
        <v>382</v>
      </c>
      <c r="B10" s="454" t="s">
        <v>387</v>
      </c>
      <c r="C10" s="2009" t="s">
        <v>597</v>
      </c>
      <c r="D10" s="2010"/>
      <c r="E10" s="2010"/>
      <c r="F10" s="2010"/>
      <c r="G10" s="2011"/>
    </row>
    <row r="11" spans="1:7" ht="51.75" customHeight="1">
      <c r="A11" s="454" t="s">
        <v>382</v>
      </c>
      <c r="B11" s="454" t="s">
        <v>389</v>
      </c>
      <c r="C11" s="2009" t="s">
        <v>598</v>
      </c>
      <c r="D11" s="2010"/>
      <c r="E11" s="2010"/>
      <c r="F11" s="2010"/>
      <c r="G11" s="2011"/>
    </row>
    <row r="12" spans="1:7" ht="51.75" customHeight="1">
      <c r="A12" s="454" t="s">
        <v>382</v>
      </c>
      <c r="B12" s="454" t="s">
        <v>391</v>
      </c>
      <c r="C12" s="2009" t="s">
        <v>569</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SUM(H31:H31)</f>
        <v>328.5</v>
      </c>
      <c r="C18" s="466">
        <f>B18/C$14</f>
        <v>65.7</v>
      </c>
      <c r="D18" s="49"/>
      <c r="E18" s="89"/>
      <c r="F18" s="89"/>
      <c r="G18" s="49"/>
    </row>
    <row r="19" spans="1:8" ht="15">
      <c r="A19" s="454" t="s">
        <v>2</v>
      </c>
      <c r="B19" s="465">
        <f>SUM(H32:H34)</f>
        <v>175.67364802572968</v>
      </c>
      <c r="C19" s="466">
        <f t="shared" ref="C19:C27" si="0">B19/C$14</f>
        <v>35.134729605145935</v>
      </c>
      <c r="D19" s="49"/>
      <c r="E19" s="89"/>
      <c r="F19" s="89"/>
      <c r="G19" s="49"/>
    </row>
    <row r="20" spans="1:8" ht="15">
      <c r="A20" s="454" t="s">
        <v>3</v>
      </c>
      <c r="B20" s="465">
        <f>SUM(H35:H37)</f>
        <v>123.4918716577542</v>
      </c>
      <c r="C20" s="466">
        <f t="shared" si="0"/>
        <v>24.698374331550841</v>
      </c>
      <c r="D20" s="49"/>
      <c r="E20" s="89"/>
      <c r="F20" s="89"/>
      <c r="G20" s="49"/>
    </row>
    <row r="21" spans="1:8" ht="15">
      <c r="A21" s="454" t="s">
        <v>4</v>
      </c>
      <c r="B21" s="465">
        <f>H38</f>
        <v>0</v>
      </c>
      <c r="C21" s="466">
        <f t="shared" si="0"/>
        <v>0</v>
      </c>
      <c r="D21" s="49"/>
      <c r="E21" s="89"/>
      <c r="F21" s="89"/>
      <c r="G21" s="49"/>
    </row>
    <row r="22" spans="1:8" ht="15">
      <c r="A22" s="454" t="s">
        <v>26</v>
      </c>
      <c r="B22" s="465">
        <f>H39</f>
        <v>0</v>
      </c>
      <c r="C22" s="466">
        <f t="shared" si="0"/>
        <v>0</v>
      </c>
      <c r="D22" s="49"/>
      <c r="E22" s="89"/>
      <c r="F22" s="89"/>
      <c r="G22" s="49"/>
    </row>
    <row r="23" spans="1:8" ht="15">
      <c r="A23" s="454" t="s">
        <v>7</v>
      </c>
      <c r="B23" s="465">
        <f>SUM(H40:H42)</f>
        <v>0</v>
      </c>
      <c r="C23" s="466">
        <f t="shared" si="0"/>
        <v>0</v>
      </c>
      <c r="D23" s="49"/>
      <c r="E23" s="89"/>
      <c r="F23" s="89"/>
      <c r="G23" s="49"/>
    </row>
    <row r="24" spans="1:8" ht="15">
      <c r="A24" s="454" t="s">
        <v>27</v>
      </c>
      <c r="B24" s="465">
        <f>SUM(H43:H45)</f>
        <v>0</v>
      </c>
      <c r="C24" s="466">
        <f t="shared" si="0"/>
        <v>0</v>
      </c>
      <c r="D24" s="49"/>
      <c r="E24" s="89"/>
      <c r="F24" s="89"/>
      <c r="G24" s="49"/>
    </row>
    <row r="25" spans="1:8" ht="15">
      <c r="A25" s="454" t="s">
        <v>5</v>
      </c>
      <c r="B25" s="465">
        <f>H46</f>
        <v>0</v>
      </c>
      <c r="C25" s="466">
        <f t="shared" si="0"/>
        <v>0</v>
      </c>
      <c r="D25" s="49"/>
      <c r="E25" s="89"/>
      <c r="F25" s="89"/>
      <c r="G25" s="49"/>
    </row>
    <row r="26" spans="1:8" ht="15">
      <c r="A26" s="454" t="s">
        <v>20</v>
      </c>
      <c r="B26" s="465">
        <f>H46</f>
        <v>0</v>
      </c>
      <c r="C26" s="466">
        <f t="shared" si="0"/>
        <v>0</v>
      </c>
      <c r="D26" s="49"/>
      <c r="E26" s="89"/>
      <c r="F26" s="89"/>
      <c r="G26" s="49"/>
    </row>
    <row r="27" spans="1:8" ht="15">
      <c r="A27" s="454" t="s">
        <v>399</v>
      </c>
      <c r="B27" s="465">
        <f>SUM(B18:B26)</f>
        <v>627.66551968348392</v>
      </c>
      <c r="C27" s="466">
        <f t="shared" si="0"/>
        <v>125.53310393669679</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203</v>
      </c>
      <c r="C31" s="470" t="s">
        <v>599</v>
      </c>
      <c r="D31" s="471" t="s">
        <v>571</v>
      </c>
      <c r="E31" s="471" t="s">
        <v>572</v>
      </c>
      <c r="F31" s="472">
        <v>0.73</v>
      </c>
      <c r="G31" s="486">
        <v>450</v>
      </c>
      <c r="H31" s="474">
        <f>IF(G31&lt;=0, 0, F31*G31)</f>
        <v>328.5</v>
      </c>
    </row>
    <row r="32" spans="1:8" ht="15">
      <c r="A32" s="454" t="s">
        <v>2</v>
      </c>
      <c r="B32" s="470">
        <v>960</v>
      </c>
      <c r="C32" s="470" t="s">
        <v>576</v>
      </c>
      <c r="D32" s="471" t="s">
        <v>577</v>
      </c>
      <c r="E32" s="471" t="s">
        <v>408</v>
      </c>
      <c r="F32" s="472">
        <v>16.116234042553199</v>
      </c>
      <c r="G32" s="486">
        <v>5</v>
      </c>
      <c r="H32" s="474">
        <f t="shared" ref="H32:H47" si="1">IF(G32&lt;=0, 0, F32*G32)</f>
        <v>80.581170212765997</v>
      </c>
    </row>
    <row r="33" spans="1:8" ht="15">
      <c r="A33" s="454" t="s">
        <v>2</v>
      </c>
      <c r="B33" s="470">
        <v>963</v>
      </c>
      <c r="C33" s="470" t="s">
        <v>600</v>
      </c>
      <c r="D33" s="471" t="s">
        <v>575</v>
      </c>
      <c r="E33" s="471" t="s">
        <v>411</v>
      </c>
      <c r="F33" s="472">
        <v>17.416880395843599</v>
      </c>
      <c r="G33" s="486">
        <v>2</v>
      </c>
      <c r="H33" s="474">
        <f t="shared" si="1"/>
        <v>34.833760791687197</v>
      </c>
    </row>
    <row r="34" spans="1:8" ht="15">
      <c r="A34" s="454" t="s">
        <v>2</v>
      </c>
      <c r="B34" s="470">
        <v>957</v>
      </c>
      <c r="C34" s="470" t="s">
        <v>601</v>
      </c>
      <c r="D34" s="471" t="s">
        <v>602</v>
      </c>
      <c r="E34" s="471" t="s">
        <v>408</v>
      </c>
      <c r="F34" s="472">
        <v>12.0517434042553</v>
      </c>
      <c r="G34" s="486">
        <v>5</v>
      </c>
      <c r="H34" s="474">
        <f t="shared" si="1"/>
        <v>60.258717021276496</v>
      </c>
    </row>
    <row r="35" spans="1:8" ht="15">
      <c r="A35" s="454" t="s">
        <v>3</v>
      </c>
      <c r="B35" s="470">
        <v>231</v>
      </c>
      <c r="C35" s="470" t="s">
        <v>578</v>
      </c>
      <c r="D35" s="471" t="s">
        <v>579</v>
      </c>
      <c r="E35" s="471" t="s">
        <v>411</v>
      </c>
      <c r="F35" s="472">
        <v>20.5819786096257</v>
      </c>
      <c r="G35" s="486">
        <v>6</v>
      </c>
      <c r="H35" s="474">
        <f t="shared" si="1"/>
        <v>123.4918716577542</v>
      </c>
    </row>
    <row r="36" spans="1:8" ht="15">
      <c r="A36" s="454" t="s">
        <v>3</v>
      </c>
      <c r="B36" s="470"/>
      <c r="C36" s="470"/>
      <c r="D36" s="471"/>
      <c r="E36" s="471"/>
      <c r="F36" s="472"/>
      <c r="G36" s="486"/>
      <c r="H36" s="474">
        <f t="shared" si="1"/>
        <v>0</v>
      </c>
    </row>
    <row r="37" spans="1:8" ht="15">
      <c r="A37" s="454" t="s">
        <v>3</v>
      </c>
      <c r="B37" s="470"/>
      <c r="C37" s="470"/>
      <c r="D37" s="471"/>
      <c r="E37" s="471"/>
      <c r="F37" s="472"/>
      <c r="G37" s="486"/>
      <c r="H37" s="474">
        <f t="shared" si="1"/>
        <v>0</v>
      </c>
    </row>
    <row r="38" spans="1:8" ht="15">
      <c r="A38" s="454" t="s">
        <v>4</v>
      </c>
      <c r="B38" s="470"/>
      <c r="C38" s="470"/>
      <c r="D38" s="471"/>
      <c r="E38" s="471"/>
      <c r="F38" s="481"/>
      <c r="G38" s="486"/>
      <c r="H38" s="474">
        <f t="shared" si="1"/>
        <v>0</v>
      </c>
    </row>
    <row r="39" spans="1:8" ht="16.5" customHeight="1">
      <c r="A39" s="454" t="s">
        <v>419</v>
      </c>
      <c r="B39" s="470"/>
      <c r="C39" s="470"/>
      <c r="D39" s="471"/>
      <c r="E39" s="471"/>
      <c r="F39" s="481"/>
      <c r="G39" s="486"/>
      <c r="H39" s="474">
        <f t="shared" si="1"/>
        <v>0</v>
      </c>
    </row>
    <row r="40" spans="1:8" ht="15">
      <c r="A40" s="454" t="s">
        <v>7</v>
      </c>
      <c r="B40" s="470"/>
      <c r="C40" s="470"/>
      <c r="D40" s="471"/>
      <c r="E40" s="471"/>
      <c r="F40" s="472"/>
      <c r="G40" s="486"/>
      <c r="H40" s="474">
        <f t="shared" si="1"/>
        <v>0</v>
      </c>
    </row>
    <row r="41" spans="1:8" ht="15">
      <c r="A41" s="454" t="s">
        <v>7</v>
      </c>
      <c r="B41" s="470"/>
      <c r="C41" s="470"/>
      <c r="D41" s="471"/>
      <c r="E41" s="471"/>
      <c r="F41" s="472"/>
      <c r="G41" s="486"/>
      <c r="H41" s="474">
        <f t="shared" si="1"/>
        <v>0</v>
      </c>
    </row>
    <row r="42" spans="1:8" ht="15">
      <c r="A42" s="454" t="s">
        <v>7</v>
      </c>
      <c r="B42" s="470"/>
      <c r="C42" s="470"/>
      <c r="D42" s="471"/>
      <c r="E42" s="471"/>
      <c r="F42" s="472"/>
      <c r="G42" s="486"/>
      <c r="H42" s="474">
        <f t="shared" si="1"/>
        <v>0</v>
      </c>
    </row>
    <row r="43" spans="1:8" ht="15">
      <c r="A43" s="454" t="s">
        <v>421</v>
      </c>
      <c r="B43" s="470"/>
      <c r="C43" s="470"/>
      <c r="D43" s="471"/>
      <c r="E43" s="471"/>
      <c r="F43" s="472"/>
      <c r="G43" s="486"/>
      <c r="H43" s="474">
        <f t="shared" si="1"/>
        <v>0</v>
      </c>
    </row>
    <row r="44" spans="1:8" ht="15">
      <c r="A44" s="454" t="s">
        <v>421</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5</v>
      </c>
      <c r="B46" s="470"/>
      <c r="C46" s="470"/>
      <c r="D46" s="471"/>
      <c r="E46" s="471"/>
      <c r="F46" s="472"/>
      <c r="G46" s="486"/>
      <c r="H46" s="474">
        <f t="shared" si="1"/>
        <v>0</v>
      </c>
    </row>
    <row r="47" spans="1:8" ht="15">
      <c r="A47" s="454" t="s">
        <v>20</v>
      </c>
      <c r="B47" s="470"/>
      <c r="C47" s="470"/>
      <c r="D47" s="471"/>
      <c r="E47" s="471"/>
      <c r="F47" s="472"/>
      <c r="G47" s="486"/>
      <c r="H47" s="474">
        <f t="shared" si="1"/>
        <v>0</v>
      </c>
    </row>
    <row r="48" spans="1:8">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92" spans="1:7">
      <c r="D92" s="57"/>
    </row>
    <row r="93" spans="1:7">
      <c r="D93" s="57"/>
    </row>
    <row r="94" spans="1:7">
      <c r="D94" s="57"/>
    </row>
    <row r="95" spans="1:7">
      <c r="D95" s="57"/>
    </row>
    <row r="96" spans="1:7">
      <c r="D96" s="57"/>
    </row>
    <row r="97" spans="4:4">
      <c r="D97" s="57"/>
    </row>
    <row r="98" spans="4:4">
      <c r="D98" s="57"/>
    </row>
    <row r="100" spans="4:4">
      <c r="D100" s="57"/>
    </row>
    <row r="102" spans="4:4">
      <c r="D102" s="56"/>
    </row>
    <row r="104" spans="4:4">
      <c r="D104" s="57"/>
    </row>
  </sheetData>
  <mergeCells count="4">
    <mergeCell ref="C9:G9"/>
    <mergeCell ref="C10:G10"/>
    <mergeCell ref="C11:G11"/>
    <mergeCell ref="C12:G12"/>
  </mergeCells>
  <dataValidations count="3">
    <dataValidation type="list" allowBlank="1" showInputMessage="1" showErrorMessage="1" sqref="C5">
      <formula1>RegionName</formula1>
    </dataValidation>
    <dataValidation type="list" allowBlank="1" showInputMessage="1" showErrorMessage="1" sqref="C6">
      <formula1>PracticeCodeName</formula1>
    </dataValidation>
    <dataValidation type="list" allowBlank="1" showInputMessage="1" showErrorMessage="1" sqref="C13">
      <formula1>UnitName</formula1>
    </dataValidation>
  </dataValidations>
  <printOptions headings="1"/>
  <pageMargins left="0.75" right="0.75" top="1" bottom="1" header="0.5" footer="0.5"/>
  <pageSetup scale="56" orientation="portrait" r:id="rId1"/>
  <headerFooter alignWithMargins="0"/>
</worksheet>
</file>

<file path=xl/worksheets/sheet81.xml><?xml version="1.0" encoding="utf-8"?>
<worksheet xmlns="http://schemas.openxmlformats.org/spreadsheetml/2006/main" xmlns:r="http://schemas.openxmlformats.org/officeDocument/2006/relationships">
  <dimension ref="A1:H106"/>
  <sheetViews>
    <sheetView topLeftCell="A17" workbookViewId="0">
      <selection activeCell="B25" sqref="B25"/>
    </sheetView>
  </sheetViews>
  <sheetFormatPr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9.85546875" style="2" bestFit="1"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564</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580</v>
      </c>
      <c r="D8" s="461"/>
      <c r="E8" s="457"/>
      <c r="F8" s="457"/>
      <c r="G8" s="461"/>
    </row>
    <row r="9" spans="1:7" ht="47.25" customHeight="1">
      <c r="A9" s="454" t="s">
        <v>382</v>
      </c>
      <c r="B9" s="454" t="s">
        <v>385</v>
      </c>
      <c r="C9" s="2009" t="s">
        <v>603</v>
      </c>
      <c r="D9" s="2010"/>
      <c r="E9" s="2010"/>
      <c r="F9" s="2010"/>
      <c r="G9" s="2011"/>
    </row>
    <row r="10" spans="1:7" ht="51.75" customHeight="1">
      <c r="A10" s="454" t="s">
        <v>382</v>
      </c>
      <c r="B10" s="454" t="s">
        <v>387</v>
      </c>
      <c r="C10" s="2009" t="s">
        <v>604</v>
      </c>
      <c r="D10" s="2010"/>
      <c r="E10" s="2010"/>
      <c r="F10" s="2010"/>
      <c r="G10" s="2011"/>
    </row>
    <row r="11" spans="1:7" ht="51.75" customHeight="1">
      <c r="A11" s="454" t="s">
        <v>382</v>
      </c>
      <c r="B11" s="454" t="s">
        <v>389</v>
      </c>
      <c r="C11" s="2009" t="s">
        <v>591</v>
      </c>
      <c r="D11" s="2010"/>
      <c r="E11" s="2010"/>
      <c r="F11" s="2010"/>
      <c r="G11" s="2011"/>
    </row>
    <row r="12" spans="1:7" ht="51.75" customHeight="1">
      <c r="A12" s="454" t="s">
        <v>382</v>
      </c>
      <c r="B12" s="454" t="s">
        <v>391</v>
      </c>
      <c r="C12" s="2009" t="s">
        <v>569</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SUM(H31:H33)</f>
        <v>643.04999999999995</v>
      </c>
      <c r="C18" s="466">
        <f>B18/C$14</f>
        <v>128.60999999999999</v>
      </c>
      <c r="D18" s="49"/>
      <c r="E18" s="89"/>
      <c r="F18" s="89"/>
      <c r="G18" s="49"/>
    </row>
    <row r="19" spans="1:8" ht="15">
      <c r="A19" s="454" t="s">
        <v>2</v>
      </c>
      <c r="B19" s="465">
        <f>SUM(H34:H36)</f>
        <v>193.09052842157331</v>
      </c>
      <c r="C19" s="466">
        <f t="shared" ref="C19:C27" si="0">B19/C$14</f>
        <v>38.618105684314664</v>
      </c>
      <c r="D19" s="49"/>
      <c r="E19" s="89"/>
      <c r="F19" s="89"/>
      <c r="G19" s="49"/>
    </row>
    <row r="20" spans="1:8" ht="15">
      <c r="A20" s="454" t="s">
        <v>3</v>
      </c>
      <c r="B20" s="465">
        <f>SUM(H37:H39)</f>
        <v>144.0738502673799</v>
      </c>
      <c r="C20" s="466">
        <f t="shared" si="0"/>
        <v>28.814770053475979</v>
      </c>
      <c r="D20" s="49"/>
      <c r="E20" s="89"/>
      <c r="F20" s="89"/>
      <c r="G20" s="49"/>
    </row>
    <row r="21" spans="1:8" ht="15">
      <c r="A21" s="454" t="s">
        <v>4</v>
      </c>
      <c r="B21" s="465">
        <f>H40</f>
        <v>0</v>
      </c>
      <c r="C21" s="466">
        <f t="shared" si="0"/>
        <v>0</v>
      </c>
      <c r="D21" s="49"/>
      <c r="E21" s="89"/>
      <c r="F21" s="89"/>
      <c r="G21" s="49"/>
    </row>
    <row r="22" spans="1:8" ht="15">
      <c r="A22" s="454" t="s">
        <v>26</v>
      </c>
      <c r="B22" s="465">
        <f>H41</f>
        <v>0</v>
      </c>
      <c r="C22" s="466">
        <f t="shared" si="0"/>
        <v>0</v>
      </c>
      <c r="D22" s="49"/>
      <c r="E22" s="89"/>
      <c r="F22" s="89"/>
      <c r="G22" s="49"/>
    </row>
    <row r="23" spans="1:8" ht="15">
      <c r="A23" s="454" t="s">
        <v>7</v>
      </c>
      <c r="B23" s="465">
        <f>SUM(H42:H44)</f>
        <v>0</v>
      </c>
      <c r="C23" s="466">
        <f t="shared" si="0"/>
        <v>0</v>
      </c>
      <c r="D23" s="49"/>
      <c r="E23" s="89"/>
      <c r="F23" s="89"/>
      <c r="G23" s="49"/>
    </row>
    <row r="24" spans="1:8" ht="15">
      <c r="A24" s="454" t="s">
        <v>27</v>
      </c>
      <c r="B24" s="465">
        <f>SUM(H45:H47)</f>
        <v>0</v>
      </c>
      <c r="C24" s="466">
        <f t="shared" si="0"/>
        <v>0</v>
      </c>
      <c r="D24" s="49"/>
      <c r="E24" s="89"/>
      <c r="F24" s="89"/>
      <c r="G24" s="49"/>
    </row>
    <row r="25" spans="1:8" ht="15">
      <c r="A25" s="454" t="s">
        <v>5</v>
      </c>
      <c r="B25" s="465">
        <f>H48</f>
        <v>0</v>
      </c>
      <c r="C25" s="466">
        <f t="shared" si="0"/>
        <v>0</v>
      </c>
      <c r="D25" s="49"/>
      <c r="E25" s="89"/>
      <c r="F25" s="89"/>
      <c r="G25" s="49"/>
    </row>
    <row r="26" spans="1:8" ht="15">
      <c r="A26" s="454" t="s">
        <v>20</v>
      </c>
      <c r="B26" s="465">
        <f>H48</f>
        <v>0</v>
      </c>
      <c r="C26" s="466">
        <f t="shared" si="0"/>
        <v>0</v>
      </c>
      <c r="D26" s="49"/>
      <c r="E26" s="89"/>
      <c r="F26" s="89"/>
      <c r="G26" s="49"/>
    </row>
    <row r="27" spans="1:8" ht="15">
      <c r="A27" s="454" t="s">
        <v>399</v>
      </c>
      <c r="B27" s="465">
        <f>SUM(B18:B26)</f>
        <v>980.21437868895305</v>
      </c>
      <c r="C27" s="466">
        <f t="shared" si="0"/>
        <v>196.04287573779061</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203</v>
      </c>
      <c r="C31" s="470" t="s">
        <v>599</v>
      </c>
      <c r="D31" s="471" t="s">
        <v>571</v>
      </c>
      <c r="E31" s="471" t="s">
        <v>572</v>
      </c>
      <c r="F31" s="472">
        <v>0.73</v>
      </c>
      <c r="G31" s="486">
        <v>300</v>
      </c>
      <c r="H31" s="474">
        <f>IF(G31&lt;=0, 0, F31*G31)</f>
        <v>219</v>
      </c>
    </row>
    <row r="32" spans="1:8" ht="15">
      <c r="A32" s="454" t="s">
        <v>0</v>
      </c>
      <c r="B32" s="470">
        <v>192</v>
      </c>
      <c r="C32" s="470" t="s">
        <v>605</v>
      </c>
      <c r="D32" s="471" t="s">
        <v>585</v>
      </c>
      <c r="E32" s="471" t="s">
        <v>572</v>
      </c>
      <c r="F32" s="472">
        <v>6.05</v>
      </c>
      <c r="G32" s="486">
        <v>65</v>
      </c>
      <c r="H32" s="474">
        <f t="shared" ref="H32:H49" si="1">IF(G32&lt;=0, 0, F32*G32)</f>
        <v>393.25</v>
      </c>
    </row>
    <row r="33" spans="1:8" ht="15">
      <c r="A33" s="454" t="s">
        <v>0</v>
      </c>
      <c r="B33" s="470">
        <v>175</v>
      </c>
      <c r="C33" s="470" t="s">
        <v>606</v>
      </c>
      <c r="D33" s="471" t="s">
        <v>587</v>
      </c>
      <c r="E33" s="471" t="s">
        <v>572</v>
      </c>
      <c r="F33" s="472">
        <v>3.08</v>
      </c>
      <c r="G33" s="486">
        <v>10</v>
      </c>
      <c r="H33" s="474">
        <f t="shared" si="1"/>
        <v>30.8</v>
      </c>
    </row>
    <row r="34" spans="1:8" ht="15">
      <c r="A34" s="454" t="s">
        <v>2</v>
      </c>
      <c r="B34" s="470">
        <v>963</v>
      </c>
      <c r="C34" s="470" t="s">
        <v>600</v>
      </c>
      <c r="D34" s="471" t="s">
        <v>575</v>
      </c>
      <c r="E34" s="471" t="s">
        <v>411</v>
      </c>
      <c r="F34" s="472">
        <v>17.416880395843599</v>
      </c>
      <c r="G34" s="486">
        <v>3</v>
      </c>
      <c r="H34" s="474">
        <f t="shared" si="1"/>
        <v>52.250641187530796</v>
      </c>
    </row>
    <row r="35" spans="1:8" ht="15">
      <c r="A35" s="454" t="s">
        <v>2</v>
      </c>
      <c r="B35" s="470">
        <v>960</v>
      </c>
      <c r="C35" s="470" t="s">
        <v>576</v>
      </c>
      <c r="D35" s="471" t="s">
        <v>577</v>
      </c>
      <c r="E35" s="471" t="s">
        <v>408</v>
      </c>
      <c r="F35" s="472">
        <v>16.116234042553199</v>
      </c>
      <c r="G35" s="486">
        <v>5</v>
      </c>
      <c r="H35" s="474">
        <f t="shared" si="1"/>
        <v>80.581170212765997</v>
      </c>
    </row>
    <row r="36" spans="1:8" ht="15">
      <c r="A36" s="454" t="s">
        <v>2</v>
      </c>
      <c r="B36" s="470">
        <v>957</v>
      </c>
      <c r="C36" s="470" t="s">
        <v>601</v>
      </c>
      <c r="D36" s="471" t="s">
        <v>602</v>
      </c>
      <c r="E36" s="471" t="s">
        <v>408</v>
      </c>
      <c r="F36" s="472">
        <v>12.0517434042553</v>
      </c>
      <c r="G36" s="486">
        <v>5</v>
      </c>
      <c r="H36" s="474">
        <f t="shared" si="1"/>
        <v>60.258717021276496</v>
      </c>
    </row>
    <row r="37" spans="1:8" ht="15">
      <c r="A37" s="454" t="s">
        <v>3</v>
      </c>
      <c r="B37" s="470">
        <v>231</v>
      </c>
      <c r="C37" s="470" t="s">
        <v>578</v>
      </c>
      <c r="D37" s="471" t="s">
        <v>579</v>
      </c>
      <c r="E37" s="471" t="s">
        <v>411</v>
      </c>
      <c r="F37" s="472">
        <v>20.5819786096257</v>
      </c>
      <c r="G37" s="486">
        <v>7</v>
      </c>
      <c r="H37" s="474">
        <f t="shared" si="1"/>
        <v>144.0738502673799</v>
      </c>
    </row>
    <row r="38" spans="1:8" ht="15">
      <c r="A38" s="454" t="s">
        <v>3</v>
      </c>
      <c r="B38" s="470"/>
      <c r="C38" s="470"/>
      <c r="D38" s="471"/>
      <c r="E38" s="471"/>
      <c r="F38" s="472"/>
      <c r="G38" s="486"/>
      <c r="H38" s="474">
        <f t="shared" si="1"/>
        <v>0</v>
      </c>
    </row>
    <row r="39" spans="1:8" ht="15">
      <c r="A39" s="454" t="s">
        <v>3</v>
      </c>
      <c r="B39" s="470"/>
      <c r="C39" s="470"/>
      <c r="D39" s="471"/>
      <c r="E39" s="471"/>
      <c r="F39" s="472"/>
      <c r="G39" s="486"/>
      <c r="H39" s="474">
        <f t="shared" si="1"/>
        <v>0</v>
      </c>
    </row>
    <row r="40" spans="1:8" ht="15">
      <c r="A40" s="454" t="s">
        <v>4</v>
      </c>
      <c r="B40" s="470"/>
      <c r="C40" s="470"/>
      <c r="D40" s="471"/>
      <c r="E40" s="471"/>
      <c r="F40" s="481"/>
      <c r="G40" s="486"/>
      <c r="H40" s="474">
        <f t="shared" si="1"/>
        <v>0</v>
      </c>
    </row>
    <row r="41" spans="1:8" ht="16.5" customHeight="1">
      <c r="A41" s="454" t="s">
        <v>419</v>
      </c>
      <c r="B41" s="470"/>
      <c r="C41" s="470"/>
      <c r="D41" s="471"/>
      <c r="E41" s="471"/>
      <c r="F41" s="481"/>
      <c r="G41" s="486"/>
      <c r="H41" s="474">
        <f t="shared" si="1"/>
        <v>0</v>
      </c>
    </row>
    <row r="42" spans="1:8" ht="15">
      <c r="A42" s="454" t="s">
        <v>7</v>
      </c>
      <c r="B42" s="470"/>
      <c r="C42" s="470"/>
      <c r="D42" s="471"/>
      <c r="E42" s="471"/>
      <c r="F42" s="472"/>
      <c r="G42" s="486"/>
      <c r="H42" s="474">
        <f t="shared" si="1"/>
        <v>0</v>
      </c>
    </row>
    <row r="43" spans="1:8" ht="15">
      <c r="A43" s="454" t="s">
        <v>7</v>
      </c>
      <c r="B43" s="470"/>
      <c r="C43" s="470"/>
      <c r="D43" s="471"/>
      <c r="E43" s="471"/>
      <c r="F43" s="472"/>
      <c r="G43" s="486"/>
      <c r="H43" s="474">
        <f t="shared" si="1"/>
        <v>0</v>
      </c>
    </row>
    <row r="44" spans="1:8" ht="15">
      <c r="A44" s="454" t="s">
        <v>7</v>
      </c>
      <c r="B44" s="470"/>
      <c r="C44" s="470"/>
      <c r="D44" s="471"/>
      <c r="E44" s="471"/>
      <c r="F44" s="472"/>
      <c r="G44" s="486"/>
      <c r="H44" s="474">
        <f t="shared" si="1"/>
        <v>0</v>
      </c>
    </row>
    <row r="45" spans="1:8" ht="15">
      <c r="A45" s="454" t="s">
        <v>421</v>
      </c>
      <c r="B45" s="470"/>
      <c r="C45" s="470"/>
      <c r="D45" s="471"/>
      <c r="E45" s="471"/>
      <c r="F45" s="472"/>
      <c r="G45" s="486"/>
      <c r="H45" s="474">
        <f t="shared" si="1"/>
        <v>0</v>
      </c>
    </row>
    <row r="46" spans="1:8" ht="15">
      <c r="A46" s="454" t="s">
        <v>421</v>
      </c>
      <c r="B46" s="470"/>
      <c r="C46" s="470"/>
      <c r="D46" s="471"/>
      <c r="E46" s="471"/>
      <c r="F46" s="472"/>
      <c r="G46" s="486"/>
      <c r="H46" s="474">
        <f t="shared" si="1"/>
        <v>0</v>
      </c>
    </row>
    <row r="47" spans="1:8" ht="15">
      <c r="A47" s="454" t="s">
        <v>421</v>
      </c>
      <c r="B47" s="470"/>
      <c r="C47" s="470"/>
      <c r="D47" s="471"/>
      <c r="E47" s="471"/>
      <c r="F47" s="472"/>
      <c r="G47" s="486"/>
      <c r="H47" s="474">
        <f t="shared" si="1"/>
        <v>0</v>
      </c>
    </row>
    <row r="48" spans="1:8" ht="15">
      <c r="A48" s="454" t="s">
        <v>5</v>
      </c>
      <c r="B48" s="470"/>
      <c r="C48" s="470"/>
      <c r="D48" s="471"/>
      <c r="E48" s="471"/>
      <c r="F48" s="472"/>
      <c r="G48" s="486"/>
      <c r="H48" s="474">
        <f t="shared" si="1"/>
        <v>0</v>
      </c>
    </row>
    <row r="49" spans="1:8" ht="15">
      <c r="A49" s="454" t="s">
        <v>20</v>
      </c>
      <c r="B49" s="470"/>
      <c r="C49" s="470"/>
      <c r="D49" s="471"/>
      <c r="E49" s="471"/>
      <c r="F49" s="472"/>
      <c r="G49" s="486"/>
      <c r="H49" s="474">
        <f t="shared" si="1"/>
        <v>0</v>
      </c>
    </row>
    <row r="50" spans="1:8">
      <c r="A50" s="82"/>
      <c r="B50" s="82"/>
      <c r="C50" s="82"/>
      <c r="D50" s="82"/>
      <c r="E50" s="82"/>
      <c r="F50" s="82"/>
      <c r="G50" s="82"/>
    </row>
    <row r="51" spans="1:8">
      <c r="A51" s="82"/>
      <c r="B51" s="82"/>
      <c r="C51" s="82"/>
      <c r="D51" s="82"/>
      <c r="E51" s="82"/>
      <c r="F51" s="82"/>
      <c r="G51" s="82"/>
    </row>
    <row r="52" spans="1:8">
      <c r="A52" s="82"/>
      <c r="B52" s="82"/>
      <c r="C52" s="82"/>
      <c r="D52" s="82"/>
      <c r="E52" s="82"/>
      <c r="F52" s="82"/>
      <c r="G52" s="82"/>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94" spans="1:7">
      <c r="D94" s="57"/>
    </row>
    <row r="95" spans="1:7">
      <c r="D95" s="57"/>
    </row>
    <row r="96" spans="1:7">
      <c r="D96" s="57"/>
    </row>
    <row r="97" spans="4:4">
      <c r="D97" s="57"/>
    </row>
    <row r="98" spans="4:4">
      <c r="D98" s="57"/>
    </row>
    <row r="99" spans="4:4">
      <c r="D99" s="57"/>
    </row>
    <row r="100" spans="4:4">
      <c r="D100" s="57"/>
    </row>
    <row r="102" spans="4:4">
      <c r="D102" s="57"/>
    </row>
    <row r="104" spans="4:4">
      <c r="D104" s="56"/>
    </row>
    <row r="106" spans="4:4">
      <c r="D106"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dimension ref="A1:H109"/>
  <sheetViews>
    <sheetView topLeftCell="A20" workbookViewId="0">
      <selection activeCell="E45" sqref="E45"/>
    </sheetView>
  </sheetViews>
  <sheetFormatPr defaultRowHeight="12.75"/>
  <cols>
    <col min="1" max="1" width="34.5703125" style="2" customWidth="1"/>
    <col min="2" max="2" width="25.42578125" style="2" customWidth="1"/>
    <col min="3" max="3" width="29.42578125" style="2" customWidth="1"/>
    <col min="4" max="4" width="17.5703125" style="2" customWidth="1"/>
    <col min="5" max="5" width="15.140625" style="2" customWidth="1"/>
    <col min="6" max="6" width="11" style="2" customWidth="1"/>
    <col min="7" max="7" width="10.7109375" style="2" bestFit="1" customWidth="1"/>
    <col min="8" max="8" width="9.85546875" style="2" bestFit="1" customWidth="1"/>
    <col min="9" max="16384" width="9.140625" style="2"/>
  </cols>
  <sheetData>
    <row r="1" spans="1:7" ht="18.75">
      <c r="A1" s="449" t="s">
        <v>373</v>
      </c>
    </row>
    <row r="3" spans="1:7" ht="15.75">
      <c r="A3" s="450" t="s">
        <v>374</v>
      </c>
      <c r="B3" s="451"/>
      <c r="C3" s="451"/>
    </row>
    <row r="4" spans="1:7" ht="21" customHeight="1">
      <c r="A4" s="452" t="s">
        <v>375</v>
      </c>
      <c r="B4" s="452" t="s">
        <v>376</v>
      </c>
      <c r="C4" s="453" t="s">
        <v>377</v>
      </c>
      <c r="D4" s="82"/>
      <c r="E4" s="82"/>
      <c r="F4" s="82"/>
      <c r="G4" s="82"/>
    </row>
    <row r="5" spans="1:7" ht="21" customHeight="1">
      <c r="A5" s="454" t="s">
        <v>1</v>
      </c>
      <c r="B5" s="454" t="s">
        <v>77</v>
      </c>
      <c r="C5" s="455" t="s">
        <v>378</v>
      </c>
      <c r="D5" s="456"/>
      <c r="E5" s="457"/>
      <c r="F5" s="458"/>
      <c r="G5" s="458"/>
    </row>
    <row r="6" spans="1:7" ht="21" customHeight="1">
      <c r="A6" s="454" t="s">
        <v>1</v>
      </c>
      <c r="B6" s="454" t="s">
        <v>379</v>
      </c>
      <c r="C6" s="459" t="s">
        <v>564</v>
      </c>
      <c r="D6" s="456"/>
      <c r="E6" s="457"/>
      <c r="F6" s="458"/>
      <c r="G6" s="458"/>
    </row>
    <row r="7" spans="1:7" ht="21" customHeight="1">
      <c r="A7" s="454" t="s">
        <v>1</v>
      </c>
      <c r="B7" s="454" t="s">
        <v>381</v>
      </c>
      <c r="C7" s="459">
        <v>1</v>
      </c>
      <c r="D7" s="456"/>
      <c r="E7" s="457"/>
      <c r="F7" s="458"/>
      <c r="G7" s="458"/>
    </row>
    <row r="8" spans="1:7" ht="21" customHeight="1">
      <c r="A8" s="454" t="s">
        <v>382</v>
      </c>
      <c r="B8" s="454" t="s">
        <v>383</v>
      </c>
      <c r="C8" s="460" t="s">
        <v>588</v>
      </c>
      <c r="D8" s="461"/>
      <c r="E8" s="457"/>
      <c r="F8" s="457"/>
      <c r="G8" s="461"/>
    </row>
    <row r="9" spans="1:7" ht="47.25" customHeight="1">
      <c r="A9" s="454" t="s">
        <v>382</v>
      </c>
      <c r="B9" s="454" t="s">
        <v>385</v>
      </c>
      <c r="C9" s="2009" t="s">
        <v>607</v>
      </c>
      <c r="D9" s="2010"/>
      <c r="E9" s="2010"/>
      <c r="F9" s="2010"/>
      <c r="G9" s="2011"/>
    </row>
    <row r="10" spans="1:7" ht="51.75" customHeight="1">
      <c r="A10" s="454" t="s">
        <v>382</v>
      </c>
      <c r="B10" s="454" t="s">
        <v>387</v>
      </c>
      <c r="C10" s="2009" t="s">
        <v>608</v>
      </c>
      <c r="D10" s="2010"/>
      <c r="E10" s="2010"/>
      <c r="F10" s="2010"/>
      <c r="G10" s="2011"/>
    </row>
    <row r="11" spans="1:7" ht="51.75" customHeight="1">
      <c r="A11" s="454" t="s">
        <v>382</v>
      </c>
      <c r="B11" s="454" t="s">
        <v>389</v>
      </c>
      <c r="C11" s="2009" t="s">
        <v>591</v>
      </c>
      <c r="D11" s="2010"/>
      <c r="E11" s="2010"/>
      <c r="F11" s="2010"/>
      <c r="G11" s="2011"/>
    </row>
    <row r="12" spans="1:7" ht="51.75" customHeight="1">
      <c r="A12" s="454" t="s">
        <v>382</v>
      </c>
      <c r="B12" s="454" t="s">
        <v>391</v>
      </c>
      <c r="C12" s="2009" t="s">
        <v>569</v>
      </c>
      <c r="D12" s="2010"/>
      <c r="E12" s="2010"/>
      <c r="F12" s="2010"/>
      <c r="G12" s="2011"/>
    </row>
    <row r="13" spans="1:7" ht="21" customHeight="1">
      <c r="A13" s="454" t="s">
        <v>382</v>
      </c>
      <c r="B13" s="454" t="s">
        <v>393</v>
      </c>
      <c r="C13" s="455" t="s">
        <v>394</v>
      </c>
      <c r="D13" s="456"/>
      <c r="E13" s="457"/>
      <c r="F13" s="457"/>
      <c r="G13" s="456"/>
    </row>
    <row r="14" spans="1:7" ht="21" customHeight="1">
      <c r="A14" s="454" t="s">
        <v>382</v>
      </c>
      <c r="B14" s="454" t="s">
        <v>395</v>
      </c>
      <c r="C14" s="459">
        <v>5</v>
      </c>
      <c r="D14" s="456"/>
      <c r="E14" s="457"/>
      <c r="F14" s="457"/>
      <c r="G14" s="456"/>
    </row>
    <row r="15" spans="1:7">
      <c r="A15" s="82"/>
      <c r="B15" s="82"/>
      <c r="C15" s="82"/>
      <c r="D15" s="82"/>
      <c r="E15" s="82"/>
      <c r="F15" s="82"/>
      <c r="G15" s="82"/>
    </row>
    <row r="16" spans="1:7" ht="15.75">
      <c r="A16" s="462" t="s">
        <v>396</v>
      </c>
      <c r="B16" s="463"/>
      <c r="C16" s="464"/>
      <c r="D16" s="49"/>
      <c r="E16" s="89"/>
      <c r="F16" s="89"/>
      <c r="G16" s="49"/>
    </row>
    <row r="17" spans="1:8" ht="15">
      <c r="A17" s="452" t="s">
        <v>16</v>
      </c>
      <c r="B17" s="453" t="s">
        <v>397</v>
      </c>
      <c r="C17" s="453" t="s">
        <v>398</v>
      </c>
      <c r="D17" s="49"/>
      <c r="E17" s="89"/>
      <c r="F17" s="89"/>
      <c r="G17" s="49"/>
    </row>
    <row r="18" spans="1:8" ht="15">
      <c r="A18" s="454" t="s">
        <v>0</v>
      </c>
      <c r="B18" s="465">
        <f>SUM(H31:H36)</f>
        <v>1238.6500000000001</v>
      </c>
      <c r="C18" s="466">
        <f>B18/C$14</f>
        <v>247.73000000000002</v>
      </c>
      <c r="D18" s="49"/>
      <c r="E18" s="89"/>
      <c r="F18" s="89"/>
      <c r="G18" s="49"/>
    </row>
    <row r="19" spans="1:8" ht="15">
      <c r="A19" s="454" t="s">
        <v>2</v>
      </c>
      <c r="B19" s="465">
        <f>SUM(H37:H39)</f>
        <v>108.58659608114779</v>
      </c>
      <c r="C19" s="466">
        <f t="shared" ref="C19:C27" si="0">B19/C$14</f>
        <v>21.717319216229559</v>
      </c>
      <c r="D19" s="49"/>
      <c r="E19" s="89"/>
      <c r="F19" s="89"/>
      <c r="G19" s="49"/>
    </row>
    <row r="20" spans="1:8" ht="15">
      <c r="A20" s="454" t="s">
        <v>3</v>
      </c>
      <c r="B20" s="465">
        <f>SUM(H40:H42)</f>
        <v>164.6558288770056</v>
      </c>
      <c r="C20" s="466">
        <f t="shared" si="0"/>
        <v>32.931165775401119</v>
      </c>
      <c r="D20" s="49"/>
      <c r="E20" s="89"/>
      <c r="F20" s="89"/>
      <c r="G20" s="49"/>
    </row>
    <row r="21" spans="1:8" ht="15">
      <c r="A21" s="454" t="s">
        <v>4</v>
      </c>
      <c r="B21" s="465">
        <f>H43</f>
        <v>0</v>
      </c>
      <c r="C21" s="466">
        <f t="shared" si="0"/>
        <v>0</v>
      </c>
      <c r="D21" s="49"/>
      <c r="E21" s="89"/>
      <c r="F21" s="89"/>
      <c r="G21" s="49"/>
    </row>
    <row r="22" spans="1:8" ht="15">
      <c r="A22" s="454" t="s">
        <v>26</v>
      </c>
      <c r="B22" s="465">
        <f>H44</f>
        <v>0</v>
      </c>
      <c r="C22" s="466">
        <f t="shared" si="0"/>
        <v>0</v>
      </c>
      <c r="D22" s="49"/>
      <c r="E22" s="89"/>
      <c r="F22" s="89"/>
      <c r="G22" s="49"/>
    </row>
    <row r="23" spans="1:8" ht="15">
      <c r="A23" s="454" t="s">
        <v>7</v>
      </c>
      <c r="B23" s="465">
        <f>SUM(H45:H47)</f>
        <v>0</v>
      </c>
      <c r="C23" s="466">
        <f t="shared" si="0"/>
        <v>0</v>
      </c>
      <c r="D23" s="49"/>
      <c r="E23" s="89"/>
      <c r="F23" s="89"/>
      <c r="G23" s="49"/>
    </row>
    <row r="24" spans="1:8" ht="15">
      <c r="A24" s="454" t="s">
        <v>27</v>
      </c>
      <c r="B24" s="465">
        <f>SUM(H48:H50)</f>
        <v>0</v>
      </c>
      <c r="C24" s="466">
        <f t="shared" si="0"/>
        <v>0</v>
      </c>
      <c r="D24" s="49"/>
      <c r="E24" s="89"/>
      <c r="F24" s="89"/>
      <c r="G24" s="49"/>
    </row>
    <row r="25" spans="1:8" ht="15">
      <c r="A25" s="454" t="s">
        <v>5</v>
      </c>
      <c r="B25" s="465">
        <f>H51</f>
        <v>0</v>
      </c>
      <c r="C25" s="466">
        <f t="shared" si="0"/>
        <v>0</v>
      </c>
      <c r="D25" s="49"/>
      <c r="E25" s="89"/>
      <c r="F25" s="89"/>
      <c r="G25" s="49"/>
    </row>
    <row r="26" spans="1:8" ht="15">
      <c r="A26" s="454" t="s">
        <v>20</v>
      </c>
      <c r="B26" s="465">
        <f>H51</f>
        <v>0</v>
      </c>
      <c r="C26" s="466">
        <f t="shared" si="0"/>
        <v>0</v>
      </c>
      <c r="D26" s="49"/>
      <c r="E26" s="89"/>
      <c r="F26" s="89"/>
      <c r="G26" s="49"/>
    </row>
    <row r="27" spans="1:8" ht="15">
      <c r="A27" s="454" t="s">
        <v>399</v>
      </c>
      <c r="B27" s="465">
        <f>SUM(H31:H40)</f>
        <v>1511.8924249581535</v>
      </c>
      <c r="C27" s="466">
        <f t="shared" si="0"/>
        <v>302.37848499163067</v>
      </c>
      <c r="D27" s="49"/>
      <c r="E27" s="89"/>
      <c r="F27" s="89"/>
      <c r="G27" s="49"/>
    </row>
    <row r="28" spans="1:8">
      <c r="A28" s="467"/>
      <c r="B28" s="126"/>
      <c r="C28" s="126"/>
      <c r="D28" s="49"/>
      <c r="E28" s="49"/>
      <c r="F28" s="49"/>
      <c r="G28" s="49"/>
    </row>
    <row r="29" spans="1:8" ht="15.75">
      <c r="A29" s="468" t="s">
        <v>400</v>
      </c>
      <c r="B29" s="49"/>
      <c r="C29" s="49"/>
      <c r="D29" s="126"/>
      <c r="E29" s="49"/>
      <c r="F29" s="49"/>
      <c r="G29" s="49"/>
    </row>
    <row r="30" spans="1:8" ht="15">
      <c r="A30" s="452" t="s">
        <v>16</v>
      </c>
      <c r="B30" s="452" t="s">
        <v>401</v>
      </c>
      <c r="C30" s="453" t="s">
        <v>402</v>
      </c>
      <c r="D30" s="453" t="s">
        <v>403</v>
      </c>
      <c r="E30" s="452" t="s">
        <v>46</v>
      </c>
      <c r="F30" s="453" t="s">
        <v>404</v>
      </c>
      <c r="G30" s="453" t="s">
        <v>405</v>
      </c>
      <c r="H30" s="453" t="s">
        <v>397</v>
      </c>
    </row>
    <row r="31" spans="1:8" ht="15">
      <c r="A31" s="454" t="s">
        <v>0</v>
      </c>
      <c r="B31" s="470">
        <v>203</v>
      </c>
      <c r="C31" s="470" t="s">
        <v>599</v>
      </c>
      <c r="D31" s="471" t="s">
        <v>571</v>
      </c>
      <c r="E31" s="471" t="s">
        <v>572</v>
      </c>
      <c r="F31" s="472">
        <v>0.73</v>
      </c>
      <c r="G31" s="486">
        <v>300</v>
      </c>
      <c r="H31" s="474">
        <f>IF(G31&lt;=0, 0, F31*G31)</f>
        <v>219</v>
      </c>
    </row>
    <row r="32" spans="1:8" ht="15">
      <c r="A32" s="454" t="s">
        <v>0</v>
      </c>
      <c r="B32" s="470">
        <v>192</v>
      </c>
      <c r="C32" s="470" t="s">
        <v>605</v>
      </c>
      <c r="D32" s="471" t="s">
        <v>585</v>
      </c>
      <c r="E32" s="471" t="s">
        <v>572</v>
      </c>
      <c r="F32" s="472">
        <v>6.05</v>
      </c>
      <c r="G32" s="486">
        <v>65</v>
      </c>
      <c r="H32" s="474">
        <f t="shared" ref="H32:H52" si="1">IF(G32&lt;=0, 0, F32*G32)</f>
        <v>393.25</v>
      </c>
    </row>
    <row r="33" spans="1:8" ht="15">
      <c r="A33" s="454" t="s">
        <v>0</v>
      </c>
      <c r="B33" s="470">
        <v>190</v>
      </c>
      <c r="C33" s="470" t="s">
        <v>609</v>
      </c>
      <c r="D33" s="471" t="s">
        <v>585</v>
      </c>
      <c r="E33" s="471" t="s">
        <v>572</v>
      </c>
      <c r="F33" s="472">
        <v>3.67</v>
      </c>
      <c r="G33" s="486">
        <v>150</v>
      </c>
      <c r="H33" s="474">
        <f t="shared" si="1"/>
        <v>550.5</v>
      </c>
    </row>
    <row r="34" spans="1:8" ht="15">
      <c r="A34" s="454" t="s">
        <v>0</v>
      </c>
      <c r="B34" s="470">
        <v>118</v>
      </c>
      <c r="C34" s="470" t="s">
        <v>610</v>
      </c>
      <c r="D34" s="471" t="s">
        <v>594</v>
      </c>
      <c r="E34" s="471" t="s">
        <v>572</v>
      </c>
      <c r="F34" s="472">
        <v>3.15</v>
      </c>
      <c r="G34" s="486">
        <v>5</v>
      </c>
      <c r="H34" s="474">
        <f t="shared" si="1"/>
        <v>15.75</v>
      </c>
    </row>
    <row r="35" spans="1:8" ht="15">
      <c r="A35" s="454" t="s">
        <v>0</v>
      </c>
      <c r="B35" s="470">
        <v>173</v>
      </c>
      <c r="C35" s="470" t="s">
        <v>611</v>
      </c>
      <c r="D35" s="471" t="s">
        <v>587</v>
      </c>
      <c r="E35" s="471" t="s">
        <v>572</v>
      </c>
      <c r="F35" s="472">
        <v>8.9499999999999993</v>
      </c>
      <c r="G35" s="486">
        <v>5</v>
      </c>
      <c r="H35" s="474">
        <f t="shared" si="1"/>
        <v>44.75</v>
      </c>
    </row>
    <row r="36" spans="1:8" ht="15">
      <c r="A36" s="454" t="s">
        <v>0</v>
      </c>
      <c r="B36" s="470">
        <v>175</v>
      </c>
      <c r="C36" s="470" t="s">
        <v>606</v>
      </c>
      <c r="D36" s="471" t="s">
        <v>587</v>
      </c>
      <c r="E36" s="471" t="s">
        <v>572</v>
      </c>
      <c r="F36" s="472">
        <v>3.08</v>
      </c>
      <c r="G36" s="486">
        <v>5</v>
      </c>
      <c r="H36" s="474">
        <f t="shared" si="1"/>
        <v>15.4</v>
      </c>
    </row>
    <row r="37" spans="1:8" ht="15">
      <c r="A37" s="454" t="s">
        <v>2</v>
      </c>
      <c r="B37" s="470">
        <v>963</v>
      </c>
      <c r="C37" s="470" t="s">
        <v>600</v>
      </c>
      <c r="D37" s="471" t="s">
        <v>575</v>
      </c>
      <c r="E37" s="471" t="s">
        <v>411</v>
      </c>
      <c r="F37" s="472">
        <v>17.416880395843599</v>
      </c>
      <c r="G37" s="486">
        <v>3</v>
      </c>
      <c r="H37" s="474">
        <f t="shared" si="1"/>
        <v>52.250641187530796</v>
      </c>
    </row>
    <row r="38" spans="1:8" ht="15">
      <c r="A38" s="454" t="s">
        <v>2</v>
      </c>
      <c r="B38" s="470">
        <v>960</v>
      </c>
      <c r="C38" s="470" t="s">
        <v>576</v>
      </c>
      <c r="D38" s="471" t="s">
        <v>577</v>
      </c>
      <c r="E38" s="471" t="s">
        <v>408</v>
      </c>
      <c r="F38" s="472">
        <v>16.116234042553199</v>
      </c>
      <c r="G38" s="486">
        <v>2</v>
      </c>
      <c r="H38" s="474">
        <f t="shared" si="1"/>
        <v>32.232468085106397</v>
      </c>
    </row>
    <row r="39" spans="1:8" ht="15">
      <c r="A39" s="454" t="s">
        <v>2</v>
      </c>
      <c r="B39" s="470">
        <v>957</v>
      </c>
      <c r="C39" s="470" t="s">
        <v>601</v>
      </c>
      <c r="D39" s="471" t="s">
        <v>602</v>
      </c>
      <c r="E39" s="471" t="s">
        <v>408</v>
      </c>
      <c r="F39" s="472">
        <v>12.0517434042553</v>
      </c>
      <c r="G39" s="486">
        <v>2</v>
      </c>
      <c r="H39" s="474">
        <f t="shared" si="1"/>
        <v>24.103486808510599</v>
      </c>
    </row>
    <row r="40" spans="1:8" ht="15">
      <c r="A40" s="454" t="s">
        <v>3</v>
      </c>
      <c r="B40" s="470">
        <v>231</v>
      </c>
      <c r="C40" s="470" t="s">
        <v>578</v>
      </c>
      <c r="D40" s="471" t="s">
        <v>579</v>
      </c>
      <c r="E40" s="471" t="s">
        <v>411</v>
      </c>
      <c r="F40" s="472">
        <v>20.5819786096257</v>
      </c>
      <c r="G40" s="486">
        <v>8</v>
      </c>
      <c r="H40" s="474">
        <f t="shared" si="1"/>
        <v>164.6558288770056</v>
      </c>
    </row>
    <row r="41" spans="1:8" ht="15">
      <c r="A41" s="454" t="s">
        <v>3</v>
      </c>
      <c r="B41" s="470"/>
      <c r="C41" s="470"/>
      <c r="D41" s="471"/>
      <c r="E41" s="471"/>
      <c r="F41" s="472"/>
      <c r="G41" s="486"/>
      <c r="H41" s="474">
        <f t="shared" si="1"/>
        <v>0</v>
      </c>
    </row>
    <row r="42" spans="1:8" ht="15">
      <c r="A42" s="454" t="s">
        <v>3</v>
      </c>
      <c r="B42" s="470"/>
      <c r="C42" s="470"/>
      <c r="D42" s="471"/>
      <c r="E42" s="471"/>
      <c r="F42" s="472"/>
      <c r="G42" s="486"/>
      <c r="H42" s="474">
        <f t="shared" si="1"/>
        <v>0</v>
      </c>
    </row>
    <row r="43" spans="1:8" ht="15">
      <c r="A43" s="454" t="s">
        <v>4</v>
      </c>
      <c r="B43" s="470"/>
      <c r="C43" s="470"/>
      <c r="D43" s="471"/>
      <c r="E43" s="471"/>
      <c r="F43" s="481"/>
      <c r="G43" s="486"/>
      <c r="H43" s="474">
        <f t="shared" si="1"/>
        <v>0</v>
      </c>
    </row>
    <row r="44" spans="1:8" ht="16.5" customHeight="1">
      <c r="A44" s="454" t="s">
        <v>419</v>
      </c>
      <c r="B44" s="470"/>
      <c r="C44" s="470"/>
      <c r="D44" s="471"/>
      <c r="E44" s="471"/>
      <c r="F44" s="481"/>
      <c r="G44" s="486"/>
      <c r="H44" s="474">
        <f t="shared" si="1"/>
        <v>0</v>
      </c>
    </row>
    <row r="45" spans="1:8" ht="15">
      <c r="A45" s="454" t="s">
        <v>7</v>
      </c>
      <c r="B45" s="470"/>
      <c r="C45" s="470"/>
      <c r="D45" s="471"/>
      <c r="E45" s="471"/>
      <c r="F45" s="472"/>
      <c r="G45" s="486"/>
      <c r="H45" s="474">
        <f t="shared" si="1"/>
        <v>0</v>
      </c>
    </row>
    <row r="46" spans="1:8" ht="15">
      <c r="A46" s="454" t="s">
        <v>7</v>
      </c>
      <c r="B46" s="470"/>
      <c r="C46" s="470"/>
      <c r="D46" s="471"/>
      <c r="E46" s="471"/>
      <c r="F46" s="472"/>
      <c r="G46" s="486"/>
      <c r="H46" s="474">
        <f t="shared" si="1"/>
        <v>0</v>
      </c>
    </row>
    <row r="47" spans="1:8" ht="15">
      <c r="A47" s="454" t="s">
        <v>7</v>
      </c>
      <c r="B47" s="470"/>
      <c r="C47" s="470"/>
      <c r="D47" s="471"/>
      <c r="E47" s="471"/>
      <c r="F47" s="472"/>
      <c r="G47" s="486"/>
      <c r="H47" s="474">
        <f t="shared" si="1"/>
        <v>0</v>
      </c>
    </row>
    <row r="48" spans="1:8" ht="15">
      <c r="A48" s="454" t="s">
        <v>421</v>
      </c>
      <c r="B48" s="470"/>
      <c r="C48" s="470"/>
      <c r="D48" s="471"/>
      <c r="E48" s="471"/>
      <c r="F48" s="472"/>
      <c r="G48" s="486"/>
      <c r="H48" s="474">
        <f t="shared" si="1"/>
        <v>0</v>
      </c>
    </row>
    <row r="49" spans="1:8" ht="15">
      <c r="A49" s="454" t="s">
        <v>421</v>
      </c>
      <c r="B49" s="470"/>
      <c r="C49" s="470"/>
      <c r="D49" s="471"/>
      <c r="E49" s="471"/>
      <c r="F49" s="472"/>
      <c r="G49" s="486"/>
      <c r="H49" s="474">
        <f t="shared" si="1"/>
        <v>0</v>
      </c>
    </row>
    <row r="50" spans="1:8" ht="15">
      <c r="A50" s="454" t="s">
        <v>421</v>
      </c>
      <c r="B50" s="470"/>
      <c r="C50" s="470"/>
      <c r="D50" s="471"/>
      <c r="E50" s="471"/>
      <c r="F50" s="472"/>
      <c r="G50" s="486"/>
      <c r="H50" s="474">
        <f t="shared" si="1"/>
        <v>0</v>
      </c>
    </row>
    <row r="51" spans="1:8" ht="15">
      <c r="A51" s="454" t="s">
        <v>5</v>
      </c>
      <c r="B51" s="470"/>
      <c r="C51" s="470"/>
      <c r="D51" s="471"/>
      <c r="E51" s="471"/>
      <c r="F51" s="472"/>
      <c r="G51" s="486"/>
      <c r="H51" s="474">
        <f t="shared" si="1"/>
        <v>0</v>
      </c>
    </row>
    <row r="52" spans="1:8" ht="15">
      <c r="A52" s="454" t="s">
        <v>20</v>
      </c>
      <c r="B52" s="470"/>
      <c r="C52" s="470"/>
      <c r="D52" s="471"/>
      <c r="E52" s="471"/>
      <c r="F52" s="472"/>
      <c r="G52" s="486"/>
      <c r="H52" s="474">
        <f t="shared" si="1"/>
        <v>0</v>
      </c>
    </row>
    <row r="53" spans="1:8">
      <c r="A53" s="82"/>
      <c r="B53" s="82"/>
      <c r="C53" s="82"/>
      <c r="D53" s="82"/>
      <c r="E53" s="82"/>
      <c r="F53" s="82"/>
      <c r="G53" s="82"/>
    </row>
    <row r="54" spans="1:8">
      <c r="A54" s="82"/>
      <c r="B54" s="82"/>
      <c r="C54" s="82"/>
      <c r="D54" s="82"/>
      <c r="E54" s="82"/>
      <c r="F54" s="82"/>
      <c r="G54" s="82"/>
    </row>
    <row r="55" spans="1:8">
      <c r="A55" s="82"/>
      <c r="B55" s="82"/>
      <c r="C55" s="82"/>
      <c r="D55" s="82"/>
      <c r="E55" s="82"/>
      <c r="F55" s="82"/>
      <c r="G55" s="82"/>
    </row>
    <row r="56" spans="1:8">
      <c r="A56" s="82"/>
      <c r="B56" s="82"/>
      <c r="C56" s="82"/>
      <c r="D56" s="82"/>
      <c r="E56" s="82"/>
      <c r="F56" s="82"/>
      <c r="G56" s="82"/>
    </row>
    <row r="57" spans="1:8">
      <c r="A57" s="82"/>
      <c r="B57" s="82"/>
      <c r="C57" s="82"/>
      <c r="D57" s="82"/>
      <c r="E57" s="82"/>
      <c r="F57" s="82"/>
      <c r="G57" s="82"/>
    </row>
    <row r="58" spans="1:8">
      <c r="A58" s="82"/>
      <c r="B58" s="82"/>
      <c r="C58" s="82"/>
      <c r="D58" s="82"/>
      <c r="E58" s="82"/>
      <c r="F58" s="82"/>
      <c r="G58" s="82"/>
    </row>
    <row r="59" spans="1:8">
      <c r="A59" s="82"/>
      <c r="B59" s="82"/>
      <c r="C59" s="82"/>
      <c r="D59" s="82"/>
      <c r="E59" s="82"/>
      <c r="F59" s="82"/>
      <c r="G59" s="82"/>
    </row>
    <row r="60" spans="1:8">
      <c r="A60" s="82"/>
      <c r="B60" s="82"/>
      <c r="C60" s="82"/>
      <c r="D60" s="82"/>
      <c r="E60" s="82"/>
      <c r="F60" s="82"/>
      <c r="G60" s="82"/>
    </row>
    <row r="61" spans="1:8">
      <c r="A61" s="82"/>
      <c r="B61" s="82"/>
      <c r="C61" s="82"/>
      <c r="D61" s="82"/>
      <c r="E61" s="82"/>
      <c r="F61" s="82"/>
      <c r="G61" s="82"/>
    </row>
    <row r="62" spans="1:8">
      <c r="A62" s="82"/>
      <c r="B62" s="82"/>
      <c r="C62" s="82"/>
      <c r="D62" s="82"/>
      <c r="E62" s="82"/>
      <c r="F62" s="82"/>
      <c r="G62" s="82"/>
    </row>
    <row r="63" spans="1:8">
      <c r="A63" s="82"/>
      <c r="B63" s="82"/>
      <c r="C63" s="82"/>
      <c r="D63" s="82"/>
      <c r="E63" s="82"/>
      <c r="F63" s="82"/>
      <c r="G63" s="82"/>
    </row>
    <row r="64" spans="1:8">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pans="1:7">
      <c r="A81" s="82"/>
      <c r="B81" s="82"/>
      <c r="C81" s="82"/>
      <c r="D81" s="82"/>
      <c r="E81" s="82"/>
      <c r="F81" s="82"/>
      <c r="G81" s="82"/>
    </row>
    <row r="82" spans="1:7">
      <c r="A82" s="82"/>
      <c r="B82" s="82"/>
      <c r="C82" s="82"/>
      <c r="D82" s="82"/>
      <c r="E82" s="82"/>
      <c r="F82" s="82"/>
      <c r="G82" s="82"/>
    </row>
    <row r="83" spans="1:7">
      <c r="A83" s="82"/>
      <c r="B83" s="82"/>
      <c r="C83" s="82"/>
      <c r="D83" s="82"/>
      <c r="E83" s="82"/>
      <c r="F83" s="82"/>
      <c r="G83" s="82"/>
    </row>
    <row r="84" spans="1:7">
      <c r="A84" s="82"/>
      <c r="B84" s="82"/>
      <c r="C84" s="82"/>
      <c r="D84" s="82"/>
      <c r="E84" s="82"/>
      <c r="F84" s="82"/>
      <c r="G84" s="82"/>
    </row>
    <row r="85" spans="1:7">
      <c r="A85" s="82"/>
      <c r="B85" s="82"/>
      <c r="C85" s="82"/>
      <c r="D85" s="82"/>
      <c r="E85" s="82"/>
      <c r="F85" s="82"/>
      <c r="G85" s="82"/>
    </row>
    <row r="86" spans="1:7">
      <c r="A86" s="82"/>
      <c r="B86" s="82"/>
      <c r="C86" s="82"/>
      <c r="D86" s="82"/>
      <c r="E86" s="82"/>
      <c r="F86" s="82"/>
      <c r="G86" s="82"/>
    </row>
    <row r="97" spans="4:4">
      <c r="D97" s="57"/>
    </row>
    <row r="98" spans="4:4">
      <c r="D98" s="57"/>
    </row>
    <row r="99" spans="4:4">
      <c r="D99" s="57"/>
    </row>
    <row r="100" spans="4:4">
      <c r="D100" s="57"/>
    </row>
    <row r="101" spans="4:4">
      <c r="D101" s="57"/>
    </row>
    <row r="102" spans="4:4">
      <c r="D102" s="57"/>
    </row>
    <row r="103" spans="4:4">
      <c r="D103" s="57"/>
    </row>
    <row r="105" spans="4:4">
      <c r="D105" s="57"/>
    </row>
    <row r="107" spans="4:4">
      <c r="D107" s="56"/>
    </row>
    <row r="109" spans="4:4">
      <c r="D109" s="57"/>
    </row>
  </sheetData>
  <mergeCells count="4">
    <mergeCell ref="C9:G9"/>
    <mergeCell ref="C10:G10"/>
    <mergeCell ref="C11:G11"/>
    <mergeCell ref="C12:G12"/>
  </mergeCells>
  <dataValidations count="3">
    <dataValidation type="list" allowBlank="1" showInputMessage="1" showErrorMessage="1" sqref="C13">
      <formula1>UnitName</formula1>
    </dataValidation>
    <dataValidation type="list" allowBlank="1" showInputMessage="1" showErrorMessage="1" sqref="C6">
      <formula1>PracticeCodeName</formula1>
    </dataValidation>
    <dataValidation type="list" allowBlank="1" showInputMessage="1" showErrorMessage="1" sqref="C5">
      <formula1>RegionName</formula1>
    </dataValidation>
  </dataValidations>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sheetPr>
    <pageSetUpPr fitToPage="1"/>
  </sheetPr>
  <dimension ref="A1:L96"/>
  <sheetViews>
    <sheetView zoomScale="75" zoomScaleNormal="75" workbookViewId="0">
      <selection activeCell="B54" sqref="B54:I55"/>
    </sheetView>
  </sheetViews>
  <sheetFormatPr defaultRowHeight="12.75"/>
  <cols>
    <col min="1" max="1" width="1.85546875" customWidth="1"/>
    <col min="3" max="3" width="24.140625" customWidth="1"/>
    <col min="4" max="4" width="23.140625" customWidth="1"/>
    <col min="5" max="5" width="58.710937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342</v>
      </c>
      <c r="C6" s="7" t="str">
        <f>+E12</f>
        <v>EQIP</v>
      </c>
      <c r="D6" s="1403" t="s">
        <v>1344</v>
      </c>
      <c r="E6" s="1404" t="s">
        <v>1345</v>
      </c>
      <c r="F6" s="7" t="str">
        <f>+D36</f>
        <v>Acre</v>
      </c>
      <c r="G6" s="85">
        <f>+I25</f>
        <v>676.27160303813253</v>
      </c>
    </row>
    <row r="7" spans="1:12" ht="25.5">
      <c r="A7" s="2"/>
      <c r="B7" s="54">
        <f>+B6</f>
        <v>342</v>
      </c>
      <c r="C7" s="7" t="str">
        <f>+C6</f>
        <v>EQIP</v>
      </c>
      <c r="D7" s="1403" t="s">
        <v>1344</v>
      </c>
      <c r="E7" s="1404" t="str">
        <f>CONCATENATE(E6, "-HU")</f>
        <v>Critical Area Planting - Light Grading/Shaping (1-2hr/Ac), Introd. Grasses, Mulch  -HU</v>
      </c>
      <c r="F7" s="7" t="str">
        <f>+F6</f>
        <v>Acre</v>
      </c>
      <c r="G7" s="85">
        <f>+J25</f>
        <v>811.52592364575889</v>
      </c>
    </row>
    <row r="8" spans="1:12" ht="25.5">
      <c r="A8" s="2"/>
      <c r="B8" s="54">
        <v>342</v>
      </c>
      <c r="C8" s="7" t="str">
        <f>+G12</f>
        <v>WHIP</v>
      </c>
      <c r="D8" s="1403" t="s">
        <v>1344</v>
      </c>
      <c r="E8" s="1404" t="str">
        <f>+E6</f>
        <v xml:space="preserve">Critical Area Planting - Light Grading/Shaping (1-2hr/Ac), Introd. Grasses, Mulch  </v>
      </c>
      <c r="F8" s="7" t="str">
        <f>+D36</f>
        <v>Acre</v>
      </c>
      <c r="G8" s="85">
        <f>+K25</f>
        <v>0</v>
      </c>
    </row>
    <row r="9" spans="1:12" ht="25.5">
      <c r="A9" s="2"/>
      <c r="B9" s="8">
        <f>+B8</f>
        <v>342</v>
      </c>
      <c r="C9" s="10" t="str">
        <f>+C8</f>
        <v>WHIP</v>
      </c>
      <c r="D9" s="1405" t="s">
        <v>1344</v>
      </c>
      <c r="E9" s="1406" t="str">
        <f>CONCATENATE(E6, "-HU")</f>
        <v>Critical Area Planting - Light Grading/Shaping (1-2hr/Ac), Introd. Grasses, Mulch  -HU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188.14082917557616</v>
      </c>
      <c r="E16" s="160">
        <f>+'[10]Payment Factors'!D11</f>
        <v>0.75</v>
      </c>
      <c r="F16" s="160">
        <f>+'[10]Payment Factors'!E11</f>
        <v>0.9</v>
      </c>
      <c r="G16" s="160">
        <f>+'[10]Payment Factors'!F11</f>
        <v>0</v>
      </c>
      <c r="H16" s="160">
        <f>+'[10]Payment Factors'!G11</f>
        <v>0</v>
      </c>
      <c r="I16" s="1154">
        <f t="shared" ref="I16:L24" si="0">+$D16*E16</f>
        <v>141.10562188168211</v>
      </c>
      <c r="J16" s="1154">
        <f t="shared" si="0"/>
        <v>169.32674625801855</v>
      </c>
      <c r="K16" s="1154">
        <f t="shared" si="0"/>
        <v>0</v>
      </c>
      <c r="L16" s="1155">
        <f t="shared" si="0"/>
        <v>0</v>
      </c>
    </row>
    <row r="17" spans="1:12">
      <c r="A17" s="2"/>
      <c r="B17" s="15" t="s">
        <v>2</v>
      </c>
      <c r="C17" s="16"/>
      <c r="D17" s="24">
        <f>+I54</f>
        <v>584.19791666666663</v>
      </c>
      <c r="E17" s="160">
        <f t="shared" ref="E17:H19" si="1">+E16</f>
        <v>0.75</v>
      </c>
      <c r="F17" s="160">
        <f t="shared" si="1"/>
        <v>0.9</v>
      </c>
      <c r="G17" s="160">
        <f t="shared" si="1"/>
        <v>0</v>
      </c>
      <c r="H17" s="160">
        <f t="shared" si="1"/>
        <v>0</v>
      </c>
      <c r="I17" s="1154">
        <f t="shared" si="0"/>
        <v>438.1484375</v>
      </c>
      <c r="J17" s="1154">
        <f t="shared" si="0"/>
        <v>525.77812499999993</v>
      </c>
      <c r="K17" s="1154">
        <f t="shared" si="0"/>
        <v>0</v>
      </c>
      <c r="L17" s="1155">
        <f t="shared" si="0"/>
        <v>0</v>
      </c>
    </row>
    <row r="18" spans="1:12">
      <c r="A18" s="2"/>
      <c r="B18" s="15" t="s">
        <v>3</v>
      </c>
      <c r="C18" s="16"/>
      <c r="D18" s="24">
        <f>+I68</f>
        <v>103.09374999999999</v>
      </c>
      <c r="E18" s="160">
        <f t="shared" si="1"/>
        <v>0.75</v>
      </c>
      <c r="F18" s="160">
        <f t="shared" si="1"/>
        <v>0.9</v>
      </c>
      <c r="G18" s="160">
        <f t="shared" si="1"/>
        <v>0</v>
      </c>
      <c r="H18" s="160">
        <f t="shared" si="1"/>
        <v>0</v>
      </c>
      <c r="I18" s="1154">
        <f t="shared" si="0"/>
        <v>77.320312499999986</v>
      </c>
      <c r="J18" s="1154">
        <f t="shared" si="0"/>
        <v>92.784374999999983</v>
      </c>
      <c r="K18" s="1154">
        <f t="shared" si="0"/>
        <v>0</v>
      </c>
      <c r="L18" s="1155">
        <f t="shared" si="0"/>
        <v>0</v>
      </c>
    </row>
    <row r="19" spans="1:12">
      <c r="A19" s="2"/>
      <c r="B19" s="15" t="s">
        <v>4</v>
      </c>
      <c r="C19" s="16"/>
      <c r="D19" s="24">
        <f>+I74</f>
        <v>26.262974875267282</v>
      </c>
      <c r="E19" s="160">
        <f t="shared" si="1"/>
        <v>0.75</v>
      </c>
      <c r="F19" s="160">
        <f t="shared" si="1"/>
        <v>0.9</v>
      </c>
      <c r="G19" s="160">
        <f t="shared" si="1"/>
        <v>0</v>
      </c>
      <c r="H19" s="160">
        <f t="shared" si="1"/>
        <v>0</v>
      </c>
      <c r="I19" s="1154">
        <f t="shared" si="0"/>
        <v>19.697231156450464</v>
      </c>
      <c r="J19" s="1154">
        <f t="shared" si="0"/>
        <v>23.636677387740555</v>
      </c>
      <c r="K19" s="1154">
        <f t="shared" si="0"/>
        <v>0</v>
      </c>
      <c r="L19" s="1155">
        <f t="shared" si="0"/>
        <v>0</v>
      </c>
    </row>
    <row r="20" spans="1:12">
      <c r="A20" s="2"/>
      <c r="B20" s="15" t="s">
        <v>26</v>
      </c>
      <c r="C20" s="16"/>
      <c r="D20" s="24">
        <f>+I77</f>
        <v>8.7543249584224281</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+I80</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+I83</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+I87</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+I90</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1510.4497956759326</v>
      </c>
      <c r="E25" s="1158"/>
      <c r="F25" s="1158"/>
      <c r="G25" s="28"/>
      <c r="H25" s="28"/>
      <c r="I25" s="1159">
        <f>SUM(I16:I24)</f>
        <v>676.27160303813253</v>
      </c>
      <c r="J25" s="1159">
        <f>SUM(J16:J24)</f>
        <v>811.52592364575889</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188.14082917557616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+'[20]Core Rates'!C203</f>
        <v>8.75</v>
      </c>
      <c r="F43" s="1170">
        <v>2</v>
      </c>
      <c r="G43" s="1171">
        <f t="shared" si="2"/>
        <v>17.5</v>
      </c>
      <c r="H43" s="35"/>
      <c r="I43" s="36"/>
    </row>
    <row r="44" spans="1:9">
      <c r="A44" s="2"/>
      <c r="B44" s="1184" t="s">
        <v>453</v>
      </c>
      <c r="C44" s="6"/>
      <c r="D44" s="1185" t="s">
        <v>454</v>
      </c>
      <c r="E44" s="1169">
        <f>+'[20]Core Rates'!C228</f>
        <v>0.82427536231884069</v>
      </c>
      <c r="F44" s="1170">
        <v>50</v>
      </c>
      <c r="G44" s="1171">
        <f t="shared" si="2"/>
        <v>41.213768115942031</v>
      </c>
      <c r="H44" s="35"/>
      <c r="I44" s="36"/>
    </row>
    <row r="45" spans="1:9">
      <c r="A45" s="2"/>
      <c r="B45" s="1186" t="s">
        <v>455</v>
      </c>
      <c r="C45" s="1187"/>
      <c r="D45" s="1185" t="s">
        <v>454</v>
      </c>
      <c r="E45" s="1169">
        <f>+'[20]Core Rates'!C235</f>
        <v>1.1702898550724636</v>
      </c>
      <c r="F45" s="1170">
        <v>50</v>
      </c>
      <c r="G45" s="1171">
        <f t="shared" si="2"/>
        <v>58.51449275362318</v>
      </c>
      <c r="H45" s="35"/>
      <c r="I45" s="36"/>
    </row>
    <row r="46" spans="1:9">
      <c r="A46" s="2"/>
      <c r="B46" s="1186" t="s">
        <v>456</v>
      </c>
      <c r="C46" s="1187"/>
      <c r="D46" s="1168" t="s">
        <v>454</v>
      </c>
      <c r="E46" s="1169">
        <f>+'[20]Core Rates'!C246</f>
        <v>0.58825136612021856</v>
      </c>
      <c r="F46" s="1170">
        <v>50</v>
      </c>
      <c r="G46" s="1171">
        <f t="shared" si="2"/>
        <v>29.412568306010929</v>
      </c>
      <c r="H46" s="35"/>
      <c r="I46" s="36"/>
    </row>
    <row r="47" spans="1:9">
      <c r="A47" s="2"/>
      <c r="B47" s="1186" t="s">
        <v>479</v>
      </c>
      <c r="C47" s="1187"/>
      <c r="D47" s="1185" t="s">
        <v>454</v>
      </c>
      <c r="E47" s="1169">
        <f>+'[20]Core Rates 2011'!BE307</f>
        <v>1.68</v>
      </c>
      <c r="F47" s="1170">
        <v>15</v>
      </c>
      <c r="G47" s="1171">
        <f t="shared" si="2"/>
        <v>25.2</v>
      </c>
      <c r="H47" s="35"/>
      <c r="I47" s="36"/>
    </row>
    <row r="48" spans="1:9">
      <c r="A48" s="2"/>
      <c r="B48" s="1186" t="s">
        <v>480</v>
      </c>
      <c r="C48" s="1187"/>
      <c r="D48" s="1185" t="s">
        <v>454</v>
      </c>
      <c r="E48" s="1169">
        <f>+'[20]Core Rates 2011'!BE308</f>
        <v>1.61</v>
      </c>
      <c r="F48" s="1170">
        <v>5</v>
      </c>
      <c r="G48" s="1171">
        <f t="shared" si="2"/>
        <v>8.0500000000000007</v>
      </c>
      <c r="H48" s="35"/>
      <c r="I48" s="36"/>
    </row>
    <row r="49" spans="1:9">
      <c r="A49" s="2"/>
      <c r="B49" s="1186" t="s">
        <v>481</v>
      </c>
      <c r="C49" s="1187"/>
      <c r="D49" s="1185" t="s">
        <v>454</v>
      </c>
      <c r="E49" s="1169">
        <f>+'[20]Core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35"/>
      <c r="D51" s="35"/>
      <c r="E51" s="60"/>
      <c r="F51" s="60"/>
      <c r="G51" s="60"/>
      <c r="H51" s="35"/>
      <c r="I51" s="46"/>
    </row>
    <row r="52" spans="1:9">
      <c r="A52" s="2"/>
      <c r="B52" s="40" t="s">
        <v>1348</v>
      </c>
      <c r="C52" s="35"/>
      <c r="D52" s="35"/>
      <c r="E52" s="60"/>
      <c r="F52" s="60"/>
      <c r="G52" s="60"/>
      <c r="H52" s="35"/>
      <c r="I52" s="4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(SUM(G56:G61)*0.85)</f>
        <v>584.19791666666663</v>
      </c>
    </row>
    <row r="55" spans="1:9">
      <c r="A55" s="2"/>
      <c r="B55" s="1174"/>
      <c r="C55" s="35"/>
      <c r="D55" s="1167" t="s">
        <v>447</v>
      </c>
      <c r="E55" s="1167" t="s">
        <v>448</v>
      </c>
      <c r="F55" s="1167" t="s">
        <v>449</v>
      </c>
      <c r="G55" s="1167" t="s">
        <v>450</v>
      </c>
      <c r="H55" s="35"/>
      <c r="I55" s="46"/>
    </row>
    <row r="56" spans="1:9">
      <c r="A56" s="2"/>
      <c r="B56" s="1387" t="str">
        <f>+'[20]Core Rates'!A109</f>
        <v>Earthmoving: Light grading/shaping (1-2 hrs/ac)</v>
      </c>
      <c r="C56" s="1387"/>
      <c r="D56" s="1408" t="s">
        <v>408</v>
      </c>
      <c r="E56" s="1169">
        <f>+'[20]Core Rates'!C109</f>
        <v>165.75</v>
      </c>
      <c r="F56" s="1170">
        <v>1</v>
      </c>
      <c r="G56" s="1171">
        <f t="shared" ref="G56:G61" si="3">+F56*E56</f>
        <v>165.75</v>
      </c>
      <c r="H56" s="35"/>
      <c r="I56" s="47"/>
    </row>
    <row r="57" spans="1:9">
      <c r="A57" s="2"/>
      <c r="B57" s="1409" t="str">
        <f>+'[20]Core Rates'!A217</f>
        <v>Mulching (2 tons/ac applied)</v>
      </c>
      <c r="C57" s="153"/>
      <c r="D57" s="1171" t="s">
        <v>408</v>
      </c>
      <c r="E57" s="1171">
        <f>+'[20]Core Rates'!C217</f>
        <v>472.5</v>
      </c>
      <c r="F57" s="1170">
        <v>1</v>
      </c>
      <c r="G57" s="1171">
        <f>+F57*E57</f>
        <v>472.5</v>
      </c>
      <c r="H57" s="35"/>
      <c r="I57" s="47"/>
    </row>
    <row r="58" spans="1:9">
      <c r="A58" s="2"/>
      <c r="B58" s="40" t="s">
        <v>461</v>
      </c>
      <c r="C58" s="6"/>
      <c r="D58" s="1168" t="s">
        <v>408</v>
      </c>
      <c r="E58" s="1169">
        <f>+'[20]Core Rates'!C104</f>
        <v>20</v>
      </c>
      <c r="F58" s="1170">
        <v>1</v>
      </c>
      <c r="G58" s="1171">
        <f t="shared" si="3"/>
        <v>20</v>
      </c>
      <c r="H58" s="35"/>
      <c r="I58" s="47"/>
    </row>
    <row r="59" spans="1:9">
      <c r="A59" s="2"/>
      <c r="B59" s="40" t="s">
        <v>462</v>
      </c>
      <c r="C59" s="6"/>
      <c r="D59" s="1168" t="s">
        <v>408</v>
      </c>
      <c r="E59" s="1169">
        <f>+'[20]Core Rates'!AN33</f>
        <v>5.416666666666667</v>
      </c>
      <c r="F59" s="1170">
        <v>1</v>
      </c>
      <c r="G59" s="1171">
        <f t="shared" si="3"/>
        <v>5.416666666666667</v>
      </c>
      <c r="H59" s="35"/>
      <c r="I59" s="47"/>
    </row>
    <row r="60" spans="1:9">
      <c r="A60" s="2"/>
      <c r="B60" s="40" t="s">
        <v>463</v>
      </c>
      <c r="C60" s="6"/>
      <c r="D60" s="1168" t="s">
        <v>452</v>
      </c>
      <c r="E60" s="1169">
        <f>+'[20]Core Rates'!AN34</f>
        <v>5.5</v>
      </c>
      <c r="F60" s="1170">
        <v>2</v>
      </c>
      <c r="G60" s="1171">
        <f t="shared" si="3"/>
        <v>11</v>
      </c>
      <c r="H60" s="35"/>
      <c r="I60" s="47"/>
    </row>
    <row r="61" spans="1:9">
      <c r="A61" s="2"/>
      <c r="B61" s="40" t="s">
        <v>464</v>
      </c>
      <c r="C61" s="6"/>
      <c r="D61" s="1168" t="s">
        <v>452</v>
      </c>
      <c r="E61" s="1169">
        <f>+'[20]Core Rates'!AN32</f>
        <v>6.3125</v>
      </c>
      <c r="F61" s="1170">
        <v>2</v>
      </c>
      <c r="G61" s="1171">
        <f t="shared" si="3"/>
        <v>12.625</v>
      </c>
      <c r="H61" s="35"/>
      <c r="I61" s="47"/>
    </row>
    <row r="62" spans="1:9">
      <c r="A62" s="2"/>
      <c r="B62" s="40"/>
      <c r="C62" s="6"/>
      <c r="D62" s="63"/>
      <c r="E62" s="150"/>
      <c r="F62" s="150"/>
      <c r="G62" s="1169"/>
      <c r="H62" s="35"/>
      <c r="I62" s="47"/>
    </row>
    <row r="63" spans="1:9">
      <c r="A63" s="2"/>
      <c r="B63" s="37" t="s">
        <v>43</v>
      </c>
      <c r="C63" s="35"/>
      <c r="D63" s="35"/>
      <c r="E63" s="60"/>
      <c r="F63" s="60"/>
      <c r="G63" s="60"/>
      <c r="H63" s="35"/>
      <c r="I63" s="46"/>
    </row>
    <row r="64" spans="1:9" ht="12.75" customHeight="1">
      <c r="A64" s="2"/>
      <c r="B64" s="2004" t="s">
        <v>457</v>
      </c>
      <c r="C64" s="2005"/>
      <c r="D64" s="2005"/>
      <c r="E64" s="2005"/>
      <c r="F64" s="2005"/>
      <c r="G64" s="2005"/>
      <c r="H64" s="2005"/>
      <c r="I64" s="2006"/>
    </row>
    <row r="65" spans="1:9">
      <c r="A65" s="2"/>
      <c r="B65" s="2004"/>
      <c r="C65" s="2005"/>
      <c r="D65" s="2005"/>
      <c r="E65" s="2005"/>
      <c r="F65" s="2005"/>
      <c r="G65" s="2005"/>
      <c r="H65" s="2005"/>
      <c r="I65" s="2006"/>
    </row>
    <row r="66" spans="1:9">
      <c r="A66" s="2"/>
      <c r="B66" s="1177"/>
      <c r="C66" s="1178"/>
      <c r="D66" s="1178"/>
      <c r="E66" s="1178"/>
      <c r="F66" s="1178"/>
      <c r="G66" s="1178"/>
      <c r="H66" s="1178"/>
      <c r="I66" s="1179"/>
    </row>
    <row r="67" spans="1:9">
      <c r="A67" s="2"/>
      <c r="B67" s="1177"/>
      <c r="C67" s="1178"/>
      <c r="D67" s="1178"/>
      <c r="E67" s="1178"/>
      <c r="F67" s="1178"/>
      <c r="G67" s="1178"/>
      <c r="H67" s="1178"/>
      <c r="I67" s="1179"/>
    </row>
    <row r="68" spans="1:9">
      <c r="A68" s="2"/>
      <c r="B68" s="42" t="s">
        <v>3</v>
      </c>
      <c r="C68" s="35"/>
      <c r="D68" s="35"/>
      <c r="E68" s="35"/>
      <c r="F68" s="39"/>
      <c r="G68" s="35"/>
      <c r="H68" s="35"/>
      <c r="I68" s="1182">
        <f>E70</f>
        <v>103.09374999999999</v>
      </c>
    </row>
    <row r="69" spans="1:9">
      <c r="A69" s="2"/>
      <c r="B69" s="2007" t="s">
        <v>465</v>
      </c>
      <c r="C69" s="2008"/>
      <c r="D69" s="35"/>
      <c r="E69" s="35"/>
      <c r="F69" s="35"/>
      <c r="G69" s="35"/>
      <c r="H69" s="35"/>
      <c r="I69" s="48"/>
    </row>
    <row r="70" spans="1:9">
      <c r="A70" s="2"/>
      <c r="B70" s="37" t="s">
        <v>466</v>
      </c>
      <c r="C70" s="39"/>
      <c r="D70" s="39"/>
      <c r="E70" s="153">
        <f>SUM(G56:G61)*0.15</f>
        <v>103.09374999999999</v>
      </c>
      <c r="F70" s="35"/>
      <c r="G70" s="35"/>
      <c r="H70" s="35"/>
      <c r="I70" s="46"/>
    </row>
    <row r="71" spans="1:9">
      <c r="A71" s="2"/>
      <c r="B71" s="37"/>
      <c r="C71" s="39"/>
      <c r="D71" s="1180"/>
      <c r="E71" s="153"/>
      <c r="F71" s="35"/>
      <c r="G71" s="35"/>
      <c r="H71" s="35"/>
      <c r="I71" s="46"/>
    </row>
    <row r="72" spans="1:9">
      <c r="A72" s="2"/>
      <c r="B72" s="37"/>
      <c r="C72" s="39"/>
      <c r="D72" s="1181"/>
      <c r="E72" s="153"/>
      <c r="F72" s="35"/>
      <c r="G72" s="35"/>
      <c r="H72" s="35"/>
      <c r="I72" s="46"/>
    </row>
    <row r="73" spans="1:9">
      <c r="A73" s="2"/>
      <c r="B73" s="33"/>
      <c r="C73" s="35"/>
      <c r="D73" s="35"/>
      <c r="E73" s="35"/>
      <c r="F73" s="35"/>
      <c r="G73" s="35"/>
      <c r="H73" s="35"/>
      <c r="I73" s="36"/>
    </row>
    <row r="74" spans="1:9">
      <c r="A74" s="2"/>
      <c r="B74" s="42" t="s">
        <v>4</v>
      </c>
      <c r="C74" s="35"/>
      <c r="D74" s="35"/>
      <c r="E74" s="35"/>
      <c r="F74" s="35"/>
      <c r="G74" s="35"/>
      <c r="H74" s="35"/>
      <c r="I74" s="1182">
        <f>0.03*(I40+I54+I68)</f>
        <v>26.262974875267282</v>
      </c>
    </row>
    <row r="75" spans="1:9">
      <c r="A75" s="2"/>
      <c r="B75" s="33" t="s">
        <v>467</v>
      </c>
      <c r="C75" s="35"/>
      <c r="D75" s="35"/>
      <c r="E75" s="35"/>
      <c r="F75" s="35"/>
      <c r="G75" s="35"/>
      <c r="H75" s="35"/>
      <c r="I75" s="36"/>
    </row>
    <row r="76" spans="1:9">
      <c r="A76" s="2"/>
      <c r="B76" s="37"/>
      <c r="C76" s="35"/>
      <c r="D76" s="35"/>
      <c r="E76" s="35"/>
      <c r="F76" s="35"/>
      <c r="G76" s="35"/>
      <c r="H76" s="35"/>
      <c r="I76" s="36"/>
    </row>
    <row r="77" spans="1:9">
      <c r="A77" s="2"/>
      <c r="B77" s="42" t="s">
        <v>468</v>
      </c>
      <c r="C77" s="35"/>
      <c r="D77" s="35"/>
      <c r="E77" s="35"/>
      <c r="F77" s="35"/>
      <c r="G77" s="35"/>
      <c r="H77" s="35"/>
      <c r="I77" s="1182">
        <f>0.01*(I40+I54+I68)</f>
        <v>8.7543249584224281</v>
      </c>
    </row>
    <row r="78" spans="1:9">
      <c r="A78" s="2"/>
      <c r="B78" s="33" t="s">
        <v>749</v>
      </c>
      <c r="C78" s="35"/>
      <c r="D78" s="35"/>
      <c r="E78" s="35"/>
      <c r="F78" s="35"/>
      <c r="G78" s="35"/>
      <c r="H78" s="35"/>
      <c r="I78" s="36"/>
    </row>
    <row r="79" spans="1:9">
      <c r="A79" s="2"/>
      <c r="B79" s="37"/>
      <c r="C79" s="35"/>
      <c r="D79" s="35"/>
      <c r="E79" s="35"/>
      <c r="F79" s="35"/>
      <c r="G79" s="35"/>
      <c r="H79" s="35"/>
      <c r="I79" s="36"/>
    </row>
    <row r="80" spans="1:9">
      <c r="A80" s="2"/>
      <c r="B80" s="42" t="s">
        <v>7</v>
      </c>
      <c r="C80" s="35"/>
      <c r="D80" s="35"/>
      <c r="E80" s="35"/>
      <c r="F80" s="35"/>
      <c r="G80" s="35"/>
      <c r="H80" s="35"/>
      <c r="I80" s="1166">
        <v>0</v>
      </c>
    </row>
    <row r="81" spans="1:9">
      <c r="A81" s="2"/>
      <c r="B81" s="33" t="s">
        <v>1349</v>
      </c>
      <c r="C81" s="35"/>
      <c r="D81" s="35"/>
      <c r="E81" s="35"/>
      <c r="F81" s="35"/>
      <c r="G81" s="35"/>
      <c r="H81" s="35"/>
      <c r="I81" s="36"/>
    </row>
    <row r="82" spans="1:9">
      <c r="A82" s="2"/>
      <c r="B82" s="37"/>
      <c r="C82" s="35"/>
      <c r="D82" s="35"/>
      <c r="E82" s="35"/>
      <c r="F82" s="35"/>
      <c r="G82" s="35"/>
      <c r="H82" s="35"/>
      <c r="I82" s="36"/>
    </row>
    <row r="83" spans="1:9">
      <c r="A83" s="2"/>
      <c r="B83" s="42" t="s">
        <v>471</v>
      </c>
      <c r="C83" s="35"/>
      <c r="D83" s="35"/>
      <c r="E83" s="35"/>
      <c r="F83" s="39"/>
      <c r="G83" s="35"/>
      <c r="H83" s="35"/>
      <c r="I83" s="1166">
        <v>600</v>
      </c>
    </row>
    <row r="84" spans="1:9">
      <c r="A84" s="2"/>
      <c r="B84" s="756" t="s">
        <v>1350</v>
      </c>
      <c r="C84" s="35"/>
      <c r="D84" s="35"/>
      <c r="E84" s="35"/>
      <c r="F84" s="35"/>
      <c r="G84" s="35"/>
      <c r="H84" s="35"/>
      <c r="I84" s="47"/>
    </row>
    <row r="85" spans="1:9">
      <c r="A85" s="2"/>
      <c r="B85" s="756"/>
      <c r="C85" s="35"/>
      <c r="D85" s="35"/>
      <c r="E85" s="35"/>
      <c r="F85" s="35"/>
      <c r="G85" s="35"/>
      <c r="H85" s="35"/>
      <c r="I85" s="47"/>
    </row>
    <row r="86" spans="1:9">
      <c r="A86" s="2"/>
      <c r="B86" s="37"/>
      <c r="C86" s="35"/>
      <c r="D86" s="35"/>
      <c r="E86" s="35"/>
      <c r="F86" s="35"/>
      <c r="G86" s="35"/>
      <c r="H86" s="35"/>
      <c r="I86" s="36"/>
    </row>
    <row r="87" spans="1:9">
      <c r="A87" s="2"/>
      <c r="B87" s="42" t="s">
        <v>5</v>
      </c>
      <c r="C87" s="35"/>
      <c r="D87" s="35"/>
      <c r="E87" s="35"/>
      <c r="F87" s="35"/>
      <c r="G87" s="35"/>
      <c r="H87" s="35"/>
      <c r="I87" s="1166">
        <v>0</v>
      </c>
    </row>
    <row r="88" spans="1:9">
      <c r="A88" s="2"/>
      <c r="B88" s="33" t="s">
        <v>1351</v>
      </c>
      <c r="C88" s="35"/>
      <c r="D88" s="35"/>
      <c r="E88" s="35"/>
      <c r="F88" s="35"/>
      <c r="G88" s="35"/>
      <c r="H88" s="35"/>
      <c r="I88" s="47"/>
    </row>
    <row r="89" spans="1:9">
      <c r="A89" s="2"/>
      <c r="B89" s="37"/>
      <c r="C89" s="35"/>
      <c r="D89" s="35"/>
      <c r="E89" s="35"/>
      <c r="F89" s="35"/>
      <c r="G89" s="35"/>
      <c r="H89" s="35"/>
      <c r="I89" s="36"/>
    </row>
    <row r="90" spans="1:9">
      <c r="A90" s="2"/>
      <c r="B90" s="42" t="s">
        <v>20</v>
      </c>
      <c r="C90" s="35"/>
      <c r="D90" s="35"/>
      <c r="E90" s="35"/>
      <c r="F90" s="35"/>
      <c r="G90" s="35"/>
      <c r="H90" s="35"/>
      <c r="I90" s="1166">
        <v>0</v>
      </c>
    </row>
    <row r="91" spans="1:9">
      <c r="A91" s="2"/>
      <c r="B91" s="33" t="s">
        <v>104</v>
      </c>
      <c r="C91" s="35"/>
      <c r="D91" s="35"/>
      <c r="E91" s="35"/>
      <c r="F91" s="35"/>
      <c r="G91" s="35"/>
      <c r="H91" s="35"/>
      <c r="I91" s="36"/>
    </row>
    <row r="92" spans="1:9">
      <c r="A92" s="2"/>
      <c r="B92" s="40"/>
      <c r="C92" s="35"/>
      <c r="D92" s="35"/>
      <c r="E92" s="35"/>
      <c r="F92" s="35"/>
      <c r="G92" s="35"/>
      <c r="H92" s="35"/>
      <c r="I92" s="36"/>
    </row>
    <row r="93" spans="1:9">
      <c r="A93" s="2"/>
      <c r="B93" s="42" t="s">
        <v>473</v>
      </c>
      <c r="C93" s="35"/>
      <c r="D93" s="35"/>
      <c r="E93" s="35"/>
      <c r="F93" s="35"/>
      <c r="G93" s="35"/>
      <c r="H93" s="35"/>
      <c r="I93" s="1183">
        <f>+I40+I54+I68+I74+I80+I90</f>
        <v>901.69547071751015</v>
      </c>
    </row>
    <row r="94" spans="1:9" ht="15.75">
      <c r="A94" s="2"/>
      <c r="B94" s="33" t="s">
        <v>474</v>
      </c>
      <c r="C94" s="35"/>
      <c r="D94" s="35"/>
      <c r="E94" s="35"/>
      <c r="F94" s="35"/>
      <c r="G94" s="35"/>
      <c r="H94" s="35"/>
      <c r="I94" s="36"/>
    </row>
    <row r="95" spans="1:9">
      <c r="A95" s="2"/>
      <c r="B95" s="40"/>
      <c r="C95" s="35"/>
      <c r="D95" s="35"/>
      <c r="E95" s="35"/>
      <c r="F95" s="35"/>
      <c r="G95" s="35"/>
      <c r="H95" s="35"/>
      <c r="I95" s="36"/>
    </row>
    <row r="96" spans="1:9">
      <c r="A96" s="2"/>
      <c r="B96" s="43" t="s">
        <v>11</v>
      </c>
      <c r="C96" s="44"/>
      <c r="D96" s="44"/>
      <c r="E96" s="44"/>
      <c r="F96" s="44"/>
      <c r="G96" s="44"/>
      <c r="H96" s="44"/>
      <c r="I96" s="621">
        <f>SUM(I40:I90)</f>
        <v>1510.4497956759326</v>
      </c>
    </row>
  </sheetData>
  <mergeCells count="4">
    <mergeCell ref="B1:D1"/>
    <mergeCell ref="E54:H54"/>
    <mergeCell ref="B64:I65"/>
    <mergeCell ref="B69:C69"/>
  </mergeCells>
  <pageMargins left="0.75" right="0.75" top="1" bottom="1" header="0.5" footer="0.5"/>
  <pageSetup scale="49" orientation="portrait" r:id="rId1"/>
  <headerFooter alignWithMargins="0"/>
</worksheet>
</file>

<file path=xl/worksheets/sheet84.xml><?xml version="1.0" encoding="utf-8"?>
<worksheet xmlns="http://schemas.openxmlformats.org/spreadsheetml/2006/main" xmlns:r="http://schemas.openxmlformats.org/officeDocument/2006/relationships">
  <sheetPr>
    <pageSetUpPr fitToPage="1"/>
  </sheetPr>
  <dimension ref="A1:L96"/>
  <sheetViews>
    <sheetView topLeftCell="A42" workbookViewId="0">
      <selection activeCell="B54" sqref="B54:I55"/>
    </sheetView>
  </sheetViews>
  <sheetFormatPr defaultRowHeight="12.75"/>
  <cols>
    <col min="1" max="1" width="1.85546875" customWidth="1"/>
    <col min="3" max="3" width="24.140625" customWidth="1"/>
    <col min="4" max="4" width="23.140625" customWidth="1"/>
    <col min="5" max="5" width="6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1352</v>
      </c>
      <c r="F6" s="7" t="str">
        <f>+D36</f>
        <v>Acre</v>
      </c>
      <c r="G6" s="85">
        <f>+I25</f>
        <v>937.28004053813254</v>
      </c>
    </row>
    <row r="7" spans="1:12" ht="25.5" hidden="1">
      <c r="A7" s="2"/>
      <c r="B7" s="54">
        <f>+B6</f>
        <v>342</v>
      </c>
      <c r="C7" s="7" t="str">
        <f>+C6</f>
        <v>EQIP</v>
      </c>
      <c r="D7" s="53" t="s">
        <v>1344</v>
      </c>
      <c r="E7" s="110" t="str">
        <f>CONCATENATE(E6, "-HU")</f>
        <v>Critical Area Planting - Medium Grading/Shaping (2-6hr/Ac), Introd. Grasses, Mulch  -HU</v>
      </c>
      <c r="F7" s="7" t="str">
        <f>+F6</f>
        <v>Acre</v>
      </c>
      <c r="G7" s="85">
        <f>+J25</f>
        <v>1124.736048645759</v>
      </c>
    </row>
    <row r="8" spans="1:12" ht="12.75" hidden="1" customHeight="1">
      <c r="A8" s="2"/>
      <c r="B8" s="54">
        <v>342</v>
      </c>
      <c r="C8" s="7" t="str">
        <f>+G12</f>
        <v>WHIP</v>
      </c>
      <c r="D8" s="53" t="s">
        <v>1344</v>
      </c>
      <c r="E8" s="110" t="str">
        <f>+E6</f>
        <v xml:space="preserve">Critical Area Planting - Medium Grading/Shaping (2-6hr/Ac), Introd. Grasses, Mulch  </v>
      </c>
      <c r="F8" s="7" t="str">
        <f>+D36</f>
        <v>Acre</v>
      </c>
      <c r="G8" s="85">
        <f>+K25</f>
        <v>0</v>
      </c>
    </row>
    <row r="9" spans="1:12" ht="25.5" hidden="1">
      <c r="A9" s="2"/>
      <c r="B9" s="8">
        <f>+B8</f>
        <v>342</v>
      </c>
      <c r="C9" s="10" t="str">
        <f>+C8</f>
        <v>WHIP</v>
      </c>
      <c r="D9" s="9" t="s">
        <v>1344</v>
      </c>
      <c r="E9" s="111" t="str">
        <f>CONCATENATE(E6, "-HU")</f>
        <v>Critical Area Planting - Medium Grading/Shaping (2-6hr/Ac), Introd. Grasses, Mulch  -HU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188.14082917557616</v>
      </c>
      <c r="E16" s="160">
        <f>+'[10]Payment Factors'!D11</f>
        <v>0.75</v>
      </c>
      <c r="F16" s="160">
        <f>+'[10]Payment Factors'!E11</f>
        <v>0.9</v>
      </c>
      <c r="G16" s="160">
        <f>+'[10]Payment Factors'!F11</f>
        <v>0</v>
      </c>
      <c r="H16" s="160">
        <f>+'[10]Payment Factors'!G11</f>
        <v>0</v>
      </c>
      <c r="I16" s="1154">
        <f t="shared" ref="I16:L24" si="0">+$D16*E16</f>
        <v>141.10562188168211</v>
      </c>
      <c r="J16" s="1154">
        <f t="shared" si="0"/>
        <v>169.32674625801855</v>
      </c>
      <c r="K16" s="1154">
        <f t="shared" si="0"/>
        <v>0</v>
      </c>
      <c r="L16" s="1155">
        <f t="shared" si="0"/>
        <v>0</v>
      </c>
    </row>
    <row r="17" spans="1:12" hidden="1">
      <c r="A17" s="2"/>
      <c r="B17" s="15" t="s">
        <v>2</v>
      </c>
      <c r="C17" s="16"/>
      <c r="D17" s="24">
        <f>+I54</f>
        <v>871.39166666666654</v>
      </c>
      <c r="E17" s="160">
        <f t="shared" ref="E17:H19" si="1">+E16</f>
        <v>0.75</v>
      </c>
      <c r="F17" s="160">
        <f t="shared" si="1"/>
        <v>0.9</v>
      </c>
      <c r="G17" s="160">
        <f t="shared" si="1"/>
        <v>0</v>
      </c>
      <c r="H17" s="160">
        <f t="shared" si="1"/>
        <v>0</v>
      </c>
      <c r="I17" s="1154">
        <f t="shared" si="0"/>
        <v>653.54374999999993</v>
      </c>
      <c r="J17" s="1154">
        <f t="shared" si="0"/>
        <v>784.25249999999994</v>
      </c>
      <c r="K17" s="1154">
        <f t="shared" si="0"/>
        <v>0</v>
      </c>
      <c r="L17" s="1155">
        <f t="shared" si="0"/>
        <v>0</v>
      </c>
    </row>
    <row r="18" spans="1:12" hidden="1">
      <c r="A18" s="2"/>
      <c r="B18" s="15" t="s">
        <v>3</v>
      </c>
      <c r="C18" s="16"/>
      <c r="D18" s="24">
        <f>+I68</f>
        <v>153.77499999999998</v>
      </c>
      <c r="E18" s="160">
        <f t="shared" si="1"/>
        <v>0.75</v>
      </c>
      <c r="F18" s="160">
        <f t="shared" si="1"/>
        <v>0.9</v>
      </c>
      <c r="G18" s="160">
        <f t="shared" si="1"/>
        <v>0</v>
      </c>
      <c r="H18" s="160">
        <f t="shared" si="1"/>
        <v>0</v>
      </c>
      <c r="I18" s="1154">
        <f t="shared" si="0"/>
        <v>115.33124999999998</v>
      </c>
      <c r="J18" s="1154">
        <f t="shared" si="0"/>
        <v>138.39749999999998</v>
      </c>
      <c r="K18" s="1154">
        <f t="shared" si="0"/>
        <v>0</v>
      </c>
      <c r="L18" s="1155">
        <f t="shared" si="0"/>
        <v>0</v>
      </c>
    </row>
    <row r="19" spans="1:12" hidden="1">
      <c r="A19" s="2"/>
      <c r="B19" s="15" t="s">
        <v>4</v>
      </c>
      <c r="C19" s="16"/>
      <c r="D19" s="24">
        <f>+I74</f>
        <v>36.399224875267279</v>
      </c>
      <c r="E19" s="160">
        <f t="shared" si="1"/>
        <v>0.75</v>
      </c>
      <c r="F19" s="160">
        <f t="shared" si="1"/>
        <v>0.9</v>
      </c>
      <c r="G19" s="160">
        <f t="shared" si="1"/>
        <v>0</v>
      </c>
      <c r="H19" s="160">
        <f t="shared" si="1"/>
        <v>0</v>
      </c>
      <c r="I19" s="1154">
        <f t="shared" si="0"/>
        <v>27.29941865645046</v>
      </c>
      <c r="J19" s="1154">
        <f t="shared" si="0"/>
        <v>32.759302387740554</v>
      </c>
      <c r="K19" s="1154">
        <f t="shared" si="0"/>
        <v>0</v>
      </c>
      <c r="L19" s="1155">
        <f t="shared" si="0"/>
        <v>0</v>
      </c>
    </row>
    <row r="20" spans="1:12" hidden="1">
      <c r="A20" s="2"/>
      <c r="B20" s="15" t="s">
        <v>26</v>
      </c>
      <c r="C20" s="16"/>
      <c r="D20" s="24">
        <f>+I77</f>
        <v>12.133074958422426</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+I80</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+I83</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+I87</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+I90</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1861.8397956759322</v>
      </c>
      <c r="E25" s="1158"/>
      <c r="F25" s="1158"/>
      <c r="G25" s="28"/>
      <c r="H25" s="28"/>
      <c r="I25" s="1159">
        <f>SUM(I16:I24)</f>
        <v>937.28004053813254</v>
      </c>
      <c r="J25" s="1159">
        <f>SUM(J16:J24)</f>
        <v>1124.736048645759</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188.14082917557616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+'[20]Core Rates'!C203</f>
        <v>8.75</v>
      </c>
      <c r="F43" s="1170">
        <v>2</v>
      </c>
      <c r="G43" s="1171">
        <f t="shared" si="2"/>
        <v>17.5</v>
      </c>
      <c r="H43" s="35"/>
      <c r="I43" s="36"/>
    </row>
    <row r="44" spans="1:9">
      <c r="A44" s="2"/>
      <c r="B44" s="1184" t="s">
        <v>453</v>
      </c>
      <c r="C44" s="6"/>
      <c r="D44" s="1185" t="s">
        <v>454</v>
      </c>
      <c r="E44" s="1169">
        <f>+'[20]Core Rates'!C228</f>
        <v>0.82427536231884069</v>
      </c>
      <c r="F44" s="1170">
        <v>50</v>
      </c>
      <c r="G44" s="1171">
        <f t="shared" si="2"/>
        <v>41.213768115942031</v>
      </c>
      <c r="H44" s="35"/>
      <c r="I44" s="36"/>
    </row>
    <row r="45" spans="1:9">
      <c r="A45" s="2"/>
      <c r="B45" s="1186" t="s">
        <v>455</v>
      </c>
      <c r="C45" s="1187"/>
      <c r="D45" s="1185" t="s">
        <v>454</v>
      </c>
      <c r="E45" s="1169">
        <f>+'[20]Core Rates'!C235</f>
        <v>1.1702898550724636</v>
      </c>
      <c r="F45" s="1170">
        <v>50</v>
      </c>
      <c r="G45" s="1171">
        <f t="shared" si="2"/>
        <v>58.51449275362318</v>
      </c>
      <c r="H45" s="35"/>
      <c r="I45" s="36"/>
    </row>
    <row r="46" spans="1:9">
      <c r="A46" s="2"/>
      <c r="B46" s="1186" t="s">
        <v>456</v>
      </c>
      <c r="C46" s="1187"/>
      <c r="D46" s="1168" t="s">
        <v>454</v>
      </c>
      <c r="E46" s="1169">
        <f>+'[20]Core Rates'!C246</f>
        <v>0.58825136612021856</v>
      </c>
      <c r="F46" s="1170">
        <v>50</v>
      </c>
      <c r="G46" s="1171">
        <f t="shared" si="2"/>
        <v>29.412568306010929</v>
      </c>
      <c r="H46" s="35"/>
      <c r="I46" s="36"/>
    </row>
    <row r="47" spans="1:9">
      <c r="A47" s="2"/>
      <c r="B47" s="1186" t="s">
        <v>479</v>
      </c>
      <c r="C47" s="1187"/>
      <c r="D47" s="1185" t="s">
        <v>454</v>
      </c>
      <c r="E47" s="1169">
        <f>+'[20]Core Rates 2011'!BE307</f>
        <v>1.68</v>
      </c>
      <c r="F47" s="1170">
        <v>15</v>
      </c>
      <c r="G47" s="1171">
        <f t="shared" si="2"/>
        <v>25.2</v>
      </c>
      <c r="H47" s="35"/>
      <c r="I47" s="36"/>
    </row>
    <row r="48" spans="1:9">
      <c r="A48" s="2"/>
      <c r="B48" s="1186" t="s">
        <v>480</v>
      </c>
      <c r="C48" s="1187"/>
      <c r="D48" s="1185" t="s">
        <v>454</v>
      </c>
      <c r="E48" s="1169">
        <f>+'[20]Core Rates 2011'!BE308</f>
        <v>1.61</v>
      </c>
      <c r="F48" s="1170">
        <v>5</v>
      </c>
      <c r="G48" s="1171">
        <f t="shared" si="2"/>
        <v>8.0500000000000007</v>
      </c>
      <c r="H48" s="35"/>
      <c r="I48" s="36"/>
    </row>
    <row r="49" spans="1:9">
      <c r="A49" s="2"/>
      <c r="B49" s="1186" t="s">
        <v>481</v>
      </c>
      <c r="C49" s="1187"/>
      <c r="D49" s="1185" t="s">
        <v>454</v>
      </c>
      <c r="E49" s="1169">
        <f>+'[20]Core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35"/>
      <c r="D51" s="35"/>
      <c r="E51" s="60"/>
      <c r="F51" s="60"/>
      <c r="G51" s="60"/>
      <c r="H51" s="35"/>
      <c r="I51" s="46"/>
    </row>
    <row r="52" spans="1:9">
      <c r="A52" s="2"/>
      <c r="B52" s="40" t="s">
        <v>457</v>
      </c>
      <c r="C52" s="35"/>
      <c r="D52" s="35"/>
      <c r="E52" s="60"/>
      <c r="F52" s="60"/>
      <c r="G52" s="60"/>
      <c r="H52" s="35"/>
      <c r="I52" s="4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(SUM(G56:G61)*0.85)</f>
        <v>871.39166666666654</v>
      </c>
    </row>
    <row r="55" spans="1:9">
      <c r="A55" s="2"/>
      <c r="B55" s="1174"/>
      <c r="C55" s="35"/>
      <c r="D55" s="1167" t="s">
        <v>447</v>
      </c>
      <c r="E55" s="1167" t="s">
        <v>448</v>
      </c>
      <c r="F55" s="1167" t="s">
        <v>449</v>
      </c>
      <c r="G55" s="1167" t="s">
        <v>450</v>
      </c>
      <c r="H55" s="35"/>
      <c r="I55" s="46"/>
    </row>
    <row r="56" spans="1:9">
      <c r="A56" s="2"/>
      <c r="B56" s="1410" t="str">
        <f>+'[20]Core Rates'!A111</f>
        <v>Earthmoving: Medium grading/shaping (2-6 hrs/ac)</v>
      </c>
      <c r="C56" s="1411"/>
      <c r="D56" s="1408" t="s">
        <v>408</v>
      </c>
      <c r="E56" s="1169">
        <f>+'[20]Core Rates'!C111</f>
        <v>503.625</v>
      </c>
      <c r="F56" s="1170">
        <v>1</v>
      </c>
      <c r="G56" s="1171">
        <f t="shared" ref="G56:G61" si="3">+F56*E56</f>
        <v>503.625</v>
      </c>
      <c r="H56" s="35"/>
      <c r="I56" s="47"/>
    </row>
    <row r="57" spans="1:9">
      <c r="A57" s="2"/>
      <c r="B57" s="1409" t="str">
        <f>+'[20]Core Rates'!A217</f>
        <v>Mulching (2 tons/ac applied)</v>
      </c>
      <c r="C57" s="153"/>
      <c r="D57" s="1171" t="s">
        <v>408</v>
      </c>
      <c r="E57" s="1171">
        <f>+'[20]Core Rates'!C217</f>
        <v>472.5</v>
      </c>
      <c r="F57" s="1170">
        <v>1</v>
      </c>
      <c r="G57" s="1171">
        <f t="shared" si="3"/>
        <v>472.5</v>
      </c>
      <c r="H57" s="35"/>
      <c r="I57" s="47"/>
    </row>
    <row r="58" spans="1:9">
      <c r="A58" s="2"/>
      <c r="B58" s="40" t="s">
        <v>461</v>
      </c>
      <c r="C58" s="6"/>
      <c r="D58" s="1168" t="s">
        <v>408</v>
      </c>
      <c r="E58" s="1169">
        <f>+'[20]Core Rates'!C104</f>
        <v>20</v>
      </c>
      <c r="F58" s="1170">
        <v>1</v>
      </c>
      <c r="G58" s="1171">
        <f t="shared" si="3"/>
        <v>20</v>
      </c>
      <c r="H58" s="35"/>
      <c r="I58" s="47"/>
    </row>
    <row r="59" spans="1:9">
      <c r="A59" s="2"/>
      <c r="B59" s="40" t="s">
        <v>462</v>
      </c>
      <c r="C59" s="6"/>
      <c r="D59" s="1168" t="s">
        <v>408</v>
      </c>
      <c r="E59" s="1169">
        <f>+'[20]Core Rates'!AN33</f>
        <v>5.416666666666667</v>
      </c>
      <c r="F59" s="1170">
        <v>1</v>
      </c>
      <c r="G59" s="1171">
        <f t="shared" si="3"/>
        <v>5.416666666666667</v>
      </c>
      <c r="H59" s="35"/>
      <c r="I59" s="47"/>
    </row>
    <row r="60" spans="1:9">
      <c r="A60" s="2"/>
      <c r="B60" s="40" t="s">
        <v>463</v>
      </c>
      <c r="C60" s="6"/>
      <c r="D60" s="1168" t="s">
        <v>452</v>
      </c>
      <c r="E60" s="1169">
        <f>+'[20]Core Rates'!AN34</f>
        <v>5.5</v>
      </c>
      <c r="F60" s="1170">
        <v>2</v>
      </c>
      <c r="G60" s="1171">
        <f t="shared" si="3"/>
        <v>11</v>
      </c>
      <c r="H60" s="35"/>
      <c r="I60" s="47"/>
    </row>
    <row r="61" spans="1:9">
      <c r="A61" s="2"/>
      <c r="B61" s="40" t="s">
        <v>464</v>
      </c>
      <c r="C61" s="6"/>
      <c r="D61" s="1168" t="s">
        <v>452</v>
      </c>
      <c r="E61" s="1169">
        <f>+'[20]Core Rates'!AN32</f>
        <v>6.3125</v>
      </c>
      <c r="F61" s="1170">
        <v>2</v>
      </c>
      <c r="G61" s="1171">
        <f t="shared" si="3"/>
        <v>12.625</v>
      </c>
      <c r="H61" s="35"/>
      <c r="I61" s="47"/>
    </row>
    <row r="62" spans="1:9">
      <c r="A62" s="2"/>
      <c r="B62" s="40"/>
      <c r="C62" s="6"/>
      <c r="D62" s="63"/>
      <c r="E62" s="150"/>
      <c r="F62" s="150"/>
      <c r="G62" s="1169"/>
      <c r="H62" s="35"/>
      <c r="I62" s="47"/>
    </row>
    <row r="63" spans="1:9">
      <c r="A63" s="2"/>
      <c r="B63" s="37" t="s">
        <v>43</v>
      </c>
      <c r="C63" s="35"/>
      <c r="D63" s="35"/>
      <c r="E63" s="60"/>
      <c r="F63" s="60"/>
      <c r="G63" s="60"/>
      <c r="H63" s="35"/>
      <c r="I63" s="46"/>
    </row>
    <row r="64" spans="1:9" ht="12.75" customHeight="1">
      <c r="A64" s="2"/>
      <c r="B64" s="2004" t="s">
        <v>457</v>
      </c>
      <c r="C64" s="2005"/>
      <c r="D64" s="2005"/>
      <c r="E64" s="2005"/>
      <c r="F64" s="2005"/>
      <c r="G64" s="2005"/>
      <c r="H64" s="2005"/>
      <c r="I64" s="2006"/>
    </row>
    <row r="65" spans="1:9">
      <c r="A65" s="2"/>
      <c r="B65" s="2004"/>
      <c r="C65" s="2005"/>
      <c r="D65" s="2005"/>
      <c r="E65" s="2005"/>
      <c r="F65" s="2005"/>
      <c r="G65" s="2005"/>
      <c r="H65" s="2005"/>
      <c r="I65" s="2006"/>
    </row>
    <row r="66" spans="1:9">
      <c r="A66" s="2"/>
      <c r="B66" s="1177"/>
      <c r="C66" s="1178"/>
      <c r="D66" s="1178"/>
      <c r="E66" s="1178"/>
      <c r="F66" s="1178"/>
      <c r="G66" s="1178"/>
      <c r="H66" s="1178"/>
      <c r="I66" s="1179"/>
    </row>
    <row r="67" spans="1:9">
      <c r="A67" s="2"/>
      <c r="B67" s="1177"/>
      <c r="C67" s="1178"/>
      <c r="D67" s="1178"/>
      <c r="E67" s="1178"/>
      <c r="F67" s="1178"/>
      <c r="G67" s="1178"/>
      <c r="H67" s="1178"/>
      <c r="I67" s="1179"/>
    </row>
    <row r="68" spans="1:9">
      <c r="A68" s="2"/>
      <c r="B68" s="42" t="s">
        <v>3</v>
      </c>
      <c r="C68" s="35"/>
      <c r="D68" s="35"/>
      <c r="E68" s="35"/>
      <c r="F68" s="39"/>
      <c r="G68" s="35"/>
      <c r="H68" s="35"/>
      <c r="I68" s="1182">
        <f>E70</f>
        <v>153.77499999999998</v>
      </c>
    </row>
    <row r="69" spans="1:9">
      <c r="A69" s="2"/>
      <c r="B69" s="2007" t="s">
        <v>465</v>
      </c>
      <c r="C69" s="2008"/>
      <c r="D69" s="35"/>
      <c r="E69" s="35"/>
      <c r="F69" s="35"/>
      <c r="G69" s="35"/>
      <c r="H69" s="35"/>
      <c r="I69" s="48"/>
    </row>
    <row r="70" spans="1:9">
      <c r="A70" s="2"/>
      <c r="B70" s="37" t="s">
        <v>466</v>
      </c>
      <c r="C70" s="39"/>
      <c r="D70" s="39"/>
      <c r="E70" s="153">
        <f>SUM(G56:G61)*0.15</f>
        <v>153.77499999999998</v>
      </c>
      <c r="F70" s="35"/>
      <c r="G70" s="35"/>
      <c r="H70" s="35"/>
      <c r="I70" s="46"/>
    </row>
    <row r="71" spans="1:9">
      <c r="A71" s="2"/>
      <c r="B71" s="37"/>
      <c r="C71" s="39"/>
      <c r="D71" s="1180"/>
      <c r="E71" s="153"/>
      <c r="F71" s="35"/>
      <c r="G71" s="35"/>
      <c r="H71" s="35"/>
      <c r="I71" s="46"/>
    </row>
    <row r="72" spans="1:9">
      <c r="A72" s="2"/>
      <c r="B72" s="37"/>
      <c r="C72" s="39"/>
      <c r="D72" s="1181"/>
      <c r="E72" s="153"/>
      <c r="F72" s="35"/>
      <c r="G72" s="35"/>
      <c r="H72" s="35"/>
      <c r="I72" s="46"/>
    </row>
    <row r="73" spans="1:9">
      <c r="A73" s="2"/>
      <c r="B73" s="33"/>
      <c r="C73" s="35"/>
      <c r="D73" s="35"/>
      <c r="E73" s="35"/>
      <c r="F73" s="35"/>
      <c r="G73" s="35"/>
      <c r="H73" s="35"/>
      <c r="I73" s="36"/>
    </row>
    <row r="74" spans="1:9">
      <c r="A74" s="2"/>
      <c r="B74" s="42" t="s">
        <v>4</v>
      </c>
      <c r="C74" s="35"/>
      <c r="D74" s="35"/>
      <c r="E74" s="35"/>
      <c r="F74" s="35"/>
      <c r="G74" s="35"/>
      <c r="H74" s="35"/>
      <c r="I74" s="1182">
        <f>0.03*(I40+I54+I68)</f>
        <v>36.399224875267279</v>
      </c>
    </row>
    <row r="75" spans="1:9">
      <c r="A75" s="2"/>
      <c r="B75" s="33" t="s">
        <v>467</v>
      </c>
      <c r="C75" s="35"/>
      <c r="D75" s="35"/>
      <c r="E75" s="35"/>
      <c r="F75" s="35"/>
      <c r="G75" s="35"/>
      <c r="H75" s="35"/>
      <c r="I75" s="36"/>
    </row>
    <row r="76" spans="1:9">
      <c r="A76" s="2"/>
      <c r="B76" s="37"/>
      <c r="C76" s="35"/>
      <c r="D76" s="35"/>
      <c r="E76" s="35"/>
      <c r="F76" s="35"/>
      <c r="G76" s="35"/>
      <c r="H76" s="35"/>
      <c r="I76" s="36"/>
    </row>
    <row r="77" spans="1:9">
      <c r="A77" s="2"/>
      <c r="B77" s="42" t="s">
        <v>468</v>
      </c>
      <c r="C77" s="35"/>
      <c r="D77" s="35"/>
      <c r="E77" s="35"/>
      <c r="F77" s="35"/>
      <c r="G77" s="35"/>
      <c r="H77" s="35"/>
      <c r="I77" s="1182">
        <f>0.01*(I40+I54+I68)</f>
        <v>12.133074958422426</v>
      </c>
    </row>
    <row r="78" spans="1:9">
      <c r="A78" s="2"/>
      <c r="B78" s="33" t="s">
        <v>749</v>
      </c>
      <c r="C78" s="35"/>
      <c r="D78" s="35"/>
      <c r="E78" s="35"/>
      <c r="F78" s="35"/>
      <c r="G78" s="35"/>
      <c r="H78" s="35"/>
      <c r="I78" s="36"/>
    </row>
    <row r="79" spans="1:9">
      <c r="A79" s="2"/>
      <c r="B79" s="37"/>
      <c r="C79" s="35"/>
      <c r="D79" s="35"/>
      <c r="E79" s="35"/>
      <c r="F79" s="35"/>
      <c r="G79" s="35"/>
      <c r="H79" s="35"/>
      <c r="I79" s="36"/>
    </row>
    <row r="80" spans="1:9">
      <c r="A80" s="2"/>
      <c r="B80" s="42" t="s">
        <v>7</v>
      </c>
      <c r="C80" s="35"/>
      <c r="D80" s="35"/>
      <c r="E80" s="35"/>
      <c r="F80" s="35"/>
      <c r="G80" s="35"/>
      <c r="H80" s="35"/>
      <c r="I80" s="1166">
        <v>0</v>
      </c>
    </row>
    <row r="81" spans="1:9">
      <c r="A81" s="2"/>
      <c r="B81" s="33" t="s">
        <v>1349</v>
      </c>
      <c r="C81" s="35"/>
      <c r="D81" s="35"/>
      <c r="E81" s="35"/>
      <c r="F81" s="35"/>
      <c r="G81" s="35"/>
      <c r="H81" s="35"/>
      <c r="I81" s="36"/>
    </row>
    <row r="82" spans="1:9">
      <c r="A82" s="2"/>
      <c r="B82" s="37"/>
      <c r="C82" s="35"/>
      <c r="D82" s="35"/>
      <c r="E82" s="35"/>
      <c r="F82" s="35"/>
      <c r="G82" s="35"/>
      <c r="H82" s="35"/>
      <c r="I82" s="36"/>
    </row>
    <row r="83" spans="1:9">
      <c r="A83" s="2"/>
      <c r="B83" s="42" t="s">
        <v>471</v>
      </c>
      <c r="C83" s="35"/>
      <c r="D83" s="35"/>
      <c r="E83" s="35"/>
      <c r="F83" s="39"/>
      <c r="G83" s="35"/>
      <c r="H83" s="35"/>
      <c r="I83" s="1166">
        <v>600</v>
      </c>
    </row>
    <row r="84" spans="1:9">
      <c r="A84" s="2"/>
      <c r="B84" s="756" t="s">
        <v>1350</v>
      </c>
      <c r="C84" s="35"/>
      <c r="D84" s="35"/>
      <c r="E84" s="35"/>
      <c r="F84" s="35"/>
      <c r="G84" s="35"/>
      <c r="H84" s="35"/>
      <c r="I84" s="47"/>
    </row>
    <row r="85" spans="1:9">
      <c r="A85" s="2"/>
      <c r="B85" s="756"/>
      <c r="C85" s="35"/>
      <c r="D85" s="35"/>
      <c r="E85" s="35"/>
      <c r="F85" s="35"/>
      <c r="G85" s="35"/>
      <c r="H85" s="35"/>
      <c r="I85" s="47"/>
    </row>
    <row r="86" spans="1:9">
      <c r="A86" s="2"/>
      <c r="B86" s="37"/>
      <c r="C86" s="35"/>
      <c r="D86" s="35"/>
      <c r="E86" s="35"/>
      <c r="F86" s="35"/>
      <c r="G86" s="35"/>
      <c r="H86" s="35"/>
      <c r="I86" s="36"/>
    </row>
    <row r="87" spans="1:9">
      <c r="A87" s="2"/>
      <c r="B87" s="42" t="s">
        <v>5</v>
      </c>
      <c r="C87" s="35"/>
      <c r="D87" s="35"/>
      <c r="E87" s="35"/>
      <c r="F87" s="35"/>
      <c r="G87" s="35"/>
      <c r="H87" s="35"/>
      <c r="I87" s="1166">
        <v>0</v>
      </c>
    </row>
    <row r="88" spans="1:9">
      <c r="A88" s="2"/>
      <c r="B88" s="33" t="s">
        <v>1351</v>
      </c>
      <c r="C88" s="35"/>
      <c r="D88" s="35"/>
      <c r="E88" s="35"/>
      <c r="F88" s="35"/>
      <c r="G88" s="35"/>
      <c r="H88" s="35"/>
      <c r="I88" s="47"/>
    </row>
    <row r="89" spans="1:9">
      <c r="A89" s="2"/>
      <c r="B89" s="37"/>
      <c r="C89" s="35"/>
      <c r="D89" s="35"/>
      <c r="E89" s="35"/>
      <c r="F89" s="35"/>
      <c r="G89" s="35"/>
      <c r="H89" s="35"/>
      <c r="I89" s="36"/>
    </row>
    <row r="90" spans="1:9">
      <c r="A90" s="2"/>
      <c r="B90" s="42" t="s">
        <v>20</v>
      </c>
      <c r="C90" s="35"/>
      <c r="D90" s="35"/>
      <c r="E90" s="35"/>
      <c r="F90" s="35"/>
      <c r="G90" s="35"/>
      <c r="H90" s="35"/>
      <c r="I90" s="1166">
        <v>0</v>
      </c>
    </row>
    <row r="91" spans="1:9">
      <c r="A91" s="2"/>
      <c r="B91" s="33" t="s">
        <v>104</v>
      </c>
      <c r="C91" s="35"/>
      <c r="D91" s="35"/>
      <c r="E91" s="35"/>
      <c r="F91" s="35"/>
      <c r="G91" s="35"/>
      <c r="H91" s="35"/>
      <c r="I91" s="36"/>
    </row>
    <row r="92" spans="1:9">
      <c r="A92" s="2"/>
      <c r="B92" s="40"/>
      <c r="C92" s="35"/>
      <c r="D92" s="35"/>
      <c r="E92" s="35"/>
      <c r="F92" s="35"/>
      <c r="G92" s="35"/>
      <c r="H92" s="35"/>
      <c r="I92" s="36"/>
    </row>
    <row r="93" spans="1:9">
      <c r="A93" s="2"/>
      <c r="B93" s="42" t="s">
        <v>473</v>
      </c>
      <c r="C93" s="35"/>
      <c r="D93" s="35"/>
      <c r="E93" s="35"/>
      <c r="F93" s="35"/>
      <c r="G93" s="35"/>
      <c r="H93" s="35"/>
      <c r="I93" s="1183">
        <f>+I40+I54+I68+I74+I80+I90</f>
        <v>1249.7067207175098</v>
      </c>
    </row>
    <row r="94" spans="1:9" ht="15.75">
      <c r="A94" s="2"/>
      <c r="B94" s="33" t="s">
        <v>474</v>
      </c>
      <c r="C94" s="35"/>
      <c r="D94" s="35"/>
      <c r="E94" s="35"/>
      <c r="F94" s="35"/>
      <c r="G94" s="35"/>
      <c r="H94" s="35"/>
      <c r="I94" s="36"/>
    </row>
    <row r="95" spans="1:9">
      <c r="A95" s="2"/>
      <c r="B95" s="40"/>
      <c r="C95" s="35"/>
      <c r="D95" s="35"/>
      <c r="E95" s="35"/>
      <c r="F95" s="35"/>
      <c r="G95" s="35"/>
      <c r="H95" s="35"/>
      <c r="I95" s="36"/>
    </row>
    <row r="96" spans="1:9">
      <c r="A96" s="2"/>
      <c r="B96" s="43" t="s">
        <v>11</v>
      </c>
      <c r="C96" s="44"/>
      <c r="D96" s="44"/>
      <c r="E96" s="44"/>
      <c r="F96" s="44"/>
      <c r="G96" s="44"/>
      <c r="H96" s="44"/>
      <c r="I96" s="621">
        <f>SUM(I40:I90)</f>
        <v>1861.8397956759322</v>
      </c>
    </row>
  </sheetData>
  <mergeCells count="4">
    <mergeCell ref="B1:D1"/>
    <mergeCell ref="E54:H54"/>
    <mergeCell ref="B64:I65"/>
    <mergeCell ref="B69:C69"/>
  </mergeCells>
  <pageMargins left="0.75" right="0.75" top="1" bottom="1" header="0.5" footer="0.5"/>
  <pageSetup scale="57" orientation="portrait" r:id="rId1"/>
  <headerFooter alignWithMargins="0"/>
</worksheet>
</file>

<file path=xl/worksheets/sheet85.xml><?xml version="1.0" encoding="utf-8"?>
<worksheet xmlns="http://schemas.openxmlformats.org/spreadsheetml/2006/main" xmlns:r="http://schemas.openxmlformats.org/officeDocument/2006/relationships">
  <sheetPr>
    <pageSetUpPr fitToPage="1"/>
  </sheetPr>
  <dimension ref="A1:L96"/>
  <sheetViews>
    <sheetView workbookViewId="0">
      <selection activeCell="B54" sqref="B54:I55"/>
    </sheetView>
  </sheetViews>
  <sheetFormatPr defaultRowHeight="12.75"/>
  <cols>
    <col min="1" max="1" width="1.85546875" customWidth="1"/>
    <col min="3" max="3" width="24.140625" customWidth="1"/>
    <col min="4" max="4" width="23.140625" customWidth="1"/>
    <col min="5" max="5" width="59.8554687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1353</v>
      </c>
      <c r="F6" s="7" t="str">
        <f>+D36</f>
        <v>Acre</v>
      </c>
      <c r="G6" s="85">
        <f>+I25</f>
        <v>1193.3637905381324</v>
      </c>
    </row>
    <row r="7" spans="1:12" ht="25.5" hidden="1">
      <c r="A7" s="2"/>
      <c r="B7" s="54">
        <f>+B6</f>
        <v>342</v>
      </c>
      <c r="C7" s="7" t="str">
        <f>+C6</f>
        <v>EQIP</v>
      </c>
      <c r="D7" s="53" t="s">
        <v>1344</v>
      </c>
      <c r="E7" s="110" t="str">
        <f>CONCATENATE(E6, "-HU")</f>
        <v>Critical Area Planting - Heavy Grading/Shaping (6-10hr/Ac), Introd. Grasses, Mulch  -HU</v>
      </c>
      <c r="F7" s="7" t="str">
        <f>+F6</f>
        <v>Acre</v>
      </c>
      <c r="G7" s="85">
        <f>+J25</f>
        <v>1432.0365486457595</v>
      </c>
    </row>
    <row r="8" spans="1:12" ht="25.5" hidden="1">
      <c r="A8" s="2"/>
      <c r="B8" s="54">
        <v>342</v>
      </c>
      <c r="C8" s="7" t="str">
        <f>+G12</f>
        <v>WHIP</v>
      </c>
      <c r="D8" s="53" t="s">
        <v>1344</v>
      </c>
      <c r="E8" s="110" t="str">
        <f>+E6</f>
        <v xml:space="preserve">Critical Area Planting - Heavy Grading/Shaping (6-10hr/Ac), Introd. Grasses, Mulch  </v>
      </c>
      <c r="F8" s="7" t="str">
        <f>+D36</f>
        <v>Acre</v>
      </c>
      <c r="G8" s="85">
        <f>+K25</f>
        <v>0</v>
      </c>
    </row>
    <row r="9" spans="1:12" ht="25.5" hidden="1">
      <c r="A9" s="2"/>
      <c r="B9" s="8">
        <f>+B8</f>
        <v>342</v>
      </c>
      <c r="C9" s="10" t="str">
        <f>+C8</f>
        <v>WHIP</v>
      </c>
      <c r="D9" s="9" t="s">
        <v>1344</v>
      </c>
      <c r="E9" s="111" t="str">
        <f>CONCATENATE(E6, "-HU")</f>
        <v>Critical Area Planting - Heavy Grading/Shaping (6-10hr/Ac), Introd. Grasses, Mulch  -HU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188.14082917557616</v>
      </c>
      <c r="E16" s="160">
        <f>+'[10]Payment Factors'!D11</f>
        <v>0.75</v>
      </c>
      <c r="F16" s="160">
        <f>+'[10]Payment Factors'!E11</f>
        <v>0.9</v>
      </c>
      <c r="G16" s="160">
        <f>+'[10]Payment Factors'!F11</f>
        <v>0</v>
      </c>
      <c r="H16" s="160">
        <f>+'[10]Payment Factors'!G11</f>
        <v>0</v>
      </c>
      <c r="I16" s="1154">
        <f t="shared" ref="I16:L24" si="0">+$D16*E16</f>
        <v>141.10562188168211</v>
      </c>
      <c r="J16" s="1154">
        <f t="shared" si="0"/>
        <v>169.32674625801855</v>
      </c>
      <c r="K16" s="1154">
        <f t="shared" si="0"/>
        <v>0</v>
      </c>
      <c r="L16" s="1155">
        <f t="shared" si="0"/>
        <v>0</v>
      </c>
    </row>
    <row r="17" spans="1:12" hidden="1">
      <c r="A17" s="2"/>
      <c r="B17" s="15" t="s">
        <v>2</v>
      </c>
      <c r="C17" s="16"/>
      <c r="D17" s="24">
        <f>+I54</f>
        <v>1153.1666666666667</v>
      </c>
      <c r="E17" s="160">
        <f t="shared" ref="E17:H19" si="1">+E16</f>
        <v>0.75</v>
      </c>
      <c r="F17" s="160">
        <f t="shared" si="1"/>
        <v>0.9</v>
      </c>
      <c r="G17" s="160">
        <f t="shared" si="1"/>
        <v>0</v>
      </c>
      <c r="H17" s="160">
        <f t="shared" si="1"/>
        <v>0</v>
      </c>
      <c r="I17" s="1154">
        <f t="shared" si="0"/>
        <v>864.875</v>
      </c>
      <c r="J17" s="1154">
        <f t="shared" si="0"/>
        <v>1037.8500000000001</v>
      </c>
      <c r="K17" s="1154">
        <f t="shared" si="0"/>
        <v>0</v>
      </c>
      <c r="L17" s="1155">
        <f t="shared" si="0"/>
        <v>0</v>
      </c>
    </row>
    <row r="18" spans="1:12" hidden="1">
      <c r="A18" s="2"/>
      <c r="B18" s="15" t="s">
        <v>3</v>
      </c>
      <c r="C18" s="16"/>
      <c r="D18" s="24">
        <f>+I68</f>
        <v>203.5</v>
      </c>
      <c r="E18" s="160">
        <f t="shared" si="1"/>
        <v>0.75</v>
      </c>
      <c r="F18" s="160">
        <f t="shared" si="1"/>
        <v>0.9</v>
      </c>
      <c r="G18" s="160">
        <f t="shared" si="1"/>
        <v>0</v>
      </c>
      <c r="H18" s="160">
        <f t="shared" si="1"/>
        <v>0</v>
      </c>
      <c r="I18" s="1154">
        <f t="shared" si="0"/>
        <v>152.625</v>
      </c>
      <c r="J18" s="1154">
        <f t="shared" si="0"/>
        <v>183.15</v>
      </c>
      <c r="K18" s="1154">
        <f t="shared" si="0"/>
        <v>0</v>
      </c>
      <c r="L18" s="1155">
        <f t="shared" si="0"/>
        <v>0</v>
      </c>
    </row>
    <row r="19" spans="1:12" hidden="1">
      <c r="A19" s="2"/>
      <c r="B19" s="15" t="s">
        <v>4</v>
      </c>
      <c r="C19" s="16"/>
      <c r="D19" s="24">
        <f>+I74</f>
        <v>46.34422487526728</v>
      </c>
      <c r="E19" s="160">
        <f t="shared" si="1"/>
        <v>0.75</v>
      </c>
      <c r="F19" s="160">
        <f t="shared" si="1"/>
        <v>0.9</v>
      </c>
      <c r="G19" s="160">
        <f t="shared" si="1"/>
        <v>0</v>
      </c>
      <c r="H19" s="160">
        <f t="shared" si="1"/>
        <v>0</v>
      </c>
      <c r="I19" s="1154">
        <f t="shared" si="0"/>
        <v>34.758168656450458</v>
      </c>
      <c r="J19" s="1154">
        <f t="shared" si="0"/>
        <v>41.709802387740552</v>
      </c>
      <c r="K19" s="1154">
        <f t="shared" si="0"/>
        <v>0</v>
      </c>
      <c r="L19" s="1155">
        <f t="shared" si="0"/>
        <v>0</v>
      </c>
    </row>
    <row r="20" spans="1:12" hidden="1">
      <c r="A20" s="2"/>
      <c r="B20" s="15" t="s">
        <v>26</v>
      </c>
      <c r="C20" s="16"/>
      <c r="D20" s="24">
        <f>+I77</f>
        <v>15.448074958422428</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+I80</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+I83</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+I87</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+I90</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2206.5997956759325</v>
      </c>
      <c r="E25" s="1158"/>
      <c r="F25" s="1158"/>
      <c r="G25" s="28"/>
      <c r="H25" s="28"/>
      <c r="I25" s="1159">
        <f>SUM(I16:I24)</f>
        <v>1193.3637905381324</v>
      </c>
      <c r="J25" s="1159">
        <f>SUM(J16:J24)</f>
        <v>1432.0365486457595</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188.14082917557616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+'[20]Core Rates'!C203</f>
        <v>8.75</v>
      </c>
      <c r="F43" s="1170">
        <v>2</v>
      </c>
      <c r="G43" s="1171">
        <f t="shared" si="2"/>
        <v>17.5</v>
      </c>
      <c r="H43" s="35"/>
      <c r="I43" s="36"/>
    </row>
    <row r="44" spans="1:9">
      <c r="A44" s="2"/>
      <c r="B44" s="1184" t="s">
        <v>453</v>
      </c>
      <c r="C44" s="6"/>
      <c r="D44" s="1185" t="s">
        <v>454</v>
      </c>
      <c r="E44" s="1169">
        <f>+'[20]Core Rates'!C228</f>
        <v>0.82427536231884069</v>
      </c>
      <c r="F44" s="1170">
        <v>50</v>
      </c>
      <c r="G44" s="1171">
        <f t="shared" si="2"/>
        <v>41.213768115942031</v>
      </c>
      <c r="H44" s="35"/>
      <c r="I44" s="36"/>
    </row>
    <row r="45" spans="1:9">
      <c r="A45" s="2"/>
      <c r="B45" s="1186" t="s">
        <v>455</v>
      </c>
      <c r="C45" s="1187"/>
      <c r="D45" s="1185" t="s">
        <v>454</v>
      </c>
      <c r="E45" s="1169">
        <f>+'[20]Core Rates'!C235</f>
        <v>1.1702898550724636</v>
      </c>
      <c r="F45" s="1170">
        <v>50</v>
      </c>
      <c r="G45" s="1171">
        <f t="shared" si="2"/>
        <v>58.51449275362318</v>
      </c>
      <c r="H45" s="35"/>
      <c r="I45" s="36"/>
    </row>
    <row r="46" spans="1:9">
      <c r="A46" s="2"/>
      <c r="B46" s="1186" t="s">
        <v>456</v>
      </c>
      <c r="C46" s="1187"/>
      <c r="D46" s="1168" t="s">
        <v>454</v>
      </c>
      <c r="E46" s="1169">
        <f>+'[20]Core Rates'!C246</f>
        <v>0.58825136612021856</v>
      </c>
      <c r="F46" s="1170">
        <v>50</v>
      </c>
      <c r="G46" s="1171">
        <f t="shared" si="2"/>
        <v>29.412568306010929</v>
      </c>
      <c r="H46" s="35"/>
      <c r="I46" s="36"/>
    </row>
    <row r="47" spans="1:9">
      <c r="A47" s="2"/>
      <c r="B47" s="1186" t="s">
        <v>479</v>
      </c>
      <c r="C47" s="1187"/>
      <c r="D47" s="1185" t="s">
        <v>454</v>
      </c>
      <c r="E47" s="1169">
        <f>+'[20]Core Rates 2011'!BE307</f>
        <v>1.68</v>
      </c>
      <c r="F47" s="1170">
        <v>15</v>
      </c>
      <c r="G47" s="1171">
        <f t="shared" si="2"/>
        <v>25.2</v>
      </c>
      <c r="H47" s="35"/>
      <c r="I47" s="36"/>
    </row>
    <row r="48" spans="1:9">
      <c r="A48" s="2"/>
      <c r="B48" s="1186" t="s">
        <v>480</v>
      </c>
      <c r="C48" s="1187"/>
      <c r="D48" s="1185" t="s">
        <v>454</v>
      </c>
      <c r="E48" s="1169">
        <f>+'[20]Core Rates 2011'!BE308</f>
        <v>1.61</v>
      </c>
      <c r="F48" s="1170">
        <v>5</v>
      </c>
      <c r="G48" s="1171">
        <f t="shared" si="2"/>
        <v>8.0500000000000007</v>
      </c>
      <c r="H48" s="35"/>
      <c r="I48" s="36"/>
    </row>
    <row r="49" spans="1:9">
      <c r="A49" s="2"/>
      <c r="B49" s="1186" t="s">
        <v>481</v>
      </c>
      <c r="C49" s="1187"/>
      <c r="D49" s="1185" t="s">
        <v>454</v>
      </c>
      <c r="E49" s="1169">
        <f>+'[20]Core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35"/>
      <c r="D51" s="35"/>
      <c r="E51" s="60"/>
      <c r="F51" s="60"/>
      <c r="G51" s="60"/>
      <c r="H51" s="35"/>
      <c r="I51" s="46"/>
    </row>
    <row r="52" spans="1:9">
      <c r="A52" s="2"/>
      <c r="B52" s="40" t="s">
        <v>457</v>
      </c>
      <c r="C52" s="35"/>
      <c r="D52" s="35"/>
      <c r="E52" s="60"/>
      <c r="F52" s="60"/>
      <c r="G52" s="60"/>
      <c r="H52" s="35"/>
      <c r="I52" s="4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(SUM(G56:G61)*0.85)</f>
        <v>1153.1666666666667</v>
      </c>
    </row>
    <row r="55" spans="1:9">
      <c r="A55" s="2"/>
      <c r="B55" s="1174"/>
      <c r="C55" s="35"/>
      <c r="D55" s="1167" t="s">
        <v>447</v>
      </c>
      <c r="E55" s="1167" t="s">
        <v>448</v>
      </c>
      <c r="F55" s="1167" t="s">
        <v>449</v>
      </c>
      <c r="G55" s="1167" t="s">
        <v>450</v>
      </c>
      <c r="H55" s="35"/>
      <c r="I55" s="46"/>
    </row>
    <row r="56" spans="1:9">
      <c r="A56" s="2"/>
      <c r="B56" s="1410" t="str">
        <f>+'[20]Core Rates'!A113</f>
        <v>Earthmoving: Heavy grading/shaping (6-10 hrs/ac)</v>
      </c>
      <c r="C56" s="1411"/>
      <c r="D56" s="1408" t="s">
        <v>408</v>
      </c>
      <c r="E56" s="1169">
        <f>+'[20]Core Rates'!C113</f>
        <v>835.125</v>
      </c>
      <c r="F56" s="1170">
        <v>1</v>
      </c>
      <c r="G56" s="1171">
        <f t="shared" ref="G56:G61" si="3">+F56*E56</f>
        <v>835.125</v>
      </c>
      <c r="H56" s="35"/>
      <c r="I56" s="47"/>
    </row>
    <row r="57" spans="1:9">
      <c r="A57" s="2"/>
      <c r="B57" s="1409" t="str">
        <f>+'[20]Core Rates'!A217</f>
        <v>Mulching (2 tons/ac applied)</v>
      </c>
      <c r="C57" s="153"/>
      <c r="D57" s="1171" t="s">
        <v>408</v>
      </c>
      <c r="E57" s="1171">
        <f>+'[20]Core Rates'!C217</f>
        <v>472.5</v>
      </c>
      <c r="F57" s="1170">
        <v>1</v>
      </c>
      <c r="G57" s="1171">
        <f t="shared" si="3"/>
        <v>472.5</v>
      </c>
      <c r="H57" s="35"/>
      <c r="I57" s="47"/>
    </row>
    <row r="58" spans="1:9">
      <c r="A58" s="2"/>
      <c r="B58" s="40" t="s">
        <v>461</v>
      </c>
      <c r="C58" s="6"/>
      <c r="D58" s="1168" t="s">
        <v>408</v>
      </c>
      <c r="E58" s="1169">
        <f>+'[20]Core Rates'!C104</f>
        <v>20</v>
      </c>
      <c r="F58" s="1170">
        <v>1</v>
      </c>
      <c r="G58" s="1171">
        <f t="shared" si="3"/>
        <v>20</v>
      </c>
      <c r="H58" s="35"/>
      <c r="I58" s="47"/>
    </row>
    <row r="59" spans="1:9">
      <c r="A59" s="2"/>
      <c r="B59" s="40" t="s">
        <v>462</v>
      </c>
      <c r="C59" s="6"/>
      <c r="D59" s="1168" t="s">
        <v>408</v>
      </c>
      <c r="E59" s="1169">
        <f>+'[20]Core Rates'!AN33</f>
        <v>5.416666666666667</v>
      </c>
      <c r="F59" s="1170">
        <v>1</v>
      </c>
      <c r="G59" s="1171">
        <f t="shared" si="3"/>
        <v>5.416666666666667</v>
      </c>
      <c r="H59" s="35"/>
      <c r="I59" s="47"/>
    </row>
    <row r="60" spans="1:9">
      <c r="A60" s="2"/>
      <c r="B60" s="40" t="s">
        <v>463</v>
      </c>
      <c r="C60" s="6"/>
      <c r="D60" s="1168" t="s">
        <v>452</v>
      </c>
      <c r="E60" s="1169">
        <f>+'[20]Core Rates'!AN34</f>
        <v>5.5</v>
      </c>
      <c r="F60" s="1170">
        <v>2</v>
      </c>
      <c r="G60" s="1171">
        <f t="shared" si="3"/>
        <v>11</v>
      </c>
      <c r="H60" s="35"/>
      <c r="I60" s="47"/>
    </row>
    <row r="61" spans="1:9">
      <c r="A61" s="2"/>
      <c r="B61" s="40" t="s">
        <v>464</v>
      </c>
      <c r="C61" s="6"/>
      <c r="D61" s="1168" t="s">
        <v>452</v>
      </c>
      <c r="E61" s="1169">
        <f>+'[20]Core Rates'!AN32</f>
        <v>6.3125</v>
      </c>
      <c r="F61" s="1170">
        <v>2</v>
      </c>
      <c r="G61" s="1171">
        <f t="shared" si="3"/>
        <v>12.625</v>
      </c>
      <c r="H61" s="35"/>
      <c r="I61" s="47"/>
    </row>
    <row r="62" spans="1:9">
      <c r="A62" s="2"/>
      <c r="B62" s="40"/>
      <c r="C62" s="6"/>
      <c r="D62" s="63"/>
      <c r="E62" s="150"/>
      <c r="F62" s="150"/>
      <c r="G62" s="1169"/>
      <c r="H62" s="35"/>
      <c r="I62" s="47"/>
    </row>
    <row r="63" spans="1:9">
      <c r="A63" s="2"/>
      <c r="B63" s="37" t="s">
        <v>43</v>
      </c>
      <c r="C63" s="35"/>
      <c r="D63" s="35"/>
      <c r="E63" s="60"/>
      <c r="F63" s="60"/>
      <c r="G63" s="60"/>
      <c r="H63" s="35"/>
      <c r="I63" s="46"/>
    </row>
    <row r="64" spans="1:9" ht="12.75" customHeight="1">
      <c r="A64" s="2"/>
      <c r="B64" s="2004" t="s">
        <v>457</v>
      </c>
      <c r="C64" s="2005"/>
      <c r="D64" s="2005"/>
      <c r="E64" s="2005"/>
      <c r="F64" s="2005"/>
      <c r="G64" s="2005"/>
      <c r="H64" s="2005"/>
      <c r="I64" s="2006"/>
    </row>
    <row r="65" spans="1:9">
      <c r="A65" s="2"/>
      <c r="B65" s="2004"/>
      <c r="C65" s="2005"/>
      <c r="D65" s="2005"/>
      <c r="E65" s="2005"/>
      <c r="F65" s="2005"/>
      <c r="G65" s="2005"/>
      <c r="H65" s="2005"/>
      <c r="I65" s="2006"/>
    </row>
    <row r="66" spans="1:9">
      <c r="A66" s="2"/>
      <c r="B66" s="1177"/>
      <c r="C66" s="1178"/>
      <c r="D66" s="1178"/>
      <c r="E66" s="1178"/>
      <c r="F66" s="1178"/>
      <c r="G66" s="1178"/>
      <c r="H66" s="1178"/>
      <c r="I66" s="1179"/>
    </row>
    <row r="67" spans="1:9">
      <c r="A67" s="2"/>
      <c r="B67" s="1177"/>
      <c r="C67" s="1178"/>
      <c r="D67" s="1178"/>
      <c r="E67" s="1178"/>
      <c r="F67" s="1178"/>
      <c r="G67" s="1178"/>
      <c r="H67" s="1178"/>
      <c r="I67" s="1179"/>
    </row>
    <row r="68" spans="1:9">
      <c r="A68" s="2"/>
      <c r="B68" s="42" t="s">
        <v>3</v>
      </c>
      <c r="C68" s="35"/>
      <c r="D68" s="35"/>
      <c r="E68" s="35"/>
      <c r="F68" s="39"/>
      <c r="G68" s="35"/>
      <c r="H68" s="35"/>
      <c r="I68" s="1182">
        <f>E70</f>
        <v>203.5</v>
      </c>
    </row>
    <row r="69" spans="1:9">
      <c r="A69" s="2"/>
      <c r="B69" s="2007" t="s">
        <v>465</v>
      </c>
      <c r="C69" s="2008"/>
      <c r="D69" s="35"/>
      <c r="E69" s="35"/>
      <c r="F69" s="35"/>
      <c r="G69" s="35"/>
      <c r="H69" s="35"/>
      <c r="I69" s="48"/>
    </row>
    <row r="70" spans="1:9">
      <c r="A70" s="2"/>
      <c r="B70" s="37" t="s">
        <v>466</v>
      </c>
      <c r="C70" s="39"/>
      <c r="D70" s="39"/>
      <c r="E70" s="153">
        <f>SUM(G56:G61)*0.15</f>
        <v>203.5</v>
      </c>
      <c r="F70" s="35"/>
      <c r="G70" s="35"/>
      <c r="H70" s="35"/>
      <c r="I70" s="46"/>
    </row>
    <row r="71" spans="1:9">
      <c r="A71" s="2"/>
      <c r="B71" s="37"/>
      <c r="C71" s="39"/>
      <c r="D71" s="1180"/>
      <c r="E71" s="153"/>
      <c r="F71" s="35"/>
      <c r="G71" s="35"/>
      <c r="H71" s="35"/>
      <c r="I71" s="46"/>
    </row>
    <row r="72" spans="1:9">
      <c r="A72" s="2"/>
      <c r="B72" s="37"/>
      <c r="C72" s="39"/>
      <c r="D72" s="1181"/>
      <c r="E72" s="153"/>
      <c r="F72" s="35"/>
      <c r="G72" s="35"/>
      <c r="H72" s="35"/>
      <c r="I72" s="46"/>
    </row>
    <row r="73" spans="1:9">
      <c r="A73" s="2"/>
      <c r="B73" s="33"/>
      <c r="C73" s="35"/>
      <c r="D73" s="35"/>
      <c r="E73" s="35"/>
      <c r="F73" s="35"/>
      <c r="G73" s="35"/>
      <c r="H73" s="35"/>
      <c r="I73" s="36"/>
    </row>
    <row r="74" spans="1:9">
      <c r="A74" s="2"/>
      <c r="B74" s="42" t="s">
        <v>4</v>
      </c>
      <c r="C74" s="35"/>
      <c r="D74" s="35"/>
      <c r="E74" s="35"/>
      <c r="F74" s="35"/>
      <c r="G74" s="35"/>
      <c r="H74" s="35"/>
      <c r="I74" s="1182">
        <f>0.03*(I40+I54+I68)</f>
        <v>46.34422487526728</v>
      </c>
    </row>
    <row r="75" spans="1:9">
      <c r="A75" s="2"/>
      <c r="B75" s="33" t="s">
        <v>467</v>
      </c>
      <c r="C75" s="35"/>
      <c r="D75" s="35"/>
      <c r="E75" s="35"/>
      <c r="F75" s="35"/>
      <c r="G75" s="35"/>
      <c r="H75" s="35"/>
      <c r="I75" s="36"/>
    </row>
    <row r="76" spans="1:9">
      <c r="A76" s="2"/>
      <c r="B76" s="37"/>
      <c r="C76" s="35"/>
      <c r="D76" s="35"/>
      <c r="E76" s="35"/>
      <c r="F76" s="35"/>
      <c r="G76" s="35"/>
      <c r="H76" s="35"/>
      <c r="I76" s="36"/>
    </row>
    <row r="77" spans="1:9">
      <c r="A77" s="2"/>
      <c r="B77" s="42" t="s">
        <v>468</v>
      </c>
      <c r="C77" s="35"/>
      <c r="D77" s="35"/>
      <c r="E77" s="35"/>
      <c r="F77" s="35"/>
      <c r="G77" s="35"/>
      <c r="H77" s="35"/>
      <c r="I77" s="1182">
        <f>0.01*(I40+I54+I68)</f>
        <v>15.448074958422428</v>
      </c>
    </row>
    <row r="78" spans="1:9">
      <c r="A78" s="2"/>
      <c r="B78" s="33" t="s">
        <v>749</v>
      </c>
      <c r="C78" s="35"/>
      <c r="D78" s="35"/>
      <c r="E78" s="35"/>
      <c r="F78" s="35"/>
      <c r="G78" s="35"/>
      <c r="H78" s="35"/>
      <c r="I78" s="36"/>
    </row>
    <row r="79" spans="1:9">
      <c r="A79" s="2"/>
      <c r="B79" s="37"/>
      <c r="C79" s="35"/>
      <c r="D79" s="35"/>
      <c r="E79" s="35"/>
      <c r="F79" s="35"/>
      <c r="G79" s="35"/>
      <c r="H79" s="35"/>
      <c r="I79" s="36"/>
    </row>
    <row r="80" spans="1:9">
      <c r="A80" s="2"/>
      <c r="B80" s="42" t="s">
        <v>7</v>
      </c>
      <c r="C80" s="35"/>
      <c r="D80" s="35"/>
      <c r="E80" s="35"/>
      <c r="F80" s="35"/>
      <c r="G80" s="35"/>
      <c r="H80" s="35"/>
      <c r="I80" s="1166">
        <v>0</v>
      </c>
    </row>
    <row r="81" spans="1:9">
      <c r="A81" s="2"/>
      <c r="B81" s="33" t="s">
        <v>1349</v>
      </c>
      <c r="C81" s="35"/>
      <c r="D81" s="35"/>
      <c r="E81" s="35"/>
      <c r="F81" s="35"/>
      <c r="G81" s="35"/>
      <c r="H81" s="35"/>
      <c r="I81" s="36"/>
    </row>
    <row r="82" spans="1:9">
      <c r="A82" s="2"/>
      <c r="B82" s="37"/>
      <c r="C82" s="35"/>
      <c r="D82" s="35"/>
      <c r="E82" s="35"/>
      <c r="F82" s="35"/>
      <c r="G82" s="35"/>
      <c r="H82" s="35"/>
      <c r="I82" s="36"/>
    </row>
    <row r="83" spans="1:9">
      <c r="A83" s="2"/>
      <c r="B83" s="42" t="s">
        <v>471</v>
      </c>
      <c r="C83" s="35"/>
      <c r="D83" s="35"/>
      <c r="E83" s="35"/>
      <c r="F83" s="39"/>
      <c r="G83" s="35"/>
      <c r="H83" s="35"/>
      <c r="I83" s="1166">
        <v>600</v>
      </c>
    </row>
    <row r="84" spans="1:9">
      <c r="A84" s="2"/>
      <c r="B84" s="756" t="s">
        <v>1350</v>
      </c>
      <c r="C84" s="35"/>
      <c r="D84" s="35"/>
      <c r="E84" s="35"/>
      <c r="F84" s="35"/>
      <c r="G84" s="35"/>
      <c r="H84" s="35"/>
      <c r="I84" s="47"/>
    </row>
    <row r="85" spans="1:9">
      <c r="A85" s="2"/>
      <c r="B85" s="756"/>
      <c r="C85" s="35"/>
      <c r="D85" s="35"/>
      <c r="E85" s="35"/>
      <c r="F85" s="35"/>
      <c r="G85" s="35"/>
      <c r="H85" s="35"/>
      <c r="I85" s="47"/>
    </row>
    <row r="86" spans="1:9">
      <c r="A86" s="2"/>
      <c r="B86" s="37"/>
      <c r="C86" s="35"/>
      <c r="D86" s="35"/>
      <c r="E86" s="35"/>
      <c r="F86" s="35"/>
      <c r="G86" s="35"/>
      <c r="H86" s="35"/>
      <c r="I86" s="36"/>
    </row>
    <row r="87" spans="1:9">
      <c r="A87" s="2"/>
      <c r="B87" s="42" t="s">
        <v>5</v>
      </c>
      <c r="C87" s="35"/>
      <c r="D87" s="35"/>
      <c r="E87" s="35"/>
      <c r="F87" s="35"/>
      <c r="G87" s="35"/>
      <c r="H87" s="35"/>
      <c r="I87" s="1166">
        <v>0</v>
      </c>
    </row>
    <row r="88" spans="1:9">
      <c r="A88" s="2"/>
      <c r="B88" s="33" t="s">
        <v>1351</v>
      </c>
      <c r="C88" s="35"/>
      <c r="D88" s="35"/>
      <c r="E88" s="35"/>
      <c r="F88" s="35"/>
      <c r="G88" s="35"/>
      <c r="H88" s="35"/>
      <c r="I88" s="47"/>
    </row>
    <row r="89" spans="1:9">
      <c r="A89" s="2"/>
      <c r="B89" s="37"/>
      <c r="C89" s="35"/>
      <c r="D89" s="35"/>
      <c r="E89" s="35"/>
      <c r="F89" s="35"/>
      <c r="G89" s="35"/>
      <c r="H89" s="35"/>
      <c r="I89" s="36"/>
    </row>
    <row r="90" spans="1:9">
      <c r="A90" s="2"/>
      <c r="B90" s="42" t="s">
        <v>20</v>
      </c>
      <c r="C90" s="35"/>
      <c r="D90" s="35"/>
      <c r="E90" s="35"/>
      <c r="F90" s="35"/>
      <c r="G90" s="35"/>
      <c r="H90" s="35"/>
      <c r="I90" s="1166">
        <v>0</v>
      </c>
    </row>
    <row r="91" spans="1:9">
      <c r="A91" s="2"/>
      <c r="B91" s="33" t="s">
        <v>104</v>
      </c>
      <c r="C91" s="35"/>
      <c r="D91" s="35"/>
      <c r="E91" s="35"/>
      <c r="F91" s="35"/>
      <c r="G91" s="35"/>
      <c r="H91" s="35"/>
      <c r="I91" s="36"/>
    </row>
    <row r="92" spans="1:9">
      <c r="A92" s="2"/>
      <c r="B92" s="40"/>
      <c r="C92" s="35"/>
      <c r="D92" s="35"/>
      <c r="E92" s="35"/>
      <c r="F92" s="35"/>
      <c r="G92" s="35"/>
      <c r="H92" s="35"/>
      <c r="I92" s="36"/>
    </row>
    <row r="93" spans="1:9">
      <c r="A93" s="2"/>
      <c r="B93" s="42" t="s">
        <v>473</v>
      </c>
      <c r="C93" s="35"/>
      <c r="D93" s="35"/>
      <c r="E93" s="35"/>
      <c r="F93" s="35"/>
      <c r="G93" s="35"/>
      <c r="H93" s="35"/>
      <c r="I93" s="1183">
        <f>+I40+I54+I68+I74+I80+I90</f>
        <v>1591.15172071751</v>
      </c>
    </row>
    <row r="94" spans="1:9" ht="15.75">
      <c r="A94" s="2"/>
      <c r="B94" s="33" t="s">
        <v>474</v>
      </c>
      <c r="C94" s="35"/>
      <c r="D94" s="35"/>
      <c r="E94" s="35"/>
      <c r="F94" s="35"/>
      <c r="G94" s="35"/>
      <c r="H94" s="35"/>
      <c r="I94" s="36"/>
    </row>
    <row r="95" spans="1:9">
      <c r="A95" s="2"/>
      <c r="B95" s="40"/>
      <c r="C95" s="35"/>
      <c r="D95" s="35"/>
      <c r="E95" s="35"/>
      <c r="F95" s="35"/>
      <c r="G95" s="35"/>
      <c r="H95" s="35"/>
      <c r="I95" s="36"/>
    </row>
    <row r="96" spans="1:9">
      <c r="A96" s="2"/>
      <c r="B96" s="43" t="s">
        <v>11</v>
      </c>
      <c r="C96" s="44"/>
      <c r="D96" s="44"/>
      <c r="E96" s="44"/>
      <c r="F96" s="44"/>
      <c r="G96" s="44"/>
      <c r="H96" s="44"/>
      <c r="I96" s="621">
        <f>SUM(I40:I90)</f>
        <v>2206.5997956759325</v>
      </c>
    </row>
  </sheetData>
  <mergeCells count="4">
    <mergeCell ref="B1:D1"/>
    <mergeCell ref="E54:H54"/>
    <mergeCell ref="B64:I65"/>
    <mergeCell ref="B69:C69"/>
  </mergeCells>
  <pageMargins left="0.75" right="0.75" top="1" bottom="1" header="0.5" footer="0.5"/>
  <pageSetup scale="58" orientation="portrait" r:id="rId1"/>
  <headerFooter alignWithMargins="0"/>
</worksheet>
</file>

<file path=xl/worksheets/sheet86.xml><?xml version="1.0" encoding="utf-8"?>
<worksheet xmlns="http://schemas.openxmlformats.org/spreadsheetml/2006/main" xmlns:r="http://schemas.openxmlformats.org/officeDocument/2006/relationships">
  <sheetPr>
    <pageSetUpPr fitToPage="1"/>
  </sheetPr>
  <dimension ref="A1:L97"/>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1354</v>
      </c>
      <c r="F6" s="7" t="str">
        <f>+D36</f>
        <v>Acre</v>
      </c>
      <c r="G6" s="85">
        <f>+I25</f>
        <v>1504.8357905381326</v>
      </c>
    </row>
    <row r="7" spans="1:12" ht="25.5" hidden="1">
      <c r="A7" s="2"/>
      <c r="B7" s="54">
        <f>+B6</f>
        <v>342</v>
      </c>
      <c r="C7" s="7" t="str">
        <f>+C6</f>
        <v>EQIP</v>
      </c>
      <c r="D7" s="53" t="s">
        <v>1344</v>
      </c>
      <c r="E7" s="110" t="str">
        <f>CONCATENATE(E6, "-HU")</f>
        <v>Critical Area Planting - Light Grading/Shaping (1-2hr/Ac), Introd. Grasses, ECB &amp; Mulch  -HU</v>
      </c>
      <c r="F7" s="7" t="str">
        <f>+F6</f>
        <v>Acre</v>
      </c>
      <c r="G7" s="85">
        <f>+J25</f>
        <v>1805.8029486457594</v>
      </c>
    </row>
    <row r="8" spans="1:12" ht="25.5" hidden="1">
      <c r="A8" s="2"/>
      <c r="B8" s="54">
        <v>342</v>
      </c>
      <c r="C8" s="7" t="str">
        <f>+G12</f>
        <v>WHIP</v>
      </c>
      <c r="D8" s="53" t="s">
        <v>1344</v>
      </c>
      <c r="E8" s="110" t="str">
        <f>+E6</f>
        <v xml:space="preserve">Critical Area Planting - Light Grading/Shaping (1-2hr/Ac), Introd. Grasses, ECB &amp; Mulch  </v>
      </c>
      <c r="F8" s="7" t="str">
        <f>+D36</f>
        <v>Acre</v>
      </c>
      <c r="G8" s="85">
        <f>+K25</f>
        <v>0</v>
      </c>
    </row>
    <row r="9" spans="1:12" ht="25.5" hidden="1">
      <c r="A9" s="2"/>
      <c r="B9" s="8">
        <f>+B8</f>
        <v>342</v>
      </c>
      <c r="C9" s="10" t="str">
        <f>+C8</f>
        <v>WHIP</v>
      </c>
      <c r="D9" s="9" t="s">
        <v>1344</v>
      </c>
      <c r="E9" s="111" t="str">
        <f>CONCATENATE(E6, "-HU")</f>
        <v>Critical Area Planting - Light Grading/Shaping (1-2hr/Ac), Introd. Grasses, ECB &amp; Mulch  -HU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188.14082917557616</v>
      </c>
      <c r="E16" s="160">
        <f>+'[10]Payment Factors'!D11</f>
        <v>0.75</v>
      </c>
      <c r="F16" s="160">
        <f>+'[10]Payment Factors'!E11</f>
        <v>0.9</v>
      </c>
      <c r="G16" s="160">
        <f>+'[10]Payment Factors'!F11</f>
        <v>0</v>
      </c>
      <c r="H16" s="160">
        <f>+'[10]Payment Factors'!G11</f>
        <v>0</v>
      </c>
      <c r="I16" s="1154">
        <f t="shared" ref="I16:L24" si="0">+$D16*E16</f>
        <v>141.10562188168211</v>
      </c>
      <c r="J16" s="1154">
        <f t="shared" si="0"/>
        <v>169.32674625801855</v>
      </c>
      <c r="K16" s="1154">
        <f t="shared" si="0"/>
        <v>0</v>
      </c>
      <c r="L16" s="1155">
        <f t="shared" si="0"/>
        <v>0</v>
      </c>
    </row>
    <row r="17" spans="1:12" hidden="1">
      <c r="A17" s="2"/>
      <c r="B17" s="15" t="s">
        <v>2</v>
      </c>
      <c r="C17" s="16"/>
      <c r="D17" s="24">
        <f>+I54</f>
        <v>1495.8866666666668</v>
      </c>
      <c r="E17" s="160">
        <f t="shared" ref="E17:H19" si="1">+E16</f>
        <v>0.75</v>
      </c>
      <c r="F17" s="160">
        <f t="shared" si="1"/>
        <v>0.9</v>
      </c>
      <c r="G17" s="160">
        <f t="shared" si="1"/>
        <v>0</v>
      </c>
      <c r="H17" s="160">
        <f t="shared" si="1"/>
        <v>0</v>
      </c>
      <c r="I17" s="1154">
        <f t="shared" si="0"/>
        <v>1121.915</v>
      </c>
      <c r="J17" s="1154">
        <f t="shared" si="0"/>
        <v>1346.2980000000002</v>
      </c>
      <c r="K17" s="1154">
        <f t="shared" si="0"/>
        <v>0</v>
      </c>
      <c r="L17" s="1155">
        <f t="shared" si="0"/>
        <v>0</v>
      </c>
    </row>
    <row r="18" spans="1:12" hidden="1">
      <c r="A18" s="2"/>
      <c r="B18" s="15" t="s">
        <v>3</v>
      </c>
      <c r="C18" s="16"/>
      <c r="D18" s="24">
        <f>+I69</f>
        <v>263.98</v>
      </c>
      <c r="E18" s="160">
        <f t="shared" si="1"/>
        <v>0.75</v>
      </c>
      <c r="F18" s="160">
        <f t="shared" si="1"/>
        <v>0.9</v>
      </c>
      <c r="G18" s="160">
        <f t="shared" si="1"/>
        <v>0</v>
      </c>
      <c r="H18" s="160">
        <f t="shared" si="1"/>
        <v>0</v>
      </c>
      <c r="I18" s="1154">
        <f t="shared" si="0"/>
        <v>197.98500000000001</v>
      </c>
      <c r="J18" s="1154">
        <f t="shared" si="0"/>
        <v>237.58200000000002</v>
      </c>
      <c r="K18" s="1154">
        <f t="shared" si="0"/>
        <v>0</v>
      </c>
      <c r="L18" s="1155">
        <f t="shared" si="0"/>
        <v>0</v>
      </c>
    </row>
    <row r="19" spans="1:12" hidden="1">
      <c r="A19" s="2"/>
      <c r="B19" s="15" t="s">
        <v>4</v>
      </c>
      <c r="C19" s="16"/>
      <c r="D19" s="24">
        <f>+I75</f>
        <v>58.440224875267283</v>
      </c>
      <c r="E19" s="160">
        <f t="shared" si="1"/>
        <v>0.75</v>
      </c>
      <c r="F19" s="160">
        <f t="shared" si="1"/>
        <v>0.9</v>
      </c>
      <c r="G19" s="160">
        <f t="shared" si="1"/>
        <v>0</v>
      </c>
      <c r="H19" s="160">
        <f t="shared" si="1"/>
        <v>0</v>
      </c>
      <c r="I19" s="1154">
        <f t="shared" si="0"/>
        <v>43.830168656450461</v>
      </c>
      <c r="J19" s="1154">
        <f t="shared" si="0"/>
        <v>52.596202387740554</v>
      </c>
      <c r="K19" s="1154">
        <f t="shared" si="0"/>
        <v>0</v>
      </c>
      <c r="L19" s="1155">
        <f t="shared" si="0"/>
        <v>0</v>
      </c>
    </row>
    <row r="20" spans="1:12" hidden="1">
      <c r="A20" s="2"/>
      <c r="B20" s="15" t="s">
        <v>26</v>
      </c>
      <c r="C20" s="16"/>
      <c r="D20" s="24">
        <f>+I78</f>
        <v>19.480074958422428</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+I84</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2625.9277956759324</v>
      </c>
      <c r="E25" s="1158"/>
      <c r="F25" s="1158"/>
      <c r="G25" s="28"/>
      <c r="H25" s="28"/>
      <c r="I25" s="1159">
        <f>SUM(I16:I24)</f>
        <v>1504.8357905381326</v>
      </c>
      <c r="J25" s="1159">
        <f>SUM(J16:J24)</f>
        <v>1805.8029486457594</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188.14082917557616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+'[20]Core Rates'!C203</f>
        <v>8.75</v>
      </c>
      <c r="F43" s="1170">
        <v>2</v>
      </c>
      <c r="G43" s="1171">
        <f t="shared" si="2"/>
        <v>17.5</v>
      </c>
      <c r="H43" s="35"/>
      <c r="I43" s="36"/>
    </row>
    <row r="44" spans="1:9">
      <c r="A44" s="2"/>
      <c r="B44" s="1184" t="s">
        <v>453</v>
      </c>
      <c r="C44" s="6"/>
      <c r="D44" s="1185" t="s">
        <v>454</v>
      </c>
      <c r="E44" s="1169">
        <f>+'[20]Core Rates'!C228</f>
        <v>0.82427536231884069</v>
      </c>
      <c r="F44" s="1170">
        <v>50</v>
      </c>
      <c r="G44" s="1171">
        <f t="shared" si="2"/>
        <v>41.213768115942031</v>
      </c>
      <c r="H44" s="35"/>
      <c r="I44" s="36"/>
    </row>
    <row r="45" spans="1:9">
      <c r="A45" s="2"/>
      <c r="B45" s="1186" t="s">
        <v>455</v>
      </c>
      <c r="C45" s="1187"/>
      <c r="D45" s="1185" t="s">
        <v>454</v>
      </c>
      <c r="E45" s="1169">
        <f>+'[20]Core Rates'!C235</f>
        <v>1.1702898550724636</v>
      </c>
      <c r="F45" s="1170">
        <v>50</v>
      </c>
      <c r="G45" s="1171">
        <f t="shared" si="2"/>
        <v>58.51449275362318</v>
      </c>
      <c r="H45" s="35"/>
      <c r="I45" s="36"/>
    </row>
    <row r="46" spans="1:9">
      <c r="A46" s="2"/>
      <c r="B46" s="1186" t="s">
        <v>456</v>
      </c>
      <c r="C46" s="1187"/>
      <c r="D46" s="1168" t="s">
        <v>454</v>
      </c>
      <c r="E46" s="1169">
        <f>+'[20]Core Rates'!C246</f>
        <v>0.58825136612021856</v>
      </c>
      <c r="F46" s="1170">
        <v>50</v>
      </c>
      <c r="G46" s="1171">
        <f t="shared" si="2"/>
        <v>29.412568306010929</v>
      </c>
      <c r="H46" s="35"/>
      <c r="I46" s="36"/>
    </row>
    <row r="47" spans="1:9">
      <c r="A47" s="2"/>
      <c r="B47" s="1186" t="s">
        <v>479</v>
      </c>
      <c r="C47" s="1187"/>
      <c r="D47" s="1185" t="s">
        <v>454</v>
      </c>
      <c r="E47" s="1169">
        <f>+'[20]Core Rates 2011'!BE307</f>
        <v>1.68</v>
      </c>
      <c r="F47" s="1170">
        <v>15</v>
      </c>
      <c r="G47" s="1171">
        <f t="shared" si="2"/>
        <v>25.2</v>
      </c>
      <c r="H47" s="35"/>
      <c r="I47" s="36"/>
    </row>
    <row r="48" spans="1:9">
      <c r="A48" s="2"/>
      <c r="B48" s="1186" t="s">
        <v>480</v>
      </c>
      <c r="C48" s="1187"/>
      <c r="D48" s="1185" t="s">
        <v>454</v>
      </c>
      <c r="E48" s="1169">
        <f>+'[20]Core Rates 2011'!BE308</f>
        <v>1.61</v>
      </c>
      <c r="F48" s="1170">
        <v>5</v>
      </c>
      <c r="G48" s="1171">
        <f t="shared" si="2"/>
        <v>8.0500000000000007</v>
      </c>
      <c r="H48" s="35"/>
      <c r="I48" s="36"/>
    </row>
    <row r="49" spans="1:9">
      <c r="A49" s="2"/>
      <c r="B49" s="1186" t="s">
        <v>481</v>
      </c>
      <c r="C49" s="1187"/>
      <c r="D49" s="1185" t="s">
        <v>454</v>
      </c>
      <c r="E49" s="1169">
        <f>+'[20]Core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35"/>
      <c r="D51" s="35"/>
      <c r="E51" s="60"/>
      <c r="F51" s="60"/>
      <c r="G51" s="60"/>
      <c r="H51" s="35"/>
      <c r="I51" s="46"/>
    </row>
    <row r="52" spans="1:9">
      <c r="A52" s="2"/>
      <c r="B52" s="40" t="s">
        <v>457</v>
      </c>
      <c r="C52" s="35"/>
      <c r="D52" s="35"/>
      <c r="E52" s="60"/>
      <c r="F52" s="60"/>
      <c r="G52" s="60"/>
      <c r="H52" s="35"/>
      <c r="I52" s="4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(SUM(G56:G62)*0.85)</f>
        <v>1495.8866666666668</v>
      </c>
    </row>
    <row r="55" spans="1:9">
      <c r="A55" s="2"/>
      <c r="B55" s="1174"/>
      <c r="C55" s="35"/>
      <c r="D55" s="1167" t="s">
        <v>447</v>
      </c>
      <c r="E55" s="1167" t="s">
        <v>448</v>
      </c>
      <c r="F55" s="1167" t="s">
        <v>449</v>
      </c>
      <c r="G55" s="1167" t="s">
        <v>450</v>
      </c>
      <c r="H55" s="35"/>
      <c r="I55" s="46"/>
    </row>
    <row r="56" spans="1:9">
      <c r="A56" s="2"/>
      <c r="B56" s="1387" t="str">
        <f>+'[20]Core Rates'!A109</f>
        <v>Earthmoving: Light grading/shaping (1-2 hrs/ac)</v>
      </c>
      <c r="C56" s="1387"/>
      <c r="D56" s="1408" t="s">
        <v>408</v>
      </c>
      <c r="E56" s="1169">
        <f>+'[20]Core Rates'!C109</f>
        <v>165.75</v>
      </c>
      <c r="F56" s="1170">
        <v>1</v>
      </c>
      <c r="G56" s="1171">
        <f t="shared" ref="G56:G62" si="3">+F56*E56</f>
        <v>165.75</v>
      </c>
      <c r="H56" s="35"/>
      <c r="I56" s="47"/>
    </row>
    <row r="57" spans="1:9">
      <c r="A57" s="2"/>
      <c r="B57" s="1409" t="str">
        <f>+'[20]Core Rates'!A217</f>
        <v>Mulching (2 tons/ac applied)</v>
      </c>
      <c r="C57" s="153"/>
      <c r="D57" s="1171" t="s">
        <v>408</v>
      </c>
      <c r="E57" s="1171">
        <f>+'[20]Core Rates'!C217</f>
        <v>472.5</v>
      </c>
      <c r="F57" s="1169">
        <v>0.85</v>
      </c>
      <c r="G57" s="1171">
        <f t="shared" si="3"/>
        <v>401.625</v>
      </c>
      <c r="H57" s="35"/>
      <c r="I57" s="47"/>
    </row>
    <row r="58" spans="1:9">
      <c r="A58" s="2"/>
      <c r="B58" s="1412" t="str">
        <f>+'[20]Core Rates'!A123</f>
        <v>Erosion Control Blanket, Type II (Installed)</v>
      </c>
      <c r="C58" s="153"/>
      <c r="D58" s="1171" t="str">
        <f>+'[20]Core Rates'!B123</f>
        <v>Sq Yd</v>
      </c>
      <c r="E58" s="1171">
        <f>+'[20]Core Rates'!C123</f>
        <v>1.5750000000000002</v>
      </c>
      <c r="F58" s="1169">
        <v>0.15</v>
      </c>
      <c r="G58" s="1171">
        <f>+E58/9*43560*F58</f>
        <v>1143.45</v>
      </c>
      <c r="H58" s="35"/>
      <c r="I58" s="47"/>
    </row>
    <row r="59" spans="1:9">
      <c r="A59" s="2"/>
      <c r="B59" s="40" t="s">
        <v>461</v>
      </c>
      <c r="C59" s="6"/>
      <c r="D59" s="1168" t="s">
        <v>408</v>
      </c>
      <c r="E59" s="1169">
        <f>+'[20]Core Rates'!C104</f>
        <v>20</v>
      </c>
      <c r="F59" s="1170">
        <v>1</v>
      </c>
      <c r="G59" s="1171">
        <f t="shared" si="3"/>
        <v>20</v>
      </c>
      <c r="H59" s="35"/>
      <c r="I59" s="47"/>
    </row>
    <row r="60" spans="1:9">
      <c r="A60" s="2"/>
      <c r="B60" s="40" t="s">
        <v>462</v>
      </c>
      <c r="C60" s="6"/>
      <c r="D60" s="1168" t="s">
        <v>408</v>
      </c>
      <c r="E60" s="1169">
        <f>+'[20]Core Rates'!AN33</f>
        <v>5.416666666666667</v>
      </c>
      <c r="F60" s="1170">
        <v>1</v>
      </c>
      <c r="G60" s="1171">
        <f t="shared" si="3"/>
        <v>5.416666666666667</v>
      </c>
      <c r="H60" s="35"/>
      <c r="I60" s="47"/>
    </row>
    <row r="61" spans="1:9">
      <c r="A61" s="2"/>
      <c r="B61" s="40" t="s">
        <v>463</v>
      </c>
      <c r="C61" s="6"/>
      <c r="D61" s="1168" t="s">
        <v>452</v>
      </c>
      <c r="E61" s="1169">
        <f>+'[20]Core Rates'!AN34</f>
        <v>5.5</v>
      </c>
      <c r="F61" s="1170">
        <v>2</v>
      </c>
      <c r="G61" s="1171">
        <f t="shared" si="3"/>
        <v>11</v>
      </c>
      <c r="H61" s="35"/>
      <c r="I61" s="47"/>
    </row>
    <row r="62" spans="1:9">
      <c r="A62" s="2"/>
      <c r="B62" s="40" t="s">
        <v>464</v>
      </c>
      <c r="C62" s="6"/>
      <c r="D62" s="1168" t="s">
        <v>452</v>
      </c>
      <c r="E62" s="1169">
        <f>+'[20]Core Rates'!AN32</f>
        <v>6.3125</v>
      </c>
      <c r="F62" s="1170">
        <v>2</v>
      </c>
      <c r="G62" s="1171">
        <f t="shared" si="3"/>
        <v>12.625</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263.98</v>
      </c>
    </row>
    <row r="70" spans="1:9">
      <c r="A70" s="2"/>
      <c r="B70" s="2007" t="s">
        <v>465</v>
      </c>
      <c r="C70" s="2008"/>
      <c r="D70" s="35"/>
      <c r="E70" s="35"/>
      <c r="F70" s="35"/>
      <c r="G70" s="35"/>
      <c r="H70" s="35"/>
      <c r="I70" s="48"/>
    </row>
    <row r="71" spans="1:9">
      <c r="A71" s="2"/>
      <c r="B71" s="37" t="s">
        <v>466</v>
      </c>
      <c r="C71" s="39"/>
      <c r="D71" s="39"/>
      <c r="E71" s="153">
        <f>SUM(G56:G62)*0.15</f>
        <v>263.98</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0.03*(I40+I54+I69)</f>
        <v>58.440224875267283</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0.01*(I40+I54+I69)</f>
        <v>19.480074958422428</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1349</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600</v>
      </c>
    </row>
    <row r="85" spans="1:9">
      <c r="A85" s="2"/>
      <c r="B85" s="756" t="s">
        <v>1350</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1351</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+I40+I54+I69+I75+I81+I91</f>
        <v>2006.44772071751</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2625.9277956759324</v>
      </c>
    </row>
  </sheetData>
  <mergeCells count="4">
    <mergeCell ref="B1:D1"/>
    <mergeCell ref="E54:H54"/>
    <mergeCell ref="B65:I66"/>
    <mergeCell ref="B70:C70"/>
  </mergeCells>
  <pageMargins left="0.75" right="0.75" top="1" bottom="1" header="0.5" footer="0.5"/>
  <pageSetup scale="55" orientation="portrait" r:id="rId1"/>
  <headerFooter alignWithMargins="0"/>
</worksheet>
</file>

<file path=xl/worksheets/sheet87.xml><?xml version="1.0" encoding="utf-8"?>
<worksheet xmlns="http://schemas.openxmlformats.org/spreadsheetml/2006/main" xmlns:r="http://schemas.openxmlformats.org/officeDocument/2006/relationships">
  <sheetPr>
    <pageSetUpPr fitToPage="1"/>
  </sheetPr>
  <dimension ref="A1:L97"/>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1355</v>
      </c>
      <c r="F6" s="7" t="str">
        <f>+D36</f>
        <v>Acre</v>
      </c>
      <c r="G6" s="85">
        <f>+I25</f>
        <v>1765.8442280381321</v>
      </c>
    </row>
    <row r="7" spans="1:12" ht="25.5" hidden="1">
      <c r="A7" s="2"/>
      <c r="B7" s="54">
        <f>+B6</f>
        <v>342</v>
      </c>
      <c r="C7" s="7" t="str">
        <f>+C6</f>
        <v>EQIP</v>
      </c>
      <c r="D7" s="53" t="s">
        <v>1344</v>
      </c>
      <c r="E7" s="110" t="str">
        <f>CONCATENATE(E6, "-HU")</f>
        <v>Critical Area Planting - Med. Grading/Shaping (2-6hr/Ac), Introd. Grasses, ECB &amp; Mulch  -HU</v>
      </c>
      <c r="F7" s="7" t="str">
        <f>+F6</f>
        <v>Acre</v>
      </c>
      <c r="G7" s="85">
        <f>+J25</f>
        <v>2119.0130736457586</v>
      </c>
    </row>
    <row r="8" spans="1:12" ht="25.5" hidden="1">
      <c r="A8" s="2"/>
      <c r="B8" s="54">
        <v>342</v>
      </c>
      <c r="C8" s="7" t="str">
        <f>+G12</f>
        <v>WHIP</v>
      </c>
      <c r="D8" s="53" t="s">
        <v>1344</v>
      </c>
      <c r="E8" s="110" t="str">
        <f>+E6</f>
        <v xml:space="preserve">Critical Area Planting - Med. Grading/Shaping (2-6hr/Ac), Introd. Grasses, ECB &amp; Mulch  </v>
      </c>
      <c r="F8" s="7" t="str">
        <f>+D36</f>
        <v>Acre</v>
      </c>
      <c r="G8" s="85">
        <f>+K25</f>
        <v>0</v>
      </c>
    </row>
    <row r="9" spans="1:12" ht="25.5" hidden="1">
      <c r="A9" s="2"/>
      <c r="B9" s="8">
        <f>+B8</f>
        <v>342</v>
      </c>
      <c r="C9" s="10" t="str">
        <f>+C8</f>
        <v>WHIP</v>
      </c>
      <c r="D9" s="9" t="s">
        <v>1344</v>
      </c>
      <c r="E9" s="111" t="str">
        <f>CONCATENATE(E6, "-HU")</f>
        <v>Critical Area Planting - Med. Grading/Shaping (2-6hr/Ac), Introd. Grasses, ECB &amp; Mulch  -HU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188.14082917557616</v>
      </c>
      <c r="E16" s="160">
        <f>+'[10]Payment Factors'!D11</f>
        <v>0.75</v>
      </c>
      <c r="F16" s="160">
        <f>+'[10]Payment Factors'!E11</f>
        <v>0.9</v>
      </c>
      <c r="G16" s="160">
        <f>+'[10]Payment Factors'!F11</f>
        <v>0</v>
      </c>
      <c r="H16" s="160">
        <f>+'[10]Payment Factors'!G11</f>
        <v>0</v>
      </c>
      <c r="I16" s="1154">
        <f t="shared" ref="I16:L24" si="0">+$D16*E16</f>
        <v>141.10562188168211</v>
      </c>
      <c r="J16" s="1154">
        <f t="shared" si="0"/>
        <v>169.32674625801855</v>
      </c>
      <c r="K16" s="1154">
        <f t="shared" si="0"/>
        <v>0</v>
      </c>
      <c r="L16" s="1155">
        <f t="shared" si="0"/>
        <v>0</v>
      </c>
    </row>
    <row r="17" spans="1:12" hidden="1">
      <c r="A17" s="2"/>
      <c r="B17" s="15" t="s">
        <v>2</v>
      </c>
      <c r="C17" s="16"/>
      <c r="D17" s="24">
        <f>+I54</f>
        <v>1783.0804166666662</v>
      </c>
      <c r="E17" s="160">
        <f t="shared" ref="E17:H19" si="1">+E16</f>
        <v>0.75</v>
      </c>
      <c r="F17" s="160">
        <f t="shared" si="1"/>
        <v>0.9</v>
      </c>
      <c r="G17" s="160">
        <f t="shared" si="1"/>
        <v>0</v>
      </c>
      <c r="H17" s="160">
        <f t="shared" si="1"/>
        <v>0</v>
      </c>
      <c r="I17" s="1154">
        <f t="shared" si="0"/>
        <v>1337.3103124999998</v>
      </c>
      <c r="J17" s="1154">
        <f t="shared" si="0"/>
        <v>1604.7723749999996</v>
      </c>
      <c r="K17" s="1154">
        <f t="shared" si="0"/>
        <v>0</v>
      </c>
      <c r="L17" s="1155">
        <f t="shared" si="0"/>
        <v>0</v>
      </c>
    </row>
    <row r="18" spans="1:12" hidden="1">
      <c r="A18" s="2"/>
      <c r="B18" s="15" t="s">
        <v>3</v>
      </c>
      <c r="C18" s="16"/>
      <c r="D18" s="24">
        <f>+I69</f>
        <v>314.66124999999994</v>
      </c>
      <c r="E18" s="160">
        <f t="shared" si="1"/>
        <v>0.75</v>
      </c>
      <c r="F18" s="160">
        <f t="shared" si="1"/>
        <v>0.9</v>
      </c>
      <c r="G18" s="160">
        <f t="shared" si="1"/>
        <v>0</v>
      </c>
      <c r="H18" s="160">
        <f t="shared" si="1"/>
        <v>0</v>
      </c>
      <c r="I18" s="1154">
        <f t="shared" si="0"/>
        <v>235.99593749999997</v>
      </c>
      <c r="J18" s="1154">
        <f t="shared" si="0"/>
        <v>283.19512499999996</v>
      </c>
      <c r="K18" s="1154">
        <f t="shared" si="0"/>
        <v>0</v>
      </c>
      <c r="L18" s="1155">
        <f t="shared" si="0"/>
        <v>0</v>
      </c>
    </row>
    <row r="19" spans="1:12" hidden="1">
      <c r="A19" s="2"/>
      <c r="B19" s="15" t="s">
        <v>4</v>
      </c>
      <c r="C19" s="16"/>
      <c r="D19" s="24">
        <f>+I75</f>
        <v>68.576474875267266</v>
      </c>
      <c r="E19" s="160">
        <f t="shared" si="1"/>
        <v>0.75</v>
      </c>
      <c r="F19" s="160">
        <f t="shared" si="1"/>
        <v>0.9</v>
      </c>
      <c r="G19" s="160">
        <f t="shared" si="1"/>
        <v>0</v>
      </c>
      <c r="H19" s="160">
        <f t="shared" si="1"/>
        <v>0</v>
      </c>
      <c r="I19" s="1154">
        <f t="shared" si="0"/>
        <v>51.432356156450453</v>
      </c>
      <c r="J19" s="1154">
        <f t="shared" si="0"/>
        <v>61.718827387740539</v>
      </c>
      <c r="K19" s="1154">
        <f t="shared" si="0"/>
        <v>0</v>
      </c>
      <c r="L19" s="1155">
        <f t="shared" si="0"/>
        <v>0</v>
      </c>
    </row>
    <row r="20" spans="1:12" hidden="1">
      <c r="A20" s="2"/>
      <c r="B20" s="15" t="s">
        <v>26</v>
      </c>
      <c r="C20" s="16"/>
      <c r="D20" s="24">
        <f>+I78</f>
        <v>22.858824958422424</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+I84</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2977.3177956759318</v>
      </c>
      <c r="E25" s="1158"/>
      <c r="F25" s="1158"/>
      <c r="G25" s="28"/>
      <c r="H25" s="28"/>
      <c r="I25" s="1159">
        <f>SUM(I16:I24)</f>
        <v>1765.8442280381321</v>
      </c>
      <c r="J25" s="1159">
        <f>SUM(J16:J24)</f>
        <v>2119.0130736457586</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188.14082917557616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+'[20]Core Rates'!C203</f>
        <v>8.75</v>
      </c>
      <c r="F43" s="1170">
        <v>2</v>
      </c>
      <c r="G43" s="1171">
        <f t="shared" si="2"/>
        <v>17.5</v>
      </c>
      <c r="H43" s="35"/>
      <c r="I43" s="36"/>
    </row>
    <row r="44" spans="1:9">
      <c r="A44" s="2"/>
      <c r="B44" s="1184" t="s">
        <v>453</v>
      </c>
      <c r="C44" s="6"/>
      <c r="D44" s="1185" t="s">
        <v>454</v>
      </c>
      <c r="E44" s="1169">
        <f>+'[20]Core Rates'!C228</f>
        <v>0.82427536231884069</v>
      </c>
      <c r="F44" s="1170">
        <v>50</v>
      </c>
      <c r="G44" s="1171">
        <f t="shared" si="2"/>
        <v>41.213768115942031</v>
      </c>
      <c r="H44" s="35"/>
      <c r="I44" s="36"/>
    </row>
    <row r="45" spans="1:9">
      <c r="A45" s="2"/>
      <c r="B45" s="1186" t="s">
        <v>455</v>
      </c>
      <c r="C45" s="1187"/>
      <c r="D45" s="1185" t="s">
        <v>454</v>
      </c>
      <c r="E45" s="1169">
        <f>+'[20]Core Rates'!C235</f>
        <v>1.1702898550724636</v>
      </c>
      <c r="F45" s="1170">
        <v>50</v>
      </c>
      <c r="G45" s="1171">
        <f t="shared" si="2"/>
        <v>58.51449275362318</v>
      </c>
      <c r="H45" s="35"/>
      <c r="I45" s="36"/>
    </row>
    <row r="46" spans="1:9">
      <c r="A46" s="2"/>
      <c r="B46" s="1186" t="s">
        <v>456</v>
      </c>
      <c r="C46" s="1187"/>
      <c r="D46" s="1168" t="s">
        <v>454</v>
      </c>
      <c r="E46" s="1169">
        <f>+'[20]Core Rates'!C246</f>
        <v>0.58825136612021856</v>
      </c>
      <c r="F46" s="1170">
        <v>50</v>
      </c>
      <c r="G46" s="1171">
        <f t="shared" si="2"/>
        <v>29.412568306010929</v>
      </c>
      <c r="H46" s="35"/>
      <c r="I46" s="36"/>
    </row>
    <row r="47" spans="1:9">
      <c r="A47" s="2"/>
      <c r="B47" s="1186" t="s">
        <v>479</v>
      </c>
      <c r="C47" s="1187"/>
      <c r="D47" s="1185" t="s">
        <v>454</v>
      </c>
      <c r="E47" s="1169">
        <f>+'[20]Core Rates 2011'!BE307</f>
        <v>1.68</v>
      </c>
      <c r="F47" s="1170">
        <v>15</v>
      </c>
      <c r="G47" s="1171">
        <f t="shared" si="2"/>
        <v>25.2</v>
      </c>
      <c r="H47" s="35"/>
      <c r="I47" s="36"/>
    </row>
    <row r="48" spans="1:9">
      <c r="A48" s="2"/>
      <c r="B48" s="1186" t="s">
        <v>480</v>
      </c>
      <c r="C48" s="1187"/>
      <c r="D48" s="1185" t="s">
        <v>454</v>
      </c>
      <c r="E48" s="1169">
        <f>+'[20]Core Rates 2011'!BE308</f>
        <v>1.61</v>
      </c>
      <c r="F48" s="1170">
        <v>5</v>
      </c>
      <c r="G48" s="1171">
        <f t="shared" si="2"/>
        <v>8.0500000000000007</v>
      </c>
      <c r="H48" s="35"/>
      <c r="I48" s="36"/>
    </row>
    <row r="49" spans="1:9">
      <c r="A49" s="2"/>
      <c r="B49" s="1186" t="s">
        <v>481</v>
      </c>
      <c r="C49" s="1187"/>
      <c r="D49" s="1185" t="s">
        <v>454</v>
      </c>
      <c r="E49" s="1169">
        <f>+'[20]Core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35"/>
      <c r="D51" s="35"/>
      <c r="E51" s="60"/>
      <c r="F51" s="60"/>
      <c r="G51" s="60"/>
      <c r="H51" s="35"/>
      <c r="I51" s="46"/>
    </row>
    <row r="52" spans="1:9">
      <c r="A52" s="2"/>
      <c r="B52" s="40" t="s">
        <v>457</v>
      </c>
      <c r="C52" s="35"/>
      <c r="D52" s="35"/>
      <c r="E52" s="60"/>
      <c r="F52" s="60"/>
      <c r="G52" s="60"/>
      <c r="H52" s="35"/>
      <c r="I52" s="4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(SUM(G56:G601)*0.85)</f>
        <v>1783.0804166666662</v>
      </c>
    </row>
    <row r="55" spans="1:9">
      <c r="A55" s="2"/>
      <c r="B55" s="1174"/>
      <c r="C55" s="35"/>
      <c r="D55" s="1167" t="s">
        <v>447</v>
      </c>
      <c r="E55" s="1167" t="s">
        <v>448</v>
      </c>
      <c r="F55" s="1167" t="s">
        <v>449</v>
      </c>
      <c r="G55" s="1167" t="s">
        <v>450</v>
      </c>
      <c r="H55" s="35"/>
      <c r="I55" s="46"/>
    </row>
    <row r="56" spans="1:9">
      <c r="A56" s="2"/>
      <c r="B56" s="1389" t="str">
        <f>+'[20]Core Rates'!A111</f>
        <v>Earthmoving: Medium grading/shaping (2-6 hrs/ac)</v>
      </c>
      <c r="C56" s="1387"/>
      <c r="D56" s="1408" t="s">
        <v>408</v>
      </c>
      <c r="E56" s="1169">
        <f>+'[20]Core Rates'!C111</f>
        <v>503.625</v>
      </c>
      <c r="F56" s="1170">
        <v>1</v>
      </c>
      <c r="G56" s="1171">
        <f>+F56*E56</f>
        <v>503.625</v>
      </c>
      <c r="H56" s="35"/>
      <c r="I56" s="47"/>
    </row>
    <row r="57" spans="1:9">
      <c r="A57" s="2"/>
      <c r="B57" s="1409" t="str">
        <f>+'[20]Core Rates'!A217</f>
        <v>Mulching (2 tons/ac applied)</v>
      </c>
      <c r="C57" s="153"/>
      <c r="D57" s="1171" t="s">
        <v>408</v>
      </c>
      <c r="E57" s="1171">
        <f>+'[20]Core Rates'!C217</f>
        <v>472.5</v>
      </c>
      <c r="F57" s="1169">
        <v>0.85</v>
      </c>
      <c r="G57" s="1171">
        <f>+F57*E57</f>
        <v>401.625</v>
      </c>
      <c r="H57" s="35"/>
      <c r="I57" s="47"/>
    </row>
    <row r="58" spans="1:9">
      <c r="A58" s="2"/>
      <c r="B58" s="1412" t="str">
        <f>+'[20]Core Rates'!A123</f>
        <v>Erosion Control Blanket, Type II (Installed)</v>
      </c>
      <c r="C58" s="153"/>
      <c r="D58" s="1171" t="str">
        <f>+'[20]Core Rates'!B123</f>
        <v>Sq Yd</v>
      </c>
      <c r="E58" s="1171">
        <f>+'[20]Core Rates'!C123</f>
        <v>1.5750000000000002</v>
      </c>
      <c r="F58" s="1169">
        <v>0.15</v>
      </c>
      <c r="G58" s="1171">
        <f>+E58/9*43560*F58</f>
        <v>1143.45</v>
      </c>
      <c r="H58" s="35"/>
      <c r="I58" s="47"/>
    </row>
    <row r="59" spans="1:9">
      <c r="A59" s="2"/>
      <c r="B59" s="40" t="s">
        <v>461</v>
      </c>
      <c r="C59" s="6"/>
      <c r="D59" s="1168" t="s">
        <v>408</v>
      </c>
      <c r="E59" s="1169">
        <f>+'[20]Core Rates'!C104</f>
        <v>20</v>
      </c>
      <c r="F59" s="1170">
        <v>1</v>
      </c>
      <c r="G59" s="1171">
        <f>+F59*E59</f>
        <v>20</v>
      </c>
      <c r="H59" s="35"/>
      <c r="I59" s="47"/>
    </row>
    <row r="60" spans="1:9">
      <c r="A60" s="2"/>
      <c r="B60" s="40" t="s">
        <v>462</v>
      </c>
      <c r="C60" s="6"/>
      <c r="D60" s="1168" t="s">
        <v>408</v>
      </c>
      <c r="E60" s="1169">
        <f>+'[20]Core Rates'!AN33</f>
        <v>5.416666666666667</v>
      </c>
      <c r="F60" s="1170">
        <v>1</v>
      </c>
      <c r="G60" s="1171">
        <f>+F60*E60</f>
        <v>5.416666666666667</v>
      </c>
      <c r="H60" s="35"/>
      <c r="I60" s="47"/>
    </row>
    <row r="61" spans="1:9">
      <c r="A61" s="2"/>
      <c r="B61" s="40" t="s">
        <v>463</v>
      </c>
      <c r="C61" s="6"/>
      <c r="D61" s="1168" t="s">
        <v>452</v>
      </c>
      <c r="E61" s="1169">
        <f>+'[20]Core Rates'!AN34</f>
        <v>5.5</v>
      </c>
      <c r="F61" s="1170">
        <v>2</v>
      </c>
      <c r="G61" s="1171">
        <f>+F61*E61</f>
        <v>11</v>
      </c>
      <c r="H61" s="35"/>
      <c r="I61" s="47"/>
    </row>
    <row r="62" spans="1:9">
      <c r="A62" s="2"/>
      <c r="B62" s="40" t="s">
        <v>464</v>
      </c>
      <c r="C62" s="6"/>
      <c r="D62" s="1168" t="s">
        <v>452</v>
      </c>
      <c r="E62" s="1169">
        <f>+'[20]Core Rates'!AN32</f>
        <v>6.3125</v>
      </c>
      <c r="F62" s="1170">
        <v>2</v>
      </c>
      <c r="G62" s="1171">
        <f>+F62*E62</f>
        <v>12.625</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314.66124999999994</v>
      </c>
    </row>
    <row r="70" spans="1:9">
      <c r="A70" s="2"/>
      <c r="B70" s="2007" t="s">
        <v>465</v>
      </c>
      <c r="C70" s="2008"/>
      <c r="D70" s="35"/>
      <c r="E70" s="35"/>
      <c r="F70" s="35"/>
      <c r="G70" s="35"/>
      <c r="H70" s="35"/>
      <c r="I70" s="48"/>
    </row>
    <row r="71" spans="1:9">
      <c r="A71" s="2"/>
      <c r="B71" s="37" t="s">
        <v>466</v>
      </c>
      <c r="C71" s="39"/>
      <c r="D71" s="39"/>
      <c r="E71" s="153">
        <f>SUM(G56:G62)*0.15</f>
        <v>314.66124999999994</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0.03*(I40+I54+I69)</f>
        <v>68.576474875267266</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0.01*(I40+I54+I69)</f>
        <v>22.858824958422424</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1349</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600</v>
      </c>
    </row>
    <row r="85" spans="1:9">
      <c r="A85" s="2"/>
      <c r="B85" s="756" t="s">
        <v>1350</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1351</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+I40+I54+I69+I75+I81+I91</f>
        <v>2354.4589707175096</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2977.3177956759318</v>
      </c>
    </row>
  </sheetData>
  <mergeCells count="4">
    <mergeCell ref="B1:D1"/>
    <mergeCell ref="E54:H54"/>
    <mergeCell ref="B65:I66"/>
    <mergeCell ref="B70:C70"/>
  </mergeCells>
  <pageMargins left="0.75" right="0.75" top="1" bottom="1" header="0.5" footer="0.5"/>
  <pageSetup scale="55" orientation="portrait" r:id="rId1"/>
  <headerFooter alignWithMargins="0"/>
</worksheet>
</file>

<file path=xl/worksheets/sheet88.xml><?xml version="1.0" encoding="utf-8"?>
<worksheet xmlns="http://schemas.openxmlformats.org/spreadsheetml/2006/main" xmlns:r="http://schemas.openxmlformats.org/officeDocument/2006/relationships">
  <sheetPr>
    <pageSetUpPr fitToPage="1"/>
  </sheetPr>
  <dimension ref="A1:L97"/>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1356</v>
      </c>
      <c r="F6" s="7" t="str">
        <f>+D36</f>
        <v>Acre</v>
      </c>
      <c r="G6" s="85">
        <f>+I25</f>
        <v>2021.9279780381321</v>
      </c>
    </row>
    <row r="7" spans="1:12" ht="25.5" hidden="1">
      <c r="A7" s="2"/>
      <c r="B7" s="54">
        <f>+B6</f>
        <v>342</v>
      </c>
      <c r="C7" s="7" t="str">
        <f>+C6</f>
        <v>EQIP</v>
      </c>
      <c r="D7" s="53" t="s">
        <v>1344</v>
      </c>
      <c r="E7" s="110" t="str">
        <f>CONCATENATE(E6, "-HU")</f>
        <v>Critical Area Planting - Heavy Grading/Shaping (6-10hr/Ac), Introd. Grasses, ECB &amp; Mulch  -HU</v>
      </c>
      <c r="F7" s="7" t="str">
        <f>+F6</f>
        <v>Acre</v>
      </c>
      <c r="G7" s="85">
        <f>+J25</f>
        <v>2426.3135736457584</v>
      </c>
    </row>
    <row r="8" spans="1:12" ht="25.5" hidden="1">
      <c r="A8" s="2"/>
      <c r="B8" s="54">
        <v>342</v>
      </c>
      <c r="C8" s="7" t="str">
        <f>+G12</f>
        <v>WHIP</v>
      </c>
      <c r="D8" s="53" t="s">
        <v>1344</v>
      </c>
      <c r="E8" s="110" t="str">
        <f>+E6</f>
        <v xml:space="preserve">Critical Area Planting - Heavy Grading/Shaping (6-10hr/Ac), Introd. Grasses, ECB &amp; Mulch  </v>
      </c>
      <c r="F8" s="7" t="str">
        <f>+D36</f>
        <v>Acre</v>
      </c>
      <c r="G8" s="85">
        <f>+K25</f>
        <v>0</v>
      </c>
    </row>
    <row r="9" spans="1:12" ht="25.5" hidden="1">
      <c r="A9" s="2"/>
      <c r="B9" s="8">
        <f>+B8</f>
        <v>342</v>
      </c>
      <c r="C9" s="10" t="str">
        <f>+C8</f>
        <v>WHIP</v>
      </c>
      <c r="D9" s="9" t="s">
        <v>1344</v>
      </c>
      <c r="E9" s="111" t="str">
        <f>CONCATENATE(E6, "-HU")</f>
        <v>Critical Area Planting - Heavy Grading/Shaping (6-10hr/Ac), Introd. Grasses, ECB &amp; Mulch  -HU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188.14082917557616</v>
      </c>
      <c r="E16" s="160">
        <f>+'[10]Payment Factors'!D11</f>
        <v>0.75</v>
      </c>
      <c r="F16" s="160">
        <f>+'[10]Payment Factors'!E11</f>
        <v>0.9</v>
      </c>
      <c r="G16" s="160">
        <f>+'[10]Payment Factors'!F11</f>
        <v>0</v>
      </c>
      <c r="H16" s="160">
        <f>+'[10]Payment Factors'!G11</f>
        <v>0</v>
      </c>
      <c r="I16" s="1154">
        <f t="shared" ref="I16:L24" si="0">+$D16*E16</f>
        <v>141.10562188168211</v>
      </c>
      <c r="J16" s="1154">
        <f t="shared" si="0"/>
        <v>169.32674625801855</v>
      </c>
      <c r="K16" s="1154">
        <f t="shared" si="0"/>
        <v>0</v>
      </c>
      <c r="L16" s="1155">
        <f t="shared" si="0"/>
        <v>0</v>
      </c>
    </row>
    <row r="17" spans="1:12" hidden="1">
      <c r="A17" s="2"/>
      <c r="B17" s="15" t="s">
        <v>2</v>
      </c>
      <c r="C17" s="16"/>
      <c r="D17" s="24">
        <f>+I54</f>
        <v>2064.8554166666663</v>
      </c>
      <c r="E17" s="160">
        <f t="shared" ref="E17:H19" si="1">+E16</f>
        <v>0.75</v>
      </c>
      <c r="F17" s="160">
        <f t="shared" si="1"/>
        <v>0.9</v>
      </c>
      <c r="G17" s="160">
        <f t="shared" si="1"/>
        <v>0</v>
      </c>
      <c r="H17" s="160">
        <f t="shared" si="1"/>
        <v>0</v>
      </c>
      <c r="I17" s="1154">
        <f t="shared" si="0"/>
        <v>1548.6415624999997</v>
      </c>
      <c r="J17" s="1154">
        <f t="shared" si="0"/>
        <v>1858.3698749999996</v>
      </c>
      <c r="K17" s="1154">
        <f t="shared" si="0"/>
        <v>0</v>
      </c>
      <c r="L17" s="1155">
        <f t="shared" si="0"/>
        <v>0</v>
      </c>
    </row>
    <row r="18" spans="1:12" hidden="1">
      <c r="A18" s="2"/>
      <c r="B18" s="15" t="s">
        <v>3</v>
      </c>
      <c r="C18" s="16"/>
      <c r="D18" s="24">
        <f>+I69</f>
        <v>364.38624999999996</v>
      </c>
      <c r="E18" s="160">
        <f t="shared" si="1"/>
        <v>0.75</v>
      </c>
      <c r="F18" s="160">
        <f t="shared" si="1"/>
        <v>0.9</v>
      </c>
      <c r="G18" s="160">
        <f t="shared" si="1"/>
        <v>0</v>
      </c>
      <c r="H18" s="160">
        <f t="shared" si="1"/>
        <v>0</v>
      </c>
      <c r="I18" s="1154">
        <f t="shared" si="0"/>
        <v>273.28968749999996</v>
      </c>
      <c r="J18" s="1154">
        <f t="shared" si="0"/>
        <v>327.94762499999996</v>
      </c>
      <c r="K18" s="1154">
        <f t="shared" si="0"/>
        <v>0</v>
      </c>
      <c r="L18" s="1155">
        <f t="shared" si="0"/>
        <v>0</v>
      </c>
    </row>
    <row r="19" spans="1:12" hidden="1">
      <c r="A19" s="2"/>
      <c r="B19" s="15" t="s">
        <v>4</v>
      </c>
      <c r="C19" s="16"/>
      <c r="D19" s="24">
        <f>+I75</f>
        <v>78.521474875267273</v>
      </c>
      <c r="E19" s="160">
        <f t="shared" si="1"/>
        <v>0.75</v>
      </c>
      <c r="F19" s="160">
        <f t="shared" si="1"/>
        <v>0.9</v>
      </c>
      <c r="G19" s="160">
        <f t="shared" si="1"/>
        <v>0</v>
      </c>
      <c r="H19" s="160">
        <f t="shared" si="1"/>
        <v>0</v>
      </c>
      <c r="I19" s="1154">
        <f t="shared" si="0"/>
        <v>58.891106156450455</v>
      </c>
      <c r="J19" s="1154">
        <f t="shared" si="0"/>
        <v>70.669327387740552</v>
      </c>
      <c r="K19" s="1154">
        <f t="shared" si="0"/>
        <v>0</v>
      </c>
      <c r="L19" s="1155">
        <f t="shared" si="0"/>
        <v>0</v>
      </c>
    </row>
    <row r="20" spans="1:12" hidden="1">
      <c r="A20" s="2"/>
      <c r="B20" s="15" t="s">
        <v>26</v>
      </c>
      <c r="C20" s="16"/>
      <c r="D20" s="24">
        <f>+I78</f>
        <v>26.173824958422426</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+I84</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3322.0777956759321</v>
      </c>
      <c r="E25" s="1158"/>
      <c r="F25" s="1158"/>
      <c r="G25" s="28"/>
      <c r="H25" s="28"/>
      <c r="I25" s="1159">
        <f>SUM(I16:I24)</f>
        <v>2021.9279780381321</v>
      </c>
      <c r="J25" s="1159">
        <f>SUM(J16:J24)</f>
        <v>2426.3135736457584</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SUM(G42:G49)</f>
        <v>188.14082917557616</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9" si="2">+F42*E42</f>
        <v>0</v>
      </c>
      <c r="H42" s="35"/>
      <c r="I42" s="47"/>
    </row>
    <row r="43" spans="1:9">
      <c r="A43" s="2"/>
      <c r="B43" s="40" t="s">
        <v>451</v>
      </c>
      <c r="C43" s="6"/>
      <c r="D43" s="1168" t="s">
        <v>452</v>
      </c>
      <c r="E43" s="1169">
        <f>+'[20]Core Rates'!C203</f>
        <v>8.75</v>
      </c>
      <c r="F43" s="1170">
        <v>2</v>
      </c>
      <c r="G43" s="1171">
        <f t="shared" si="2"/>
        <v>17.5</v>
      </c>
      <c r="H43" s="35"/>
      <c r="I43" s="36"/>
    </row>
    <row r="44" spans="1:9">
      <c r="A44" s="2"/>
      <c r="B44" s="1184" t="s">
        <v>453</v>
      </c>
      <c r="C44" s="6"/>
      <c r="D44" s="1185" t="s">
        <v>454</v>
      </c>
      <c r="E44" s="1169">
        <f>+'[20]Core Rates'!C228</f>
        <v>0.82427536231884069</v>
      </c>
      <c r="F44" s="1170">
        <v>50</v>
      </c>
      <c r="G44" s="1171">
        <f t="shared" si="2"/>
        <v>41.213768115942031</v>
      </c>
      <c r="H44" s="35"/>
      <c r="I44" s="36"/>
    </row>
    <row r="45" spans="1:9">
      <c r="A45" s="2"/>
      <c r="B45" s="1186" t="s">
        <v>455</v>
      </c>
      <c r="C45" s="1187"/>
      <c r="D45" s="1185" t="s">
        <v>454</v>
      </c>
      <c r="E45" s="1169">
        <f>+'[20]Core Rates'!C235</f>
        <v>1.1702898550724636</v>
      </c>
      <c r="F45" s="1170">
        <v>50</v>
      </c>
      <c r="G45" s="1171">
        <f t="shared" si="2"/>
        <v>58.51449275362318</v>
      </c>
      <c r="H45" s="35"/>
      <c r="I45" s="36"/>
    </row>
    <row r="46" spans="1:9">
      <c r="A46" s="2"/>
      <c r="B46" s="1186" t="s">
        <v>456</v>
      </c>
      <c r="C46" s="1187"/>
      <c r="D46" s="1168" t="s">
        <v>454</v>
      </c>
      <c r="E46" s="1169">
        <f>+'[20]Core Rates'!C246</f>
        <v>0.58825136612021856</v>
      </c>
      <c r="F46" s="1170">
        <v>50</v>
      </c>
      <c r="G46" s="1171">
        <f t="shared" si="2"/>
        <v>29.412568306010929</v>
      </c>
      <c r="H46" s="35"/>
      <c r="I46" s="36"/>
    </row>
    <row r="47" spans="1:9">
      <c r="A47" s="2"/>
      <c r="B47" s="1186" t="s">
        <v>479</v>
      </c>
      <c r="C47" s="1187"/>
      <c r="D47" s="1185" t="s">
        <v>454</v>
      </c>
      <c r="E47" s="1169">
        <f>+'[20]Core Rates 2011'!BE307</f>
        <v>1.68</v>
      </c>
      <c r="F47" s="1170">
        <v>15</v>
      </c>
      <c r="G47" s="1171">
        <f t="shared" si="2"/>
        <v>25.2</v>
      </c>
      <c r="H47" s="35"/>
      <c r="I47" s="36"/>
    </row>
    <row r="48" spans="1:9">
      <c r="A48" s="2"/>
      <c r="B48" s="1186" t="s">
        <v>480</v>
      </c>
      <c r="C48" s="1187"/>
      <c r="D48" s="1185" t="s">
        <v>454</v>
      </c>
      <c r="E48" s="1169">
        <f>+'[20]Core Rates 2011'!BE308</f>
        <v>1.61</v>
      </c>
      <c r="F48" s="1170">
        <v>5</v>
      </c>
      <c r="G48" s="1171">
        <f t="shared" si="2"/>
        <v>8.0500000000000007</v>
      </c>
      <c r="H48" s="35"/>
      <c r="I48" s="36"/>
    </row>
    <row r="49" spans="1:9">
      <c r="A49" s="2"/>
      <c r="B49" s="1186" t="s">
        <v>481</v>
      </c>
      <c r="C49" s="1187"/>
      <c r="D49" s="1185" t="s">
        <v>454</v>
      </c>
      <c r="E49" s="1169">
        <f>+'[20]Core Rates 2011'!BE309</f>
        <v>2.75</v>
      </c>
      <c r="F49" s="1170">
        <v>3</v>
      </c>
      <c r="G49" s="1171">
        <f t="shared" si="2"/>
        <v>8.25</v>
      </c>
      <c r="H49" s="35"/>
      <c r="I49" s="36"/>
    </row>
    <row r="50" spans="1:9">
      <c r="A50" s="2"/>
      <c r="B50" s="1184"/>
      <c r="C50" s="6"/>
      <c r="D50" s="1173"/>
      <c r="E50" s="1190"/>
      <c r="F50" s="35"/>
      <c r="G50" s="35"/>
      <c r="H50" s="35"/>
      <c r="I50" s="36"/>
    </row>
    <row r="51" spans="1:9">
      <c r="A51" s="2"/>
      <c r="B51" s="37" t="s">
        <v>43</v>
      </c>
      <c r="C51" s="35"/>
      <c r="D51" s="35"/>
      <c r="E51" s="60"/>
      <c r="F51" s="60"/>
      <c r="G51" s="60"/>
      <c r="H51" s="35"/>
      <c r="I51" s="46"/>
    </row>
    <row r="52" spans="1:9">
      <c r="A52" s="2"/>
      <c r="B52" s="40" t="s">
        <v>457</v>
      </c>
      <c r="C52" s="35"/>
      <c r="D52" s="35"/>
      <c r="E52" s="60"/>
      <c r="F52" s="60"/>
      <c r="G52" s="60"/>
      <c r="H52" s="35"/>
      <c r="I52" s="46"/>
    </row>
    <row r="53" spans="1:9">
      <c r="A53" s="2"/>
      <c r="B53" s="1172"/>
      <c r="C53" s="6"/>
      <c r="D53" s="1173"/>
      <c r="E53" s="35"/>
      <c r="F53" s="35"/>
      <c r="G53" s="35"/>
      <c r="H53" s="35"/>
      <c r="I53" s="36"/>
    </row>
    <row r="54" spans="1:9">
      <c r="A54" s="2"/>
      <c r="B54" s="42" t="s">
        <v>2</v>
      </c>
      <c r="C54" s="35"/>
      <c r="D54" s="35"/>
      <c r="E54" s="2003" t="s">
        <v>459</v>
      </c>
      <c r="F54" s="2003"/>
      <c r="G54" s="2003"/>
      <c r="H54" s="2003"/>
      <c r="I54" s="1166">
        <f>(SUM(G56:G62)*0.85)</f>
        <v>2064.8554166666663</v>
      </c>
    </row>
    <row r="55" spans="1:9">
      <c r="A55" s="2"/>
      <c r="B55" s="1174"/>
      <c r="C55" s="35"/>
      <c r="D55" s="1167" t="s">
        <v>447</v>
      </c>
      <c r="E55" s="1167" t="s">
        <v>448</v>
      </c>
      <c r="F55" s="1167" t="s">
        <v>449</v>
      </c>
      <c r="G55" s="1167" t="s">
        <v>450</v>
      </c>
      <c r="H55" s="35"/>
      <c r="I55" s="46"/>
    </row>
    <row r="56" spans="1:9">
      <c r="A56" s="2"/>
      <c r="B56" s="1389" t="str">
        <f>+'[20]Core Rates'!A113</f>
        <v>Earthmoving: Heavy grading/shaping (6-10 hrs/ac)</v>
      </c>
      <c r="C56" s="1387"/>
      <c r="D56" s="1408" t="s">
        <v>408</v>
      </c>
      <c r="E56" s="1169">
        <f>+'[20]Core Rates'!C113</f>
        <v>835.125</v>
      </c>
      <c r="F56" s="1170">
        <v>1</v>
      </c>
      <c r="G56" s="1171">
        <f>+F56*E56</f>
        <v>835.125</v>
      </c>
      <c r="H56" s="35"/>
      <c r="I56" s="47"/>
    </row>
    <row r="57" spans="1:9">
      <c r="A57" s="2"/>
      <c r="B57" s="1409" t="str">
        <f>+'[20]Core Rates'!A217</f>
        <v>Mulching (2 tons/ac applied)</v>
      </c>
      <c r="C57" s="153"/>
      <c r="D57" s="1171" t="s">
        <v>408</v>
      </c>
      <c r="E57" s="1171">
        <f>+'[20]Core Rates'!C217</f>
        <v>472.5</v>
      </c>
      <c r="F57" s="1169">
        <v>0.85</v>
      </c>
      <c r="G57" s="1171">
        <f>+F57*E57</f>
        <v>401.625</v>
      </c>
      <c r="H57" s="35"/>
      <c r="I57" s="47"/>
    </row>
    <row r="58" spans="1:9">
      <c r="A58" s="2"/>
      <c r="B58" s="1412" t="str">
        <f>+'[20]Core Rates'!A123</f>
        <v>Erosion Control Blanket, Type II (Installed)</v>
      </c>
      <c r="C58" s="153"/>
      <c r="D58" s="1171" t="str">
        <f>+'[20]Core Rates'!B123</f>
        <v>Sq Yd</v>
      </c>
      <c r="E58" s="1171">
        <f>+'[20]Core Rates'!C123</f>
        <v>1.5750000000000002</v>
      </c>
      <c r="F58" s="1169">
        <v>0.15</v>
      </c>
      <c r="G58" s="1171">
        <f>+E58/9*43560*F58</f>
        <v>1143.45</v>
      </c>
      <c r="H58" s="35"/>
      <c r="I58" s="47"/>
    </row>
    <row r="59" spans="1:9">
      <c r="A59" s="2"/>
      <c r="B59" s="40" t="s">
        <v>461</v>
      </c>
      <c r="C59" s="6"/>
      <c r="D59" s="1168" t="s">
        <v>408</v>
      </c>
      <c r="E59" s="1169">
        <f>+'[20]Core Rates'!C104</f>
        <v>20</v>
      </c>
      <c r="F59" s="1170">
        <v>1</v>
      </c>
      <c r="G59" s="1171">
        <f>+F59*E59</f>
        <v>20</v>
      </c>
      <c r="H59" s="35"/>
      <c r="I59" s="47"/>
    </row>
    <row r="60" spans="1:9">
      <c r="A60" s="2"/>
      <c r="B60" s="40" t="s">
        <v>462</v>
      </c>
      <c r="C60" s="6"/>
      <c r="D60" s="1168" t="s">
        <v>408</v>
      </c>
      <c r="E60" s="1169">
        <f>+'[20]Core Rates'!AN33</f>
        <v>5.416666666666667</v>
      </c>
      <c r="F60" s="1170">
        <v>1</v>
      </c>
      <c r="G60" s="1171">
        <f>+F60*E60</f>
        <v>5.416666666666667</v>
      </c>
      <c r="H60" s="35"/>
      <c r="I60" s="47"/>
    </row>
    <row r="61" spans="1:9">
      <c r="A61" s="2"/>
      <c r="B61" s="40" t="s">
        <v>463</v>
      </c>
      <c r="C61" s="6"/>
      <c r="D61" s="1168" t="s">
        <v>452</v>
      </c>
      <c r="E61" s="1169">
        <f>+'[20]Core Rates'!AN34</f>
        <v>5.5</v>
      </c>
      <c r="F61" s="1170">
        <v>2</v>
      </c>
      <c r="G61" s="1171">
        <f>+F61*E61</f>
        <v>11</v>
      </c>
      <c r="H61" s="35"/>
      <c r="I61" s="47"/>
    </row>
    <row r="62" spans="1:9">
      <c r="A62" s="2"/>
      <c r="B62" s="40" t="s">
        <v>464</v>
      </c>
      <c r="C62" s="6"/>
      <c r="D62" s="1168" t="s">
        <v>452</v>
      </c>
      <c r="E62" s="1169">
        <f>+'[20]Core Rates'!AN32</f>
        <v>6.3125</v>
      </c>
      <c r="F62" s="1170">
        <v>2</v>
      </c>
      <c r="G62" s="1171">
        <f>+F62*E62</f>
        <v>12.625</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364.38624999999996</v>
      </c>
    </row>
    <row r="70" spans="1:9">
      <c r="A70" s="2"/>
      <c r="B70" s="2007" t="s">
        <v>465</v>
      </c>
      <c r="C70" s="2008"/>
      <c r="D70" s="35"/>
      <c r="E70" s="35"/>
      <c r="F70" s="35"/>
      <c r="G70" s="35"/>
      <c r="H70" s="35"/>
      <c r="I70" s="48"/>
    </row>
    <row r="71" spans="1:9">
      <c r="A71" s="2"/>
      <c r="B71" s="37" t="s">
        <v>466</v>
      </c>
      <c r="C71" s="39"/>
      <c r="D71" s="39"/>
      <c r="E71" s="153">
        <f>SUM(G56:G62)*0.15</f>
        <v>364.38624999999996</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0.03*(I40+I54+I69)</f>
        <v>78.521474875267273</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0.01*(I40+I54+I69)</f>
        <v>26.173824958422426</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1349</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600</v>
      </c>
    </row>
    <row r="85" spans="1:9">
      <c r="A85" s="2"/>
      <c r="B85" s="756" t="s">
        <v>1350</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1351</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+I40+I54+I69+I75+I81+I91</f>
        <v>2695.9039707175098</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3322.0777956759321</v>
      </c>
    </row>
  </sheetData>
  <mergeCells count="4">
    <mergeCell ref="B1:D1"/>
    <mergeCell ref="E54:H54"/>
    <mergeCell ref="B65:I66"/>
    <mergeCell ref="B70:C70"/>
  </mergeCells>
  <pageMargins left="0.75" right="0.75" top="1" bottom="1" header="0.5" footer="0.5"/>
  <pageSetup scale="55" orientation="portrait" r:id="rId1"/>
  <headerFooter alignWithMargins="0"/>
</worksheet>
</file>

<file path=xl/worksheets/sheet89.xml><?xml version="1.0" encoding="utf-8"?>
<worksheet xmlns="http://schemas.openxmlformats.org/spreadsheetml/2006/main" xmlns:r="http://schemas.openxmlformats.org/officeDocument/2006/relationships">
  <sheetPr>
    <pageSetUpPr fitToPage="1"/>
  </sheetPr>
  <dimension ref="A1:L99"/>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1357</v>
      </c>
      <c r="F6" s="7" t="str">
        <f>+D36</f>
        <v>Acre</v>
      </c>
      <c r="G6" s="85">
        <f>+I25</f>
        <v>586.42792499999996</v>
      </c>
    </row>
    <row r="7" spans="1:12" ht="25.5" hidden="1">
      <c r="A7" s="2"/>
      <c r="B7" s="54">
        <f>+B6</f>
        <v>342</v>
      </c>
      <c r="C7" s="7" t="str">
        <f>+C6</f>
        <v>EQIP</v>
      </c>
      <c r="D7" s="53" t="s">
        <v>1344</v>
      </c>
      <c r="E7" s="110" t="str">
        <f>CONCATENATE(E6, "-HU")</f>
        <v>Critical Area Planting - Light Grading/Shaping (1-2hr/Ac), Mulch, Native Grass/Legume Mix -HU</v>
      </c>
      <c r="F7" s="7" t="str">
        <f>+F6</f>
        <v>Acre</v>
      </c>
      <c r="G7" s="85">
        <f>+J25</f>
        <v>703.71350999999993</v>
      </c>
    </row>
    <row r="8" spans="1:12" ht="25.5" hidden="1">
      <c r="A8" s="2"/>
      <c r="B8" s="54">
        <v>342</v>
      </c>
      <c r="C8" s="7" t="str">
        <f>+G12</f>
        <v>WHIP</v>
      </c>
      <c r="D8" s="53" t="s">
        <v>1344</v>
      </c>
      <c r="E8" s="110" t="str">
        <f>+E6</f>
        <v xml:space="preserve">Critical Area Planting - Light Grading/Shaping (1-2hr/Ac), Mulch, Native Grass/Legume Mix </v>
      </c>
      <c r="F8" s="7" t="str">
        <f>+D36</f>
        <v>Acre</v>
      </c>
      <c r="G8" s="85">
        <f>+K25</f>
        <v>0</v>
      </c>
    </row>
    <row r="9" spans="1:12" ht="25.5" hidden="1">
      <c r="A9" s="2"/>
      <c r="B9" s="8">
        <f>+B8</f>
        <v>342</v>
      </c>
      <c r="C9" s="10" t="str">
        <f>+C8</f>
        <v>WHIP</v>
      </c>
      <c r="D9" s="9" t="s">
        <v>1344</v>
      </c>
      <c r="E9" s="111" t="str">
        <f>CONCATENATE(E6, "-HU")</f>
        <v>Critical Area Planting - Light Grading/Shaping (1-2hr/Ac), Mulch, Native Grass/Legume Mix -HU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85.38</v>
      </c>
      <c r="E16" s="160">
        <f>+'[10]Payment Factors'!D11</f>
        <v>0.75</v>
      </c>
      <c r="F16" s="160">
        <f>+'[10]Payment Factors'!E11</f>
        <v>0.9</v>
      </c>
      <c r="G16" s="160">
        <f>+'[10]Payment Factors'!F11</f>
        <v>0</v>
      </c>
      <c r="H16" s="160">
        <f>+'[10]Payment Factors'!G11</f>
        <v>0</v>
      </c>
      <c r="I16" s="1154">
        <f t="shared" ref="I16:L24" si="0">+$D16*E16</f>
        <v>64.034999999999997</v>
      </c>
      <c r="J16" s="1154">
        <f t="shared" si="0"/>
        <v>76.841999999999999</v>
      </c>
      <c r="K16" s="1154">
        <f t="shared" si="0"/>
        <v>0</v>
      </c>
      <c r="L16" s="1155">
        <f t="shared" si="0"/>
        <v>0</v>
      </c>
    </row>
    <row r="17" spans="1:12" hidden="1">
      <c r="A17" s="2"/>
      <c r="B17" s="15" t="s">
        <v>2</v>
      </c>
      <c r="C17" s="16"/>
      <c r="D17" s="24">
        <f>+I55</f>
        <v>572.6875</v>
      </c>
      <c r="E17" s="160">
        <f t="shared" ref="E17:H19" si="1">+E16</f>
        <v>0.75</v>
      </c>
      <c r="F17" s="160">
        <f t="shared" si="1"/>
        <v>0.9</v>
      </c>
      <c r="G17" s="160">
        <f t="shared" si="1"/>
        <v>0</v>
      </c>
      <c r="H17" s="160">
        <f t="shared" si="1"/>
        <v>0</v>
      </c>
      <c r="I17" s="1154">
        <f t="shared" si="0"/>
        <v>429.515625</v>
      </c>
      <c r="J17" s="1154">
        <f t="shared" si="0"/>
        <v>515.41875000000005</v>
      </c>
      <c r="K17" s="1154">
        <f t="shared" si="0"/>
        <v>0</v>
      </c>
      <c r="L17" s="1155">
        <f t="shared" si="0"/>
        <v>0</v>
      </c>
    </row>
    <row r="18" spans="1:12" hidden="1">
      <c r="A18" s="2"/>
      <c r="B18" s="15" t="s">
        <v>3</v>
      </c>
      <c r="C18" s="16"/>
      <c r="D18" s="24">
        <f>+I71</f>
        <v>101.0625</v>
      </c>
      <c r="E18" s="160">
        <f t="shared" si="1"/>
        <v>0.75</v>
      </c>
      <c r="F18" s="160">
        <f t="shared" si="1"/>
        <v>0.9</v>
      </c>
      <c r="G18" s="160">
        <f t="shared" si="1"/>
        <v>0</v>
      </c>
      <c r="H18" s="160">
        <f t="shared" si="1"/>
        <v>0</v>
      </c>
      <c r="I18" s="1154">
        <f t="shared" si="0"/>
        <v>75.796875</v>
      </c>
      <c r="J18" s="1154">
        <f t="shared" si="0"/>
        <v>90.956249999999997</v>
      </c>
      <c r="K18" s="1154">
        <f t="shared" si="0"/>
        <v>0</v>
      </c>
      <c r="L18" s="1155">
        <f t="shared" si="0"/>
        <v>0</v>
      </c>
    </row>
    <row r="19" spans="1:12" hidden="1">
      <c r="A19" s="2"/>
      <c r="B19" s="15" t="s">
        <v>4</v>
      </c>
      <c r="C19" s="16"/>
      <c r="D19" s="24">
        <f>+I77</f>
        <v>22.773899999999998</v>
      </c>
      <c r="E19" s="160">
        <f t="shared" si="1"/>
        <v>0.75</v>
      </c>
      <c r="F19" s="160">
        <f t="shared" si="1"/>
        <v>0.9</v>
      </c>
      <c r="G19" s="160">
        <f t="shared" si="1"/>
        <v>0</v>
      </c>
      <c r="H19" s="160">
        <f t="shared" si="1"/>
        <v>0</v>
      </c>
      <c r="I19" s="1154">
        <f t="shared" si="0"/>
        <v>17.080424999999998</v>
      </c>
      <c r="J19" s="1154">
        <f t="shared" si="0"/>
        <v>20.496509999999997</v>
      </c>
      <c r="K19" s="1154">
        <f t="shared" si="0"/>
        <v>0</v>
      </c>
      <c r="L19" s="1155">
        <f t="shared" si="0"/>
        <v>0</v>
      </c>
    </row>
    <row r="20" spans="1:12" hidden="1">
      <c r="A20" s="2"/>
      <c r="B20" s="15" t="s">
        <v>26</v>
      </c>
      <c r="C20" s="16"/>
      <c r="D20" s="24">
        <f>+I80</f>
        <v>7.5913000000000004</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1389.4952000000001</v>
      </c>
      <c r="E25" s="1158"/>
      <c r="F25" s="1158"/>
      <c r="G25" s="28"/>
      <c r="H25" s="28"/>
      <c r="I25" s="1159">
        <f>SUM(I16:I24)</f>
        <v>586.42792499999996</v>
      </c>
      <c r="J25" s="1159">
        <f>SUM(J16:J24)</f>
        <v>703.71350999999993</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85.38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50" si="2">+F42*E42</f>
        <v>0</v>
      </c>
      <c r="H42" s="35"/>
      <c r="I42" s="47"/>
    </row>
    <row r="43" spans="1:9">
      <c r="A43" s="2"/>
      <c r="B43" s="40" t="s">
        <v>451</v>
      </c>
      <c r="C43" s="6"/>
      <c r="D43" s="1168" t="s">
        <v>452</v>
      </c>
      <c r="E43" s="1169">
        <f>+'[20]Core Rates'!C203</f>
        <v>8.75</v>
      </c>
      <c r="F43" s="1170">
        <v>0</v>
      </c>
      <c r="G43" s="1171">
        <f t="shared" si="2"/>
        <v>0</v>
      </c>
      <c r="H43" s="35"/>
      <c r="I43" s="36"/>
    </row>
    <row r="44" spans="1:9">
      <c r="A44" s="2"/>
      <c r="B44" s="1184" t="s">
        <v>453</v>
      </c>
      <c r="C44" s="6"/>
      <c r="D44" s="1185" t="s">
        <v>454</v>
      </c>
      <c r="E44" s="1169">
        <f>+'[20]Core Rates'!C228</f>
        <v>0.82427536231884069</v>
      </c>
      <c r="F44" s="1170">
        <v>0</v>
      </c>
      <c r="G44" s="1171">
        <f t="shared" si="2"/>
        <v>0</v>
      </c>
      <c r="H44" s="35"/>
      <c r="I44" s="36"/>
    </row>
    <row r="45" spans="1:9">
      <c r="A45" s="2"/>
      <c r="B45" s="1186" t="s">
        <v>455</v>
      </c>
      <c r="C45" s="1187"/>
      <c r="D45" s="1185" t="s">
        <v>454</v>
      </c>
      <c r="E45" s="1169">
        <f>+'[20]Core Rates'!C235</f>
        <v>1.1702898550724636</v>
      </c>
      <c r="F45" s="1170">
        <v>0</v>
      </c>
      <c r="G45" s="1171">
        <f t="shared" si="2"/>
        <v>0</v>
      </c>
      <c r="H45" s="35"/>
      <c r="I45" s="36"/>
    </row>
    <row r="46" spans="1:9">
      <c r="A46" s="2"/>
      <c r="B46" s="1186" t="s">
        <v>456</v>
      </c>
      <c r="C46" s="1187"/>
      <c r="D46" s="1168" t="s">
        <v>454</v>
      </c>
      <c r="E46" s="1169">
        <f>+'[20]Core Rates'!C246</f>
        <v>0.58825136612021856</v>
      </c>
      <c r="F46" s="1170">
        <v>0</v>
      </c>
      <c r="G46" s="1171">
        <f t="shared" si="2"/>
        <v>0</v>
      </c>
      <c r="H46" s="35"/>
      <c r="I46" s="36"/>
    </row>
    <row r="47" spans="1:9">
      <c r="A47" s="2"/>
      <c r="B47" s="1206" t="str">
        <f>+'[20]Core Rates'!A309</f>
        <v>Seed (Native grass except Prairie Dropseed and Splitbeard Bluestem)</v>
      </c>
      <c r="C47" s="1187"/>
      <c r="D47" s="1185" t="s">
        <v>454</v>
      </c>
      <c r="E47" s="1169">
        <f>+'[20]Core Rates 2011'!BE306</f>
        <v>8.57</v>
      </c>
      <c r="F47" s="1170">
        <v>9</v>
      </c>
      <c r="G47" s="1171">
        <f t="shared" si="2"/>
        <v>77.13</v>
      </c>
      <c r="H47" s="35"/>
      <c r="I47" s="36"/>
    </row>
    <row r="48" spans="1:9">
      <c r="A48" s="2"/>
      <c r="B48" s="1206" t="str">
        <f>+'[20]Core Rates'!A307</f>
        <v>Seed (Prairie Dropseed)</v>
      </c>
      <c r="C48" s="1187"/>
      <c r="D48" s="1185" t="s">
        <v>454</v>
      </c>
      <c r="E48" s="1169">
        <f>+'[20]Core Rates 2011'!BE304</f>
        <v>165.75</v>
      </c>
      <c r="F48" s="1170">
        <v>0</v>
      </c>
      <c r="G48" s="1171">
        <f t="shared" si="2"/>
        <v>0</v>
      </c>
      <c r="H48" s="35"/>
      <c r="I48" s="36"/>
    </row>
    <row r="49" spans="1:9">
      <c r="A49" s="2"/>
      <c r="B49" s="1186" t="s">
        <v>481</v>
      </c>
      <c r="C49" s="1187"/>
      <c r="D49" s="1185" t="s">
        <v>454</v>
      </c>
      <c r="E49" s="1169">
        <f>+'[20]Core Rates 2011'!BE309</f>
        <v>2.75</v>
      </c>
      <c r="F49" s="1170">
        <v>3</v>
      </c>
      <c r="G49" s="1171">
        <f t="shared" si="2"/>
        <v>8.25</v>
      </c>
      <c r="H49" s="35"/>
      <c r="I49" s="36"/>
    </row>
    <row r="50" spans="1:9">
      <c r="A50" s="2"/>
      <c r="B50" s="1206" t="str">
        <f>+'[20]Core Rates'!A308</f>
        <v>Seed (Splitbeard Bluestem)</v>
      </c>
      <c r="C50" s="1187"/>
      <c r="D50" s="1185" t="s">
        <v>454</v>
      </c>
      <c r="E50" s="1169">
        <f>+'[20]Core Rates 2011'!BE305</f>
        <v>78.666666666666671</v>
      </c>
      <c r="F50" s="1170">
        <v>0</v>
      </c>
      <c r="G50" s="1171">
        <f t="shared" si="2"/>
        <v>0</v>
      </c>
      <c r="H50" s="35"/>
      <c r="I50" s="36"/>
    </row>
    <row r="51" spans="1:9">
      <c r="A51" s="2"/>
      <c r="B51" s="1184"/>
      <c r="C51" s="6"/>
      <c r="D51" s="1173"/>
      <c r="E51" s="1190"/>
      <c r="F51" s="35"/>
      <c r="G51" s="35"/>
      <c r="H51" s="35"/>
      <c r="I51" s="36"/>
    </row>
    <row r="52" spans="1:9">
      <c r="A52" s="2"/>
      <c r="B52" s="37" t="s">
        <v>43</v>
      </c>
      <c r="C52" s="35"/>
      <c r="D52" s="35"/>
      <c r="E52" s="60"/>
      <c r="F52" s="60"/>
      <c r="G52" s="60"/>
      <c r="H52" s="35"/>
      <c r="I52" s="46"/>
    </row>
    <row r="53" spans="1:9">
      <c r="A53" s="2"/>
      <c r="B53" s="40" t="s">
        <v>457</v>
      </c>
      <c r="C53" s="35"/>
      <c r="D53" s="35"/>
      <c r="E53" s="60"/>
      <c r="F53" s="60"/>
      <c r="G53" s="60"/>
      <c r="H53" s="35"/>
      <c r="I53" s="4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(SUM(G57:G64)*0.85)</f>
        <v>572.6875</v>
      </c>
    </row>
    <row r="56" spans="1:9">
      <c r="A56" s="2"/>
      <c r="B56" s="1174"/>
      <c r="C56" s="35"/>
      <c r="D56" s="1167" t="s">
        <v>447</v>
      </c>
      <c r="E56" s="1167" t="s">
        <v>448</v>
      </c>
      <c r="F56" s="1167" t="s">
        <v>449</v>
      </c>
      <c r="G56" s="1167" t="s">
        <v>450</v>
      </c>
      <c r="H56" s="35"/>
      <c r="I56" s="46"/>
    </row>
    <row r="57" spans="1:9">
      <c r="A57" s="2"/>
      <c r="B57" s="1389" t="str">
        <f>+'[20]Core Rates'!A109</f>
        <v>Earthmoving: Light grading/shaping (1-2 hrs/ac)</v>
      </c>
      <c r="C57" s="1387"/>
      <c r="D57" s="1408" t="s">
        <v>408</v>
      </c>
      <c r="E57" s="1169">
        <f>+'[20]Core Rates'!C109</f>
        <v>165.75</v>
      </c>
      <c r="F57" s="1170">
        <v>1</v>
      </c>
      <c r="G57" s="1171">
        <f>+F57*E57</f>
        <v>165.75</v>
      </c>
      <c r="H57" s="35"/>
      <c r="I57" s="47"/>
    </row>
    <row r="58" spans="1:9">
      <c r="A58" s="2"/>
      <c r="B58" s="1409" t="str">
        <f>+'[20]Core Rates'!A217</f>
        <v>Mulching (2 tons/ac applied)</v>
      </c>
      <c r="C58" s="153"/>
      <c r="D58" s="1171" t="s">
        <v>408</v>
      </c>
      <c r="E58" s="1171">
        <f>+'[20]Core Rates'!C217</f>
        <v>472.5</v>
      </c>
      <c r="F58" s="1169">
        <v>1</v>
      </c>
      <c r="G58" s="1171">
        <f>+F58*E58</f>
        <v>472.5</v>
      </c>
      <c r="H58" s="35"/>
      <c r="I58" s="47"/>
    </row>
    <row r="59" spans="1:9">
      <c r="A59" s="2"/>
      <c r="B59" s="1412" t="str">
        <f>+'[20]Core Rates'!A123</f>
        <v>Erosion Control Blanket, Type II (Installed)</v>
      </c>
      <c r="C59" s="153"/>
      <c r="D59" s="1171" t="str">
        <f>+'[20]Core Rates'!B123</f>
        <v>Sq Yd</v>
      </c>
      <c r="E59" s="1171">
        <f>+'[20]Core Rates'!C123</f>
        <v>1.5750000000000002</v>
      </c>
      <c r="F59" s="1169">
        <v>0</v>
      </c>
      <c r="G59" s="1171">
        <f>+E59/9*43560*F59</f>
        <v>0</v>
      </c>
      <c r="H59" s="35"/>
      <c r="I59" s="47"/>
    </row>
    <row r="60" spans="1:9">
      <c r="A60" s="2"/>
      <c r="B60" s="1191" t="str">
        <f>+'[20]Core Rates'!A216</f>
        <v>Mowing</v>
      </c>
      <c r="C60" s="6"/>
      <c r="D60" s="1189" t="s">
        <v>408</v>
      </c>
      <c r="E60" s="1189">
        <f>+'[20]Core Rates'!C216</f>
        <v>15.5</v>
      </c>
      <c r="F60" s="1170">
        <v>1</v>
      </c>
      <c r="G60" s="1171">
        <f>+F60*E60</f>
        <v>15.5</v>
      </c>
      <c r="H60" s="35"/>
      <c r="I60" s="47"/>
    </row>
    <row r="61" spans="1:9">
      <c r="A61" s="2"/>
      <c r="B61" s="40" t="s">
        <v>461</v>
      </c>
      <c r="C61" s="6"/>
      <c r="D61" s="1168" t="s">
        <v>408</v>
      </c>
      <c r="E61" s="1169">
        <f>+'[20]Core Rates'!C104</f>
        <v>20</v>
      </c>
      <c r="F61" s="1170">
        <v>1</v>
      </c>
      <c r="G61" s="1171">
        <f>+F61*E61</f>
        <v>20</v>
      </c>
      <c r="H61" s="35"/>
      <c r="I61" s="47"/>
    </row>
    <row r="62" spans="1:9">
      <c r="A62" s="2"/>
      <c r="B62" s="40" t="s">
        <v>462</v>
      </c>
      <c r="C62" s="6"/>
      <c r="D62" s="1168" t="s">
        <v>408</v>
      </c>
      <c r="E62" s="1169">
        <f>+'[20]Core Rates'!AN33</f>
        <v>5.416666666666667</v>
      </c>
      <c r="F62" s="1170">
        <v>0</v>
      </c>
      <c r="G62" s="1171">
        <f>+F62*E62</f>
        <v>0</v>
      </c>
      <c r="H62" s="35"/>
      <c r="I62" s="47"/>
    </row>
    <row r="63" spans="1:9">
      <c r="A63" s="2"/>
      <c r="B63" s="40" t="s">
        <v>463</v>
      </c>
      <c r="C63" s="6"/>
      <c r="D63" s="1168" t="s">
        <v>452</v>
      </c>
      <c r="E63" s="1169">
        <f>+'[20]Core Rates'!AN34</f>
        <v>5.5</v>
      </c>
      <c r="F63" s="1170">
        <v>0</v>
      </c>
      <c r="G63" s="1171">
        <f>+F63*E63</f>
        <v>0</v>
      </c>
      <c r="H63" s="35"/>
      <c r="I63" s="47"/>
    </row>
    <row r="64" spans="1:9">
      <c r="A64" s="2"/>
      <c r="B64" s="40" t="s">
        <v>464</v>
      </c>
      <c r="C64" s="6"/>
      <c r="D64" s="1168" t="s">
        <v>452</v>
      </c>
      <c r="E64" s="1169">
        <f>+'[20]Core Rates'!AN32</f>
        <v>6.3125</v>
      </c>
      <c r="F64" s="1170">
        <v>0</v>
      </c>
      <c r="G64" s="1171">
        <f>+F64*E64</f>
        <v>0</v>
      </c>
      <c r="H64" s="35"/>
      <c r="I64" s="47"/>
    </row>
    <row r="65" spans="1:9">
      <c r="A65" s="2"/>
      <c r="B65" s="40"/>
      <c r="C65" s="6"/>
      <c r="D65" s="63"/>
      <c r="E65" s="150"/>
      <c r="F65" s="150"/>
      <c r="G65" s="1169"/>
      <c r="H65" s="35"/>
      <c r="I65" s="47"/>
    </row>
    <row r="66" spans="1:9">
      <c r="A66" s="2"/>
      <c r="B66" s="37" t="s">
        <v>43</v>
      </c>
      <c r="C66" s="35"/>
      <c r="D66" s="35"/>
      <c r="E66" s="60"/>
      <c r="F66" s="60"/>
      <c r="G66" s="60"/>
      <c r="H66" s="35"/>
      <c r="I66" s="46"/>
    </row>
    <row r="67" spans="1:9" ht="12.75" customHeight="1">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101.0625</v>
      </c>
    </row>
    <row r="72" spans="1:9">
      <c r="A72" s="2"/>
      <c r="B72" s="2007" t="s">
        <v>465</v>
      </c>
      <c r="C72" s="2008"/>
      <c r="D72" s="35"/>
      <c r="E72" s="35"/>
      <c r="F72" s="35"/>
      <c r="G72" s="35"/>
      <c r="H72" s="35"/>
      <c r="I72" s="48"/>
    </row>
    <row r="73" spans="1:9">
      <c r="A73" s="2"/>
      <c r="B73" s="37" t="s">
        <v>466</v>
      </c>
      <c r="C73" s="39"/>
      <c r="D73" s="39"/>
      <c r="E73" s="153">
        <f>SUM(G57:G64)*0.15</f>
        <v>101.0625</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0.03*(I40+I55+I71)</f>
        <v>22.773899999999998</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0.01*(I40+I55+I71)</f>
        <v>7.5913000000000004</v>
      </c>
    </row>
    <row r="81" spans="1:9">
      <c r="A81" s="2"/>
      <c r="B81" s="33" t="s">
        <v>749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1349</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1350</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1351</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+I40+I55+I71+I77+I83+I93</f>
        <v>781.90390000000002</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1389.4952000000001</v>
      </c>
    </row>
  </sheetData>
  <mergeCells count="4">
    <mergeCell ref="B1:D1"/>
    <mergeCell ref="E55:H55"/>
    <mergeCell ref="B67:I68"/>
    <mergeCell ref="B72:C72"/>
  </mergeCells>
  <pageMargins left="0.75" right="0.75" top="1" bottom="1" header="0.5" footer="0.5"/>
  <pageSetup scale="55" orientation="portrait" r:id="rId1"/>
  <headerFooter alignWithMargins="0"/>
</worksheet>
</file>

<file path=xl/worksheets/sheet9.xml><?xml version="1.0" encoding="utf-8"?>
<worksheet xmlns="http://schemas.openxmlformats.org/spreadsheetml/2006/main" xmlns:r="http://schemas.openxmlformats.org/officeDocument/2006/relationships">
  <dimension ref="B1:P108"/>
  <sheetViews>
    <sheetView zoomScaleNormal="100" workbookViewId="0">
      <selection activeCell="E6" sqref="E6"/>
    </sheetView>
  </sheetViews>
  <sheetFormatPr defaultRowHeight="12.75"/>
  <cols>
    <col min="1" max="1" width="2.85546875" style="2" customWidth="1"/>
    <col min="2" max="2" width="11.5703125" style="2" customWidth="1"/>
    <col min="3" max="3" width="18.7109375" style="2" customWidth="1"/>
    <col min="4" max="4" width="23.5703125" style="2" customWidth="1"/>
    <col min="5" max="5" width="20.5703125" style="2" customWidth="1"/>
    <col min="6" max="6" width="10.85546875" style="2" customWidth="1"/>
    <col min="7" max="7" width="10.42578125" style="2" customWidth="1"/>
    <col min="8" max="8" width="9.140625" style="2" bestFit="1" customWidth="1"/>
    <col min="9" max="9" width="9.85546875" style="2" customWidth="1"/>
    <col min="10" max="10" width="2.85546875" style="2" customWidth="1"/>
    <col min="11" max="11" width="8.140625" style="2" customWidth="1"/>
    <col min="12" max="12" width="8.42578125" style="2" customWidth="1"/>
    <col min="13" max="14" width="9.140625" style="2"/>
    <col min="15" max="16" width="9" style="2" bestFit="1" customWidth="1"/>
    <col min="17" max="16384" width="9.140625" style="2"/>
  </cols>
  <sheetData>
    <row r="1" spans="2:10" s="79" customFormat="1">
      <c r="B1" s="94" t="s">
        <v>36</v>
      </c>
      <c r="C1" s="94" t="s">
        <v>37</v>
      </c>
      <c r="D1" s="94" t="s">
        <v>29</v>
      </c>
      <c r="E1" s="94" t="s">
        <v>30</v>
      </c>
    </row>
    <row r="2" spans="2:10" ht="25.5">
      <c r="B2" s="113" t="s">
        <v>42</v>
      </c>
      <c r="C2" s="79">
        <v>104</v>
      </c>
      <c r="D2" s="79" t="s">
        <v>50</v>
      </c>
      <c r="E2" s="107" t="s">
        <v>64</v>
      </c>
    </row>
    <row r="3" spans="2:10" ht="15.75">
      <c r="B3" s="1" t="s">
        <v>17</v>
      </c>
      <c r="E3" s="98"/>
    </row>
    <row r="4" spans="2:10">
      <c r="B4" s="68" t="s">
        <v>1</v>
      </c>
      <c r="C4" s="69" t="s">
        <v>21</v>
      </c>
      <c r="D4" s="70"/>
      <c r="E4" s="108"/>
      <c r="F4" s="70"/>
      <c r="G4" s="83" t="s">
        <v>12</v>
      </c>
      <c r="H4" s="87"/>
      <c r="I4" s="87"/>
      <c r="J4"/>
    </row>
    <row r="5" spans="2:10" ht="25.5">
      <c r="B5" s="71" t="s">
        <v>13</v>
      </c>
      <c r="C5" s="72" t="s">
        <v>22</v>
      </c>
      <c r="D5" s="72" t="s">
        <v>29</v>
      </c>
      <c r="E5" s="109" t="s">
        <v>30</v>
      </c>
      <c r="F5" s="72" t="s">
        <v>23</v>
      </c>
      <c r="G5" s="84" t="s">
        <v>14</v>
      </c>
      <c r="H5" s="88"/>
      <c r="I5" s="88"/>
      <c r="J5"/>
    </row>
    <row r="6" spans="2:10" ht="23.25" customHeight="1">
      <c r="B6" s="54">
        <v>104</v>
      </c>
      <c r="C6" s="7" t="str">
        <f>+E10</f>
        <v>EQIP</v>
      </c>
      <c r="D6" s="53" t="s">
        <v>50</v>
      </c>
      <c r="E6" s="110" t="s">
        <v>64</v>
      </c>
      <c r="F6" s="7" t="s">
        <v>38</v>
      </c>
      <c r="G6" s="85">
        <f>G23</f>
        <v>1596</v>
      </c>
      <c r="H6" s="89"/>
      <c r="I6" s="89"/>
      <c r="J6"/>
    </row>
    <row r="7" spans="2:10" ht="25.5">
      <c r="B7" s="8">
        <v>104</v>
      </c>
      <c r="C7" s="10" t="s">
        <v>15</v>
      </c>
      <c r="D7" s="9" t="s">
        <v>50</v>
      </c>
      <c r="E7" s="111" t="s">
        <v>65</v>
      </c>
      <c r="F7" s="10" t="s">
        <v>38</v>
      </c>
      <c r="G7" s="86">
        <f>$H$23</f>
        <v>1915.2</v>
      </c>
      <c r="H7" s="89"/>
      <c r="I7"/>
      <c r="J7"/>
    </row>
    <row r="8" spans="2:10" ht="14.25" customHeight="1">
      <c r="B8" s="4"/>
      <c r="C8" s="3"/>
      <c r="D8" s="3"/>
      <c r="G8"/>
      <c r="H8"/>
      <c r="I8"/>
      <c r="J8"/>
    </row>
    <row r="9" spans="2:10" ht="15.75">
      <c r="B9" s="1" t="s">
        <v>18</v>
      </c>
      <c r="C9" s="3"/>
      <c r="D9" s="3"/>
      <c r="G9"/>
      <c r="H9"/>
      <c r="I9"/>
      <c r="J9"/>
    </row>
    <row r="10" spans="2:10">
      <c r="B10" s="55"/>
      <c r="C10" s="12"/>
      <c r="D10" s="11"/>
      <c r="E10" s="13" t="s">
        <v>15</v>
      </c>
      <c r="F10" s="13" t="s">
        <v>31</v>
      </c>
      <c r="G10" s="13"/>
      <c r="H10" s="14"/>
    </row>
    <row r="11" spans="2:10">
      <c r="B11" s="15"/>
      <c r="C11" s="67"/>
      <c r="D11" s="16"/>
      <c r="E11" s="17" t="s">
        <v>22</v>
      </c>
      <c r="F11" s="17" t="s">
        <v>22</v>
      </c>
      <c r="G11" s="17" t="str">
        <f>+E10</f>
        <v>EQIP</v>
      </c>
      <c r="H11" s="18" t="str">
        <f>+F10</f>
        <v>EQIP-HU</v>
      </c>
    </row>
    <row r="12" spans="2:10">
      <c r="B12" s="19"/>
      <c r="C12" s="16"/>
      <c r="D12" s="16"/>
      <c r="E12" s="17" t="s">
        <v>12</v>
      </c>
      <c r="F12" s="17" t="s">
        <v>12</v>
      </c>
      <c r="G12" s="17" t="s">
        <v>12</v>
      </c>
      <c r="H12" s="18" t="s">
        <v>12</v>
      </c>
    </row>
    <row r="13" spans="2:10">
      <c r="B13" s="20" t="s">
        <v>16</v>
      </c>
      <c r="C13" s="16"/>
      <c r="D13" s="21" t="s">
        <v>6</v>
      </c>
      <c r="E13" s="22" t="s">
        <v>24</v>
      </c>
      <c r="F13" s="22" t="s">
        <v>24</v>
      </c>
      <c r="G13" s="22" t="s">
        <v>14</v>
      </c>
      <c r="H13" s="23" t="s">
        <v>14</v>
      </c>
    </row>
    <row r="14" spans="2:10">
      <c r="B14" s="15" t="s">
        <v>0</v>
      </c>
      <c r="C14" s="16"/>
      <c r="D14" s="24">
        <v>0</v>
      </c>
      <c r="E14" s="25">
        <v>0</v>
      </c>
      <c r="F14" s="25">
        <v>0</v>
      </c>
      <c r="G14" s="73">
        <f>+$D14*E14</f>
        <v>0</v>
      </c>
      <c r="H14" s="74">
        <f>+$D14*F14</f>
        <v>0</v>
      </c>
    </row>
    <row r="15" spans="2:10">
      <c r="B15" s="15" t="s">
        <v>2</v>
      </c>
      <c r="C15" s="16"/>
      <c r="D15" s="24">
        <v>0</v>
      </c>
      <c r="E15" s="25">
        <v>0</v>
      </c>
      <c r="F15" s="25">
        <v>0</v>
      </c>
      <c r="G15" s="73">
        <f t="shared" ref="G15:G22" si="0">+$D15*E15</f>
        <v>0</v>
      </c>
      <c r="H15" s="74">
        <f t="shared" ref="H15:H22" si="1">+$D15*F15</f>
        <v>0</v>
      </c>
    </row>
    <row r="16" spans="2:10">
      <c r="B16" s="15" t="s">
        <v>3</v>
      </c>
      <c r="C16" s="16"/>
      <c r="D16" s="24">
        <f>I49</f>
        <v>2128</v>
      </c>
      <c r="E16" s="25">
        <v>0.75</v>
      </c>
      <c r="F16" s="25">
        <v>0.9</v>
      </c>
      <c r="G16" s="73">
        <f t="shared" si="0"/>
        <v>1596</v>
      </c>
      <c r="H16" s="74">
        <f t="shared" si="1"/>
        <v>1915.2</v>
      </c>
    </row>
    <row r="17" spans="2:16">
      <c r="B17" s="15" t="s">
        <v>4</v>
      </c>
      <c r="C17" s="16"/>
      <c r="D17" s="24">
        <v>0</v>
      </c>
      <c r="E17" s="25">
        <v>0</v>
      </c>
      <c r="F17" s="25">
        <v>0</v>
      </c>
      <c r="G17" s="73">
        <f t="shared" si="0"/>
        <v>0</v>
      </c>
      <c r="H17" s="74">
        <f t="shared" si="1"/>
        <v>0</v>
      </c>
    </row>
    <row r="18" spans="2:16">
      <c r="B18" s="15" t="s">
        <v>26</v>
      </c>
      <c r="C18" s="16"/>
      <c r="D18" s="24">
        <v>0</v>
      </c>
      <c r="E18" s="25">
        <v>0</v>
      </c>
      <c r="F18" s="25">
        <v>0</v>
      </c>
      <c r="G18" s="73">
        <f t="shared" si="0"/>
        <v>0</v>
      </c>
      <c r="H18" s="74">
        <f t="shared" si="1"/>
        <v>0</v>
      </c>
    </row>
    <row r="19" spans="2:16">
      <c r="B19" s="15" t="s">
        <v>7</v>
      </c>
      <c r="C19" s="16"/>
      <c r="D19" s="24">
        <f>I61</f>
        <v>0</v>
      </c>
      <c r="E19" s="25">
        <v>0.75</v>
      </c>
      <c r="F19" s="25">
        <v>0.9</v>
      </c>
      <c r="G19" s="73">
        <f t="shared" si="0"/>
        <v>0</v>
      </c>
      <c r="H19" s="74">
        <f t="shared" si="1"/>
        <v>0</v>
      </c>
    </row>
    <row r="20" spans="2:16">
      <c r="B20" s="15" t="s">
        <v>27</v>
      </c>
      <c r="C20" s="16"/>
      <c r="D20" s="24">
        <v>0</v>
      </c>
      <c r="E20" s="25">
        <v>0</v>
      </c>
      <c r="F20" s="25">
        <v>0</v>
      </c>
      <c r="G20" s="73">
        <f t="shared" si="0"/>
        <v>0</v>
      </c>
      <c r="H20" s="74">
        <f t="shared" si="1"/>
        <v>0</v>
      </c>
    </row>
    <row r="21" spans="2:16">
      <c r="B21" s="15" t="s">
        <v>5</v>
      </c>
      <c r="C21" s="16"/>
      <c r="D21" s="24">
        <v>0</v>
      </c>
      <c r="E21" s="25">
        <v>0</v>
      </c>
      <c r="F21" s="25">
        <v>0</v>
      </c>
      <c r="G21" s="73">
        <f t="shared" si="0"/>
        <v>0</v>
      </c>
      <c r="H21" s="74">
        <f t="shared" si="1"/>
        <v>0</v>
      </c>
    </row>
    <row r="22" spans="2:16">
      <c r="B22" s="15" t="s">
        <v>20</v>
      </c>
      <c r="C22" s="16"/>
      <c r="D22" s="24">
        <v>0</v>
      </c>
      <c r="E22" s="25">
        <v>0</v>
      </c>
      <c r="F22" s="25">
        <v>0</v>
      </c>
      <c r="G22" s="75">
        <f t="shared" si="0"/>
        <v>0</v>
      </c>
      <c r="H22" s="76">
        <f t="shared" si="1"/>
        <v>0</v>
      </c>
    </row>
    <row r="23" spans="2:16">
      <c r="B23" s="26" t="s">
        <v>19</v>
      </c>
      <c r="C23" s="27"/>
      <c r="D23" s="51">
        <f>SUM(D14:D22)</f>
        <v>2128</v>
      </c>
      <c r="E23" s="28"/>
      <c r="F23" s="28"/>
      <c r="G23" s="51">
        <f t="shared" ref="G23:H23" si="2">SUM(G14:G22)</f>
        <v>1596</v>
      </c>
      <c r="H23" s="77">
        <f t="shared" si="2"/>
        <v>1915.2</v>
      </c>
    </row>
    <row r="24" spans="2:16" s="82" customFormat="1" ht="5.25" customHeight="1">
      <c r="B24" s="49"/>
      <c r="C24" s="49"/>
      <c r="D24" s="80"/>
      <c r="E24" s="81"/>
      <c r="F24" s="81"/>
      <c r="G24" s="81"/>
      <c r="H24" s="81"/>
      <c r="I24" s="81"/>
      <c r="J24" s="81"/>
      <c r="K24" s="80"/>
      <c r="L24" s="80"/>
      <c r="M24" s="80"/>
      <c r="N24" s="80"/>
      <c r="O24" s="80"/>
      <c r="P24" s="80"/>
    </row>
    <row r="25" spans="2:16" ht="5.25" customHeight="1"/>
    <row r="26" spans="2:16" ht="15.75">
      <c r="B26" s="50" t="s">
        <v>28</v>
      </c>
      <c r="I26" s="5"/>
    </row>
    <row r="27" spans="2:16">
      <c r="B27" s="29" t="s">
        <v>32</v>
      </c>
      <c r="C27" s="30"/>
      <c r="D27" s="30"/>
      <c r="E27" s="31"/>
      <c r="F27" s="31"/>
      <c r="G27" s="31"/>
      <c r="H27" s="31"/>
      <c r="I27" s="32"/>
    </row>
    <row r="28" spans="2:16">
      <c r="B28" s="42"/>
      <c r="C28" s="34"/>
      <c r="D28" s="1954" t="s">
        <v>66</v>
      </c>
      <c r="E28" s="1955"/>
      <c r="F28" s="1955"/>
      <c r="G28" s="1955"/>
      <c r="H28" s="1955"/>
      <c r="I28" s="36"/>
    </row>
    <row r="29" spans="2:16">
      <c r="B29" s="42"/>
      <c r="C29" s="34"/>
      <c r="D29" s="95"/>
      <c r="E29" s="97"/>
      <c r="F29" s="97"/>
      <c r="G29" s="97"/>
      <c r="H29" s="97"/>
      <c r="I29" s="36"/>
    </row>
    <row r="30" spans="2:16">
      <c r="B30" s="37" t="s">
        <v>41</v>
      </c>
      <c r="C30" s="34"/>
      <c r="D30" s="1956" t="s">
        <v>52</v>
      </c>
      <c r="E30" s="1957"/>
      <c r="F30" s="1957"/>
      <c r="G30" s="1957"/>
      <c r="H30" s="1957"/>
      <c r="I30" s="36"/>
    </row>
    <row r="31" spans="2:16" ht="15" customHeight="1">
      <c r="B31" s="91" t="s">
        <v>40</v>
      </c>
      <c r="C31" s="34"/>
      <c r="D31" s="1956" t="s">
        <v>51</v>
      </c>
      <c r="E31" s="1957"/>
      <c r="F31" s="1957"/>
      <c r="G31" s="1957"/>
      <c r="H31" s="1957"/>
      <c r="I31" s="36"/>
    </row>
    <row r="32" spans="2:16" ht="55.5" customHeight="1">
      <c r="B32" s="91" t="s">
        <v>33</v>
      </c>
      <c r="C32" s="90"/>
      <c r="D32" s="1956" t="s">
        <v>54</v>
      </c>
      <c r="E32" s="1957"/>
      <c r="F32" s="1957"/>
      <c r="G32" s="1957"/>
      <c r="H32" s="1957"/>
      <c r="I32" s="36"/>
    </row>
    <row r="33" spans="2:15" ht="78.75" customHeight="1">
      <c r="B33" s="91" t="s">
        <v>35</v>
      </c>
      <c r="C33" s="90"/>
      <c r="D33" s="1956" t="s">
        <v>56</v>
      </c>
      <c r="E33" s="1957"/>
      <c r="F33" s="1957"/>
      <c r="G33" s="1957"/>
      <c r="H33" s="1957"/>
      <c r="I33" s="36"/>
    </row>
    <row r="34" spans="2:15" ht="36" customHeight="1">
      <c r="B34" s="91" t="s">
        <v>34</v>
      </c>
      <c r="C34" s="90"/>
      <c r="D34" s="1956" t="s">
        <v>53</v>
      </c>
      <c r="E34" s="1957"/>
      <c r="F34" s="1957"/>
      <c r="G34" s="1957"/>
      <c r="H34" s="1957"/>
      <c r="I34" s="36"/>
    </row>
    <row r="35" spans="2:15">
      <c r="B35" s="37"/>
      <c r="C35" s="34"/>
      <c r="D35" s="34"/>
      <c r="E35" s="35"/>
      <c r="F35" s="35"/>
      <c r="G35" s="35"/>
      <c r="H35" s="35"/>
      <c r="I35" s="36"/>
    </row>
    <row r="36" spans="2:15">
      <c r="B36" s="38" t="s">
        <v>25</v>
      </c>
      <c r="C36" s="34"/>
      <c r="D36" s="1958" t="s">
        <v>42</v>
      </c>
      <c r="E36" s="1952"/>
      <c r="F36" s="1952"/>
      <c r="G36" s="1952"/>
      <c r="H36" s="1952"/>
      <c r="I36" s="36"/>
      <c r="J36" s="49"/>
    </row>
    <row r="37" spans="2:15">
      <c r="B37" s="37"/>
      <c r="C37" s="34"/>
      <c r="D37" s="35"/>
      <c r="E37" s="35"/>
      <c r="F37" s="35"/>
      <c r="G37" s="35"/>
      <c r="H37" s="35"/>
      <c r="I37" s="36"/>
    </row>
    <row r="38" spans="2:15">
      <c r="B38" s="38" t="s">
        <v>8</v>
      </c>
      <c r="C38" s="34"/>
      <c r="D38" s="39" t="s">
        <v>38</v>
      </c>
      <c r="E38" s="35"/>
      <c r="F38" s="35"/>
      <c r="G38" s="35"/>
      <c r="H38" s="35"/>
      <c r="I38" s="36"/>
    </row>
    <row r="39" spans="2:15">
      <c r="B39" s="38" t="s">
        <v>9</v>
      </c>
      <c r="C39" s="34"/>
      <c r="D39" s="92">
        <v>1</v>
      </c>
      <c r="E39" s="35"/>
      <c r="F39" s="35"/>
      <c r="G39" s="35"/>
      <c r="H39" s="35"/>
      <c r="I39" s="36"/>
    </row>
    <row r="40" spans="2:15">
      <c r="B40" s="38" t="s">
        <v>10</v>
      </c>
      <c r="C40" s="35"/>
      <c r="D40" s="93">
        <v>0</v>
      </c>
      <c r="E40" s="35"/>
      <c r="F40" s="35"/>
      <c r="G40" s="35"/>
      <c r="H40" s="35"/>
      <c r="I40" s="96" t="s">
        <v>6</v>
      </c>
    </row>
    <row r="41" spans="2:15">
      <c r="B41" s="40"/>
      <c r="C41" s="35"/>
      <c r="D41" s="35"/>
      <c r="E41" s="41"/>
      <c r="F41" s="35"/>
      <c r="G41" s="35"/>
      <c r="H41" s="35"/>
      <c r="I41" s="45"/>
      <c r="L41" s="64"/>
      <c r="M41" s="64"/>
      <c r="N41" s="61"/>
      <c r="O41" s="61"/>
    </row>
    <row r="42" spans="2:15">
      <c r="B42" s="42" t="s">
        <v>0</v>
      </c>
      <c r="C42" s="35"/>
      <c r="D42" s="35"/>
      <c r="E42" s="35"/>
      <c r="F42" s="35"/>
      <c r="G42" s="35"/>
      <c r="H42" s="35"/>
      <c r="I42" s="46">
        <v>0</v>
      </c>
      <c r="L42" s="64"/>
      <c r="M42" s="64"/>
      <c r="N42" s="61"/>
      <c r="O42" s="61"/>
    </row>
    <row r="43" spans="2:15" ht="14.25" customHeight="1">
      <c r="B43" s="37" t="s">
        <v>39</v>
      </c>
      <c r="C43" s="35"/>
      <c r="D43" s="78"/>
      <c r="E43" s="35"/>
      <c r="F43" s="35"/>
      <c r="G43" s="35"/>
      <c r="H43" s="35"/>
      <c r="I43" s="46"/>
      <c r="L43" s="64"/>
      <c r="M43" s="61"/>
    </row>
    <row r="44" spans="2:15" ht="6" customHeight="1">
      <c r="B44" s="62"/>
      <c r="C44" s="6"/>
      <c r="D44" s="63"/>
      <c r="E44" s="35"/>
      <c r="F44" s="35"/>
      <c r="G44" s="35"/>
      <c r="H44" s="35"/>
      <c r="I44" s="46"/>
      <c r="L44" s="64"/>
      <c r="M44" s="61"/>
    </row>
    <row r="45" spans="2:15">
      <c r="B45" s="42" t="s">
        <v>2</v>
      </c>
      <c r="C45" s="35"/>
      <c r="D45" s="66"/>
      <c r="E45" s="35"/>
      <c r="F45" s="35"/>
      <c r="G45" s="35"/>
      <c r="H45" s="35"/>
      <c r="I45" s="46">
        <v>0</v>
      </c>
      <c r="L45" s="64"/>
      <c r="M45" s="61"/>
    </row>
    <row r="46" spans="2:15" ht="12.75" customHeight="1">
      <c r="B46" s="1959" t="s">
        <v>39</v>
      </c>
      <c r="C46" s="1955"/>
      <c r="D46" s="1955"/>
      <c r="E46" s="1955"/>
      <c r="F46" s="1955"/>
      <c r="G46" s="1955"/>
      <c r="H46" s="1955"/>
      <c r="I46" s="46"/>
      <c r="L46" s="64"/>
      <c r="M46" s="61"/>
    </row>
    <row r="47" spans="2:15" ht="6" customHeight="1">
      <c r="B47" s="33"/>
      <c r="C47" s="35"/>
      <c r="D47" s="35"/>
      <c r="E47" s="60"/>
      <c r="F47" s="60"/>
      <c r="G47" s="60"/>
      <c r="H47" s="35"/>
      <c r="I47" s="46"/>
      <c r="L47" s="64"/>
      <c r="M47" s="61"/>
    </row>
    <row r="48" spans="2:15" ht="4.5" customHeight="1">
      <c r="B48" s="42"/>
      <c r="C48" s="35"/>
      <c r="D48" s="35"/>
      <c r="E48" s="35"/>
      <c r="F48" s="35"/>
      <c r="G48" s="58"/>
      <c r="H48" s="59"/>
      <c r="I48" s="46"/>
      <c r="L48" s="64"/>
      <c r="M48" s="61"/>
    </row>
    <row r="49" spans="2:15">
      <c r="B49" s="42" t="s">
        <v>3</v>
      </c>
      <c r="C49" s="35"/>
      <c r="D49" s="35"/>
      <c r="E49" s="35"/>
      <c r="F49" s="35"/>
      <c r="G49" s="35"/>
      <c r="H49" s="35"/>
      <c r="I49" s="46">
        <f>$H$52</f>
        <v>2128</v>
      </c>
      <c r="L49" s="64"/>
      <c r="M49" s="61"/>
    </row>
    <row r="50" spans="2:15" ht="12.75" customHeight="1">
      <c r="B50" s="1959" t="s">
        <v>44</v>
      </c>
      <c r="C50" s="1955"/>
      <c r="D50" s="1955"/>
      <c r="E50" s="1955"/>
      <c r="F50" s="1955"/>
      <c r="G50" s="1955"/>
      <c r="H50" s="1955"/>
      <c r="I50" s="46"/>
      <c r="L50" s="64"/>
      <c r="M50" s="61"/>
    </row>
    <row r="51" spans="2:15" ht="12.75" customHeight="1">
      <c r="B51" s="101"/>
      <c r="C51" s="102"/>
      <c r="D51" s="103" t="s">
        <v>45</v>
      </c>
      <c r="E51" s="104" t="s">
        <v>46</v>
      </c>
      <c r="F51" s="104" t="s">
        <v>6</v>
      </c>
      <c r="G51" s="104" t="s">
        <v>47</v>
      </c>
      <c r="H51" s="104" t="s">
        <v>48</v>
      </c>
      <c r="I51" s="46"/>
      <c r="L51" s="64"/>
      <c r="M51" s="61"/>
    </row>
    <row r="52" spans="2:15" ht="12.75" customHeight="1">
      <c r="B52" s="101"/>
      <c r="C52" s="97"/>
      <c r="D52" s="97" t="s">
        <v>3</v>
      </c>
      <c r="E52" s="105" t="s">
        <v>49</v>
      </c>
      <c r="F52" s="106">
        <v>56</v>
      </c>
      <c r="G52" s="97">
        <v>38</v>
      </c>
      <c r="H52" s="106">
        <f>F52*G52</f>
        <v>2128</v>
      </c>
      <c r="I52" s="46"/>
      <c r="L52" s="64"/>
      <c r="M52" s="61"/>
    </row>
    <row r="53" spans="2:15" ht="11.25" customHeight="1">
      <c r="B53" s="33"/>
      <c r="C53" s="35"/>
      <c r="D53" s="35"/>
      <c r="E53" s="35"/>
      <c r="F53" s="35"/>
      <c r="G53" s="35"/>
      <c r="H53" s="35"/>
      <c r="I53" s="48"/>
      <c r="L53" s="64"/>
      <c r="M53" s="61"/>
    </row>
    <row r="54" spans="2:15">
      <c r="B54" s="42" t="s">
        <v>4</v>
      </c>
      <c r="C54" s="35"/>
      <c r="D54" s="35"/>
      <c r="E54" s="35"/>
      <c r="F54" s="35"/>
      <c r="G54" s="35"/>
      <c r="H54" s="35"/>
      <c r="I54" s="48">
        <v>0</v>
      </c>
      <c r="L54" s="64"/>
      <c r="M54" s="61"/>
    </row>
    <row r="55" spans="2:15" ht="12" customHeight="1">
      <c r="B55" s="37" t="s">
        <v>39</v>
      </c>
      <c r="C55" s="35"/>
      <c r="D55" s="35"/>
      <c r="E55" s="35"/>
      <c r="F55" s="35"/>
      <c r="G55" s="35"/>
      <c r="H55" s="35"/>
      <c r="I55" s="36"/>
      <c r="L55" s="64"/>
      <c r="M55" s="61"/>
    </row>
    <row r="56" spans="2:15" ht="5.25" customHeight="1">
      <c r="B56" s="37"/>
      <c r="C56" s="35"/>
      <c r="D56" s="35"/>
      <c r="E56" s="35"/>
      <c r="F56" s="35"/>
      <c r="G56" s="35"/>
      <c r="H56" s="35"/>
      <c r="I56" s="36"/>
      <c r="L56" s="64"/>
      <c r="M56" s="61"/>
    </row>
    <row r="57" spans="2:15">
      <c r="B57" s="42" t="s">
        <v>26</v>
      </c>
      <c r="C57" s="35"/>
      <c r="D57" s="35"/>
      <c r="E57" s="35"/>
      <c r="F57" s="35"/>
      <c r="G57" s="35"/>
      <c r="H57" s="35"/>
      <c r="I57" s="46">
        <v>0</v>
      </c>
      <c r="L57" s="64"/>
      <c r="M57" s="61"/>
    </row>
    <row r="58" spans="2:15" ht="14.25" customHeight="1">
      <c r="B58" s="1959" t="s">
        <v>39</v>
      </c>
      <c r="C58" s="1960"/>
      <c r="D58" s="1960"/>
      <c r="E58" s="1960"/>
      <c r="F58" s="1960"/>
      <c r="G58" s="1960"/>
      <c r="H58" s="1960"/>
      <c r="I58" s="48"/>
      <c r="L58" s="64"/>
      <c r="M58" s="61"/>
    </row>
    <row r="59" spans="2:15" ht="12" customHeight="1">
      <c r="B59" s="1943"/>
      <c r="C59" s="1944"/>
      <c r="D59" s="1944"/>
      <c r="E59" s="1944"/>
      <c r="F59" s="1944"/>
      <c r="G59" s="1944"/>
      <c r="H59" s="35"/>
      <c r="I59" s="48"/>
      <c r="L59" s="64"/>
      <c r="M59" s="61"/>
    </row>
    <row r="60" spans="2:15" ht="9.75" customHeight="1">
      <c r="B60" s="37"/>
      <c r="C60" s="35"/>
      <c r="D60" s="35"/>
      <c r="E60" s="35"/>
      <c r="F60" s="35"/>
      <c r="G60" s="35"/>
      <c r="H60" s="35"/>
      <c r="I60" s="36"/>
      <c r="L60" s="64"/>
      <c r="M60" s="64"/>
    </row>
    <row r="61" spans="2:15">
      <c r="B61" s="42" t="s">
        <v>7</v>
      </c>
      <c r="C61" s="35"/>
      <c r="D61" s="35"/>
      <c r="E61" s="35"/>
      <c r="F61" s="35"/>
      <c r="G61" s="35"/>
      <c r="H61" s="35"/>
      <c r="I61" s="46">
        <v>0</v>
      </c>
      <c r="L61" s="64"/>
      <c r="M61" s="64"/>
      <c r="N61" s="64"/>
      <c r="O61" s="64"/>
    </row>
    <row r="62" spans="2:15" ht="12" customHeight="1">
      <c r="B62" s="33"/>
      <c r="C62" s="35"/>
      <c r="D62" s="35"/>
      <c r="E62" s="35"/>
      <c r="F62" s="35"/>
      <c r="G62" s="35"/>
      <c r="H62" s="35"/>
      <c r="I62" s="36"/>
      <c r="L62" s="64"/>
      <c r="M62" s="64"/>
      <c r="N62" s="61"/>
      <c r="O62" s="61"/>
    </row>
    <row r="63" spans="2:15" ht="6" customHeight="1">
      <c r="B63" s="37"/>
      <c r="C63" s="35"/>
      <c r="D63" s="35"/>
      <c r="E63" s="35"/>
      <c r="F63" s="35"/>
      <c r="G63" s="35"/>
      <c r="H63" s="35"/>
      <c r="I63" s="36"/>
      <c r="L63" s="64"/>
      <c r="M63" s="64"/>
      <c r="N63" s="65"/>
      <c r="O63" s="65"/>
    </row>
    <row r="64" spans="2:15">
      <c r="B64" s="42" t="s">
        <v>27</v>
      </c>
      <c r="C64" s="35"/>
      <c r="D64" s="35"/>
      <c r="E64" s="35"/>
      <c r="F64" s="35"/>
      <c r="G64" s="35"/>
      <c r="H64" s="35"/>
      <c r="I64" s="46">
        <v>0</v>
      </c>
      <c r="L64" s="64"/>
      <c r="M64" s="64"/>
      <c r="N64" s="61"/>
      <c r="O64" s="61"/>
    </row>
    <row r="65" spans="2:15" ht="13.5" customHeight="1">
      <c r="B65" s="37" t="s">
        <v>39</v>
      </c>
      <c r="C65" s="35"/>
      <c r="D65" s="35"/>
      <c r="E65" s="35"/>
      <c r="F65" s="35"/>
      <c r="G65" s="35"/>
      <c r="H65" s="35"/>
      <c r="I65" s="47"/>
      <c r="L65" s="64"/>
      <c r="M65" s="64"/>
      <c r="N65" s="65"/>
      <c r="O65" s="65"/>
    </row>
    <row r="66" spans="2:15" ht="3.75" customHeight="1">
      <c r="B66" s="37"/>
      <c r="C66" s="35"/>
      <c r="D66" s="35"/>
      <c r="E66" s="35"/>
      <c r="F66" s="35"/>
      <c r="G66" s="35"/>
      <c r="H66" s="35"/>
      <c r="I66" s="36"/>
      <c r="L66" s="64"/>
      <c r="M66" s="64"/>
      <c r="N66" s="61"/>
      <c r="O66" s="61"/>
    </row>
    <row r="67" spans="2:15">
      <c r="B67" s="42" t="s">
        <v>5</v>
      </c>
      <c r="C67" s="35"/>
      <c r="D67" s="35"/>
      <c r="E67" s="35"/>
      <c r="F67" s="35"/>
      <c r="G67" s="35"/>
      <c r="H67" s="35"/>
      <c r="I67" s="46">
        <v>0</v>
      </c>
      <c r="L67" s="64"/>
      <c r="M67" s="64"/>
      <c r="N67" s="61"/>
      <c r="O67" s="61"/>
    </row>
    <row r="68" spans="2:15" ht="11.25" customHeight="1">
      <c r="B68" s="37" t="s">
        <v>39</v>
      </c>
      <c r="C68" s="35"/>
      <c r="D68" s="35"/>
      <c r="E68" s="35"/>
      <c r="F68" s="35"/>
      <c r="G68" s="35"/>
      <c r="H68" s="35"/>
      <c r="I68" s="47"/>
      <c r="L68" s="64"/>
      <c r="M68" s="64"/>
      <c r="N68" s="64"/>
      <c r="O68" s="64"/>
    </row>
    <row r="69" spans="2:15" ht="4.5" customHeight="1">
      <c r="B69" s="37"/>
      <c r="C69" s="35"/>
      <c r="D69" s="35"/>
      <c r="E69" s="35"/>
      <c r="F69" s="35"/>
      <c r="G69" s="35"/>
      <c r="H69" s="35"/>
      <c r="I69" s="36"/>
      <c r="L69" s="64"/>
      <c r="M69" s="64"/>
      <c r="N69" s="64"/>
      <c r="O69" s="64"/>
    </row>
    <row r="70" spans="2:15">
      <c r="B70" s="42" t="s">
        <v>20</v>
      </c>
      <c r="C70" s="35"/>
      <c r="D70" s="35"/>
      <c r="E70" s="35"/>
      <c r="F70" s="35"/>
      <c r="G70" s="35"/>
      <c r="H70" s="35"/>
      <c r="I70" s="46">
        <v>0</v>
      </c>
      <c r="L70" s="64"/>
      <c r="M70" s="64"/>
      <c r="N70" s="61"/>
      <c r="O70" s="61"/>
    </row>
    <row r="71" spans="2:15" ht="12" customHeight="1">
      <c r="B71" s="37" t="s">
        <v>39</v>
      </c>
      <c r="C71" s="35"/>
      <c r="D71" s="35"/>
      <c r="E71" s="35"/>
      <c r="F71" s="35"/>
      <c r="G71" s="35"/>
      <c r="H71" s="35"/>
      <c r="I71" s="46"/>
      <c r="L71" s="64"/>
      <c r="M71" s="64"/>
      <c r="N71" s="61"/>
      <c r="O71" s="61"/>
    </row>
    <row r="72" spans="2:15" ht="6.75" customHeight="1">
      <c r="B72" s="42"/>
      <c r="C72" s="35"/>
      <c r="D72" s="35"/>
      <c r="E72" s="35"/>
      <c r="F72" s="35"/>
      <c r="G72" s="35"/>
      <c r="H72" s="35"/>
      <c r="I72" s="46"/>
      <c r="L72" s="64"/>
      <c r="M72" s="64"/>
      <c r="N72" s="61"/>
      <c r="O72" s="61"/>
    </row>
    <row r="73" spans="2:15" ht="5.25" customHeight="1">
      <c r="B73" s="40"/>
      <c r="C73" s="35"/>
      <c r="D73" s="35"/>
      <c r="E73" s="35"/>
      <c r="F73" s="35"/>
      <c r="G73" s="35"/>
      <c r="H73" s="35"/>
      <c r="I73" s="36"/>
      <c r="L73" s="64"/>
      <c r="M73" s="64"/>
      <c r="N73" s="64"/>
      <c r="O73" s="64"/>
    </row>
    <row r="74" spans="2:15">
      <c r="B74" s="43" t="s">
        <v>11</v>
      </c>
      <c r="C74" s="44"/>
      <c r="D74" s="44"/>
      <c r="E74" s="44"/>
      <c r="F74" s="44"/>
      <c r="G74" s="44"/>
      <c r="H74" s="44"/>
      <c r="I74" s="52">
        <f>+I70+I67+I64+I61+I57+I54+I49+I45+I42</f>
        <v>2128</v>
      </c>
      <c r="L74" s="64"/>
      <c r="M74" s="64"/>
      <c r="N74" s="64"/>
      <c r="O74" s="64"/>
    </row>
    <row r="97" spans="5:5">
      <c r="E97" s="57"/>
    </row>
    <row r="98" spans="5:5">
      <c r="E98" s="57"/>
    </row>
    <row r="99" spans="5:5">
      <c r="E99" s="57"/>
    </row>
    <row r="100" spans="5:5">
      <c r="E100" s="57"/>
    </row>
    <row r="101" spans="5:5">
      <c r="E101" s="57"/>
    </row>
    <row r="102" spans="5:5">
      <c r="E102" s="57"/>
    </row>
    <row r="104" spans="5:5">
      <c r="E104" s="57"/>
    </row>
    <row r="106" spans="5:5">
      <c r="E106" s="56"/>
    </row>
    <row r="108" spans="5:5">
      <c r="E108" s="57"/>
    </row>
  </sheetData>
  <mergeCells count="11">
    <mergeCell ref="D28:H28"/>
    <mergeCell ref="B59:G59"/>
    <mergeCell ref="D32:H32"/>
    <mergeCell ref="D33:H33"/>
    <mergeCell ref="D34:H34"/>
    <mergeCell ref="D36:H36"/>
    <mergeCell ref="B46:H46"/>
    <mergeCell ref="B58:H58"/>
    <mergeCell ref="D31:H31"/>
    <mergeCell ref="D30:H30"/>
    <mergeCell ref="B50:H50"/>
  </mergeCells>
  <pageMargins left="0.36" right="0.3" top="0.43" bottom="0.5" header="0.28000000000000003" footer="0.36"/>
  <pageSetup scale="71" orientation="portrait" r:id="rId1"/>
  <headerFooter alignWithMargins="0"/>
</worksheet>
</file>

<file path=xl/worksheets/sheet90.xml><?xml version="1.0" encoding="utf-8"?>
<worksheet xmlns="http://schemas.openxmlformats.org/spreadsheetml/2006/main" xmlns:r="http://schemas.openxmlformats.org/officeDocument/2006/relationships">
  <sheetPr>
    <pageSetUpPr fitToPage="1"/>
  </sheetPr>
  <dimension ref="A1:L99"/>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1358</v>
      </c>
      <c r="F6" s="7" t="str">
        <f>+D36</f>
        <v>Acre</v>
      </c>
      <c r="G6" s="85">
        <f>+I25</f>
        <v>847.43636250000009</v>
      </c>
    </row>
    <row r="7" spans="1:12" ht="25.5" hidden="1">
      <c r="A7" s="2"/>
      <c r="B7" s="54">
        <f>+B6</f>
        <v>342</v>
      </c>
      <c r="C7" s="7" t="str">
        <f>+C6</f>
        <v>EQIP</v>
      </c>
      <c r="D7" s="53" t="s">
        <v>1344</v>
      </c>
      <c r="E7" s="110" t="str">
        <f>CONCATENATE(E6, "-HU")</f>
        <v>Critical Area Planting - Medium Grading/Shaping (2-6hr/Ac), Mulch, Native Grass/Legume Mix-HU</v>
      </c>
      <c r="F7" s="7" t="str">
        <f>+F6</f>
        <v>Acre</v>
      </c>
      <c r="G7" s="85">
        <f>+J25</f>
        <v>1016.9236350000001</v>
      </c>
    </row>
    <row r="8" spans="1:12" ht="25.5" hidden="1">
      <c r="A8" s="2"/>
      <c r="B8" s="54">
        <v>342</v>
      </c>
      <c r="C8" s="7" t="str">
        <f>+G12</f>
        <v>WHIP</v>
      </c>
      <c r="D8" s="53" t="s">
        <v>1344</v>
      </c>
      <c r="E8" s="110" t="str">
        <f>+E6</f>
        <v>Critical Area Planting - Medium Grading/Shaping (2-6hr/Ac), Mulch, Native Grass/Legume Mix</v>
      </c>
      <c r="F8" s="7" t="str">
        <f>+D36</f>
        <v>Acre</v>
      </c>
      <c r="G8" s="85">
        <f>+K25</f>
        <v>0</v>
      </c>
    </row>
    <row r="9" spans="1:12" ht="25.5" hidden="1">
      <c r="A9" s="2"/>
      <c r="B9" s="8">
        <f>+B8</f>
        <v>342</v>
      </c>
      <c r="C9" s="10" t="str">
        <f>+C8</f>
        <v>WHIP</v>
      </c>
      <c r="D9" s="9" t="s">
        <v>1344</v>
      </c>
      <c r="E9" s="111" t="str">
        <f>CONCATENATE(E6, "-HU")</f>
        <v>Critical Area Planting - Medium Grading/Shaping (2-6hr/Ac), Mulch, Native Grass/Legume Mix-HU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85.38</v>
      </c>
      <c r="E16" s="160">
        <f>+'[10]Payment Factors'!D11</f>
        <v>0.75</v>
      </c>
      <c r="F16" s="160">
        <f>+'[10]Payment Factors'!E11</f>
        <v>0.9</v>
      </c>
      <c r="G16" s="160">
        <f>+'[10]Payment Factors'!F11</f>
        <v>0</v>
      </c>
      <c r="H16" s="160">
        <f>+'[10]Payment Factors'!G11</f>
        <v>0</v>
      </c>
      <c r="I16" s="1154">
        <f t="shared" ref="I16:L24" si="0">+$D16*E16</f>
        <v>64.034999999999997</v>
      </c>
      <c r="J16" s="1154">
        <f t="shared" si="0"/>
        <v>76.841999999999999</v>
      </c>
      <c r="K16" s="1154">
        <f t="shared" si="0"/>
        <v>0</v>
      </c>
      <c r="L16" s="1155">
        <f t="shared" si="0"/>
        <v>0</v>
      </c>
    </row>
    <row r="17" spans="1:12" hidden="1">
      <c r="A17" s="2"/>
      <c r="B17" s="15" t="s">
        <v>2</v>
      </c>
      <c r="C17" s="16"/>
      <c r="D17" s="24">
        <f>+I55</f>
        <v>859.88125000000002</v>
      </c>
      <c r="E17" s="160">
        <f t="shared" ref="E17:H19" si="1">+E16</f>
        <v>0.75</v>
      </c>
      <c r="F17" s="160">
        <f t="shared" si="1"/>
        <v>0.9</v>
      </c>
      <c r="G17" s="160">
        <f t="shared" si="1"/>
        <v>0</v>
      </c>
      <c r="H17" s="160">
        <f t="shared" si="1"/>
        <v>0</v>
      </c>
      <c r="I17" s="1154">
        <f t="shared" si="0"/>
        <v>644.91093750000005</v>
      </c>
      <c r="J17" s="1154">
        <f t="shared" si="0"/>
        <v>773.89312500000005</v>
      </c>
      <c r="K17" s="1154">
        <f t="shared" si="0"/>
        <v>0</v>
      </c>
      <c r="L17" s="1155">
        <f t="shared" si="0"/>
        <v>0</v>
      </c>
    </row>
    <row r="18" spans="1:12" hidden="1">
      <c r="A18" s="2"/>
      <c r="B18" s="15" t="s">
        <v>3</v>
      </c>
      <c r="C18" s="16"/>
      <c r="D18" s="24">
        <f>+I71</f>
        <v>151.74375000000001</v>
      </c>
      <c r="E18" s="160">
        <f t="shared" si="1"/>
        <v>0.75</v>
      </c>
      <c r="F18" s="160">
        <f t="shared" si="1"/>
        <v>0.9</v>
      </c>
      <c r="G18" s="160">
        <f t="shared" si="1"/>
        <v>0</v>
      </c>
      <c r="H18" s="160">
        <f t="shared" si="1"/>
        <v>0</v>
      </c>
      <c r="I18" s="1154">
        <f t="shared" si="0"/>
        <v>113.80781250000001</v>
      </c>
      <c r="J18" s="1154">
        <f t="shared" si="0"/>
        <v>136.56937500000001</v>
      </c>
      <c r="K18" s="1154">
        <f t="shared" si="0"/>
        <v>0</v>
      </c>
      <c r="L18" s="1155">
        <f t="shared" si="0"/>
        <v>0</v>
      </c>
    </row>
    <row r="19" spans="1:12" hidden="1">
      <c r="A19" s="2"/>
      <c r="B19" s="15" t="s">
        <v>4</v>
      </c>
      <c r="C19" s="16"/>
      <c r="D19" s="24">
        <f>+I77</f>
        <v>32.910150000000002</v>
      </c>
      <c r="E19" s="160">
        <f t="shared" si="1"/>
        <v>0.75</v>
      </c>
      <c r="F19" s="160">
        <f t="shared" si="1"/>
        <v>0.9</v>
      </c>
      <c r="G19" s="160">
        <f t="shared" si="1"/>
        <v>0</v>
      </c>
      <c r="H19" s="160">
        <f t="shared" si="1"/>
        <v>0</v>
      </c>
      <c r="I19" s="1154">
        <f t="shared" si="0"/>
        <v>24.682612500000001</v>
      </c>
      <c r="J19" s="1154">
        <f t="shared" si="0"/>
        <v>29.619135000000004</v>
      </c>
      <c r="K19" s="1154">
        <f t="shared" si="0"/>
        <v>0</v>
      </c>
      <c r="L19" s="1155">
        <f t="shared" si="0"/>
        <v>0</v>
      </c>
    </row>
    <row r="20" spans="1:12" hidden="1">
      <c r="A20" s="2"/>
      <c r="B20" s="15" t="s">
        <v>26</v>
      </c>
      <c r="C20" s="16"/>
      <c r="D20" s="24">
        <f>+I80</f>
        <v>10.970050000000001</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1740.8851999999999</v>
      </c>
      <c r="E25" s="1158"/>
      <c r="F25" s="1158"/>
      <c r="G25" s="28"/>
      <c r="H25" s="28"/>
      <c r="I25" s="1159">
        <f>SUM(I16:I24)</f>
        <v>847.43636250000009</v>
      </c>
      <c r="J25" s="1159">
        <f>SUM(J16:J24)</f>
        <v>1016.9236350000001</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85.38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50" si="2">+F42*E42</f>
        <v>0</v>
      </c>
      <c r="H42" s="35"/>
      <c r="I42" s="47"/>
    </row>
    <row r="43" spans="1:9">
      <c r="A43" s="2"/>
      <c r="B43" s="40" t="s">
        <v>451</v>
      </c>
      <c r="C43" s="6"/>
      <c r="D43" s="1168" t="s">
        <v>452</v>
      </c>
      <c r="E43" s="1169">
        <f>+'[20]Core Rates'!C203</f>
        <v>8.75</v>
      </c>
      <c r="F43" s="1170">
        <v>0</v>
      </c>
      <c r="G43" s="1171">
        <f t="shared" si="2"/>
        <v>0</v>
      </c>
      <c r="H43" s="35"/>
      <c r="I43" s="36"/>
    </row>
    <row r="44" spans="1:9">
      <c r="A44" s="2"/>
      <c r="B44" s="1184" t="s">
        <v>453</v>
      </c>
      <c r="C44" s="6"/>
      <c r="D44" s="1185" t="s">
        <v>454</v>
      </c>
      <c r="E44" s="1169">
        <f>+'[20]Core Rates'!C228</f>
        <v>0.82427536231884069</v>
      </c>
      <c r="F44" s="1170">
        <v>0</v>
      </c>
      <c r="G44" s="1171">
        <f t="shared" si="2"/>
        <v>0</v>
      </c>
      <c r="H44" s="35"/>
      <c r="I44" s="36"/>
    </row>
    <row r="45" spans="1:9">
      <c r="A45" s="2"/>
      <c r="B45" s="1186" t="s">
        <v>455</v>
      </c>
      <c r="C45" s="1187"/>
      <c r="D45" s="1185" t="s">
        <v>454</v>
      </c>
      <c r="E45" s="1169">
        <f>+'[20]Core Rates'!C235</f>
        <v>1.1702898550724636</v>
      </c>
      <c r="F45" s="1170">
        <v>0</v>
      </c>
      <c r="G45" s="1171">
        <f t="shared" si="2"/>
        <v>0</v>
      </c>
      <c r="H45" s="35"/>
      <c r="I45" s="36"/>
    </row>
    <row r="46" spans="1:9">
      <c r="A46" s="2"/>
      <c r="B46" s="1186" t="s">
        <v>456</v>
      </c>
      <c r="C46" s="1187"/>
      <c r="D46" s="1168" t="s">
        <v>454</v>
      </c>
      <c r="E46" s="1169">
        <f>+'[20]Core Rates'!C246</f>
        <v>0.58825136612021856</v>
      </c>
      <c r="F46" s="1170">
        <v>0</v>
      </c>
      <c r="G46" s="1171">
        <f t="shared" si="2"/>
        <v>0</v>
      </c>
      <c r="H46" s="35"/>
      <c r="I46" s="36"/>
    </row>
    <row r="47" spans="1:9">
      <c r="A47" s="2"/>
      <c r="B47" s="1206" t="str">
        <f>+'[20]Core Rates'!A309</f>
        <v>Seed (Native grass except Prairie Dropseed and Splitbeard Bluestem)</v>
      </c>
      <c r="C47" s="1187"/>
      <c r="D47" s="1185" t="s">
        <v>454</v>
      </c>
      <c r="E47" s="1169">
        <f>+'[20]Core Rates 2011'!BE306</f>
        <v>8.57</v>
      </c>
      <c r="F47" s="1170">
        <v>9</v>
      </c>
      <c r="G47" s="1171">
        <f t="shared" si="2"/>
        <v>77.13</v>
      </c>
      <c r="H47" s="35"/>
      <c r="I47" s="36"/>
    </row>
    <row r="48" spans="1:9">
      <c r="A48" s="2"/>
      <c r="B48" s="1206" t="str">
        <f>+'[20]Core Rates'!A307</f>
        <v>Seed (Prairie Dropseed)</v>
      </c>
      <c r="C48" s="1187"/>
      <c r="D48" s="1185" t="s">
        <v>454</v>
      </c>
      <c r="E48" s="1169">
        <f>+'[20]Core Rates 2011'!BE304</f>
        <v>165.75</v>
      </c>
      <c r="F48" s="1170">
        <v>0</v>
      </c>
      <c r="G48" s="1171">
        <f t="shared" si="2"/>
        <v>0</v>
      </c>
      <c r="H48" s="35"/>
      <c r="I48" s="36"/>
    </row>
    <row r="49" spans="1:9">
      <c r="A49" s="2"/>
      <c r="B49" s="1186" t="s">
        <v>481</v>
      </c>
      <c r="C49" s="1187"/>
      <c r="D49" s="1185" t="s">
        <v>454</v>
      </c>
      <c r="E49" s="1169">
        <f>+'[20]Core Rates 2011'!BE309</f>
        <v>2.75</v>
      </c>
      <c r="F49" s="1170">
        <v>3</v>
      </c>
      <c r="G49" s="1171">
        <f t="shared" si="2"/>
        <v>8.25</v>
      </c>
      <c r="H49" s="35"/>
      <c r="I49" s="36"/>
    </row>
    <row r="50" spans="1:9">
      <c r="A50" s="2"/>
      <c r="B50" s="1206" t="str">
        <f>+'[20]Core Rates'!A308</f>
        <v>Seed (Splitbeard Bluestem)</v>
      </c>
      <c r="C50" s="1187"/>
      <c r="D50" s="1185" t="s">
        <v>454</v>
      </c>
      <c r="E50" s="1169">
        <f>+'[20]Core Rates 2011'!BE305</f>
        <v>78.666666666666671</v>
      </c>
      <c r="F50" s="1170">
        <v>0</v>
      </c>
      <c r="G50" s="1171">
        <f t="shared" si="2"/>
        <v>0</v>
      </c>
      <c r="H50" s="35"/>
      <c r="I50" s="36"/>
    </row>
    <row r="51" spans="1:9">
      <c r="A51" s="2"/>
      <c r="B51" s="1184"/>
      <c r="C51" s="6"/>
      <c r="D51" s="1173"/>
      <c r="E51" s="1190"/>
      <c r="F51" s="35"/>
      <c r="G51" s="35"/>
      <c r="H51" s="35"/>
      <c r="I51" s="36"/>
    </row>
    <row r="52" spans="1:9">
      <c r="A52" s="2"/>
      <c r="B52" s="37" t="s">
        <v>43</v>
      </c>
      <c r="C52" s="35"/>
      <c r="D52" s="35"/>
      <c r="E52" s="60"/>
      <c r="F52" s="60"/>
      <c r="G52" s="60"/>
      <c r="H52" s="35"/>
      <c r="I52" s="46"/>
    </row>
    <row r="53" spans="1:9">
      <c r="A53" s="2"/>
      <c r="B53" s="40" t="s">
        <v>457</v>
      </c>
      <c r="C53" s="35"/>
      <c r="D53" s="35"/>
      <c r="E53" s="60"/>
      <c r="F53" s="60"/>
      <c r="G53" s="60"/>
      <c r="H53" s="35"/>
      <c r="I53" s="4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(SUM(G57:G64)*0.85)</f>
        <v>859.88125000000002</v>
      </c>
    </row>
    <row r="56" spans="1:9">
      <c r="A56" s="2"/>
      <c r="B56" s="1174"/>
      <c r="C56" s="35"/>
      <c r="D56" s="1167" t="s">
        <v>447</v>
      </c>
      <c r="E56" s="1167" t="s">
        <v>448</v>
      </c>
      <c r="F56" s="1167" t="s">
        <v>449</v>
      </c>
      <c r="G56" s="1167" t="s">
        <v>450</v>
      </c>
      <c r="H56" s="35"/>
      <c r="I56" s="46"/>
    </row>
    <row r="57" spans="1:9">
      <c r="A57" s="2"/>
      <c r="B57" s="1389" t="str">
        <f>+'[20]Core Rates'!A111</f>
        <v>Earthmoving: Medium grading/shaping (2-6 hrs/ac)</v>
      </c>
      <c r="C57" s="1387"/>
      <c r="D57" s="1408" t="s">
        <v>408</v>
      </c>
      <c r="E57" s="1169">
        <f>+'[20]Core Rates'!C111</f>
        <v>503.625</v>
      </c>
      <c r="F57" s="1170">
        <v>1</v>
      </c>
      <c r="G57" s="1171">
        <f>+F57*E57</f>
        <v>503.625</v>
      </c>
      <c r="H57" s="35"/>
      <c r="I57" s="47"/>
    </row>
    <row r="58" spans="1:9">
      <c r="A58" s="2"/>
      <c r="B58" s="1409" t="str">
        <f>+'[20]Core Rates'!A217</f>
        <v>Mulching (2 tons/ac applied)</v>
      </c>
      <c r="C58" s="153"/>
      <c r="D58" s="1171" t="s">
        <v>408</v>
      </c>
      <c r="E58" s="1171">
        <f>+'[20]Core Rates'!C217</f>
        <v>472.5</v>
      </c>
      <c r="F58" s="1169">
        <v>1</v>
      </c>
      <c r="G58" s="1171">
        <f>+F58*E58</f>
        <v>472.5</v>
      </c>
      <c r="H58" s="35"/>
      <c r="I58" s="47"/>
    </row>
    <row r="59" spans="1:9">
      <c r="A59" s="2"/>
      <c r="B59" s="1412" t="str">
        <f>+'[20]Core Rates'!A123</f>
        <v>Erosion Control Blanket, Type II (Installed)</v>
      </c>
      <c r="C59" s="153"/>
      <c r="D59" s="1171" t="str">
        <f>+'[20]Core Rates'!B123</f>
        <v>Sq Yd</v>
      </c>
      <c r="E59" s="1171">
        <f>+'[20]Core Rates'!C123</f>
        <v>1.5750000000000002</v>
      </c>
      <c r="F59" s="1169">
        <v>0</v>
      </c>
      <c r="G59" s="1171">
        <f>+E59/9*43560*F59</f>
        <v>0</v>
      </c>
      <c r="H59" s="35"/>
      <c r="I59" s="47"/>
    </row>
    <row r="60" spans="1:9">
      <c r="A60" s="2"/>
      <c r="B60" s="1191" t="str">
        <f>+'[20]Core Rates'!A216</f>
        <v>Mowing</v>
      </c>
      <c r="C60" s="6"/>
      <c r="D60" s="1189" t="s">
        <v>408</v>
      </c>
      <c r="E60" s="1189">
        <f>+'[20]Core Rates'!C216</f>
        <v>15.5</v>
      </c>
      <c r="F60" s="1170">
        <v>1</v>
      </c>
      <c r="G60" s="1171">
        <f>+F60*E60</f>
        <v>15.5</v>
      </c>
      <c r="H60" s="35"/>
      <c r="I60" s="47"/>
    </row>
    <row r="61" spans="1:9">
      <c r="A61" s="2"/>
      <c r="B61" s="40" t="s">
        <v>461</v>
      </c>
      <c r="C61" s="6"/>
      <c r="D61" s="1168" t="s">
        <v>408</v>
      </c>
      <c r="E61" s="1169">
        <f>+'[20]Core Rates'!C104</f>
        <v>20</v>
      </c>
      <c r="F61" s="1170">
        <v>1</v>
      </c>
      <c r="G61" s="1171">
        <f>+F61*E61</f>
        <v>20</v>
      </c>
      <c r="H61" s="35"/>
      <c r="I61" s="47"/>
    </row>
    <row r="62" spans="1:9">
      <c r="A62" s="2"/>
      <c r="B62" s="40" t="s">
        <v>462</v>
      </c>
      <c r="C62" s="6"/>
      <c r="D62" s="1168" t="s">
        <v>408</v>
      </c>
      <c r="E62" s="1169">
        <f>+'[20]Core Rates'!AN33</f>
        <v>5.416666666666667</v>
      </c>
      <c r="F62" s="1170">
        <v>0</v>
      </c>
      <c r="G62" s="1171">
        <f>+F62*E62</f>
        <v>0</v>
      </c>
      <c r="H62" s="35"/>
      <c r="I62" s="47"/>
    </row>
    <row r="63" spans="1:9">
      <c r="A63" s="2"/>
      <c r="B63" s="40" t="s">
        <v>463</v>
      </c>
      <c r="C63" s="6"/>
      <c r="D63" s="1168" t="s">
        <v>452</v>
      </c>
      <c r="E63" s="1169">
        <f>+'[20]Core Rates'!AN34</f>
        <v>5.5</v>
      </c>
      <c r="F63" s="1170">
        <v>0</v>
      </c>
      <c r="G63" s="1171">
        <f>+F63*E63</f>
        <v>0</v>
      </c>
      <c r="H63" s="35"/>
      <c r="I63" s="47"/>
    </row>
    <row r="64" spans="1:9">
      <c r="A64" s="2"/>
      <c r="B64" s="40" t="s">
        <v>464</v>
      </c>
      <c r="C64" s="6"/>
      <c r="D64" s="1168" t="s">
        <v>452</v>
      </c>
      <c r="E64" s="1169">
        <f>+'[20]Core Rates'!AN32</f>
        <v>6.3125</v>
      </c>
      <c r="F64" s="1170">
        <v>0</v>
      </c>
      <c r="G64" s="1171">
        <f>+F64*E64</f>
        <v>0</v>
      </c>
      <c r="H64" s="35"/>
      <c r="I64" s="47"/>
    </row>
    <row r="65" spans="1:9">
      <c r="A65" s="2"/>
      <c r="B65" s="40"/>
      <c r="C65" s="6"/>
      <c r="D65" s="63"/>
      <c r="E65" s="150"/>
      <c r="F65" s="150"/>
      <c r="G65" s="1169"/>
      <c r="H65" s="35"/>
      <c r="I65" s="47"/>
    </row>
    <row r="66" spans="1:9">
      <c r="A66" s="2"/>
      <c r="B66" s="37" t="s">
        <v>43</v>
      </c>
      <c r="C66" s="35"/>
      <c r="D66" s="35"/>
      <c r="E66" s="60"/>
      <c r="F66" s="60"/>
      <c r="G66" s="60"/>
      <c r="H66" s="35"/>
      <c r="I66" s="46"/>
    </row>
    <row r="67" spans="1:9" ht="12.75" customHeight="1">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151.74375000000001</v>
      </c>
    </row>
    <row r="72" spans="1:9">
      <c r="A72" s="2"/>
      <c r="B72" s="2007" t="s">
        <v>465</v>
      </c>
      <c r="C72" s="2008"/>
      <c r="D72" s="35"/>
      <c r="E72" s="35"/>
      <c r="F72" s="35"/>
      <c r="G72" s="35"/>
      <c r="H72" s="35"/>
      <c r="I72" s="48"/>
    </row>
    <row r="73" spans="1:9">
      <c r="A73" s="2"/>
      <c r="B73" s="37" t="s">
        <v>466</v>
      </c>
      <c r="C73" s="39"/>
      <c r="D73" s="39"/>
      <c r="E73" s="153">
        <f>SUM(G57:G64)*0.15</f>
        <v>151.74375000000001</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0.03*(I40+I55+I71)</f>
        <v>32.910150000000002</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0.01*(I40+I55+I71)</f>
        <v>10.970050000000001</v>
      </c>
    </row>
    <row r="81" spans="1:9">
      <c r="A81" s="2"/>
      <c r="B81" s="33" t="s">
        <v>749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1349</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1350</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1351</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+I40+I55+I71+I77+I83+I93</f>
        <v>1129.91515</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1740.8851999999999</v>
      </c>
    </row>
  </sheetData>
  <mergeCells count="4">
    <mergeCell ref="B1:D1"/>
    <mergeCell ref="E55:H55"/>
    <mergeCell ref="B67:I68"/>
    <mergeCell ref="B72:C72"/>
  </mergeCells>
  <pageMargins left="0.75" right="0.75" top="1" bottom="1" header="0.5" footer="0.5"/>
  <pageSetup scale="55" orientation="portrait" r:id="rId1"/>
  <headerFooter alignWithMargins="0"/>
</worksheet>
</file>

<file path=xl/worksheets/sheet91.xml><?xml version="1.0" encoding="utf-8"?>
<worksheet xmlns="http://schemas.openxmlformats.org/spreadsheetml/2006/main" xmlns:r="http://schemas.openxmlformats.org/officeDocument/2006/relationships">
  <sheetPr>
    <pageSetUpPr fitToPage="1"/>
  </sheetPr>
  <dimension ref="A1:L99"/>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1359</v>
      </c>
      <c r="F6" s="7" t="str">
        <f>+D36</f>
        <v>Acre</v>
      </c>
      <c r="G6" s="85">
        <f>+I25</f>
        <v>1103.5201124999999</v>
      </c>
    </row>
    <row r="7" spans="1:12" ht="25.5" hidden="1">
      <c r="A7" s="2"/>
      <c r="B7" s="54">
        <f>+B6</f>
        <v>342</v>
      </c>
      <c r="C7" s="7" t="str">
        <f>+C6</f>
        <v>EQIP</v>
      </c>
      <c r="D7" s="53" t="s">
        <v>1344</v>
      </c>
      <c r="E7" s="110" t="str">
        <f>CONCATENATE(E6, "-HU")</f>
        <v>Critical Area Planting - Heavy Grading/Shaping (6-10hr/Ac), Mulch, Native Grass/Legume Mix-HU</v>
      </c>
      <c r="F7" s="7" t="str">
        <f>+F6</f>
        <v>Acre</v>
      </c>
      <c r="G7" s="85">
        <f>+J25</f>
        <v>1324.2241350000004</v>
      </c>
    </row>
    <row r="8" spans="1:12" ht="25.5" hidden="1">
      <c r="A8" s="2"/>
      <c r="B8" s="54">
        <v>342</v>
      </c>
      <c r="C8" s="7" t="str">
        <f>+G12</f>
        <v>WHIP</v>
      </c>
      <c r="D8" s="53" t="s">
        <v>1344</v>
      </c>
      <c r="E8" s="110" t="str">
        <f>+E6</f>
        <v>Critical Area Planting - Heavy Grading/Shaping (6-10hr/Ac), Mulch, Native Grass/Legume Mix</v>
      </c>
      <c r="F8" s="7" t="str">
        <f>+D36</f>
        <v>Acre</v>
      </c>
      <c r="G8" s="85">
        <f>+K25</f>
        <v>0</v>
      </c>
    </row>
    <row r="9" spans="1:12" ht="25.5" hidden="1">
      <c r="A9" s="2"/>
      <c r="B9" s="8">
        <f>+B8</f>
        <v>342</v>
      </c>
      <c r="C9" s="10" t="str">
        <f>+C8</f>
        <v>WHIP</v>
      </c>
      <c r="D9" s="9" t="s">
        <v>1344</v>
      </c>
      <c r="E9" s="111" t="str">
        <f>CONCATENATE(E6, "-HU")</f>
        <v>Critical Area Planting - Heavy Grading/Shaping (6-10hr/Ac), Mulch, Native Grass/Legume Mix-HU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85.38</v>
      </c>
      <c r="E16" s="160">
        <f>+'[10]Payment Factors'!D11</f>
        <v>0.75</v>
      </c>
      <c r="F16" s="160">
        <f>+'[10]Payment Factors'!E11</f>
        <v>0.9</v>
      </c>
      <c r="G16" s="160">
        <f>+'[10]Payment Factors'!F11</f>
        <v>0</v>
      </c>
      <c r="H16" s="160">
        <f>+'[10]Payment Factors'!G11</f>
        <v>0</v>
      </c>
      <c r="I16" s="1154">
        <f t="shared" ref="I16:L24" si="0">+$D16*E16</f>
        <v>64.034999999999997</v>
      </c>
      <c r="J16" s="1154">
        <f t="shared" si="0"/>
        <v>76.841999999999999</v>
      </c>
      <c r="K16" s="1154">
        <f t="shared" si="0"/>
        <v>0</v>
      </c>
      <c r="L16" s="1155">
        <f t="shared" si="0"/>
        <v>0</v>
      </c>
    </row>
    <row r="17" spans="1:12" hidden="1">
      <c r="A17" s="2"/>
      <c r="B17" s="15" t="s">
        <v>2</v>
      </c>
      <c r="C17" s="16"/>
      <c r="D17" s="24">
        <f>+I55</f>
        <v>1141.65625</v>
      </c>
      <c r="E17" s="160">
        <f t="shared" ref="E17:H19" si="1">+E16</f>
        <v>0.75</v>
      </c>
      <c r="F17" s="160">
        <f t="shared" si="1"/>
        <v>0.9</v>
      </c>
      <c r="G17" s="160">
        <f t="shared" si="1"/>
        <v>0</v>
      </c>
      <c r="H17" s="160">
        <f t="shared" si="1"/>
        <v>0</v>
      </c>
      <c r="I17" s="1154">
        <f t="shared" si="0"/>
        <v>856.2421875</v>
      </c>
      <c r="J17" s="1154">
        <f t="shared" si="0"/>
        <v>1027.4906250000001</v>
      </c>
      <c r="K17" s="1154">
        <f t="shared" si="0"/>
        <v>0</v>
      </c>
      <c r="L17" s="1155">
        <f t="shared" si="0"/>
        <v>0</v>
      </c>
    </row>
    <row r="18" spans="1:12" hidden="1">
      <c r="A18" s="2"/>
      <c r="B18" s="15" t="s">
        <v>3</v>
      </c>
      <c r="C18" s="16"/>
      <c r="D18" s="24">
        <f>+I71</f>
        <v>201.46875</v>
      </c>
      <c r="E18" s="160">
        <f t="shared" si="1"/>
        <v>0.75</v>
      </c>
      <c r="F18" s="160">
        <f t="shared" si="1"/>
        <v>0.9</v>
      </c>
      <c r="G18" s="160">
        <f t="shared" si="1"/>
        <v>0</v>
      </c>
      <c r="H18" s="160">
        <f t="shared" si="1"/>
        <v>0</v>
      </c>
      <c r="I18" s="1154">
        <f t="shared" si="0"/>
        <v>151.1015625</v>
      </c>
      <c r="J18" s="1154">
        <f t="shared" si="0"/>
        <v>181.32187500000001</v>
      </c>
      <c r="K18" s="1154">
        <f t="shared" si="0"/>
        <v>0</v>
      </c>
      <c r="L18" s="1155">
        <f t="shared" si="0"/>
        <v>0</v>
      </c>
    </row>
    <row r="19" spans="1:12" hidden="1">
      <c r="A19" s="2"/>
      <c r="B19" s="15" t="s">
        <v>4</v>
      </c>
      <c r="C19" s="16"/>
      <c r="D19" s="24">
        <f>+I77</f>
        <v>42.855150000000002</v>
      </c>
      <c r="E19" s="160">
        <f t="shared" si="1"/>
        <v>0.75</v>
      </c>
      <c r="F19" s="160">
        <f t="shared" si="1"/>
        <v>0.9</v>
      </c>
      <c r="G19" s="160">
        <f t="shared" si="1"/>
        <v>0</v>
      </c>
      <c r="H19" s="160">
        <f t="shared" si="1"/>
        <v>0</v>
      </c>
      <c r="I19" s="1154">
        <f t="shared" si="0"/>
        <v>32.1413625</v>
      </c>
      <c r="J19" s="1154">
        <f t="shared" si="0"/>
        <v>38.569635000000005</v>
      </c>
      <c r="K19" s="1154">
        <f t="shared" si="0"/>
        <v>0</v>
      </c>
      <c r="L19" s="1155">
        <f t="shared" si="0"/>
        <v>0</v>
      </c>
    </row>
    <row r="20" spans="1:12" hidden="1">
      <c r="A20" s="2"/>
      <c r="B20" s="15" t="s">
        <v>26</v>
      </c>
      <c r="C20" s="16"/>
      <c r="D20" s="24">
        <f>+I80</f>
        <v>14.285050000000002</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2085.6451999999999</v>
      </c>
      <c r="E25" s="1158"/>
      <c r="F25" s="1158"/>
      <c r="G25" s="28"/>
      <c r="H25" s="28"/>
      <c r="I25" s="1159">
        <f>SUM(I16:I24)</f>
        <v>1103.5201124999999</v>
      </c>
      <c r="J25" s="1159">
        <f>SUM(J16:J24)</f>
        <v>1324.2241350000004</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85.38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50" si="2">+F42*E42</f>
        <v>0</v>
      </c>
      <c r="H42" s="35"/>
      <c r="I42" s="47"/>
    </row>
    <row r="43" spans="1:9">
      <c r="A43" s="2"/>
      <c r="B43" s="40" t="s">
        <v>451</v>
      </c>
      <c r="C43" s="6"/>
      <c r="D43" s="1168" t="s">
        <v>452</v>
      </c>
      <c r="E43" s="1169">
        <f>+'[20]Core Rates'!C203</f>
        <v>8.75</v>
      </c>
      <c r="F43" s="1170">
        <v>0</v>
      </c>
      <c r="G43" s="1171">
        <f t="shared" si="2"/>
        <v>0</v>
      </c>
      <c r="H43" s="35"/>
      <c r="I43" s="36"/>
    </row>
    <row r="44" spans="1:9">
      <c r="A44" s="2"/>
      <c r="B44" s="1184" t="s">
        <v>453</v>
      </c>
      <c r="C44" s="6"/>
      <c r="D44" s="1185" t="s">
        <v>454</v>
      </c>
      <c r="E44" s="1169">
        <f>+'[20]Core Rates'!C228</f>
        <v>0.82427536231884069</v>
      </c>
      <c r="F44" s="1170">
        <v>0</v>
      </c>
      <c r="G44" s="1171">
        <f t="shared" si="2"/>
        <v>0</v>
      </c>
      <c r="H44" s="35"/>
      <c r="I44" s="36"/>
    </row>
    <row r="45" spans="1:9">
      <c r="A45" s="2"/>
      <c r="B45" s="1186" t="s">
        <v>455</v>
      </c>
      <c r="C45" s="1187"/>
      <c r="D45" s="1185" t="s">
        <v>454</v>
      </c>
      <c r="E45" s="1169">
        <f>+'[20]Core Rates'!C235</f>
        <v>1.1702898550724636</v>
      </c>
      <c r="F45" s="1170">
        <v>0</v>
      </c>
      <c r="G45" s="1171">
        <f t="shared" si="2"/>
        <v>0</v>
      </c>
      <c r="H45" s="35"/>
      <c r="I45" s="36"/>
    </row>
    <row r="46" spans="1:9">
      <c r="A46" s="2"/>
      <c r="B46" s="1186" t="s">
        <v>456</v>
      </c>
      <c r="C46" s="1187"/>
      <c r="D46" s="1168" t="s">
        <v>454</v>
      </c>
      <c r="E46" s="1169">
        <f>+'[20]Core Rates'!C246</f>
        <v>0.58825136612021856</v>
      </c>
      <c r="F46" s="1170">
        <v>0</v>
      </c>
      <c r="G46" s="1171">
        <f t="shared" si="2"/>
        <v>0</v>
      </c>
      <c r="H46" s="35"/>
      <c r="I46" s="36"/>
    </row>
    <row r="47" spans="1:9">
      <c r="A47" s="2"/>
      <c r="B47" s="1206" t="str">
        <f>+'[20]Core Rates'!A309</f>
        <v>Seed (Native grass except Prairie Dropseed and Splitbeard Bluestem)</v>
      </c>
      <c r="C47" s="1187"/>
      <c r="D47" s="1185" t="s">
        <v>454</v>
      </c>
      <c r="E47" s="1169">
        <f>+'[20]Core Rates 2011'!BE306</f>
        <v>8.57</v>
      </c>
      <c r="F47" s="1170">
        <v>9</v>
      </c>
      <c r="G47" s="1171">
        <f t="shared" si="2"/>
        <v>77.13</v>
      </c>
      <c r="H47" s="35"/>
      <c r="I47" s="36"/>
    </row>
    <row r="48" spans="1:9">
      <c r="A48" s="2"/>
      <c r="B48" s="1206" t="str">
        <f>+'[20]Core Rates'!A307</f>
        <v>Seed (Prairie Dropseed)</v>
      </c>
      <c r="C48" s="1187"/>
      <c r="D48" s="1185" t="s">
        <v>454</v>
      </c>
      <c r="E48" s="1169">
        <f>+'[20]Core Rates 2011'!BE304</f>
        <v>165.75</v>
      </c>
      <c r="F48" s="1170">
        <v>0</v>
      </c>
      <c r="G48" s="1171">
        <f t="shared" si="2"/>
        <v>0</v>
      </c>
      <c r="H48" s="35"/>
      <c r="I48" s="36"/>
    </row>
    <row r="49" spans="1:9">
      <c r="A49" s="2"/>
      <c r="B49" s="1186" t="s">
        <v>481</v>
      </c>
      <c r="C49" s="1187"/>
      <c r="D49" s="1185" t="s">
        <v>454</v>
      </c>
      <c r="E49" s="1169">
        <f>+'[20]Core Rates 2011'!BE309</f>
        <v>2.75</v>
      </c>
      <c r="F49" s="1170">
        <v>3</v>
      </c>
      <c r="G49" s="1171">
        <f t="shared" si="2"/>
        <v>8.25</v>
      </c>
      <c r="H49" s="35"/>
      <c r="I49" s="36"/>
    </row>
    <row r="50" spans="1:9">
      <c r="A50" s="2"/>
      <c r="B50" s="1206" t="str">
        <f>+'[20]Core Rates'!A308</f>
        <v>Seed (Splitbeard Bluestem)</v>
      </c>
      <c r="C50" s="1187"/>
      <c r="D50" s="1185" t="s">
        <v>454</v>
      </c>
      <c r="E50" s="1169">
        <f>+'[20]Core Rates 2011'!BE305</f>
        <v>78.666666666666671</v>
      </c>
      <c r="F50" s="1170">
        <v>0</v>
      </c>
      <c r="G50" s="1171">
        <f t="shared" si="2"/>
        <v>0</v>
      </c>
      <c r="H50" s="35"/>
      <c r="I50" s="36"/>
    </row>
    <row r="51" spans="1:9">
      <c r="A51" s="2"/>
      <c r="B51" s="1184"/>
      <c r="C51" s="6"/>
      <c r="D51" s="1173"/>
      <c r="E51" s="1190"/>
      <c r="F51" s="35"/>
      <c r="G51" s="35"/>
      <c r="H51" s="35"/>
      <c r="I51" s="36"/>
    </row>
    <row r="52" spans="1:9">
      <c r="A52" s="2"/>
      <c r="B52" s="37" t="s">
        <v>43</v>
      </c>
      <c r="C52" s="35"/>
      <c r="D52" s="35"/>
      <c r="E52" s="60"/>
      <c r="F52" s="60"/>
      <c r="G52" s="60"/>
      <c r="H52" s="35"/>
      <c r="I52" s="46"/>
    </row>
    <row r="53" spans="1:9">
      <c r="A53" s="2"/>
      <c r="B53" s="40" t="s">
        <v>457</v>
      </c>
      <c r="C53" s="35"/>
      <c r="D53" s="35"/>
      <c r="E53" s="60"/>
      <c r="F53" s="60"/>
      <c r="G53" s="60"/>
      <c r="H53" s="35"/>
      <c r="I53" s="4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(SUM(G57:G64)*0.85)</f>
        <v>1141.65625</v>
      </c>
    </row>
    <row r="56" spans="1:9">
      <c r="A56" s="2"/>
      <c r="B56" s="1174"/>
      <c r="C56" s="35"/>
      <c r="D56" s="1167" t="s">
        <v>447</v>
      </c>
      <c r="E56" s="1167" t="s">
        <v>448</v>
      </c>
      <c r="F56" s="1167" t="s">
        <v>449</v>
      </c>
      <c r="G56" s="1167" t="s">
        <v>450</v>
      </c>
      <c r="H56" s="35"/>
      <c r="I56" s="46"/>
    </row>
    <row r="57" spans="1:9">
      <c r="A57" s="2"/>
      <c r="B57" s="1389" t="str">
        <f>+'[20]Core Rates'!A113</f>
        <v>Earthmoving: Heavy grading/shaping (6-10 hrs/ac)</v>
      </c>
      <c r="C57" s="1387"/>
      <c r="D57" s="1408" t="s">
        <v>408</v>
      </c>
      <c r="E57" s="1169">
        <f>+'[20]Core Rates'!C113</f>
        <v>835.125</v>
      </c>
      <c r="F57" s="1170">
        <v>1</v>
      </c>
      <c r="G57" s="1171">
        <f>+F57*E57</f>
        <v>835.125</v>
      </c>
      <c r="H57" s="35"/>
      <c r="I57" s="47"/>
    </row>
    <row r="58" spans="1:9">
      <c r="A58" s="2"/>
      <c r="B58" s="1409" t="str">
        <f>+'[20]Core Rates'!A217</f>
        <v>Mulching (2 tons/ac applied)</v>
      </c>
      <c r="C58" s="153"/>
      <c r="D58" s="1171" t="s">
        <v>408</v>
      </c>
      <c r="E58" s="1171">
        <f>+'[20]Core Rates'!C217</f>
        <v>472.5</v>
      </c>
      <c r="F58" s="1169">
        <v>1</v>
      </c>
      <c r="G58" s="1171">
        <f>+F58*E58</f>
        <v>472.5</v>
      </c>
      <c r="H58" s="35"/>
      <c r="I58" s="47"/>
    </row>
    <row r="59" spans="1:9">
      <c r="A59" s="2"/>
      <c r="B59" s="1412" t="str">
        <f>+'[20]Core Rates'!A123</f>
        <v>Erosion Control Blanket, Type II (Installed)</v>
      </c>
      <c r="C59" s="153"/>
      <c r="D59" s="1171" t="str">
        <f>+'[20]Core Rates'!B123</f>
        <v>Sq Yd</v>
      </c>
      <c r="E59" s="1171">
        <f>+'[20]Core Rates'!C123</f>
        <v>1.5750000000000002</v>
      </c>
      <c r="F59" s="1169">
        <v>0</v>
      </c>
      <c r="G59" s="1171">
        <f>+E59/9*43560*F59</f>
        <v>0</v>
      </c>
      <c r="H59" s="35"/>
      <c r="I59" s="47"/>
    </row>
    <row r="60" spans="1:9">
      <c r="A60" s="2"/>
      <c r="B60" s="1191" t="str">
        <f>+'[20]Core Rates'!A216</f>
        <v>Mowing</v>
      </c>
      <c r="C60" s="6"/>
      <c r="D60" s="1189" t="s">
        <v>408</v>
      </c>
      <c r="E60" s="1189">
        <f>+'[20]Core Rates'!C216</f>
        <v>15.5</v>
      </c>
      <c r="F60" s="1170">
        <v>1</v>
      </c>
      <c r="G60" s="1171">
        <f>+F60*E60</f>
        <v>15.5</v>
      </c>
      <c r="H60" s="35"/>
      <c r="I60" s="47"/>
    </row>
    <row r="61" spans="1:9">
      <c r="A61" s="2"/>
      <c r="B61" s="40" t="s">
        <v>461</v>
      </c>
      <c r="C61" s="6"/>
      <c r="D61" s="1168" t="s">
        <v>408</v>
      </c>
      <c r="E61" s="1169">
        <f>+'[20]Core Rates'!C104</f>
        <v>20</v>
      </c>
      <c r="F61" s="1170">
        <v>1</v>
      </c>
      <c r="G61" s="1171">
        <f>+F61*E61</f>
        <v>20</v>
      </c>
      <c r="H61" s="35"/>
      <c r="I61" s="47"/>
    </row>
    <row r="62" spans="1:9">
      <c r="A62" s="2"/>
      <c r="B62" s="40" t="s">
        <v>462</v>
      </c>
      <c r="C62" s="6"/>
      <c r="D62" s="1168" t="s">
        <v>408</v>
      </c>
      <c r="E62" s="1169">
        <f>+'[20]Core Rates'!AN33</f>
        <v>5.416666666666667</v>
      </c>
      <c r="F62" s="1170">
        <v>0</v>
      </c>
      <c r="G62" s="1171">
        <f>+F62*E62</f>
        <v>0</v>
      </c>
      <c r="H62" s="35"/>
      <c r="I62" s="47"/>
    </row>
    <row r="63" spans="1:9">
      <c r="A63" s="2"/>
      <c r="B63" s="40" t="s">
        <v>463</v>
      </c>
      <c r="C63" s="6"/>
      <c r="D63" s="1168" t="s">
        <v>452</v>
      </c>
      <c r="E63" s="1169">
        <f>+'[20]Core Rates'!AN34</f>
        <v>5.5</v>
      </c>
      <c r="F63" s="1170">
        <v>0</v>
      </c>
      <c r="G63" s="1171">
        <f>+F63*E63</f>
        <v>0</v>
      </c>
      <c r="H63" s="35"/>
      <c r="I63" s="47"/>
    </row>
    <row r="64" spans="1:9">
      <c r="A64" s="2"/>
      <c r="B64" s="40" t="s">
        <v>464</v>
      </c>
      <c r="C64" s="6"/>
      <c r="D64" s="1168" t="s">
        <v>452</v>
      </c>
      <c r="E64" s="1169">
        <f>+'[20]Core Rates'!AN32</f>
        <v>6.3125</v>
      </c>
      <c r="F64" s="1170">
        <v>0</v>
      </c>
      <c r="G64" s="1171">
        <f>+F64*E64</f>
        <v>0</v>
      </c>
      <c r="H64" s="35"/>
      <c r="I64" s="47"/>
    </row>
    <row r="65" spans="1:9">
      <c r="A65" s="2"/>
      <c r="B65" s="40"/>
      <c r="C65" s="6"/>
      <c r="D65" s="63"/>
      <c r="E65" s="150"/>
      <c r="F65" s="150"/>
      <c r="G65" s="1169"/>
      <c r="H65" s="35"/>
      <c r="I65" s="47"/>
    </row>
    <row r="66" spans="1:9">
      <c r="A66" s="2"/>
      <c r="B66" s="37" t="s">
        <v>43</v>
      </c>
      <c r="C66" s="35"/>
      <c r="D66" s="35"/>
      <c r="E66" s="60"/>
      <c r="F66" s="60"/>
      <c r="G66" s="60"/>
      <c r="H66" s="35"/>
      <c r="I66" s="46"/>
    </row>
    <row r="67" spans="1:9" ht="12.75" customHeight="1">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201.46875</v>
      </c>
    </row>
    <row r="72" spans="1:9">
      <c r="A72" s="2"/>
      <c r="B72" s="2007" t="s">
        <v>465</v>
      </c>
      <c r="C72" s="2008"/>
      <c r="D72" s="35"/>
      <c r="E72" s="35"/>
      <c r="F72" s="35"/>
      <c r="G72" s="35"/>
      <c r="H72" s="35"/>
      <c r="I72" s="48"/>
    </row>
    <row r="73" spans="1:9">
      <c r="A73" s="2"/>
      <c r="B73" s="37" t="s">
        <v>466</v>
      </c>
      <c r="C73" s="39"/>
      <c r="D73" s="39"/>
      <c r="E73" s="153">
        <f>SUM(G57:G64)*0.15</f>
        <v>201.46875</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0.03*(I40+I55+I71)</f>
        <v>42.855150000000002</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0.01*(I40+I55+I71)</f>
        <v>14.285050000000002</v>
      </c>
    </row>
    <row r="81" spans="1:9">
      <c r="A81" s="2"/>
      <c r="B81" s="33" t="s">
        <v>749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1349</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1350</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1351</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+I40+I55+I71+I77+I83+I93</f>
        <v>1471.3601500000002</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2085.6451999999999</v>
      </c>
    </row>
  </sheetData>
  <mergeCells count="4">
    <mergeCell ref="B1:D1"/>
    <mergeCell ref="E55:H55"/>
    <mergeCell ref="B67:I68"/>
    <mergeCell ref="B72:C72"/>
  </mergeCells>
  <pageMargins left="0.75" right="0.75" top="1" bottom="1" header="0.5" footer="0.5"/>
  <pageSetup scale="55" orientation="portrait" r:id="rId1"/>
  <headerFooter alignWithMargins="0"/>
</worksheet>
</file>

<file path=xl/worksheets/sheet92.xml><?xml version="1.0" encoding="utf-8"?>
<worksheet xmlns="http://schemas.openxmlformats.org/spreadsheetml/2006/main" xmlns:r="http://schemas.openxmlformats.org/officeDocument/2006/relationships">
  <sheetPr>
    <pageSetUpPr fitToPage="1"/>
  </sheetPr>
  <dimension ref="A1:L97"/>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1360</v>
      </c>
      <c r="F6" s="7" t="str">
        <f>+D36</f>
        <v>Acre</v>
      </c>
      <c r="G6" s="85">
        <f>+I25</f>
        <v>602.25644999999997</v>
      </c>
    </row>
    <row r="7" spans="1:12" ht="25.5" hidden="1">
      <c r="A7" s="2"/>
      <c r="B7" s="54">
        <f>+B6</f>
        <v>342</v>
      </c>
      <c r="C7" s="7" t="str">
        <f>+C6</f>
        <v>EQIP</v>
      </c>
      <c r="D7" s="53" t="s">
        <v>1344</v>
      </c>
      <c r="E7" s="110" t="str">
        <f>CONCATENATE(E6, "-HU")</f>
        <v>Critical Area Planting - Light Grading/Shaping (1-2hr/Ac), Mulch, Native Grass/Forbs Mix-HU</v>
      </c>
      <c r="F7" s="7" t="str">
        <f>+F6</f>
        <v>Acre</v>
      </c>
      <c r="G7" s="85">
        <f>+J25</f>
        <v>722.70774000000006</v>
      </c>
    </row>
    <row r="8" spans="1:12" ht="25.5" hidden="1">
      <c r="A8" s="2"/>
      <c r="B8" s="54">
        <v>342</v>
      </c>
      <c r="C8" s="7" t="str">
        <f>+G12</f>
        <v>WHIP</v>
      </c>
      <c r="D8" s="53" t="s">
        <v>1344</v>
      </c>
      <c r="E8" s="110" t="str">
        <f>+E6</f>
        <v>Critical Area Planting - Light Grading/Shaping (1-2hr/Ac), Mulch, Native Grass/Forbs Mix</v>
      </c>
      <c r="F8" s="7" t="str">
        <f>+D36</f>
        <v>Acre</v>
      </c>
      <c r="G8" s="85">
        <f>+K25</f>
        <v>0</v>
      </c>
    </row>
    <row r="9" spans="1:12" ht="25.5" hidden="1">
      <c r="A9" s="2"/>
      <c r="B9" s="8">
        <f>+B8</f>
        <v>342</v>
      </c>
      <c r="C9" s="10" t="str">
        <f>+C8</f>
        <v>WHIP</v>
      </c>
      <c r="D9" s="9" t="s">
        <v>1344</v>
      </c>
      <c r="E9" s="111" t="str">
        <f>CONCATENATE(E6, "-HU")</f>
        <v>Critical Area Planting - Light Grading/Shaping (1-2hr/Ac), Mulch, Native Grass/Forbs Mix-HU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105.86999999999999</v>
      </c>
      <c r="E16" s="160">
        <f>+'[10]Payment Factors'!D11</f>
        <v>0.75</v>
      </c>
      <c r="F16" s="160">
        <f>+'[10]Payment Factors'!E11</f>
        <v>0.9</v>
      </c>
      <c r="G16" s="160">
        <f>+'[10]Payment Factors'!F11</f>
        <v>0</v>
      </c>
      <c r="H16" s="160">
        <f>+'[10]Payment Factors'!G11</f>
        <v>0</v>
      </c>
      <c r="I16" s="1154">
        <f t="shared" ref="I16:L24" si="0">+$D16*E16</f>
        <v>79.402499999999989</v>
      </c>
      <c r="J16" s="1154">
        <f t="shared" si="0"/>
        <v>95.282999999999987</v>
      </c>
      <c r="K16" s="1154">
        <f t="shared" si="0"/>
        <v>0</v>
      </c>
      <c r="L16" s="1155">
        <f t="shared" si="0"/>
        <v>0</v>
      </c>
    </row>
    <row r="17" spans="1:12" hidden="1">
      <c r="A17" s="2"/>
      <c r="B17" s="15" t="s">
        <v>2</v>
      </c>
      <c r="C17" s="16"/>
      <c r="D17" s="24">
        <f>+I53</f>
        <v>572.6875</v>
      </c>
      <c r="E17" s="160">
        <f t="shared" ref="E17:H19" si="1">+E16</f>
        <v>0.75</v>
      </c>
      <c r="F17" s="160">
        <f t="shared" si="1"/>
        <v>0.9</v>
      </c>
      <c r="G17" s="160">
        <f t="shared" si="1"/>
        <v>0</v>
      </c>
      <c r="H17" s="160">
        <f t="shared" si="1"/>
        <v>0</v>
      </c>
      <c r="I17" s="1154">
        <f t="shared" si="0"/>
        <v>429.515625</v>
      </c>
      <c r="J17" s="1154">
        <f t="shared" si="0"/>
        <v>515.41875000000005</v>
      </c>
      <c r="K17" s="1154">
        <f t="shared" si="0"/>
        <v>0</v>
      </c>
      <c r="L17" s="1155">
        <f t="shared" si="0"/>
        <v>0</v>
      </c>
    </row>
    <row r="18" spans="1:12" hidden="1">
      <c r="A18" s="2"/>
      <c r="B18" s="15" t="s">
        <v>3</v>
      </c>
      <c r="C18" s="16"/>
      <c r="D18" s="24">
        <f>+I69</f>
        <v>101.0625</v>
      </c>
      <c r="E18" s="160">
        <f t="shared" si="1"/>
        <v>0.75</v>
      </c>
      <c r="F18" s="160">
        <f t="shared" si="1"/>
        <v>0.9</v>
      </c>
      <c r="G18" s="160">
        <f t="shared" si="1"/>
        <v>0</v>
      </c>
      <c r="H18" s="160">
        <f t="shared" si="1"/>
        <v>0</v>
      </c>
      <c r="I18" s="1154">
        <f t="shared" si="0"/>
        <v>75.796875</v>
      </c>
      <c r="J18" s="1154">
        <f t="shared" si="0"/>
        <v>90.956249999999997</v>
      </c>
      <c r="K18" s="1154">
        <f t="shared" si="0"/>
        <v>0</v>
      </c>
      <c r="L18" s="1155">
        <f t="shared" si="0"/>
        <v>0</v>
      </c>
    </row>
    <row r="19" spans="1:12" hidden="1">
      <c r="A19" s="2"/>
      <c r="B19" s="15" t="s">
        <v>4</v>
      </c>
      <c r="C19" s="16"/>
      <c r="D19" s="24">
        <f>+I75</f>
        <v>23.3886</v>
      </c>
      <c r="E19" s="160">
        <f t="shared" si="1"/>
        <v>0.75</v>
      </c>
      <c r="F19" s="160">
        <f t="shared" si="1"/>
        <v>0.9</v>
      </c>
      <c r="G19" s="160">
        <f t="shared" si="1"/>
        <v>0</v>
      </c>
      <c r="H19" s="160">
        <f t="shared" si="1"/>
        <v>0</v>
      </c>
      <c r="I19" s="1154">
        <f t="shared" si="0"/>
        <v>17.541450000000001</v>
      </c>
      <c r="J19" s="1154">
        <f t="shared" si="0"/>
        <v>21.04974</v>
      </c>
      <c r="K19" s="1154">
        <f t="shared" si="0"/>
        <v>0</v>
      </c>
      <c r="L19" s="1155">
        <f t="shared" si="0"/>
        <v>0</v>
      </c>
    </row>
    <row r="20" spans="1:12" hidden="1">
      <c r="A20" s="2"/>
      <c r="B20" s="15" t="s">
        <v>26</v>
      </c>
      <c r="C20" s="16"/>
      <c r="D20" s="24">
        <f>+I78</f>
        <v>7.7961999999999998</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+I84</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1410.8047999999999</v>
      </c>
      <c r="E25" s="1158"/>
      <c r="F25" s="1158"/>
      <c r="G25" s="28"/>
      <c r="H25" s="28"/>
      <c r="I25" s="1159">
        <f>SUM(I16:I24)</f>
        <v>602.25644999999997</v>
      </c>
      <c r="J25" s="1159">
        <f>SUM(J16:J24)</f>
        <v>722.70774000000006</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SUM(G42:G48)</f>
        <v>105.86999999999999</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8" si="2">+F42*E42</f>
        <v>0</v>
      </c>
      <c r="H42" s="35"/>
      <c r="I42" s="47"/>
    </row>
    <row r="43" spans="1:9">
      <c r="A43" s="2"/>
      <c r="B43" s="40" t="s">
        <v>451</v>
      </c>
      <c r="C43" s="6"/>
      <c r="D43" s="1168" t="s">
        <v>452</v>
      </c>
      <c r="E43" s="1169">
        <f>+'[20]Core Rates'!C203</f>
        <v>8.75</v>
      </c>
      <c r="F43" s="1170">
        <v>0</v>
      </c>
      <c r="G43" s="1171">
        <f t="shared" si="2"/>
        <v>0</v>
      </c>
      <c r="H43" s="35"/>
      <c r="I43" s="36"/>
    </row>
    <row r="44" spans="1:9">
      <c r="A44" s="2"/>
      <c r="B44" s="1184" t="s">
        <v>453</v>
      </c>
      <c r="C44" s="6"/>
      <c r="D44" s="1185" t="s">
        <v>454</v>
      </c>
      <c r="E44" s="1169">
        <f>+'[20]Core Rates'!C228</f>
        <v>0.82427536231884069</v>
      </c>
      <c r="F44" s="1170">
        <v>0</v>
      </c>
      <c r="G44" s="1171">
        <f t="shared" si="2"/>
        <v>0</v>
      </c>
      <c r="H44" s="35"/>
      <c r="I44" s="36"/>
    </row>
    <row r="45" spans="1:9">
      <c r="A45" s="2"/>
      <c r="B45" s="1186" t="s">
        <v>455</v>
      </c>
      <c r="C45" s="1187"/>
      <c r="D45" s="1185" t="s">
        <v>454</v>
      </c>
      <c r="E45" s="1169">
        <f>+'[20]Core Rates'!C235</f>
        <v>1.1702898550724636</v>
      </c>
      <c r="F45" s="1170">
        <v>0</v>
      </c>
      <c r="G45" s="1171">
        <f t="shared" si="2"/>
        <v>0</v>
      </c>
      <c r="H45" s="35"/>
      <c r="I45" s="36"/>
    </row>
    <row r="46" spans="1:9">
      <c r="A46" s="2"/>
      <c r="B46" s="1186" t="s">
        <v>456</v>
      </c>
      <c r="C46" s="1187"/>
      <c r="D46" s="1168" t="s">
        <v>454</v>
      </c>
      <c r="E46" s="1169">
        <f>+'[20]Core Rates'!C246</f>
        <v>0.58825136612021856</v>
      </c>
      <c r="F46" s="1170">
        <v>0</v>
      </c>
      <c r="G46" s="1171">
        <f t="shared" si="2"/>
        <v>0</v>
      </c>
      <c r="H46" s="35"/>
      <c r="I46" s="36"/>
    </row>
    <row r="47" spans="1:9">
      <c r="A47" s="2"/>
      <c r="B47" s="1206" t="str">
        <f>+'[20]Core Rates'!A309</f>
        <v>Seed (Native grass except Prairie Dropseed and Splitbeard Bluestem)</v>
      </c>
      <c r="C47" s="1187"/>
      <c r="D47" s="1185" t="s">
        <v>454</v>
      </c>
      <c r="E47" s="1169">
        <f>+'[20]Core Rates 2011'!BE306</f>
        <v>8.57</v>
      </c>
      <c r="F47" s="1170">
        <v>9</v>
      </c>
      <c r="G47" s="1171">
        <f t="shared" si="2"/>
        <v>77.13</v>
      </c>
      <c r="H47" s="35"/>
      <c r="I47" s="36"/>
    </row>
    <row r="48" spans="1:9">
      <c r="A48" s="2"/>
      <c r="B48" s="1206" t="str">
        <f>+'[20]Core Rates 2011'!A291</f>
        <v>Seed (4 native forb species mix)</v>
      </c>
      <c r="C48" s="1187"/>
      <c r="D48" s="1185" t="s">
        <v>454</v>
      </c>
      <c r="E48" s="1169">
        <f>+'[20]Core Rates 2011'!BE291</f>
        <v>28.74</v>
      </c>
      <c r="F48" s="1170">
        <v>1</v>
      </c>
      <c r="G48" s="1171">
        <f t="shared" si="2"/>
        <v>28.74</v>
      </c>
      <c r="H48" s="35"/>
      <c r="I48" s="36"/>
    </row>
    <row r="49" spans="1:9">
      <c r="A49" s="2"/>
      <c r="B49" s="1184"/>
      <c r="C49" s="6"/>
      <c r="D49" s="1173"/>
      <c r="E49" s="1190"/>
      <c r="F49" s="35"/>
      <c r="G49" s="35"/>
      <c r="H49" s="35"/>
      <c r="I49" s="36"/>
    </row>
    <row r="50" spans="1:9">
      <c r="A50" s="2"/>
      <c r="B50" s="37" t="s">
        <v>43</v>
      </c>
      <c r="C50" s="35"/>
      <c r="D50" s="35"/>
      <c r="E50" s="60"/>
      <c r="F50" s="60"/>
      <c r="G50" s="60"/>
      <c r="H50" s="35"/>
      <c r="I50" s="46"/>
    </row>
    <row r="51" spans="1:9">
      <c r="A51" s="2"/>
      <c r="B51" s="40" t="s">
        <v>457</v>
      </c>
      <c r="C51" s="35"/>
      <c r="D51" s="35"/>
      <c r="E51" s="60"/>
      <c r="F51" s="60"/>
      <c r="G51" s="60"/>
      <c r="H51" s="35"/>
      <c r="I51" s="46"/>
    </row>
    <row r="52" spans="1:9">
      <c r="A52" s="2"/>
      <c r="B52" s="1172"/>
      <c r="C52" s="6"/>
      <c r="D52" s="1173"/>
      <c r="E52" s="35"/>
      <c r="F52" s="35"/>
      <c r="G52" s="35"/>
      <c r="H52" s="35"/>
      <c r="I52" s="36"/>
    </row>
    <row r="53" spans="1:9">
      <c r="A53" s="2"/>
      <c r="B53" s="42" t="s">
        <v>2</v>
      </c>
      <c r="C53" s="35"/>
      <c r="D53" s="35"/>
      <c r="E53" s="2003" t="s">
        <v>459</v>
      </c>
      <c r="F53" s="2003"/>
      <c r="G53" s="2003"/>
      <c r="H53" s="2003"/>
      <c r="I53" s="1166">
        <f>(SUM(G55:G601)*0.85)</f>
        <v>572.6875</v>
      </c>
    </row>
    <row r="54" spans="1:9">
      <c r="A54" s="2"/>
      <c r="B54" s="1174"/>
      <c r="C54" s="35"/>
      <c r="D54" s="1167" t="s">
        <v>447</v>
      </c>
      <c r="E54" s="1167" t="s">
        <v>448</v>
      </c>
      <c r="F54" s="1167" t="s">
        <v>449</v>
      </c>
      <c r="G54" s="1167" t="s">
        <v>450</v>
      </c>
      <c r="H54" s="35"/>
      <c r="I54" s="46"/>
    </row>
    <row r="55" spans="1:9">
      <c r="A55" s="2"/>
      <c r="B55" s="1389" t="str">
        <f>+'[20]Core Rates'!A109</f>
        <v>Earthmoving: Light grading/shaping (1-2 hrs/ac)</v>
      </c>
      <c r="C55" s="1387"/>
      <c r="D55" s="1408" t="s">
        <v>408</v>
      </c>
      <c r="E55" s="1169">
        <f>+'[20]Core Rates'!C109</f>
        <v>165.75</v>
      </c>
      <c r="F55" s="1170">
        <v>1</v>
      </c>
      <c r="G55" s="1171">
        <f>+F55*E55</f>
        <v>165.75</v>
      </c>
      <c r="H55" s="35"/>
      <c r="I55" s="47"/>
    </row>
    <row r="56" spans="1:9">
      <c r="A56" s="2"/>
      <c r="B56" s="1409" t="str">
        <f>+'[20]Core Rates'!A217</f>
        <v>Mulching (2 tons/ac applied)</v>
      </c>
      <c r="C56" s="153"/>
      <c r="D56" s="1171" t="s">
        <v>408</v>
      </c>
      <c r="E56" s="1171">
        <f>+'[20]Core Rates'!C217</f>
        <v>472.5</v>
      </c>
      <c r="F56" s="1169">
        <v>1</v>
      </c>
      <c r="G56" s="1171">
        <f>+F56*E56</f>
        <v>472.5</v>
      </c>
      <c r="H56" s="35"/>
      <c r="I56" s="47"/>
    </row>
    <row r="57" spans="1:9">
      <c r="A57" s="2"/>
      <c r="B57" s="1412" t="str">
        <f>+'[20]Core Rates'!A123</f>
        <v>Erosion Control Blanket, Type II (Installed)</v>
      </c>
      <c r="C57" s="153"/>
      <c r="D57" s="1171" t="str">
        <f>+'[20]Core Rates'!B123</f>
        <v>Sq Yd</v>
      </c>
      <c r="E57" s="1171">
        <f>+'[20]Core Rates'!C123</f>
        <v>1.5750000000000002</v>
      </c>
      <c r="F57" s="1169">
        <v>0</v>
      </c>
      <c r="G57" s="1171">
        <f>+E57/9*43560*F57</f>
        <v>0</v>
      </c>
      <c r="H57" s="35"/>
      <c r="I57" s="47"/>
    </row>
    <row r="58" spans="1:9">
      <c r="A58" s="2"/>
      <c r="B58" s="40" t="s">
        <v>461</v>
      </c>
      <c r="C58" s="6"/>
      <c r="D58" s="1168" t="s">
        <v>408</v>
      </c>
      <c r="E58" s="1169">
        <f>+'[20]Core Rates'!C104</f>
        <v>20</v>
      </c>
      <c r="F58" s="1170">
        <v>1</v>
      </c>
      <c r="G58" s="1171">
        <f>+F58*E58</f>
        <v>20</v>
      </c>
      <c r="H58" s="35"/>
      <c r="I58" s="47"/>
    </row>
    <row r="59" spans="1:9">
      <c r="A59" s="2"/>
      <c r="B59" s="1191" t="str">
        <f>+'[20]Core Rates'!A216</f>
        <v>Mowing</v>
      </c>
      <c r="C59" s="6"/>
      <c r="D59" s="1189" t="s">
        <v>408</v>
      </c>
      <c r="E59" s="1189">
        <f>+'[20]Core Rates'!C216</f>
        <v>15.5</v>
      </c>
      <c r="F59" s="1170">
        <v>1</v>
      </c>
      <c r="G59" s="1171">
        <f>+F59*E59</f>
        <v>15.5</v>
      </c>
      <c r="H59" s="35"/>
      <c r="I59" s="47"/>
    </row>
    <row r="60" spans="1:9">
      <c r="A60" s="2"/>
      <c r="B60" s="40" t="s">
        <v>462</v>
      </c>
      <c r="C60" s="6"/>
      <c r="D60" s="1168" t="s">
        <v>408</v>
      </c>
      <c r="E60" s="1169">
        <f>+'[20]Core Rates'!AN33</f>
        <v>5.416666666666667</v>
      </c>
      <c r="F60" s="1170"/>
      <c r="G60" s="1171">
        <f>+F60*E60</f>
        <v>0</v>
      </c>
      <c r="H60" s="35"/>
      <c r="I60" s="47"/>
    </row>
    <row r="61" spans="1:9">
      <c r="A61" s="2"/>
      <c r="B61" s="40" t="s">
        <v>463</v>
      </c>
      <c r="C61" s="6"/>
      <c r="D61" s="1168" t="s">
        <v>452</v>
      </c>
      <c r="E61" s="1169">
        <f>+'[20]Core Rates'!AN34</f>
        <v>5.5</v>
      </c>
      <c r="F61" s="1170"/>
      <c r="G61" s="1171">
        <f>+F61*E61</f>
        <v>0</v>
      </c>
      <c r="H61" s="35"/>
      <c r="I61" s="47"/>
    </row>
    <row r="62" spans="1:9">
      <c r="A62" s="2"/>
      <c r="B62" s="40" t="s">
        <v>464</v>
      </c>
      <c r="C62" s="6"/>
      <c r="D62" s="1168" t="s">
        <v>452</v>
      </c>
      <c r="E62" s="1169">
        <f>+'[20]Core Rates'!AN32</f>
        <v>6.3125</v>
      </c>
      <c r="F62" s="1170"/>
      <c r="G62" s="1171">
        <f>+F62*E62</f>
        <v>0</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101.0625</v>
      </c>
    </row>
    <row r="70" spans="1:9">
      <c r="A70" s="2"/>
      <c r="B70" s="2007" t="s">
        <v>465</v>
      </c>
      <c r="C70" s="2008"/>
      <c r="D70" s="35"/>
      <c r="E70" s="35"/>
      <c r="F70" s="35"/>
      <c r="G70" s="35"/>
      <c r="H70" s="35"/>
      <c r="I70" s="48"/>
    </row>
    <row r="71" spans="1:9">
      <c r="A71" s="2"/>
      <c r="B71" s="37" t="s">
        <v>466</v>
      </c>
      <c r="C71" s="39"/>
      <c r="D71" s="39"/>
      <c r="E71" s="153">
        <f>SUM(G55:G62)*0.15</f>
        <v>101.0625</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0.03*(I40+I53+I69)</f>
        <v>23.3886</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0.01*(I40+I53+I69)</f>
        <v>7.7961999999999998</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1349</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600</v>
      </c>
    </row>
    <row r="85" spans="1:9">
      <c r="A85" s="2"/>
      <c r="B85" s="756" t="s">
        <v>1350</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1351</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+I40+I53+I69+I75+I81+I91</f>
        <v>803.0086</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1410.8047999999999</v>
      </c>
    </row>
  </sheetData>
  <mergeCells count="4">
    <mergeCell ref="B1:D1"/>
    <mergeCell ref="E53:H53"/>
    <mergeCell ref="B65:I66"/>
    <mergeCell ref="B70:C70"/>
  </mergeCells>
  <pageMargins left="0.75" right="0.75" top="1" bottom="1" header="0.5" footer="0.5"/>
  <pageSetup scale="55" orientation="portrait" r:id="rId1"/>
  <headerFooter alignWithMargins="0"/>
</worksheet>
</file>

<file path=xl/worksheets/sheet93.xml><?xml version="1.0" encoding="utf-8"?>
<worksheet xmlns="http://schemas.openxmlformats.org/spreadsheetml/2006/main" xmlns:r="http://schemas.openxmlformats.org/officeDocument/2006/relationships">
  <sheetPr>
    <pageSetUpPr fitToPage="1"/>
  </sheetPr>
  <dimension ref="A1:L97"/>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c r="A3" s="2"/>
      <c r="B3" s="1" t="s">
        <v>17</v>
      </c>
      <c r="C3" s="2"/>
      <c r="D3" s="2"/>
      <c r="E3" s="2"/>
      <c r="F3" s="2"/>
      <c r="G3" s="2"/>
      <c r="H3" s="2"/>
      <c r="I3" s="2"/>
    </row>
    <row r="4" spans="1:12">
      <c r="A4" s="2"/>
      <c r="B4" s="68" t="s">
        <v>1</v>
      </c>
      <c r="C4" s="69" t="s">
        <v>21</v>
      </c>
      <c r="D4" s="70"/>
      <c r="E4" s="70"/>
      <c r="F4" s="70"/>
      <c r="G4" s="83" t="s">
        <v>12</v>
      </c>
    </row>
    <row r="5" spans="1:12">
      <c r="A5" s="2"/>
      <c r="B5" s="71" t="s">
        <v>13</v>
      </c>
      <c r="C5" s="72" t="s">
        <v>22</v>
      </c>
      <c r="D5" s="72" t="s">
        <v>29</v>
      </c>
      <c r="E5" s="72" t="s">
        <v>30</v>
      </c>
      <c r="F5" s="72" t="s">
        <v>23</v>
      </c>
      <c r="G5" s="84" t="s">
        <v>14</v>
      </c>
    </row>
    <row r="6" spans="1:12" ht="25.5">
      <c r="A6" s="2"/>
      <c r="B6" s="54">
        <v>342</v>
      </c>
      <c r="C6" s="7" t="str">
        <f>+E12</f>
        <v>EQIP</v>
      </c>
      <c r="D6" s="53" t="s">
        <v>1344</v>
      </c>
      <c r="E6" s="110" t="s">
        <v>1361</v>
      </c>
      <c r="F6" s="7" t="str">
        <f>+D36</f>
        <v>Acre</v>
      </c>
      <c r="G6" s="85">
        <f>+I25</f>
        <v>863.2648875000001</v>
      </c>
    </row>
    <row r="7" spans="1:12" ht="25.5">
      <c r="A7" s="2"/>
      <c r="B7" s="54">
        <f>+B6</f>
        <v>342</v>
      </c>
      <c r="C7" s="7" t="str">
        <f>+C6</f>
        <v>EQIP</v>
      </c>
      <c r="D7" s="53" t="s">
        <v>1344</v>
      </c>
      <c r="E7" s="110" t="str">
        <f>CONCATENATE(E6, "-HU")</f>
        <v>Critical Area Planting - Medium Grading/Shaping (2-6hr/Ac), Mulch, Native Grass/Forbs Mix-HU</v>
      </c>
      <c r="F7" s="7" t="str">
        <f>+F6</f>
        <v>Acre</v>
      </c>
      <c r="G7" s="85">
        <f>+J25</f>
        <v>1035.9178650000001</v>
      </c>
    </row>
    <row r="8" spans="1:12" ht="25.5">
      <c r="A8" s="2"/>
      <c r="B8" s="54">
        <v>342</v>
      </c>
      <c r="C8" s="7" t="str">
        <f>+G12</f>
        <v>WHIP</v>
      </c>
      <c r="D8" s="53" t="s">
        <v>1344</v>
      </c>
      <c r="E8" s="110" t="str">
        <f>+E6</f>
        <v>Critical Area Planting - Medium Grading/Shaping (2-6hr/Ac), Mulch, Native Grass/Forbs Mix</v>
      </c>
      <c r="F8" s="7" t="str">
        <f>+D36</f>
        <v>Acre</v>
      </c>
      <c r="G8" s="85">
        <f>+K25</f>
        <v>0</v>
      </c>
    </row>
    <row r="9" spans="1:12" ht="25.5">
      <c r="A9" s="2"/>
      <c r="B9" s="8">
        <f>+B8</f>
        <v>342</v>
      </c>
      <c r="C9" s="10" t="str">
        <f>+C8</f>
        <v>WHIP</v>
      </c>
      <c r="D9" s="9" t="s">
        <v>1344</v>
      </c>
      <c r="E9" s="111" t="str">
        <f>CONCATENATE(E6, "-HU")</f>
        <v>Critical Area Planting - Medium Grading/Shaping (2-6hr/Ac), Mulch, Native Grass/Forbs Mix-HU</v>
      </c>
      <c r="F9" s="10" t="str">
        <f>+F8</f>
        <v>Acre</v>
      </c>
      <c r="G9" s="86">
        <f>+L25</f>
        <v>0</v>
      </c>
    </row>
    <row r="10" spans="1:12">
      <c r="A10" s="2"/>
      <c r="B10" s="4"/>
      <c r="C10" s="3"/>
      <c r="D10" s="3"/>
      <c r="E10" s="2"/>
      <c r="F10" s="2"/>
    </row>
    <row r="11" spans="1:12" ht="15.75">
      <c r="A11" s="2"/>
      <c r="B11" s="1" t="s">
        <v>18</v>
      </c>
      <c r="C11" s="3"/>
      <c r="D11" s="3"/>
      <c r="E11" s="2"/>
      <c r="F11" s="2"/>
    </row>
    <row r="12" spans="1:12">
      <c r="A12" s="2"/>
      <c r="B12" s="55"/>
      <c r="C12" s="12"/>
      <c r="D12" s="11"/>
      <c r="E12" s="13" t="s">
        <v>15</v>
      </c>
      <c r="F12" s="13" t="s">
        <v>31</v>
      </c>
      <c r="G12" s="13" t="s">
        <v>86</v>
      </c>
      <c r="H12" s="13" t="s">
        <v>441</v>
      </c>
      <c r="I12" s="13"/>
      <c r="J12" s="13"/>
      <c r="K12" s="13"/>
      <c r="L12" s="14"/>
    </row>
    <row r="13" spans="1:12">
      <c r="A13" s="2"/>
      <c r="B13" s="15"/>
      <c r="C13" s="67"/>
      <c r="D13" s="16"/>
      <c r="E13" s="17" t="s">
        <v>22</v>
      </c>
      <c r="F13" s="17" t="s">
        <v>22</v>
      </c>
      <c r="G13" s="17" t="s">
        <v>22</v>
      </c>
      <c r="H13" s="17" t="s">
        <v>22</v>
      </c>
      <c r="I13" s="17" t="s">
        <v>15</v>
      </c>
      <c r="J13" s="17" t="s">
        <v>31</v>
      </c>
      <c r="K13" s="17" t="s">
        <v>86</v>
      </c>
      <c r="L13" s="18" t="s">
        <v>441</v>
      </c>
    </row>
    <row r="14" spans="1:12">
      <c r="A14" s="2"/>
      <c r="B14" s="19"/>
      <c r="C14" s="16"/>
      <c r="D14" s="16"/>
      <c r="E14" s="17" t="s">
        <v>12</v>
      </c>
      <c r="F14" s="17" t="s">
        <v>12</v>
      </c>
      <c r="G14" s="17" t="s">
        <v>12</v>
      </c>
      <c r="H14" s="17" t="s">
        <v>12</v>
      </c>
      <c r="I14" s="17" t="s">
        <v>12</v>
      </c>
      <c r="J14" s="17" t="s">
        <v>12</v>
      </c>
      <c r="K14" s="17" t="s">
        <v>12</v>
      </c>
      <c r="L14" s="18" t="s">
        <v>12</v>
      </c>
    </row>
    <row r="15" spans="1:12">
      <c r="A15" s="2"/>
      <c r="B15" s="164" t="s">
        <v>16</v>
      </c>
      <c r="C15" s="16"/>
      <c r="D15" s="165" t="s">
        <v>6</v>
      </c>
      <c r="E15" s="22" t="s">
        <v>24</v>
      </c>
      <c r="F15" s="22" t="s">
        <v>24</v>
      </c>
      <c r="G15" s="22" t="s">
        <v>24</v>
      </c>
      <c r="H15" s="22" t="s">
        <v>24</v>
      </c>
      <c r="I15" s="22" t="s">
        <v>14</v>
      </c>
      <c r="J15" s="22" t="s">
        <v>14</v>
      </c>
      <c r="K15" s="22" t="s">
        <v>14</v>
      </c>
      <c r="L15" s="23" t="s">
        <v>14</v>
      </c>
    </row>
    <row r="16" spans="1:12">
      <c r="A16" s="2"/>
      <c r="B16" s="15" t="s">
        <v>0</v>
      </c>
      <c r="C16" s="16"/>
      <c r="D16" s="24">
        <f>+I40</f>
        <v>105.86999999999999</v>
      </c>
      <c r="E16" s="160">
        <f>+'[10]Payment Factors'!D11</f>
        <v>0.75</v>
      </c>
      <c r="F16" s="160">
        <f>+'[10]Payment Factors'!E11</f>
        <v>0.9</v>
      </c>
      <c r="G16" s="160">
        <f>+'[10]Payment Factors'!F11</f>
        <v>0</v>
      </c>
      <c r="H16" s="160">
        <f>+'[10]Payment Factors'!G11</f>
        <v>0</v>
      </c>
      <c r="I16" s="1154">
        <f t="shared" ref="I16:L24" si="0">+$D16*E16</f>
        <v>79.402499999999989</v>
      </c>
      <c r="J16" s="1154">
        <f t="shared" si="0"/>
        <v>95.282999999999987</v>
      </c>
      <c r="K16" s="1154">
        <f t="shared" si="0"/>
        <v>0</v>
      </c>
      <c r="L16" s="1155">
        <f t="shared" si="0"/>
        <v>0</v>
      </c>
    </row>
    <row r="17" spans="1:12">
      <c r="A17" s="2"/>
      <c r="B17" s="15" t="s">
        <v>2</v>
      </c>
      <c r="C17" s="16"/>
      <c r="D17" s="24">
        <f>+I53</f>
        <v>859.88125000000002</v>
      </c>
      <c r="E17" s="160">
        <f t="shared" ref="E17:H19" si="1">+E16</f>
        <v>0.75</v>
      </c>
      <c r="F17" s="160">
        <f t="shared" si="1"/>
        <v>0.9</v>
      </c>
      <c r="G17" s="160">
        <f t="shared" si="1"/>
        <v>0</v>
      </c>
      <c r="H17" s="160">
        <f t="shared" si="1"/>
        <v>0</v>
      </c>
      <c r="I17" s="1154">
        <f t="shared" si="0"/>
        <v>644.91093750000005</v>
      </c>
      <c r="J17" s="1154">
        <f t="shared" si="0"/>
        <v>773.89312500000005</v>
      </c>
      <c r="K17" s="1154">
        <f t="shared" si="0"/>
        <v>0</v>
      </c>
      <c r="L17" s="1155">
        <f t="shared" si="0"/>
        <v>0</v>
      </c>
    </row>
    <row r="18" spans="1:12">
      <c r="A18" s="2"/>
      <c r="B18" s="15" t="s">
        <v>3</v>
      </c>
      <c r="C18" s="16"/>
      <c r="D18" s="24">
        <f>+I69</f>
        <v>151.74375000000001</v>
      </c>
      <c r="E18" s="160">
        <f t="shared" si="1"/>
        <v>0.75</v>
      </c>
      <c r="F18" s="160">
        <f t="shared" si="1"/>
        <v>0.9</v>
      </c>
      <c r="G18" s="160">
        <f t="shared" si="1"/>
        <v>0</v>
      </c>
      <c r="H18" s="160">
        <f t="shared" si="1"/>
        <v>0</v>
      </c>
      <c r="I18" s="1154">
        <f t="shared" si="0"/>
        <v>113.80781250000001</v>
      </c>
      <c r="J18" s="1154">
        <f t="shared" si="0"/>
        <v>136.56937500000001</v>
      </c>
      <c r="K18" s="1154">
        <f t="shared" si="0"/>
        <v>0</v>
      </c>
      <c r="L18" s="1155">
        <f t="shared" si="0"/>
        <v>0</v>
      </c>
    </row>
    <row r="19" spans="1:12">
      <c r="A19" s="2"/>
      <c r="B19" s="15" t="s">
        <v>4</v>
      </c>
      <c r="C19" s="16"/>
      <c r="D19" s="24">
        <f>+I75</f>
        <v>33.524850000000001</v>
      </c>
      <c r="E19" s="160">
        <f t="shared" si="1"/>
        <v>0.75</v>
      </c>
      <c r="F19" s="160">
        <f t="shared" si="1"/>
        <v>0.9</v>
      </c>
      <c r="G19" s="160">
        <f t="shared" si="1"/>
        <v>0</v>
      </c>
      <c r="H19" s="160">
        <f t="shared" si="1"/>
        <v>0</v>
      </c>
      <c r="I19" s="1154">
        <f t="shared" si="0"/>
        <v>25.143637500000001</v>
      </c>
      <c r="J19" s="1154">
        <f t="shared" si="0"/>
        <v>30.172365000000003</v>
      </c>
      <c r="K19" s="1154">
        <f t="shared" si="0"/>
        <v>0</v>
      </c>
      <c r="L19" s="1155">
        <f t="shared" si="0"/>
        <v>0</v>
      </c>
    </row>
    <row r="20" spans="1:12">
      <c r="A20" s="2"/>
      <c r="B20" s="15" t="s">
        <v>26</v>
      </c>
      <c r="C20" s="16"/>
      <c r="D20" s="24">
        <f>+I78</f>
        <v>11.174950000000001</v>
      </c>
      <c r="E20" s="160">
        <v>0</v>
      </c>
      <c r="F20" s="160">
        <v>0</v>
      </c>
      <c r="G20" s="160">
        <v>0</v>
      </c>
      <c r="H20" s="160">
        <v>0</v>
      </c>
      <c r="I20" s="1154">
        <f t="shared" si="0"/>
        <v>0</v>
      </c>
      <c r="J20" s="1154">
        <f t="shared" si="0"/>
        <v>0</v>
      </c>
      <c r="K20" s="1154">
        <f t="shared" si="0"/>
        <v>0</v>
      </c>
      <c r="L20" s="1155">
        <f t="shared" si="0"/>
        <v>0</v>
      </c>
    </row>
    <row r="21" spans="1:12">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c r="A22" s="2"/>
      <c r="B22" s="15" t="s">
        <v>27</v>
      </c>
      <c r="C22" s="16"/>
      <c r="D22" s="24">
        <f>+I84</f>
        <v>600</v>
      </c>
      <c r="E22" s="160">
        <v>0</v>
      </c>
      <c r="F22" s="160">
        <v>0</v>
      </c>
      <c r="G22" s="160">
        <v>0</v>
      </c>
      <c r="H22" s="160">
        <v>0</v>
      </c>
      <c r="I22" s="1154">
        <f t="shared" si="0"/>
        <v>0</v>
      </c>
      <c r="J22" s="1154">
        <f t="shared" si="0"/>
        <v>0</v>
      </c>
      <c r="K22" s="1154">
        <f t="shared" si="0"/>
        <v>0</v>
      </c>
      <c r="L22" s="1155">
        <f t="shared" si="0"/>
        <v>0</v>
      </c>
    </row>
    <row r="23" spans="1:12">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c r="A25" s="2"/>
      <c r="B25" s="26" t="s">
        <v>19</v>
      </c>
      <c r="C25" s="27"/>
      <c r="D25" s="51">
        <f>SUM(D16:D24)</f>
        <v>1762.1948000000002</v>
      </c>
      <c r="E25" s="1158"/>
      <c r="F25" s="1158"/>
      <c r="G25" s="28"/>
      <c r="H25" s="28"/>
      <c r="I25" s="1159">
        <f>SUM(I16:I24)</f>
        <v>863.2648875000001</v>
      </c>
      <c r="J25" s="1159">
        <f>SUM(J16:J24)</f>
        <v>1035.9178650000001</v>
      </c>
      <c r="K25" s="1159">
        <f>SUM(K16:K24)</f>
        <v>0</v>
      </c>
      <c r="L25" s="1160">
        <f>SUM(L16:L24)</f>
        <v>0</v>
      </c>
    </row>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SUM(G42:G48)</f>
        <v>105.86999999999999</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8" si="2">+F42*E42</f>
        <v>0</v>
      </c>
      <c r="H42" s="35"/>
      <c r="I42" s="47"/>
    </row>
    <row r="43" spans="1:9">
      <c r="A43" s="2"/>
      <c r="B43" s="40" t="s">
        <v>451</v>
      </c>
      <c r="C43" s="6"/>
      <c r="D43" s="1168" t="s">
        <v>452</v>
      </c>
      <c r="E43" s="1169">
        <f>+'[20]Core Rates'!C203</f>
        <v>8.75</v>
      </c>
      <c r="F43" s="1170">
        <v>0</v>
      </c>
      <c r="G43" s="1171">
        <f t="shared" si="2"/>
        <v>0</v>
      </c>
      <c r="H43" s="35"/>
      <c r="I43" s="36"/>
    </row>
    <row r="44" spans="1:9">
      <c r="A44" s="2"/>
      <c r="B44" s="1184" t="s">
        <v>453</v>
      </c>
      <c r="C44" s="6"/>
      <c r="D44" s="1185" t="s">
        <v>454</v>
      </c>
      <c r="E44" s="1169">
        <f>+'[20]Core Rates'!C228</f>
        <v>0.82427536231884069</v>
      </c>
      <c r="F44" s="1170">
        <v>0</v>
      </c>
      <c r="G44" s="1171">
        <f t="shared" si="2"/>
        <v>0</v>
      </c>
      <c r="H44" s="35"/>
      <c r="I44" s="36"/>
    </row>
    <row r="45" spans="1:9">
      <c r="A45" s="2"/>
      <c r="B45" s="1186" t="s">
        <v>455</v>
      </c>
      <c r="C45" s="1187"/>
      <c r="D45" s="1185" t="s">
        <v>454</v>
      </c>
      <c r="E45" s="1169">
        <f>+'[20]Core Rates'!C235</f>
        <v>1.1702898550724636</v>
      </c>
      <c r="F45" s="1170">
        <v>0</v>
      </c>
      <c r="G45" s="1171">
        <f t="shared" si="2"/>
        <v>0</v>
      </c>
      <c r="H45" s="35"/>
      <c r="I45" s="36"/>
    </row>
    <row r="46" spans="1:9">
      <c r="A46" s="2"/>
      <c r="B46" s="1186" t="s">
        <v>456</v>
      </c>
      <c r="C46" s="1187"/>
      <c r="D46" s="1168" t="s">
        <v>454</v>
      </c>
      <c r="E46" s="1169">
        <f>+'[20]Core Rates'!C246</f>
        <v>0.58825136612021856</v>
      </c>
      <c r="F46" s="1170">
        <v>0</v>
      </c>
      <c r="G46" s="1171">
        <f t="shared" si="2"/>
        <v>0</v>
      </c>
      <c r="H46" s="35"/>
      <c r="I46" s="36"/>
    </row>
    <row r="47" spans="1:9">
      <c r="A47" s="2"/>
      <c r="B47" s="1206" t="str">
        <f>+'[20]Core Rates'!A309</f>
        <v>Seed (Native grass except Prairie Dropseed and Splitbeard Bluestem)</v>
      </c>
      <c r="C47" s="1187"/>
      <c r="D47" s="1185" t="s">
        <v>454</v>
      </c>
      <c r="E47" s="1169">
        <f>+'[20]Core Rates 2011'!BE306</f>
        <v>8.57</v>
      </c>
      <c r="F47" s="1170">
        <v>9</v>
      </c>
      <c r="G47" s="1171">
        <f t="shared" si="2"/>
        <v>77.13</v>
      </c>
      <c r="H47" s="35"/>
      <c r="I47" s="36"/>
    </row>
    <row r="48" spans="1:9">
      <c r="A48" s="2"/>
      <c r="B48" s="1206" t="str">
        <f>+'[20]Core Rates'!A293</f>
        <v>Seed (4 species Forb Mixes 3, 4, 6, 9)</v>
      </c>
      <c r="C48" s="1187"/>
      <c r="D48" s="1185" t="s">
        <v>454</v>
      </c>
      <c r="E48" s="1169">
        <f>+'[20]Core Rates 2011'!BE291</f>
        <v>28.74</v>
      </c>
      <c r="F48" s="1170">
        <v>1</v>
      </c>
      <c r="G48" s="1171">
        <f t="shared" si="2"/>
        <v>28.74</v>
      </c>
      <c r="H48" s="35"/>
      <c r="I48" s="36"/>
    </row>
    <row r="49" spans="1:9">
      <c r="A49" s="2"/>
      <c r="B49" s="1184"/>
      <c r="C49" s="6"/>
      <c r="D49" s="1173"/>
      <c r="E49" s="1190"/>
      <c r="F49" s="35"/>
      <c r="G49" s="35"/>
      <c r="H49" s="35"/>
      <c r="I49" s="36"/>
    </row>
    <row r="50" spans="1:9">
      <c r="A50" s="2"/>
      <c r="B50" s="37" t="s">
        <v>43</v>
      </c>
      <c r="C50" s="35"/>
      <c r="D50" s="35"/>
      <c r="E50" s="60"/>
      <c r="F50" s="60"/>
      <c r="G50" s="60"/>
      <c r="H50" s="35"/>
      <c r="I50" s="46"/>
    </row>
    <row r="51" spans="1:9">
      <c r="A51" s="2"/>
      <c r="B51" s="40" t="s">
        <v>457</v>
      </c>
      <c r="C51" s="35"/>
      <c r="D51" s="35"/>
      <c r="E51" s="60"/>
      <c r="F51" s="60"/>
      <c r="G51" s="60"/>
      <c r="H51" s="35"/>
      <c r="I51" s="46"/>
    </row>
    <row r="52" spans="1:9">
      <c r="A52" s="2"/>
      <c r="B52" s="1172"/>
      <c r="C52" s="6"/>
      <c r="D52" s="1173"/>
      <c r="E52" s="35"/>
      <c r="F52" s="35"/>
      <c r="G52" s="35"/>
      <c r="H52" s="35"/>
      <c r="I52" s="36"/>
    </row>
    <row r="53" spans="1:9">
      <c r="A53" s="2"/>
      <c r="B53" s="42" t="s">
        <v>2</v>
      </c>
      <c r="C53" s="35"/>
      <c r="D53" s="35"/>
      <c r="E53" s="2003" t="s">
        <v>459</v>
      </c>
      <c r="F53" s="2003"/>
      <c r="G53" s="2003"/>
      <c r="H53" s="2003"/>
      <c r="I53" s="1166">
        <f>(SUM(G55:G62)*0.85)</f>
        <v>859.88125000000002</v>
      </c>
    </row>
    <row r="54" spans="1:9">
      <c r="A54" s="2"/>
      <c r="B54" s="1174"/>
      <c r="C54" s="35"/>
      <c r="D54" s="1167" t="s">
        <v>447</v>
      </c>
      <c r="E54" s="1167" t="s">
        <v>448</v>
      </c>
      <c r="F54" s="1167" t="s">
        <v>449</v>
      </c>
      <c r="G54" s="1167" t="s">
        <v>450</v>
      </c>
      <c r="H54" s="35"/>
      <c r="I54" s="46"/>
    </row>
    <row r="55" spans="1:9">
      <c r="A55" s="2"/>
      <c r="B55" s="1386" t="str">
        <f>+'[20]Core Rates'!A111</f>
        <v>Earthmoving: Medium grading/shaping (2-6 hrs/ac)</v>
      </c>
      <c r="C55" s="1411"/>
      <c r="D55" s="1408" t="s">
        <v>408</v>
      </c>
      <c r="E55" s="1169">
        <f>+'[20]Core Rates'!C111</f>
        <v>503.625</v>
      </c>
      <c r="F55" s="1170">
        <v>1</v>
      </c>
      <c r="G55" s="1171">
        <f>+F55*E55</f>
        <v>503.625</v>
      </c>
      <c r="H55" s="35"/>
      <c r="I55" s="47"/>
    </row>
    <row r="56" spans="1:9">
      <c r="A56" s="2"/>
      <c r="B56" s="1413" t="str">
        <f>+'[20]Core Rates'!A217</f>
        <v>Mulching (2 tons/ac applied)</v>
      </c>
      <c r="C56" s="153"/>
      <c r="D56" s="1171" t="s">
        <v>408</v>
      </c>
      <c r="E56" s="1171">
        <f>+'[20]Core Rates'!C217</f>
        <v>472.5</v>
      </c>
      <c r="F56" s="1169">
        <v>1</v>
      </c>
      <c r="G56" s="1171">
        <f>+F56*E56</f>
        <v>472.5</v>
      </c>
      <c r="H56" s="35"/>
      <c r="I56" s="47"/>
    </row>
    <row r="57" spans="1:9">
      <c r="A57" s="2"/>
      <c r="B57" s="1412" t="str">
        <f>+'[20]Core Rates'!A123</f>
        <v>Erosion Control Blanket, Type II (Installed)</v>
      </c>
      <c r="C57" s="153"/>
      <c r="D57" s="1171" t="str">
        <f>+'[20]Core Rates'!B123</f>
        <v>Sq Yd</v>
      </c>
      <c r="E57" s="1171">
        <f>+'[20]Core Rates'!C123</f>
        <v>1.5750000000000002</v>
      </c>
      <c r="F57" s="1169">
        <v>0</v>
      </c>
      <c r="G57" s="1171">
        <f>+E57/9*43560*F57</f>
        <v>0</v>
      </c>
      <c r="H57" s="35"/>
      <c r="I57" s="47"/>
    </row>
    <row r="58" spans="1:9">
      <c r="A58" s="2"/>
      <c r="B58" s="40" t="s">
        <v>461</v>
      </c>
      <c r="C58" s="6"/>
      <c r="D58" s="1168" t="s">
        <v>408</v>
      </c>
      <c r="E58" s="1169">
        <f>+'[20]Core Rates'!C104</f>
        <v>20</v>
      </c>
      <c r="F58" s="1170">
        <v>1</v>
      </c>
      <c r="G58" s="1171">
        <f>+F58*E58</f>
        <v>20</v>
      </c>
      <c r="H58" s="35"/>
      <c r="I58" s="47"/>
    </row>
    <row r="59" spans="1:9">
      <c r="A59" s="2"/>
      <c r="B59" s="1191" t="str">
        <f>+'[20]Core Rates'!A216</f>
        <v>Mowing</v>
      </c>
      <c r="C59" s="6"/>
      <c r="D59" s="1189" t="s">
        <v>408</v>
      </c>
      <c r="E59" s="1189">
        <f>+'[20]Core Rates'!C216</f>
        <v>15.5</v>
      </c>
      <c r="F59" s="1170">
        <v>1</v>
      </c>
      <c r="G59" s="1171">
        <f>+F59*E59</f>
        <v>15.5</v>
      </c>
      <c r="H59" s="35"/>
      <c r="I59" s="47"/>
    </row>
    <row r="60" spans="1:9">
      <c r="A60" s="2"/>
      <c r="B60" s="40" t="s">
        <v>462</v>
      </c>
      <c r="C60" s="6"/>
      <c r="D60" s="1168" t="s">
        <v>408</v>
      </c>
      <c r="E60" s="1169">
        <f>+'[20]Core Rates'!AN33</f>
        <v>5.416666666666667</v>
      </c>
      <c r="F60" s="1170">
        <v>0</v>
      </c>
      <c r="G60" s="1171">
        <f>+F60*E60</f>
        <v>0</v>
      </c>
      <c r="H60" s="35"/>
      <c r="I60" s="47"/>
    </row>
    <row r="61" spans="1:9">
      <c r="A61" s="2"/>
      <c r="B61" s="40" t="s">
        <v>463</v>
      </c>
      <c r="C61" s="6"/>
      <c r="D61" s="1168" t="s">
        <v>452</v>
      </c>
      <c r="E61" s="1169">
        <f>+'[20]Core Rates'!AN34</f>
        <v>5.5</v>
      </c>
      <c r="F61" s="1170">
        <v>0</v>
      </c>
      <c r="G61" s="1171">
        <f>+F61*E61</f>
        <v>0</v>
      </c>
      <c r="H61" s="35"/>
      <c r="I61" s="47"/>
    </row>
    <row r="62" spans="1:9">
      <c r="A62" s="2"/>
      <c r="B62" s="40" t="s">
        <v>464</v>
      </c>
      <c r="C62" s="6"/>
      <c r="D62" s="1168" t="s">
        <v>452</v>
      </c>
      <c r="E62" s="1169">
        <f>+'[20]Core Rates'!AN32</f>
        <v>6.3125</v>
      </c>
      <c r="F62" s="1170">
        <v>0</v>
      </c>
      <c r="G62" s="1171">
        <f>+F62*E62</f>
        <v>0</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151.74375000000001</v>
      </c>
    </row>
    <row r="70" spans="1:9">
      <c r="A70" s="2"/>
      <c r="B70" s="2007" t="s">
        <v>465</v>
      </c>
      <c r="C70" s="2008"/>
      <c r="D70" s="35"/>
      <c r="E70" s="35"/>
      <c r="F70" s="35"/>
      <c r="G70" s="35"/>
      <c r="H70" s="35"/>
      <c r="I70" s="48"/>
    </row>
    <row r="71" spans="1:9">
      <c r="A71" s="2"/>
      <c r="B71" s="37" t="s">
        <v>466</v>
      </c>
      <c r="C71" s="39"/>
      <c r="D71" s="39"/>
      <c r="E71" s="153">
        <f>SUM(G55:G62)*0.15</f>
        <v>151.74375000000001</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0.03*(I40+I53+I69)</f>
        <v>33.524850000000001</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0.01*(I40+I53+I69)</f>
        <v>11.174950000000001</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1349</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600</v>
      </c>
    </row>
    <row r="85" spans="1:9">
      <c r="A85" s="2"/>
      <c r="B85" s="756" t="s">
        <v>1350</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1351</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+I40+I53+I69+I75+I81+I91</f>
        <v>1151.0198500000001</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1762.1948000000002</v>
      </c>
    </row>
  </sheetData>
  <mergeCells count="4">
    <mergeCell ref="B1:D1"/>
    <mergeCell ref="E53:H53"/>
    <mergeCell ref="B65:I66"/>
    <mergeCell ref="B70:C70"/>
  </mergeCells>
  <pageMargins left="0.75" right="0.75" top="1" bottom="1" header="0.5" footer="0.5"/>
  <pageSetup scale="47" orientation="portrait" r:id="rId1"/>
  <headerFooter alignWithMargins="0"/>
</worksheet>
</file>

<file path=xl/worksheets/sheet94.xml><?xml version="1.0" encoding="utf-8"?>
<worksheet xmlns="http://schemas.openxmlformats.org/spreadsheetml/2006/main" xmlns:r="http://schemas.openxmlformats.org/officeDocument/2006/relationships">
  <sheetPr>
    <pageSetUpPr fitToPage="1"/>
  </sheetPr>
  <dimension ref="A1:L97"/>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1362</v>
      </c>
      <c r="F6" s="7" t="str">
        <f>+D36</f>
        <v>Acre</v>
      </c>
      <c r="G6" s="85">
        <f>+I25</f>
        <v>1119.3486375000002</v>
      </c>
    </row>
    <row r="7" spans="1:12" ht="25.5" hidden="1">
      <c r="A7" s="2"/>
      <c r="B7" s="54">
        <f>+B6</f>
        <v>342</v>
      </c>
      <c r="C7" s="7" t="str">
        <f>+C6</f>
        <v>EQIP</v>
      </c>
      <c r="D7" s="53" t="s">
        <v>1344</v>
      </c>
      <c r="E7" s="110" t="str">
        <f>CONCATENATE(E6, "-HU")</f>
        <v>Critical Area Planting - Heavy Grading/Shaping (6-10hr/Ac), Mulch, Native Grass/Forbs Mix-HU</v>
      </c>
      <c r="F7" s="7" t="str">
        <f>+F6</f>
        <v>Acre</v>
      </c>
      <c r="G7" s="85">
        <f>+J25</f>
        <v>1343.2183650000002</v>
      </c>
    </row>
    <row r="8" spans="1:12" ht="25.5" hidden="1">
      <c r="A8" s="2"/>
      <c r="B8" s="54">
        <v>342</v>
      </c>
      <c r="C8" s="7" t="str">
        <f>+G12</f>
        <v>WHIP</v>
      </c>
      <c r="D8" s="53" t="s">
        <v>1344</v>
      </c>
      <c r="E8" s="110" t="str">
        <f>+E6</f>
        <v>Critical Area Planting - Heavy Grading/Shaping (6-10hr/Ac), Mulch, Native Grass/Forbs Mix</v>
      </c>
      <c r="F8" s="7" t="str">
        <f>+D36</f>
        <v>Acre</v>
      </c>
      <c r="G8" s="85">
        <f>+K25</f>
        <v>0</v>
      </c>
    </row>
    <row r="9" spans="1:12" ht="25.5" hidden="1">
      <c r="A9" s="2"/>
      <c r="B9" s="8">
        <f>+B8</f>
        <v>342</v>
      </c>
      <c r="C9" s="10" t="str">
        <f>+C8</f>
        <v>WHIP</v>
      </c>
      <c r="D9" s="9" t="s">
        <v>1344</v>
      </c>
      <c r="E9" s="111" t="str">
        <f>CONCATENATE(E6, "-HU")</f>
        <v>Critical Area Planting - Heavy Grading/Shaping (6-10hr/Ac), Mulch, Native Grass/Forbs Mix-HU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105.86999999999999</v>
      </c>
      <c r="E16" s="160">
        <f>+'[10]Payment Factors'!D11</f>
        <v>0.75</v>
      </c>
      <c r="F16" s="160">
        <f>+'[10]Payment Factors'!E11</f>
        <v>0.9</v>
      </c>
      <c r="G16" s="160">
        <f>+'[10]Payment Factors'!F11</f>
        <v>0</v>
      </c>
      <c r="H16" s="160">
        <f>+'[10]Payment Factors'!G11</f>
        <v>0</v>
      </c>
      <c r="I16" s="1154">
        <f t="shared" ref="I16:L24" si="0">+$D16*E16</f>
        <v>79.402499999999989</v>
      </c>
      <c r="J16" s="1154">
        <f t="shared" si="0"/>
        <v>95.282999999999987</v>
      </c>
      <c r="K16" s="1154">
        <f t="shared" si="0"/>
        <v>0</v>
      </c>
      <c r="L16" s="1155">
        <f t="shared" si="0"/>
        <v>0</v>
      </c>
    </row>
    <row r="17" spans="1:12" hidden="1">
      <c r="A17" s="2"/>
      <c r="B17" s="15" t="s">
        <v>2</v>
      </c>
      <c r="C17" s="16"/>
      <c r="D17" s="24">
        <f>+I53</f>
        <v>1141.65625</v>
      </c>
      <c r="E17" s="160">
        <f t="shared" ref="E17:H19" si="1">+E16</f>
        <v>0.75</v>
      </c>
      <c r="F17" s="160">
        <f t="shared" si="1"/>
        <v>0.9</v>
      </c>
      <c r="G17" s="160">
        <f t="shared" si="1"/>
        <v>0</v>
      </c>
      <c r="H17" s="160">
        <f t="shared" si="1"/>
        <v>0</v>
      </c>
      <c r="I17" s="1154">
        <f t="shared" si="0"/>
        <v>856.2421875</v>
      </c>
      <c r="J17" s="1154">
        <f t="shared" si="0"/>
        <v>1027.4906250000001</v>
      </c>
      <c r="K17" s="1154">
        <f t="shared" si="0"/>
        <v>0</v>
      </c>
      <c r="L17" s="1155">
        <f t="shared" si="0"/>
        <v>0</v>
      </c>
    </row>
    <row r="18" spans="1:12" hidden="1">
      <c r="A18" s="2"/>
      <c r="B18" s="15" t="s">
        <v>3</v>
      </c>
      <c r="C18" s="16"/>
      <c r="D18" s="24">
        <f>+I69</f>
        <v>201.46875</v>
      </c>
      <c r="E18" s="160">
        <f t="shared" si="1"/>
        <v>0.75</v>
      </c>
      <c r="F18" s="160">
        <f t="shared" si="1"/>
        <v>0.9</v>
      </c>
      <c r="G18" s="160">
        <f t="shared" si="1"/>
        <v>0</v>
      </c>
      <c r="H18" s="160">
        <f t="shared" si="1"/>
        <v>0</v>
      </c>
      <c r="I18" s="1154">
        <f t="shared" si="0"/>
        <v>151.1015625</v>
      </c>
      <c r="J18" s="1154">
        <f t="shared" si="0"/>
        <v>181.32187500000001</v>
      </c>
      <c r="K18" s="1154">
        <f t="shared" si="0"/>
        <v>0</v>
      </c>
      <c r="L18" s="1155">
        <f t="shared" si="0"/>
        <v>0</v>
      </c>
    </row>
    <row r="19" spans="1:12" hidden="1">
      <c r="A19" s="2"/>
      <c r="B19" s="15" t="s">
        <v>4</v>
      </c>
      <c r="C19" s="16"/>
      <c r="D19" s="24">
        <f>+I75</f>
        <v>43.469849999999994</v>
      </c>
      <c r="E19" s="160">
        <f t="shared" si="1"/>
        <v>0.75</v>
      </c>
      <c r="F19" s="160">
        <f t="shared" si="1"/>
        <v>0.9</v>
      </c>
      <c r="G19" s="160">
        <f t="shared" si="1"/>
        <v>0</v>
      </c>
      <c r="H19" s="160">
        <f t="shared" si="1"/>
        <v>0</v>
      </c>
      <c r="I19" s="1154">
        <f t="shared" si="0"/>
        <v>32.602387499999992</v>
      </c>
      <c r="J19" s="1154">
        <f t="shared" si="0"/>
        <v>39.122864999999997</v>
      </c>
      <c r="K19" s="1154">
        <f t="shared" si="0"/>
        <v>0</v>
      </c>
      <c r="L19" s="1155">
        <f t="shared" si="0"/>
        <v>0</v>
      </c>
    </row>
    <row r="20" spans="1:12" hidden="1">
      <c r="A20" s="2"/>
      <c r="B20" s="15" t="s">
        <v>26</v>
      </c>
      <c r="C20" s="16"/>
      <c r="D20" s="24">
        <f>+I78</f>
        <v>14.489949999999999</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+I84</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2106.9547999999995</v>
      </c>
      <c r="E25" s="1158"/>
      <c r="F25" s="1158"/>
      <c r="G25" s="28"/>
      <c r="H25" s="28"/>
      <c r="I25" s="1159">
        <f>SUM(I16:I24)</f>
        <v>1119.3486375000002</v>
      </c>
      <c r="J25" s="1159">
        <f>SUM(J16:J24)</f>
        <v>1343.2183650000002</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SUM(G42:G48)</f>
        <v>105.86999999999999</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8" si="2">+F42*E42</f>
        <v>0</v>
      </c>
      <c r="H42" s="35"/>
      <c r="I42" s="47"/>
    </row>
    <row r="43" spans="1:9">
      <c r="A43" s="2"/>
      <c r="B43" s="40" t="s">
        <v>451</v>
      </c>
      <c r="C43" s="6"/>
      <c r="D43" s="1168" t="s">
        <v>452</v>
      </c>
      <c r="E43" s="1169">
        <f>+'[20]Core Rates'!C203</f>
        <v>8.75</v>
      </c>
      <c r="F43" s="1170">
        <v>0</v>
      </c>
      <c r="G43" s="1171">
        <f t="shared" si="2"/>
        <v>0</v>
      </c>
      <c r="H43" s="35"/>
      <c r="I43" s="36"/>
    </row>
    <row r="44" spans="1:9">
      <c r="A44" s="2"/>
      <c r="B44" s="1184" t="s">
        <v>453</v>
      </c>
      <c r="C44" s="6"/>
      <c r="D44" s="1185" t="s">
        <v>454</v>
      </c>
      <c r="E44" s="1169">
        <f>+'[20]Core Rates'!C228</f>
        <v>0.82427536231884069</v>
      </c>
      <c r="F44" s="1170">
        <v>0</v>
      </c>
      <c r="G44" s="1171">
        <f t="shared" si="2"/>
        <v>0</v>
      </c>
      <c r="H44" s="35"/>
      <c r="I44" s="36"/>
    </row>
    <row r="45" spans="1:9">
      <c r="A45" s="2"/>
      <c r="B45" s="1186" t="s">
        <v>455</v>
      </c>
      <c r="C45" s="1187"/>
      <c r="D45" s="1185" t="s">
        <v>454</v>
      </c>
      <c r="E45" s="1169">
        <f>+'[20]Core Rates'!C235</f>
        <v>1.1702898550724636</v>
      </c>
      <c r="F45" s="1170">
        <v>0</v>
      </c>
      <c r="G45" s="1171">
        <f t="shared" si="2"/>
        <v>0</v>
      </c>
      <c r="H45" s="35"/>
      <c r="I45" s="36"/>
    </row>
    <row r="46" spans="1:9">
      <c r="A46" s="2"/>
      <c r="B46" s="1186" t="s">
        <v>456</v>
      </c>
      <c r="C46" s="1187"/>
      <c r="D46" s="1168" t="s">
        <v>454</v>
      </c>
      <c r="E46" s="1169">
        <f>+'[20]Core Rates'!C246</f>
        <v>0.58825136612021856</v>
      </c>
      <c r="F46" s="1170">
        <v>0</v>
      </c>
      <c r="G46" s="1171">
        <f t="shared" si="2"/>
        <v>0</v>
      </c>
      <c r="H46" s="35"/>
      <c r="I46" s="36"/>
    </row>
    <row r="47" spans="1:9">
      <c r="A47" s="2"/>
      <c r="B47" s="1206" t="str">
        <f>+'[20]Core Rates'!A309</f>
        <v>Seed (Native grass except Prairie Dropseed and Splitbeard Bluestem)</v>
      </c>
      <c r="C47" s="1187"/>
      <c r="D47" s="1185" t="s">
        <v>454</v>
      </c>
      <c r="E47" s="1169">
        <f>+'[20]Core Rates 2011'!BE306</f>
        <v>8.57</v>
      </c>
      <c r="F47" s="1170">
        <v>9</v>
      </c>
      <c r="G47" s="1171">
        <f t="shared" si="2"/>
        <v>77.13</v>
      </c>
      <c r="H47" s="35"/>
      <c r="I47" s="36"/>
    </row>
    <row r="48" spans="1:9">
      <c r="A48" s="2"/>
      <c r="B48" s="1206" t="str">
        <f>+'[20]Core Rates 2011'!A291</f>
        <v>Seed (4 native forb species mix)</v>
      </c>
      <c r="C48" s="1187"/>
      <c r="D48" s="1185" t="s">
        <v>454</v>
      </c>
      <c r="E48" s="1169">
        <f>+'[20]Core Rates 2011'!BE291</f>
        <v>28.74</v>
      </c>
      <c r="F48" s="1170">
        <v>1</v>
      </c>
      <c r="G48" s="1171">
        <f t="shared" si="2"/>
        <v>28.74</v>
      </c>
      <c r="H48" s="35"/>
      <c r="I48" s="36"/>
    </row>
    <row r="49" spans="1:9">
      <c r="A49" s="2"/>
      <c r="B49" s="1184"/>
      <c r="C49" s="6"/>
      <c r="D49" s="1173"/>
      <c r="E49" s="1190"/>
      <c r="F49" s="35"/>
      <c r="G49" s="35"/>
      <c r="H49" s="35"/>
      <c r="I49" s="36"/>
    </row>
    <row r="50" spans="1:9">
      <c r="A50" s="2"/>
      <c r="B50" s="37" t="s">
        <v>43</v>
      </c>
      <c r="C50" s="35"/>
      <c r="D50" s="35"/>
      <c r="E50" s="60"/>
      <c r="F50" s="60"/>
      <c r="G50" s="60"/>
      <c r="H50" s="35"/>
      <c r="I50" s="46"/>
    </row>
    <row r="51" spans="1:9">
      <c r="A51" s="2"/>
      <c r="B51" s="40" t="s">
        <v>457</v>
      </c>
      <c r="C51" s="35"/>
      <c r="D51" s="35"/>
      <c r="E51" s="60"/>
      <c r="F51" s="60"/>
      <c r="G51" s="60"/>
      <c r="H51" s="35"/>
      <c r="I51" s="46"/>
    </row>
    <row r="52" spans="1:9">
      <c r="A52" s="2"/>
      <c r="B52" s="1172"/>
      <c r="C52" s="6"/>
      <c r="D52" s="1173"/>
      <c r="E52" s="35"/>
      <c r="F52" s="35"/>
      <c r="G52" s="35"/>
      <c r="H52" s="35"/>
      <c r="I52" s="36"/>
    </row>
    <row r="53" spans="1:9">
      <c r="A53" s="2"/>
      <c r="B53" s="42" t="s">
        <v>2</v>
      </c>
      <c r="C53" s="35"/>
      <c r="D53" s="35"/>
      <c r="E53" s="2003" t="s">
        <v>459</v>
      </c>
      <c r="F53" s="2003"/>
      <c r="G53" s="2003"/>
      <c r="H53" s="2003"/>
      <c r="I53" s="1166">
        <f>(SUM(G55:G62)*0.85)</f>
        <v>1141.65625</v>
      </c>
    </row>
    <row r="54" spans="1:9">
      <c r="A54" s="2"/>
      <c r="B54" s="1174"/>
      <c r="C54" s="35"/>
      <c r="D54" s="1167" t="s">
        <v>447</v>
      </c>
      <c r="E54" s="1167" t="s">
        <v>448</v>
      </c>
      <c r="F54" s="1167" t="s">
        <v>449</v>
      </c>
      <c r="G54" s="1167" t="s">
        <v>450</v>
      </c>
      <c r="H54" s="35"/>
      <c r="I54" s="46"/>
    </row>
    <row r="55" spans="1:9">
      <c r="A55" s="2"/>
      <c r="B55" s="1386" t="str">
        <f>+'[20]Core Rates'!A113</f>
        <v>Earthmoving: Heavy grading/shaping (6-10 hrs/ac)</v>
      </c>
      <c r="C55" s="1411"/>
      <c r="D55" s="1408" t="s">
        <v>408</v>
      </c>
      <c r="E55" s="1169">
        <f>+'[20]Core Rates'!C113</f>
        <v>835.125</v>
      </c>
      <c r="F55" s="1170">
        <v>1</v>
      </c>
      <c r="G55" s="1171">
        <f>+F55*E55</f>
        <v>835.125</v>
      </c>
      <c r="H55" s="35"/>
      <c r="I55" s="47"/>
    </row>
    <row r="56" spans="1:9">
      <c r="A56" s="2"/>
      <c r="B56" s="1413" t="str">
        <f>+'[20]Core Rates'!A217</f>
        <v>Mulching (2 tons/ac applied)</v>
      </c>
      <c r="C56" s="153"/>
      <c r="D56" s="1171" t="s">
        <v>408</v>
      </c>
      <c r="E56" s="1171">
        <f>+'[20]Core Rates'!C217</f>
        <v>472.5</v>
      </c>
      <c r="F56" s="1169">
        <v>1</v>
      </c>
      <c r="G56" s="1171">
        <f>+F56*E56</f>
        <v>472.5</v>
      </c>
      <c r="H56" s="35"/>
      <c r="I56" s="47"/>
    </row>
    <row r="57" spans="1:9">
      <c r="A57" s="2"/>
      <c r="B57" s="1412" t="str">
        <f>+'[20]Core Rates'!A123</f>
        <v>Erosion Control Blanket, Type II (Installed)</v>
      </c>
      <c r="C57" s="153"/>
      <c r="D57" s="1171" t="str">
        <f>+'[20]Core Rates'!B123</f>
        <v>Sq Yd</v>
      </c>
      <c r="E57" s="1171">
        <f>+'[20]Core Rates'!C123</f>
        <v>1.5750000000000002</v>
      </c>
      <c r="F57" s="1169">
        <v>0</v>
      </c>
      <c r="G57" s="1171">
        <f>+E57/9*43560*F57</f>
        <v>0</v>
      </c>
      <c r="H57" s="35"/>
      <c r="I57" s="47"/>
    </row>
    <row r="58" spans="1:9">
      <c r="A58" s="2"/>
      <c r="B58" s="40" t="s">
        <v>461</v>
      </c>
      <c r="C58" s="6"/>
      <c r="D58" s="1168" t="s">
        <v>408</v>
      </c>
      <c r="E58" s="1169">
        <f>+'[20]Core Rates'!C104</f>
        <v>20</v>
      </c>
      <c r="F58" s="1170">
        <v>1</v>
      </c>
      <c r="G58" s="1171">
        <f>+F58*E58</f>
        <v>20</v>
      </c>
      <c r="H58" s="35"/>
      <c r="I58" s="47"/>
    </row>
    <row r="59" spans="1:9">
      <c r="A59" s="2"/>
      <c r="B59" s="1191" t="str">
        <f>+'[20]Core Rates'!A216</f>
        <v>Mowing</v>
      </c>
      <c r="C59" s="6"/>
      <c r="D59" s="1189" t="s">
        <v>408</v>
      </c>
      <c r="E59" s="1189">
        <f>+'[20]Core Rates'!C216</f>
        <v>15.5</v>
      </c>
      <c r="F59" s="1170">
        <v>1</v>
      </c>
      <c r="G59" s="1171">
        <f>+F59*E59</f>
        <v>15.5</v>
      </c>
      <c r="H59" s="35"/>
      <c r="I59" s="47"/>
    </row>
    <row r="60" spans="1:9">
      <c r="A60" s="2"/>
      <c r="B60" s="40" t="s">
        <v>462</v>
      </c>
      <c r="C60" s="6"/>
      <c r="D60" s="1168" t="s">
        <v>408</v>
      </c>
      <c r="E60" s="1169">
        <f>+'[20]Core Rates'!AN33</f>
        <v>5.416666666666667</v>
      </c>
      <c r="F60" s="1170">
        <v>0</v>
      </c>
      <c r="G60" s="1171">
        <f>+F60*E60</f>
        <v>0</v>
      </c>
      <c r="H60" s="35"/>
      <c r="I60" s="47"/>
    </row>
    <row r="61" spans="1:9">
      <c r="A61" s="2"/>
      <c r="B61" s="40" t="s">
        <v>463</v>
      </c>
      <c r="C61" s="6"/>
      <c r="D61" s="1168" t="s">
        <v>452</v>
      </c>
      <c r="E61" s="1169">
        <f>+'[20]Core Rates'!AN34</f>
        <v>5.5</v>
      </c>
      <c r="F61" s="1170">
        <v>0</v>
      </c>
      <c r="G61" s="1171">
        <f>+F61*E61</f>
        <v>0</v>
      </c>
      <c r="H61" s="35"/>
      <c r="I61" s="47"/>
    </row>
    <row r="62" spans="1:9">
      <c r="A62" s="2"/>
      <c r="B62" s="40" t="s">
        <v>464</v>
      </c>
      <c r="C62" s="6"/>
      <c r="D62" s="1168" t="s">
        <v>452</v>
      </c>
      <c r="E62" s="1169">
        <f>+'[20]Core Rates'!AN32</f>
        <v>6.3125</v>
      </c>
      <c r="F62" s="1170">
        <v>0</v>
      </c>
      <c r="G62" s="1171">
        <f>+F62*E62</f>
        <v>0</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201.46875</v>
      </c>
    </row>
    <row r="70" spans="1:9">
      <c r="A70" s="2"/>
      <c r="B70" s="2007" t="s">
        <v>465</v>
      </c>
      <c r="C70" s="2008"/>
      <c r="D70" s="35"/>
      <c r="E70" s="35"/>
      <c r="F70" s="35"/>
      <c r="G70" s="35"/>
      <c r="H70" s="35"/>
      <c r="I70" s="48"/>
    </row>
    <row r="71" spans="1:9">
      <c r="A71" s="2"/>
      <c r="B71" s="37" t="s">
        <v>466</v>
      </c>
      <c r="C71" s="39"/>
      <c r="D71" s="39"/>
      <c r="E71" s="153">
        <f>SUM(G55:G62)*0.15</f>
        <v>201.46875</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0.03*(I40+I53+I69)</f>
        <v>43.469849999999994</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0.01*(I40+I53+I69)</f>
        <v>14.489949999999999</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1349</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600</v>
      </c>
    </row>
    <row r="85" spans="1:9">
      <c r="A85" s="2"/>
      <c r="B85" s="756" t="s">
        <v>1350</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1351</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+I40+I53+I69+I75+I81+I91</f>
        <v>1492.4648499999998</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2106.9547999999995</v>
      </c>
    </row>
  </sheetData>
  <mergeCells count="4">
    <mergeCell ref="B1:D1"/>
    <mergeCell ref="E53:H53"/>
    <mergeCell ref="B65:I66"/>
    <mergeCell ref="B70:C70"/>
  </mergeCells>
  <pageMargins left="0.75" right="0.75" top="1" bottom="1" header="0.5" footer="0.5"/>
  <pageSetup scale="55" orientation="portrait" r:id="rId1"/>
  <headerFooter alignWithMargins="0"/>
</worksheet>
</file>

<file path=xl/worksheets/sheet95.xml><?xml version="1.0" encoding="utf-8"?>
<worksheet xmlns="http://schemas.openxmlformats.org/spreadsheetml/2006/main" xmlns:r="http://schemas.openxmlformats.org/officeDocument/2006/relationships">
  <sheetPr>
    <pageSetUpPr fitToPage="1"/>
  </sheetPr>
  <dimension ref="A1:L99"/>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1363</v>
      </c>
      <c r="F6" s="7" t="str">
        <f>+D36</f>
        <v>Acre</v>
      </c>
      <c r="G6" s="85">
        <f>+I25</f>
        <v>1676.00055</v>
      </c>
    </row>
    <row r="7" spans="1:12" ht="25.5" hidden="1">
      <c r="A7" s="2"/>
      <c r="B7" s="54">
        <f>+B6</f>
        <v>342</v>
      </c>
      <c r="C7" s="7" t="str">
        <f>+C6</f>
        <v>EQIP</v>
      </c>
      <c r="D7" s="53" t="s">
        <v>1344</v>
      </c>
      <c r="E7" s="110" t="str">
        <f>CONCATENATE(E6, "-HU")</f>
        <v>Critical Area Planting - Medium Grading/Shaping (2-6hr/Ac), ECB &amp; Mulch, Native Grass/Legume Mix-HU</v>
      </c>
      <c r="F7" s="7" t="str">
        <f>+F6</f>
        <v>Acre</v>
      </c>
      <c r="G7" s="85">
        <f>+J25</f>
        <v>2011.2006599999997</v>
      </c>
    </row>
    <row r="8" spans="1:12" ht="25.5" hidden="1">
      <c r="A8" s="2"/>
      <c r="B8" s="54">
        <v>342</v>
      </c>
      <c r="C8" s="7" t="str">
        <f>+G12</f>
        <v>WHIP</v>
      </c>
      <c r="D8" s="53" t="s">
        <v>1344</v>
      </c>
      <c r="E8" s="110" t="str">
        <f>+E6</f>
        <v>Critical Area Planting - Medium Grading/Shaping (2-6hr/Ac), ECB &amp; Mulch, Native Grass/Legume Mix</v>
      </c>
      <c r="F8" s="7" t="str">
        <f>+D36</f>
        <v>Acre</v>
      </c>
      <c r="G8" s="85">
        <f>+K25</f>
        <v>0</v>
      </c>
    </row>
    <row r="9" spans="1:12" ht="25.5" hidden="1">
      <c r="A9" s="2"/>
      <c r="B9" s="8">
        <f>+B8</f>
        <v>342</v>
      </c>
      <c r="C9" s="10" t="str">
        <f>+C8</f>
        <v>WHIP</v>
      </c>
      <c r="D9" s="9" t="s">
        <v>1344</v>
      </c>
      <c r="E9" s="111" t="str">
        <f>CONCATENATE(E6, "-HU")</f>
        <v>Critical Area Planting - Medium Grading/Shaping (2-6hr/Ac), ECB &amp; Mulch, Native Grass/Legume Mix-HU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85.38</v>
      </c>
      <c r="E16" s="160">
        <f>+'[10]Payment Factors'!D11</f>
        <v>0.75</v>
      </c>
      <c r="F16" s="160">
        <f>+'[10]Payment Factors'!E11</f>
        <v>0.9</v>
      </c>
      <c r="G16" s="160">
        <f>+'[10]Payment Factors'!F11</f>
        <v>0</v>
      </c>
      <c r="H16" s="160">
        <f>+'[10]Payment Factors'!G11</f>
        <v>0</v>
      </c>
      <c r="I16" s="1154">
        <f t="shared" ref="I16:L24" si="0">+$D16*E16</f>
        <v>64.034999999999997</v>
      </c>
      <c r="J16" s="1154">
        <f t="shared" si="0"/>
        <v>76.841999999999999</v>
      </c>
      <c r="K16" s="1154">
        <f t="shared" si="0"/>
        <v>0</v>
      </c>
      <c r="L16" s="1155">
        <f t="shared" si="0"/>
        <v>0</v>
      </c>
    </row>
    <row r="17" spans="1:12" hidden="1">
      <c r="A17" s="2"/>
      <c r="B17" s="15" t="s">
        <v>2</v>
      </c>
      <c r="C17" s="16"/>
      <c r="D17" s="24">
        <f>+I55</f>
        <v>1771.5699999999997</v>
      </c>
      <c r="E17" s="160">
        <f t="shared" ref="E17:H19" si="1">+E16</f>
        <v>0.75</v>
      </c>
      <c r="F17" s="160">
        <f t="shared" si="1"/>
        <v>0.9</v>
      </c>
      <c r="G17" s="160">
        <f t="shared" si="1"/>
        <v>0</v>
      </c>
      <c r="H17" s="160">
        <f t="shared" si="1"/>
        <v>0</v>
      </c>
      <c r="I17" s="1154">
        <f t="shared" si="0"/>
        <v>1328.6774999999998</v>
      </c>
      <c r="J17" s="1154">
        <f t="shared" si="0"/>
        <v>1594.4129999999998</v>
      </c>
      <c r="K17" s="1154">
        <f t="shared" si="0"/>
        <v>0</v>
      </c>
      <c r="L17" s="1155">
        <f t="shared" si="0"/>
        <v>0</v>
      </c>
    </row>
    <row r="18" spans="1:12" hidden="1">
      <c r="A18" s="2"/>
      <c r="B18" s="15" t="s">
        <v>3</v>
      </c>
      <c r="C18" s="16"/>
      <c r="D18" s="24">
        <f>+I71</f>
        <v>312.62999999999994</v>
      </c>
      <c r="E18" s="160">
        <f t="shared" si="1"/>
        <v>0.75</v>
      </c>
      <c r="F18" s="160">
        <f t="shared" si="1"/>
        <v>0.9</v>
      </c>
      <c r="G18" s="160">
        <f t="shared" si="1"/>
        <v>0</v>
      </c>
      <c r="H18" s="160">
        <f t="shared" si="1"/>
        <v>0</v>
      </c>
      <c r="I18" s="1154">
        <f t="shared" si="0"/>
        <v>234.47249999999997</v>
      </c>
      <c r="J18" s="1154">
        <f t="shared" si="0"/>
        <v>281.36699999999996</v>
      </c>
      <c r="K18" s="1154">
        <f t="shared" si="0"/>
        <v>0</v>
      </c>
      <c r="L18" s="1155">
        <f t="shared" si="0"/>
        <v>0</v>
      </c>
    </row>
    <row r="19" spans="1:12" hidden="1">
      <c r="A19" s="2"/>
      <c r="B19" s="15" t="s">
        <v>4</v>
      </c>
      <c r="C19" s="16"/>
      <c r="D19" s="24">
        <f>+I77</f>
        <v>65.087400000000002</v>
      </c>
      <c r="E19" s="160">
        <f t="shared" si="1"/>
        <v>0.75</v>
      </c>
      <c r="F19" s="160">
        <f t="shared" si="1"/>
        <v>0.9</v>
      </c>
      <c r="G19" s="160">
        <f t="shared" si="1"/>
        <v>0</v>
      </c>
      <c r="H19" s="160">
        <f t="shared" si="1"/>
        <v>0</v>
      </c>
      <c r="I19" s="1154">
        <f t="shared" si="0"/>
        <v>48.815550000000002</v>
      </c>
      <c r="J19" s="1154">
        <f t="shared" si="0"/>
        <v>58.578660000000006</v>
      </c>
      <c r="K19" s="1154">
        <f t="shared" si="0"/>
        <v>0</v>
      </c>
      <c r="L19" s="1155">
        <f t="shared" si="0"/>
        <v>0</v>
      </c>
    </row>
    <row r="20" spans="1:12" hidden="1">
      <c r="A20" s="2"/>
      <c r="B20" s="15" t="s">
        <v>26</v>
      </c>
      <c r="C20" s="16"/>
      <c r="D20" s="24">
        <f>+I80</f>
        <v>21.695799999999998</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+I83</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+I86</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+I90</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+I93</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2856.3631999999998</v>
      </c>
      <c r="E25" s="1158"/>
      <c r="F25" s="1158"/>
      <c r="G25" s="28"/>
      <c r="H25" s="28"/>
      <c r="I25" s="1159">
        <f>SUM(I16:I24)</f>
        <v>1676.00055</v>
      </c>
      <c r="J25" s="1159">
        <f>SUM(J16:J24)</f>
        <v>2011.2006599999997</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SUM(G42:G50)</f>
        <v>85.38</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50" si="2">+F42*E42</f>
        <v>0</v>
      </c>
      <c r="H42" s="35"/>
      <c r="I42" s="47"/>
    </row>
    <row r="43" spans="1:9">
      <c r="A43" s="2"/>
      <c r="B43" s="40" t="s">
        <v>451</v>
      </c>
      <c r="C43" s="6"/>
      <c r="D43" s="1168" t="s">
        <v>452</v>
      </c>
      <c r="E43" s="1169">
        <f>+'[20]Core Rates'!C203</f>
        <v>8.75</v>
      </c>
      <c r="F43" s="1170">
        <v>0</v>
      </c>
      <c r="G43" s="1171">
        <f t="shared" si="2"/>
        <v>0</v>
      </c>
      <c r="H43" s="35"/>
      <c r="I43" s="36"/>
    </row>
    <row r="44" spans="1:9">
      <c r="A44" s="2"/>
      <c r="B44" s="1184" t="s">
        <v>453</v>
      </c>
      <c r="C44" s="6"/>
      <c r="D44" s="1185" t="s">
        <v>454</v>
      </c>
      <c r="E44" s="1169">
        <f>+'[20]Core Rates'!C228</f>
        <v>0.82427536231884069</v>
      </c>
      <c r="F44" s="1170">
        <v>0</v>
      </c>
      <c r="G44" s="1171">
        <f t="shared" si="2"/>
        <v>0</v>
      </c>
      <c r="H44" s="35"/>
      <c r="I44" s="36"/>
    </row>
    <row r="45" spans="1:9">
      <c r="A45" s="2"/>
      <c r="B45" s="1186" t="s">
        <v>455</v>
      </c>
      <c r="C45" s="1187"/>
      <c r="D45" s="1185" t="s">
        <v>454</v>
      </c>
      <c r="E45" s="1169">
        <f>+'[20]Core Rates'!C235</f>
        <v>1.1702898550724636</v>
      </c>
      <c r="F45" s="1170">
        <v>0</v>
      </c>
      <c r="G45" s="1171">
        <f t="shared" si="2"/>
        <v>0</v>
      </c>
      <c r="H45" s="35"/>
      <c r="I45" s="36"/>
    </row>
    <row r="46" spans="1:9">
      <c r="A46" s="2"/>
      <c r="B46" s="1186" t="s">
        <v>456</v>
      </c>
      <c r="C46" s="1187"/>
      <c r="D46" s="1168" t="s">
        <v>454</v>
      </c>
      <c r="E46" s="1169">
        <f>+'[20]Core Rates'!C246</f>
        <v>0.58825136612021856</v>
      </c>
      <c r="F46" s="1170">
        <v>0</v>
      </c>
      <c r="G46" s="1171">
        <f t="shared" si="2"/>
        <v>0</v>
      </c>
      <c r="H46" s="35"/>
      <c r="I46" s="36"/>
    </row>
    <row r="47" spans="1:9">
      <c r="A47" s="2"/>
      <c r="B47" s="1206" t="str">
        <f>+'[20]Core Rates'!A309</f>
        <v>Seed (Native grass except Prairie Dropseed and Splitbeard Bluestem)</v>
      </c>
      <c r="C47" s="1187"/>
      <c r="D47" s="1185" t="s">
        <v>454</v>
      </c>
      <c r="E47" s="1169">
        <f>+'[20]Core Rates 2011'!BE306</f>
        <v>8.57</v>
      </c>
      <c r="F47" s="1170">
        <v>9</v>
      </c>
      <c r="G47" s="1171">
        <f t="shared" si="2"/>
        <v>77.13</v>
      </c>
      <c r="H47" s="35"/>
      <c r="I47" s="36"/>
    </row>
    <row r="48" spans="1:9">
      <c r="A48" s="2"/>
      <c r="B48" s="1206" t="str">
        <f>+'[20]Core Rates'!A307</f>
        <v>Seed (Prairie Dropseed)</v>
      </c>
      <c r="C48" s="1187"/>
      <c r="D48" s="1185" t="s">
        <v>454</v>
      </c>
      <c r="E48" s="1169">
        <f>+'[20]Core Rates 2011'!BE304</f>
        <v>165.75</v>
      </c>
      <c r="F48" s="1170">
        <v>0</v>
      </c>
      <c r="G48" s="1171">
        <f t="shared" si="2"/>
        <v>0</v>
      </c>
      <c r="H48" s="35"/>
      <c r="I48" s="36"/>
    </row>
    <row r="49" spans="1:9">
      <c r="A49" s="2"/>
      <c r="B49" s="1186" t="s">
        <v>481</v>
      </c>
      <c r="C49" s="1187"/>
      <c r="D49" s="1185" t="s">
        <v>454</v>
      </c>
      <c r="E49" s="1169">
        <f>+'[20]Core Rates 2011'!BE309</f>
        <v>2.75</v>
      </c>
      <c r="F49" s="1170">
        <v>3</v>
      </c>
      <c r="G49" s="1171">
        <f t="shared" si="2"/>
        <v>8.25</v>
      </c>
      <c r="H49" s="35"/>
      <c r="I49" s="36"/>
    </row>
    <row r="50" spans="1:9">
      <c r="A50" s="2"/>
      <c r="B50" s="1206" t="str">
        <f>+'[20]Core Rates'!A308</f>
        <v>Seed (Splitbeard Bluestem)</v>
      </c>
      <c r="C50" s="1187"/>
      <c r="D50" s="1185" t="s">
        <v>454</v>
      </c>
      <c r="E50" s="1169">
        <f>+'[20]Core Rates 2011'!BE305</f>
        <v>78.666666666666671</v>
      </c>
      <c r="F50" s="1170">
        <v>0</v>
      </c>
      <c r="G50" s="1171">
        <f t="shared" si="2"/>
        <v>0</v>
      </c>
      <c r="H50" s="35"/>
      <c r="I50" s="36"/>
    </row>
    <row r="51" spans="1:9">
      <c r="A51" s="2"/>
      <c r="B51" s="1184"/>
      <c r="C51" s="6"/>
      <c r="D51" s="1173"/>
      <c r="E51" s="1190"/>
      <c r="F51" s="35"/>
      <c r="G51" s="35"/>
      <c r="H51" s="35"/>
      <c r="I51" s="36"/>
    </row>
    <row r="52" spans="1:9">
      <c r="A52" s="2"/>
      <c r="B52" s="37" t="s">
        <v>43</v>
      </c>
      <c r="C52" s="35"/>
      <c r="D52" s="35"/>
      <c r="E52" s="60"/>
      <c r="F52" s="60"/>
      <c r="G52" s="60"/>
      <c r="H52" s="35"/>
      <c r="I52" s="46"/>
    </row>
    <row r="53" spans="1:9">
      <c r="A53" s="2"/>
      <c r="B53" s="40" t="s">
        <v>457</v>
      </c>
      <c r="C53" s="35"/>
      <c r="D53" s="35"/>
      <c r="E53" s="60"/>
      <c r="F53" s="60"/>
      <c r="G53" s="60"/>
      <c r="H53" s="35"/>
      <c r="I53" s="46"/>
    </row>
    <row r="54" spans="1:9">
      <c r="A54" s="2"/>
      <c r="B54" s="1172"/>
      <c r="C54" s="6"/>
      <c r="D54" s="1173"/>
      <c r="E54" s="35"/>
      <c r="F54" s="35"/>
      <c r="G54" s="35"/>
      <c r="H54" s="35"/>
      <c r="I54" s="36"/>
    </row>
    <row r="55" spans="1:9">
      <c r="A55" s="2"/>
      <c r="B55" s="42" t="s">
        <v>2</v>
      </c>
      <c r="C55" s="35"/>
      <c r="D55" s="35"/>
      <c r="E55" s="2003" t="s">
        <v>459</v>
      </c>
      <c r="F55" s="2003"/>
      <c r="G55" s="2003"/>
      <c r="H55" s="2003"/>
      <c r="I55" s="1166">
        <f>(SUM(G57:G64)*0.85)</f>
        <v>1771.5699999999997</v>
      </c>
    </row>
    <row r="56" spans="1:9">
      <c r="A56" s="2"/>
      <c r="B56" s="1174"/>
      <c r="C56" s="35"/>
      <c r="D56" s="1167" t="s">
        <v>447</v>
      </c>
      <c r="E56" s="1167" t="s">
        <v>448</v>
      </c>
      <c r="F56" s="1167" t="s">
        <v>449</v>
      </c>
      <c r="G56" s="1167" t="s">
        <v>450</v>
      </c>
      <c r="H56" s="35"/>
      <c r="I56" s="46"/>
    </row>
    <row r="57" spans="1:9">
      <c r="A57" s="2"/>
      <c r="B57" s="1389" t="str">
        <f>+'[20]Core Rates'!A111</f>
        <v>Earthmoving: Medium grading/shaping (2-6 hrs/ac)</v>
      </c>
      <c r="C57" s="1387"/>
      <c r="D57" s="1408" t="s">
        <v>408</v>
      </c>
      <c r="E57" s="1169">
        <f>+'[20]Core Rates'!C111</f>
        <v>503.625</v>
      </c>
      <c r="F57" s="1170">
        <v>1</v>
      </c>
      <c r="G57" s="1171">
        <f>+F57*E57</f>
        <v>503.625</v>
      </c>
      <c r="H57" s="35"/>
      <c r="I57" s="47"/>
    </row>
    <row r="58" spans="1:9">
      <c r="A58" s="2"/>
      <c r="B58" s="1409" t="str">
        <f>+'[20]Core Rates'!A217</f>
        <v>Mulching (2 tons/ac applied)</v>
      </c>
      <c r="C58" s="153"/>
      <c r="D58" s="1171" t="s">
        <v>408</v>
      </c>
      <c r="E58" s="1171">
        <f>+'[20]Core Rates'!C217</f>
        <v>472.5</v>
      </c>
      <c r="F58" s="1169">
        <v>0.85</v>
      </c>
      <c r="G58" s="1171">
        <f>+F58*E58</f>
        <v>401.625</v>
      </c>
      <c r="H58" s="35"/>
      <c r="I58" s="47"/>
    </row>
    <row r="59" spans="1:9">
      <c r="A59" s="2"/>
      <c r="B59" s="1412" t="str">
        <f>+'[20]Core Rates'!A123</f>
        <v>Erosion Control Blanket, Type II (Installed)</v>
      </c>
      <c r="C59" s="153"/>
      <c r="D59" s="1171" t="str">
        <f>+'[20]Core Rates'!B123</f>
        <v>Sq Yd</v>
      </c>
      <c r="E59" s="1171">
        <f>+'[20]Core Rates'!C123</f>
        <v>1.5750000000000002</v>
      </c>
      <c r="F59" s="1169">
        <v>0.15</v>
      </c>
      <c r="G59" s="1171">
        <f>+E59/9*43560*F59</f>
        <v>1143.45</v>
      </c>
      <c r="H59" s="35"/>
      <c r="I59" s="47"/>
    </row>
    <row r="60" spans="1:9">
      <c r="A60" s="2"/>
      <c r="B60" s="1191" t="str">
        <f>+'[20]Core Rates'!A216</f>
        <v>Mowing</v>
      </c>
      <c r="C60" s="6"/>
      <c r="D60" s="1189" t="s">
        <v>408</v>
      </c>
      <c r="E60" s="1189">
        <f>+'[20]Core Rates'!C216</f>
        <v>15.5</v>
      </c>
      <c r="F60" s="1170">
        <v>1</v>
      </c>
      <c r="G60" s="1171">
        <f>+F60*E60</f>
        <v>15.5</v>
      </c>
      <c r="H60" s="35"/>
      <c r="I60" s="47"/>
    </row>
    <row r="61" spans="1:9">
      <c r="A61" s="2"/>
      <c r="B61" s="40" t="s">
        <v>461</v>
      </c>
      <c r="C61" s="6"/>
      <c r="D61" s="1168" t="s">
        <v>408</v>
      </c>
      <c r="E61" s="1169">
        <f>+'[20]Core Rates'!C104</f>
        <v>20</v>
      </c>
      <c r="F61" s="1170">
        <v>1</v>
      </c>
      <c r="G61" s="1171">
        <f>+F61*E61</f>
        <v>20</v>
      </c>
      <c r="H61" s="35"/>
      <c r="I61" s="47"/>
    </row>
    <row r="62" spans="1:9">
      <c r="A62" s="2"/>
      <c r="B62" s="40" t="s">
        <v>462</v>
      </c>
      <c r="C62" s="6"/>
      <c r="D62" s="1168" t="s">
        <v>408</v>
      </c>
      <c r="E62" s="1169">
        <f>+'[20]Core Rates'!AN33</f>
        <v>5.416666666666667</v>
      </c>
      <c r="F62" s="1170">
        <v>0</v>
      </c>
      <c r="G62" s="1171">
        <f>+F62*E62</f>
        <v>0</v>
      </c>
      <c r="H62" s="35"/>
      <c r="I62" s="47"/>
    </row>
    <row r="63" spans="1:9">
      <c r="A63" s="2"/>
      <c r="B63" s="40" t="s">
        <v>463</v>
      </c>
      <c r="C63" s="6"/>
      <c r="D63" s="1168" t="s">
        <v>452</v>
      </c>
      <c r="E63" s="1169">
        <f>+'[20]Core Rates'!AN34</f>
        <v>5.5</v>
      </c>
      <c r="F63" s="1170">
        <v>0</v>
      </c>
      <c r="G63" s="1171">
        <f>+F63*E63</f>
        <v>0</v>
      </c>
      <c r="H63" s="35"/>
      <c r="I63" s="47"/>
    </row>
    <row r="64" spans="1:9">
      <c r="A64" s="2"/>
      <c r="B64" s="40" t="s">
        <v>464</v>
      </c>
      <c r="C64" s="6"/>
      <c r="D64" s="1168" t="s">
        <v>452</v>
      </c>
      <c r="E64" s="1169">
        <f>+'[20]Core Rates'!AN32</f>
        <v>6.3125</v>
      </c>
      <c r="F64" s="1170">
        <v>0</v>
      </c>
      <c r="G64" s="1171">
        <f>+F64*E64</f>
        <v>0</v>
      </c>
      <c r="H64" s="35"/>
      <c r="I64" s="47"/>
    </row>
    <row r="65" spans="1:9">
      <c r="A65" s="2"/>
      <c r="B65" s="40"/>
      <c r="C65" s="6"/>
      <c r="D65" s="63"/>
      <c r="E65" s="150"/>
      <c r="F65" s="150"/>
      <c r="G65" s="1169"/>
      <c r="H65" s="35"/>
      <c r="I65" s="47"/>
    </row>
    <row r="66" spans="1:9">
      <c r="A66" s="2"/>
      <c r="B66" s="37" t="s">
        <v>43</v>
      </c>
      <c r="C66" s="35"/>
      <c r="D66" s="35"/>
      <c r="E66" s="60"/>
      <c r="F66" s="60"/>
      <c r="G66" s="60"/>
      <c r="H66" s="35"/>
      <c r="I66" s="46"/>
    </row>
    <row r="67" spans="1:9" ht="12.75" customHeight="1">
      <c r="A67" s="2"/>
      <c r="B67" s="2004" t="s">
        <v>457</v>
      </c>
      <c r="C67" s="2005"/>
      <c r="D67" s="2005"/>
      <c r="E67" s="2005"/>
      <c r="F67" s="2005"/>
      <c r="G67" s="2005"/>
      <c r="H67" s="2005"/>
      <c r="I67" s="2006"/>
    </row>
    <row r="68" spans="1:9">
      <c r="A68" s="2"/>
      <c r="B68" s="2004"/>
      <c r="C68" s="2005"/>
      <c r="D68" s="2005"/>
      <c r="E68" s="2005"/>
      <c r="F68" s="2005"/>
      <c r="G68" s="2005"/>
      <c r="H68" s="2005"/>
      <c r="I68" s="2006"/>
    </row>
    <row r="69" spans="1:9">
      <c r="A69" s="2"/>
      <c r="B69" s="1177"/>
      <c r="C69" s="1178"/>
      <c r="D69" s="1178"/>
      <c r="E69" s="1178"/>
      <c r="F69" s="1178"/>
      <c r="G69" s="1178"/>
      <c r="H69" s="1178"/>
      <c r="I69" s="1179"/>
    </row>
    <row r="70" spans="1:9">
      <c r="A70" s="2"/>
      <c r="B70" s="1177"/>
      <c r="C70" s="1178"/>
      <c r="D70" s="1178"/>
      <c r="E70" s="1178"/>
      <c r="F70" s="1178"/>
      <c r="G70" s="1178"/>
      <c r="H70" s="1178"/>
      <c r="I70" s="1179"/>
    </row>
    <row r="71" spans="1:9">
      <c r="A71" s="2"/>
      <c r="B71" s="42" t="s">
        <v>3</v>
      </c>
      <c r="C71" s="35"/>
      <c r="D71" s="35"/>
      <c r="E71" s="35"/>
      <c r="F71" s="39"/>
      <c r="G71" s="35"/>
      <c r="H71" s="35"/>
      <c r="I71" s="1182">
        <f>E73</f>
        <v>312.62999999999994</v>
      </c>
    </row>
    <row r="72" spans="1:9">
      <c r="A72" s="2"/>
      <c r="B72" s="2007" t="s">
        <v>465</v>
      </c>
      <c r="C72" s="2008"/>
      <c r="D72" s="35"/>
      <c r="E72" s="35"/>
      <c r="F72" s="35"/>
      <c r="G72" s="35"/>
      <c r="H72" s="35"/>
      <c r="I72" s="48"/>
    </row>
    <row r="73" spans="1:9">
      <c r="A73" s="2"/>
      <c r="B73" s="37" t="s">
        <v>466</v>
      </c>
      <c r="C73" s="39"/>
      <c r="D73" s="39"/>
      <c r="E73" s="153">
        <f>SUM(G57:G64)*0.15</f>
        <v>312.62999999999994</v>
      </c>
      <c r="F73" s="35"/>
      <c r="G73" s="35"/>
      <c r="H73" s="35"/>
      <c r="I73" s="46"/>
    </row>
    <row r="74" spans="1:9">
      <c r="A74" s="2"/>
      <c r="B74" s="37"/>
      <c r="C74" s="39"/>
      <c r="D74" s="1180"/>
      <c r="E74" s="153"/>
      <c r="F74" s="35"/>
      <c r="G74" s="35"/>
      <c r="H74" s="35"/>
      <c r="I74" s="46"/>
    </row>
    <row r="75" spans="1:9">
      <c r="A75" s="2"/>
      <c r="B75" s="37"/>
      <c r="C75" s="39"/>
      <c r="D75" s="1181"/>
      <c r="E75" s="153"/>
      <c r="F75" s="35"/>
      <c r="G75" s="35"/>
      <c r="H75" s="35"/>
      <c r="I75" s="46"/>
    </row>
    <row r="76" spans="1:9">
      <c r="A76" s="2"/>
      <c r="B76" s="33"/>
      <c r="C76" s="35"/>
      <c r="D76" s="35"/>
      <c r="E76" s="35"/>
      <c r="F76" s="35"/>
      <c r="G76" s="35"/>
      <c r="H76" s="35"/>
      <c r="I76" s="36"/>
    </row>
    <row r="77" spans="1:9">
      <c r="A77" s="2"/>
      <c r="B77" s="42" t="s">
        <v>4</v>
      </c>
      <c r="C77" s="35"/>
      <c r="D77" s="35"/>
      <c r="E77" s="35"/>
      <c r="F77" s="35"/>
      <c r="G77" s="35"/>
      <c r="H77" s="35"/>
      <c r="I77" s="1182">
        <f>0.03*(I40+I55+I71)</f>
        <v>65.087400000000002</v>
      </c>
    </row>
    <row r="78" spans="1:9">
      <c r="A78" s="2"/>
      <c r="B78" s="33" t="s">
        <v>467</v>
      </c>
      <c r="C78" s="35"/>
      <c r="D78" s="35"/>
      <c r="E78" s="35"/>
      <c r="F78" s="35"/>
      <c r="G78" s="35"/>
      <c r="H78" s="35"/>
      <c r="I78" s="36"/>
    </row>
    <row r="79" spans="1:9">
      <c r="A79" s="2"/>
      <c r="B79" s="37"/>
      <c r="C79" s="35"/>
      <c r="D79" s="35"/>
      <c r="E79" s="35"/>
      <c r="F79" s="35"/>
      <c r="G79" s="35"/>
      <c r="H79" s="35"/>
      <c r="I79" s="36"/>
    </row>
    <row r="80" spans="1:9">
      <c r="A80" s="2"/>
      <c r="B80" s="42" t="s">
        <v>468</v>
      </c>
      <c r="C80" s="35"/>
      <c r="D80" s="35"/>
      <c r="E80" s="35"/>
      <c r="F80" s="35"/>
      <c r="G80" s="35"/>
      <c r="H80" s="35"/>
      <c r="I80" s="1182">
        <f>0.01*(I40+I55+I71)</f>
        <v>21.695799999999998</v>
      </c>
    </row>
    <row r="81" spans="1:9">
      <c r="A81" s="2"/>
      <c r="B81" s="33" t="s">
        <v>749</v>
      </c>
      <c r="C81" s="35"/>
      <c r="D81" s="35"/>
      <c r="E81" s="35"/>
      <c r="F81" s="35"/>
      <c r="G81" s="35"/>
      <c r="H81" s="35"/>
      <c r="I81" s="36"/>
    </row>
    <row r="82" spans="1:9">
      <c r="A82" s="2"/>
      <c r="B82" s="37"/>
      <c r="C82" s="35"/>
      <c r="D82" s="35"/>
      <c r="E82" s="35"/>
      <c r="F82" s="35"/>
      <c r="G82" s="35"/>
      <c r="H82" s="35"/>
      <c r="I82" s="36"/>
    </row>
    <row r="83" spans="1:9">
      <c r="A83" s="2"/>
      <c r="B83" s="42" t="s">
        <v>7</v>
      </c>
      <c r="C83" s="35"/>
      <c r="D83" s="35"/>
      <c r="E83" s="35"/>
      <c r="F83" s="35"/>
      <c r="G83" s="35"/>
      <c r="H83" s="35"/>
      <c r="I83" s="1166">
        <v>0</v>
      </c>
    </row>
    <row r="84" spans="1:9">
      <c r="A84" s="2"/>
      <c r="B84" s="33" t="s">
        <v>1349</v>
      </c>
      <c r="C84" s="35"/>
      <c r="D84" s="35"/>
      <c r="E84" s="35"/>
      <c r="F84" s="35"/>
      <c r="G84" s="35"/>
      <c r="H84" s="35"/>
      <c r="I84" s="36"/>
    </row>
    <row r="85" spans="1:9">
      <c r="A85" s="2"/>
      <c r="B85" s="37"/>
      <c r="C85" s="35"/>
      <c r="D85" s="35"/>
      <c r="E85" s="35"/>
      <c r="F85" s="35"/>
      <c r="G85" s="35"/>
      <c r="H85" s="35"/>
      <c r="I85" s="36"/>
    </row>
    <row r="86" spans="1:9">
      <c r="A86" s="2"/>
      <c r="B86" s="42" t="s">
        <v>471</v>
      </c>
      <c r="C86" s="35"/>
      <c r="D86" s="35"/>
      <c r="E86" s="35"/>
      <c r="F86" s="39"/>
      <c r="G86" s="35"/>
      <c r="H86" s="35"/>
      <c r="I86" s="1166">
        <v>600</v>
      </c>
    </row>
    <row r="87" spans="1:9">
      <c r="A87" s="2"/>
      <c r="B87" s="756" t="s">
        <v>1350</v>
      </c>
      <c r="C87" s="35"/>
      <c r="D87" s="35"/>
      <c r="E87" s="35"/>
      <c r="F87" s="35"/>
      <c r="G87" s="35"/>
      <c r="H87" s="35"/>
      <c r="I87" s="47"/>
    </row>
    <row r="88" spans="1:9">
      <c r="A88" s="2"/>
      <c r="B88" s="756"/>
      <c r="C88" s="35"/>
      <c r="D88" s="35"/>
      <c r="E88" s="35"/>
      <c r="F88" s="35"/>
      <c r="G88" s="35"/>
      <c r="H88" s="35"/>
      <c r="I88" s="47"/>
    </row>
    <row r="89" spans="1:9">
      <c r="A89" s="2"/>
      <c r="B89" s="37"/>
      <c r="C89" s="35"/>
      <c r="D89" s="35"/>
      <c r="E89" s="35"/>
      <c r="F89" s="35"/>
      <c r="G89" s="35"/>
      <c r="H89" s="35"/>
      <c r="I89" s="36"/>
    </row>
    <row r="90" spans="1:9">
      <c r="A90" s="2"/>
      <c r="B90" s="42" t="s">
        <v>5</v>
      </c>
      <c r="C90" s="35"/>
      <c r="D90" s="35"/>
      <c r="E90" s="35"/>
      <c r="F90" s="35"/>
      <c r="G90" s="35"/>
      <c r="H90" s="35"/>
      <c r="I90" s="1166">
        <v>0</v>
      </c>
    </row>
    <row r="91" spans="1:9">
      <c r="A91" s="2"/>
      <c r="B91" s="33" t="s">
        <v>1351</v>
      </c>
      <c r="C91" s="35"/>
      <c r="D91" s="35"/>
      <c r="E91" s="35"/>
      <c r="F91" s="35"/>
      <c r="G91" s="35"/>
      <c r="H91" s="35"/>
      <c r="I91" s="47"/>
    </row>
    <row r="92" spans="1:9">
      <c r="A92" s="2"/>
      <c r="B92" s="37"/>
      <c r="C92" s="35"/>
      <c r="D92" s="35"/>
      <c r="E92" s="35"/>
      <c r="F92" s="35"/>
      <c r="G92" s="35"/>
      <c r="H92" s="35"/>
      <c r="I92" s="36"/>
    </row>
    <row r="93" spans="1:9">
      <c r="A93" s="2"/>
      <c r="B93" s="42" t="s">
        <v>20</v>
      </c>
      <c r="C93" s="35"/>
      <c r="D93" s="35"/>
      <c r="E93" s="35"/>
      <c r="F93" s="35"/>
      <c r="G93" s="35"/>
      <c r="H93" s="35"/>
      <c r="I93" s="1166">
        <v>0</v>
      </c>
    </row>
    <row r="94" spans="1:9">
      <c r="A94" s="2"/>
      <c r="B94" s="33" t="s">
        <v>104</v>
      </c>
      <c r="C94" s="35"/>
      <c r="D94" s="35"/>
      <c r="E94" s="35"/>
      <c r="F94" s="35"/>
      <c r="G94" s="35"/>
      <c r="H94" s="35"/>
      <c r="I94" s="36"/>
    </row>
    <row r="95" spans="1:9">
      <c r="A95" s="2"/>
      <c r="B95" s="40"/>
      <c r="C95" s="35"/>
      <c r="D95" s="35"/>
      <c r="E95" s="35"/>
      <c r="F95" s="35"/>
      <c r="G95" s="35"/>
      <c r="H95" s="35"/>
      <c r="I95" s="36"/>
    </row>
    <row r="96" spans="1:9">
      <c r="A96" s="2"/>
      <c r="B96" s="42" t="s">
        <v>473</v>
      </c>
      <c r="C96" s="35"/>
      <c r="D96" s="35"/>
      <c r="E96" s="35"/>
      <c r="F96" s="35"/>
      <c r="G96" s="35"/>
      <c r="H96" s="35"/>
      <c r="I96" s="1183">
        <f>+I40+I55+I71+I77+I83+I93</f>
        <v>2234.6673999999998</v>
      </c>
    </row>
    <row r="97" spans="1:9" ht="15.75">
      <c r="A97" s="2"/>
      <c r="B97" s="33" t="s">
        <v>474</v>
      </c>
      <c r="C97" s="35"/>
      <c r="D97" s="35"/>
      <c r="E97" s="35"/>
      <c r="F97" s="35"/>
      <c r="G97" s="35"/>
      <c r="H97" s="35"/>
      <c r="I97" s="36"/>
    </row>
    <row r="98" spans="1:9">
      <c r="A98" s="2"/>
      <c r="B98" s="40"/>
      <c r="C98" s="35"/>
      <c r="D98" s="35"/>
      <c r="E98" s="35"/>
      <c r="F98" s="35"/>
      <c r="G98" s="35"/>
      <c r="H98" s="35"/>
      <c r="I98" s="36"/>
    </row>
    <row r="99" spans="1:9">
      <c r="A99" s="2"/>
      <c r="B99" s="43" t="s">
        <v>11</v>
      </c>
      <c r="C99" s="44"/>
      <c r="D99" s="44"/>
      <c r="E99" s="44"/>
      <c r="F99" s="44"/>
      <c r="G99" s="44"/>
      <c r="H99" s="44"/>
      <c r="I99" s="621">
        <f>SUM(I40:I93)</f>
        <v>2856.3631999999998</v>
      </c>
    </row>
  </sheetData>
  <mergeCells count="4">
    <mergeCell ref="B1:D1"/>
    <mergeCell ref="E55:H55"/>
    <mergeCell ref="B67:I68"/>
    <mergeCell ref="B72:C72"/>
  </mergeCells>
  <pageMargins left="0.75" right="0.75" top="1" bottom="1" header="0.5" footer="0.5"/>
  <pageSetup scale="55" orientation="portrait" r:id="rId1"/>
  <headerFooter alignWithMargins="0"/>
</worksheet>
</file>

<file path=xl/worksheets/sheet96.xml><?xml version="1.0" encoding="utf-8"?>
<worksheet xmlns="http://schemas.openxmlformats.org/spreadsheetml/2006/main" xmlns:r="http://schemas.openxmlformats.org/officeDocument/2006/relationships">
  <sheetPr>
    <pageSetUpPr fitToPage="1"/>
  </sheetPr>
  <dimension ref="A1:L97"/>
  <sheetViews>
    <sheetView workbookViewId="0">
      <selection activeCell="B54" sqref="B54:I55"/>
    </sheetView>
  </sheetViews>
  <sheetFormatPr defaultRowHeight="12.75"/>
  <cols>
    <col min="1" max="1" width="1.85546875" customWidth="1"/>
    <col min="3" max="3" width="24.140625" customWidth="1"/>
    <col min="4" max="4" width="23.140625" customWidth="1"/>
    <col min="5" max="5" width="67.85546875" bestFit="1" customWidth="1"/>
    <col min="6" max="6" width="10.42578125" customWidth="1"/>
    <col min="9" max="9" width="10.140625" bestFit="1" customWidth="1"/>
  </cols>
  <sheetData>
    <row r="1" spans="1:12">
      <c r="A1" s="2"/>
      <c r="B1" s="2001" t="s">
        <v>438</v>
      </c>
      <c r="C1" s="2002"/>
      <c r="D1" s="2002"/>
      <c r="E1" s="2"/>
      <c r="F1" s="1153"/>
      <c r="H1" s="2"/>
      <c r="I1" s="2"/>
    </row>
    <row r="2" spans="1:12">
      <c r="A2" s="2"/>
      <c r="B2" s="2"/>
      <c r="C2" s="2"/>
      <c r="D2" s="2"/>
      <c r="E2" s="2"/>
      <c r="F2" s="2"/>
      <c r="G2" s="2"/>
      <c r="H2" s="2"/>
      <c r="I2" s="2"/>
    </row>
    <row r="3" spans="1:12" ht="15.75" hidden="1">
      <c r="A3" s="2"/>
      <c r="B3" s="1" t="s">
        <v>17</v>
      </c>
      <c r="C3" s="2"/>
      <c r="D3" s="2"/>
      <c r="E3" s="2"/>
      <c r="F3" s="2"/>
      <c r="G3" s="2"/>
      <c r="H3" s="2"/>
      <c r="I3" s="2"/>
    </row>
    <row r="4" spans="1:12" hidden="1">
      <c r="A4" s="2"/>
      <c r="B4" s="68" t="s">
        <v>1</v>
      </c>
      <c r="C4" s="69" t="s">
        <v>21</v>
      </c>
      <c r="D4" s="70"/>
      <c r="E4" s="70"/>
      <c r="F4" s="70"/>
      <c r="G4" s="83" t="s">
        <v>12</v>
      </c>
    </row>
    <row r="5" spans="1:12" hidden="1">
      <c r="A5" s="2"/>
      <c r="B5" s="71" t="s">
        <v>13</v>
      </c>
      <c r="C5" s="72" t="s">
        <v>22</v>
      </c>
      <c r="D5" s="72" t="s">
        <v>29</v>
      </c>
      <c r="E5" s="72" t="s">
        <v>30</v>
      </c>
      <c r="F5" s="72" t="s">
        <v>23</v>
      </c>
      <c r="G5" s="84" t="s">
        <v>14</v>
      </c>
    </row>
    <row r="6" spans="1:12" ht="25.5" hidden="1">
      <c r="A6" s="2"/>
      <c r="B6" s="54">
        <v>342</v>
      </c>
      <c r="C6" s="7" t="str">
        <f>+E12</f>
        <v>EQIP</v>
      </c>
      <c r="D6" s="53" t="s">
        <v>1344</v>
      </c>
      <c r="E6" s="110" t="s">
        <v>1364</v>
      </c>
      <c r="F6" s="7" t="str">
        <f>+D36</f>
        <v>Acre</v>
      </c>
      <c r="G6" s="85">
        <f>+I25</f>
        <v>1691.8290749999999</v>
      </c>
    </row>
    <row r="7" spans="1:12" ht="25.5" hidden="1">
      <c r="A7" s="2"/>
      <c r="B7" s="54">
        <f>+B6</f>
        <v>342</v>
      </c>
      <c r="C7" s="7" t="str">
        <f>+C6</f>
        <v>EQIP</v>
      </c>
      <c r="D7" s="53" t="s">
        <v>1344</v>
      </c>
      <c r="E7" s="110" t="str">
        <f>CONCATENATE(E6, "-HU")</f>
        <v>Critical Area Planting - Medium Grading/Shaping (2-6hr/Ac), ECB &amp; Mulch, Native Grass/Forbs Mix-HU</v>
      </c>
      <c r="F7" s="7" t="str">
        <f>+F6</f>
        <v>Acre</v>
      </c>
      <c r="G7" s="85">
        <f>+J25</f>
        <v>2030.1948899999995</v>
      </c>
    </row>
    <row r="8" spans="1:12" ht="25.5" hidden="1">
      <c r="A8" s="2"/>
      <c r="B8" s="54">
        <v>342</v>
      </c>
      <c r="C8" s="7" t="str">
        <f>+G12</f>
        <v>WHIP</v>
      </c>
      <c r="D8" s="53" t="s">
        <v>1344</v>
      </c>
      <c r="E8" s="110" t="str">
        <f>+E6</f>
        <v>Critical Area Planting - Medium Grading/Shaping (2-6hr/Ac), ECB &amp; Mulch, Native Grass/Forbs Mix</v>
      </c>
      <c r="F8" s="7" t="str">
        <f>+D36</f>
        <v>Acre</v>
      </c>
      <c r="G8" s="85">
        <f>+K25</f>
        <v>0</v>
      </c>
    </row>
    <row r="9" spans="1:12" ht="25.5" hidden="1">
      <c r="A9" s="2"/>
      <c r="B9" s="8">
        <f>+B8</f>
        <v>342</v>
      </c>
      <c r="C9" s="10" t="str">
        <f>+C8</f>
        <v>WHIP</v>
      </c>
      <c r="D9" s="9" t="s">
        <v>1344</v>
      </c>
      <c r="E9" s="111" t="str">
        <f>CONCATENATE(E6, "-HU")</f>
        <v>Critical Area Planting - Medium Grading/Shaping (2-6hr/Ac), ECB &amp; Mulch, Native Grass/Forbs Mix-HU</v>
      </c>
      <c r="F9" s="10" t="str">
        <f>+F8</f>
        <v>Acre</v>
      </c>
      <c r="G9" s="86">
        <f>+L25</f>
        <v>0</v>
      </c>
    </row>
    <row r="10" spans="1:12" hidden="1">
      <c r="A10" s="2"/>
      <c r="B10" s="4"/>
      <c r="C10" s="3"/>
      <c r="D10" s="3"/>
      <c r="E10" s="2"/>
      <c r="F10" s="2"/>
    </row>
    <row r="11" spans="1:12" ht="15.75" hidden="1">
      <c r="A11" s="2"/>
      <c r="B11" s="1" t="s">
        <v>18</v>
      </c>
      <c r="C11" s="3"/>
      <c r="D11" s="3"/>
      <c r="E11" s="2"/>
      <c r="F11" s="2"/>
    </row>
    <row r="12" spans="1:12" hidden="1">
      <c r="A12" s="2"/>
      <c r="B12" s="55"/>
      <c r="C12" s="12"/>
      <c r="D12" s="11"/>
      <c r="E12" s="13" t="s">
        <v>15</v>
      </c>
      <c r="F12" s="13" t="s">
        <v>31</v>
      </c>
      <c r="G12" s="13" t="s">
        <v>86</v>
      </c>
      <c r="H12" s="13" t="s">
        <v>441</v>
      </c>
      <c r="I12" s="13"/>
      <c r="J12" s="13"/>
      <c r="K12" s="13"/>
      <c r="L12" s="14"/>
    </row>
    <row r="13" spans="1:12" hidden="1">
      <c r="A13" s="2"/>
      <c r="B13" s="15"/>
      <c r="C13" s="67"/>
      <c r="D13" s="16"/>
      <c r="E13" s="17" t="s">
        <v>22</v>
      </c>
      <c r="F13" s="17" t="s">
        <v>22</v>
      </c>
      <c r="G13" s="17" t="s">
        <v>22</v>
      </c>
      <c r="H13" s="17" t="s">
        <v>22</v>
      </c>
      <c r="I13" s="17" t="s">
        <v>15</v>
      </c>
      <c r="J13" s="17" t="s">
        <v>31</v>
      </c>
      <c r="K13" s="17" t="s">
        <v>86</v>
      </c>
      <c r="L13" s="18" t="s">
        <v>441</v>
      </c>
    </row>
    <row r="14" spans="1:12" hidden="1">
      <c r="A14" s="2"/>
      <c r="B14" s="19"/>
      <c r="C14" s="16"/>
      <c r="D14" s="16"/>
      <c r="E14" s="17" t="s">
        <v>12</v>
      </c>
      <c r="F14" s="17" t="s">
        <v>12</v>
      </c>
      <c r="G14" s="17" t="s">
        <v>12</v>
      </c>
      <c r="H14" s="17" t="s">
        <v>12</v>
      </c>
      <c r="I14" s="17" t="s">
        <v>12</v>
      </c>
      <c r="J14" s="17" t="s">
        <v>12</v>
      </c>
      <c r="K14" s="17" t="s">
        <v>12</v>
      </c>
      <c r="L14" s="18" t="s">
        <v>12</v>
      </c>
    </row>
    <row r="15" spans="1:12" hidden="1">
      <c r="A15" s="2"/>
      <c r="B15" s="164" t="s">
        <v>16</v>
      </c>
      <c r="C15" s="16"/>
      <c r="D15" s="165" t="s">
        <v>6</v>
      </c>
      <c r="E15" s="22" t="s">
        <v>24</v>
      </c>
      <c r="F15" s="22" t="s">
        <v>24</v>
      </c>
      <c r="G15" s="22" t="s">
        <v>24</v>
      </c>
      <c r="H15" s="22" t="s">
        <v>24</v>
      </c>
      <c r="I15" s="22" t="s">
        <v>14</v>
      </c>
      <c r="J15" s="22" t="s">
        <v>14</v>
      </c>
      <c r="K15" s="22" t="s">
        <v>14</v>
      </c>
      <c r="L15" s="23" t="s">
        <v>14</v>
      </c>
    </row>
    <row r="16" spans="1:12" hidden="1">
      <c r="A16" s="2"/>
      <c r="B16" s="15" t="s">
        <v>0</v>
      </c>
      <c r="C16" s="16"/>
      <c r="D16" s="24">
        <f>+I40</f>
        <v>105.86999999999999</v>
      </c>
      <c r="E16" s="160">
        <f>+'[10]Payment Factors'!D11</f>
        <v>0.75</v>
      </c>
      <c r="F16" s="160">
        <f>+'[10]Payment Factors'!E11</f>
        <v>0.9</v>
      </c>
      <c r="G16" s="160">
        <f>+'[10]Payment Factors'!F11</f>
        <v>0</v>
      </c>
      <c r="H16" s="160">
        <f>+'[10]Payment Factors'!G11</f>
        <v>0</v>
      </c>
      <c r="I16" s="1154">
        <f t="shared" ref="I16:L24" si="0">+$D16*E16</f>
        <v>79.402499999999989</v>
      </c>
      <c r="J16" s="1154">
        <f t="shared" si="0"/>
        <v>95.282999999999987</v>
      </c>
      <c r="K16" s="1154">
        <f t="shared" si="0"/>
        <v>0</v>
      </c>
      <c r="L16" s="1155">
        <f t="shared" si="0"/>
        <v>0</v>
      </c>
    </row>
    <row r="17" spans="1:12" hidden="1">
      <c r="A17" s="2"/>
      <c r="B17" s="15" t="s">
        <v>2</v>
      </c>
      <c r="C17" s="16"/>
      <c r="D17" s="24">
        <f>+I53</f>
        <v>1771.5699999999997</v>
      </c>
      <c r="E17" s="160">
        <f t="shared" ref="E17:H19" si="1">+E16</f>
        <v>0.75</v>
      </c>
      <c r="F17" s="160">
        <f t="shared" si="1"/>
        <v>0.9</v>
      </c>
      <c r="G17" s="160">
        <f t="shared" si="1"/>
        <v>0</v>
      </c>
      <c r="H17" s="160">
        <f t="shared" si="1"/>
        <v>0</v>
      </c>
      <c r="I17" s="1154">
        <f t="shared" si="0"/>
        <v>1328.6774999999998</v>
      </c>
      <c r="J17" s="1154">
        <f t="shared" si="0"/>
        <v>1594.4129999999998</v>
      </c>
      <c r="K17" s="1154">
        <f t="shared" si="0"/>
        <v>0</v>
      </c>
      <c r="L17" s="1155">
        <f t="shared" si="0"/>
        <v>0</v>
      </c>
    </row>
    <row r="18" spans="1:12" hidden="1">
      <c r="A18" s="2"/>
      <c r="B18" s="15" t="s">
        <v>3</v>
      </c>
      <c r="C18" s="16"/>
      <c r="D18" s="24">
        <f>+I69</f>
        <v>312.62999999999994</v>
      </c>
      <c r="E18" s="160">
        <f t="shared" si="1"/>
        <v>0.75</v>
      </c>
      <c r="F18" s="160">
        <f t="shared" si="1"/>
        <v>0.9</v>
      </c>
      <c r="G18" s="160">
        <f t="shared" si="1"/>
        <v>0</v>
      </c>
      <c r="H18" s="160">
        <f t="shared" si="1"/>
        <v>0</v>
      </c>
      <c r="I18" s="1154">
        <f t="shared" si="0"/>
        <v>234.47249999999997</v>
      </c>
      <c r="J18" s="1154">
        <f t="shared" si="0"/>
        <v>281.36699999999996</v>
      </c>
      <c r="K18" s="1154">
        <f t="shared" si="0"/>
        <v>0</v>
      </c>
      <c r="L18" s="1155">
        <f t="shared" si="0"/>
        <v>0</v>
      </c>
    </row>
    <row r="19" spans="1:12" hidden="1">
      <c r="A19" s="2"/>
      <c r="B19" s="15" t="s">
        <v>4</v>
      </c>
      <c r="C19" s="16"/>
      <c r="D19" s="24">
        <f>+I75</f>
        <v>65.702099999999987</v>
      </c>
      <c r="E19" s="160">
        <f t="shared" si="1"/>
        <v>0.75</v>
      </c>
      <c r="F19" s="160">
        <f t="shared" si="1"/>
        <v>0.9</v>
      </c>
      <c r="G19" s="160">
        <f t="shared" si="1"/>
        <v>0</v>
      </c>
      <c r="H19" s="160">
        <f t="shared" si="1"/>
        <v>0</v>
      </c>
      <c r="I19" s="1154">
        <f t="shared" si="0"/>
        <v>49.276574999999994</v>
      </c>
      <c r="J19" s="1154">
        <f t="shared" si="0"/>
        <v>59.131889999999991</v>
      </c>
      <c r="K19" s="1154">
        <f t="shared" si="0"/>
        <v>0</v>
      </c>
      <c r="L19" s="1155">
        <f t="shared" si="0"/>
        <v>0</v>
      </c>
    </row>
    <row r="20" spans="1:12" hidden="1">
      <c r="A20" s="2"/>
      <c r="B20" s="15" t="s">
        <v>26</v>
      </c>
      <c r="C20" s="16"/>
      <c r="D20" s="24">
        <f>+I78</f>
        <v>21.900699999999997</v>
      </c>
      <c r="E20" s="160">
        <v>0</v>
      </c>
      <c r="F20" s="160">
        <v>0</v>
      </c>
      <c r="G20" s="160">
        <v>0</v>
      </c>
      <c r="H20" s="160">
        <v>0</v>
      </c>
      <c r="I20" s="1154">
        <f t="shared" si="0"/>
        <v>0</v>
      </c>
      <c r="J20" s="1154">
        <f t="shared" si="0"/>
        <v>0</v>
      </c>
      <c r="K20" s="1154">
        <f t="shared" si="0"/>
        <v>0</v>
      </c>
      <c r="L20" s="1155">
        <f t="shared" si="0"/>
        <v>0</v>
      </c>
    </row>
    <row r="21" spans="1:12" hidden="1">
      <c r="A21" s="2"/>
      <c r="B21" s="15" t="s">
        <v>7</v>
      </c>
      <c r="C21" s="16"/>
      <c r="D21" s="24">
        <f>+I81</f>
        <v>0</v>
      </c>
      <c r="E21" s="160">
        <v>0</v>
      </c>
      <c r="F21" s="160">
        <v>0</v>
      </c>
      <c r="G21" s="160">
        <v>0</v>
      </c>
      <c r="H21" s="160">
        <v>0</v>
      </c>
      <c r="I21" s="1154">
        <f t="shared" si="0"/>
        <v>0</v>
      </c>
      <c r="J21" s="1154">
        <f t="shared" si="0"/>
        <v>0</v>
      </c>
      <c r="K21" s="1154">
        <f t="shared" si="0"/>
        <v>0</v>
      </c>
      <c r="L21" s="1155">
        <f t="shared" si="0"/>
        <v>0</v>
      </c>
    </row>
    <row r="22" spans="1:12" hidden="1">
      <c r="A22" s="2"/>
      <c r="B22" s="15" t="s">
        <v>27</v>
      </c>
      <c r="C22" s="16"/>
      <c r="D22" s="24">
        <f>+I84</f>
        <v>600</v>
      </c>
      <c r="E22" s="160">
        <v>0</v>
      </c>
      <c r="F22" s="160">
        <v>0</v>
      </c>
      <c r="G22" s="160">
        <v>0</v>
      </c>
      <c r="H22" s="160">
        <v>0</v>
      </c>
      <c r="I22" s="1154">
        <f t="shared" si="0"/>
        <v>0</v>
      </c>
      <c r="J22" s="1154">
        <f t="shared" si="0"/>
        <v>0</v>
      </c>
      <c r="K22" s="1154">
        <f t="shared" si="0"/>
        <v>0</v>
      </c>
      <c r="L22" s="1155">
        <f t="shared" si="0"/>
        <v>0</v>
      </c>
    </row>
    <row r="23" spans="1:12" hidden="1">
      <c r="A23" s="2"/>
      <c r="B23" s="15" t="s">
        <v>5</v>
      </c>
      <c r="C23" s="16"/>
      <c r="D23" s="24">
        <f>+I88</f>
        <v>0</v>
      </c>
      <c r="E23" s="160">
        <v>0</v>
      </c>
      <c r="F23" s="160">
        <v>0</v>
      </c>
      <c r="G23" s="160">
        <v>0</v>
      </c>
      <c r="H23" s="160">
        <v>0</v>
      </c>
      <c r="I23" s="1154">
        <f t="shared" si="0"/>
        <v>0</v>
      </c>
      <c r="J23" s="1154">
        <f t="shared" si="0"/>
        <v>0</v>
      </c>
      <c r="K23" s="1154">
        <f t="shared" si="0"/>
        <v>0</v>
      </c>
      <c r="L23" s="1155">
        <f t="shared" si="0"/>
        <v>0</v>
      </c>
    </row>
    <row r="24" spans="1:12" hidden="1">
      <c r="A24" s="2"/>
      <c r="B24" s="15" t="s">
        <v>20</v>
      </c>
      <c r="C24" s="16"/>
      <c r="D24" s="75">
        <f>+I91</f>
        <v>0</v>
      </c>
      <c r="E24" s="160">
        <v>0</v>
      </c>
      <c r="F24" s="160">
        <v>0</v>
      </c>
      <c r="G24" s="160">
        <v>0</v>
      </c>
      <c r="H24" s="160">
        <v>0</v>
      </c>
      <c r="I24" s="1156">
        <f t="shared" si="0"/>
        <v>0</v>
      </c>
      <c r="J24" s="1156">
        <f t="shared" si="0"/>
        <v>0</v>
      </c>
      <c r="K24" s="1156">
        <f t="shared" si="0"/>
        <v>0</v>
      </c>
      <c r="L24" s="1157">
        <f t="shared" si="0"/>
        <v>0</v>
      </c>
    </row>
    <row r="25" spans="1:12" hidden="1">
      <c r="A25" s="2"/>
      <c r="B25" s="26" t="s">
        <v>19</v>
      </c>
      <c r="C25" s="27"/>
      <c r="D25" s="51">
        <f>SUM(D16:D24)</f>
        <v>2877.6727999999998</v>
      </c>
      <c r="E25" s="1158"/>
      <c r="F25" s="1158"/>
      <c r="G25" s="28"/>
      <c r="H25" s="28"/>
      <c r="I25" s="1159">
        <f>SUM(I16:I24)</f>
        <v>1691.8290749999999</v>
      </c>
      <c r="J25" s="1159">
        <f>SUM(J16:J24)</f>
        <v>2030.1948899999995</v>
      </c>
      <c r="K25" s="1159">
        <f>SUM(K16:K24)</f>
        <v>0</v>
      </c>
      <c r="L25" s="1160">
        <f>SUM(L16:L24)</f>
        <v>0</v>
      </c>
    </row>
    <row r="26" spans="1:12" hidden="1"/>
    <row r="27" spans="1:12" ht="15.75">
      <c r="A27" s="2"/>
      <c r="B27" s="50" t="s">
        <v>28</v>
      </c>
      <c r="C27" s="2"/>
      <c r="D27" s="2"/>
      <c r="E27" s="2"/>
      <c r="F27" s="2"/>
      <c r="G27" s="2"/>
      <c r="H27" s="2"/>
      <c r="I27" s="5"/>
    </row>
    <row r="28" spans="1:12">
      <c r="A28" s="2"/>
      <c r="B28" s="29" t="s">
        <v>89</v>
      </c>
      <c r="C28" s="30"/>
      <c r="D28" s="30"/>
      <c r="E28" s="31"/>
      <c r="F28" s="31"/>
      <c r="G28" s="31"/>
      <c r="H28" s="31"/>
      <c r="I28" s="32"/>
    </row>
    <row r="29" spans="1:12">
      <c r="A29" s="2"/>
      <c r="B29" s="1161" t="s">
        <v>1346</v>
      </c>
      <c r="C29" s="34"/>
      <c r="D29" s="34"/>
      <c r="E29" s="35"/>
      <c r="F29" s="35"/>
      <c r="G29" s="35"/>
      <c r="H29" s="35"/>
      <c r="I29" s="36"/>
    </row>
    <row r="30" spans="1:12">
      <c r="A30" s="2"/>
      <c r="B30" s="37" t="s">
        <v>1347</v>
      </c>
      <c r="C30" s="143"/>
      <c r="D30" s="34"/>
      <c r="E30" s="35"/>
      <c r="F30" s="1163"/>
      <c r="G30" s="35"/>
      <c r="H30" s="35"/>
      <c r="I30" s="36"/>
    </row>
    <row r="31" spans="1:12">
      <c r="A31" s="2"/>
      <c r="B31" s="37"/>
      <c r="C31" s="34"/>
      <c r="D31" s="34"/>
      <c r="E31" s="35"/>
      <c r="F31" s="35"/>
      <c r="G31" s="35"/>
      <c r="H31" s="35"/>
      <c r="I31" s="36"/>
    </row>
    <row r="32" spans="1:12">
      <c r="A32" s="2"/>
      <c r="B32" s="37"/>
      <c r="C32" s="34"/>
      <c r="D32" s="34"/>
      <c r="E32" s="35"/>
      <c r="F32" s="35"/>
      <c r="G32" s="35"/>
      <c r="H32" s="35"/>
      <c r="I32" s="36"/>
    </row>
    <row r="33" spans="1:9">
      <c r="A33" s="2"/>
      <c r="B33" s="33"/>
      <c r="C33" s="34"/>
      <c r="D33" s="34"/>
      <c r="E33" s="35"/>
      <c r="F33" s="35"/>
      <c r="G33" s="35"/>
      <c r="H33" s="35"/>
      <c r="I33" s="36"/>
    </row>
    <row r="34" spans="1:9">
      <c r="A34" s="2"/>
      <c r="B34" s="38" t="s">
        <v>25</v>
      </c>
      <c r="C34" s="34"/>
      <c r="D34" s="39" t="s">
        <v>91</v>
      </c>
      <c r="E34" s="6"/>
      <c r="F34" s="35"/>
      <c r="G34" s="35"/>
      <c r="H34" s="35"/>
      <c r="I34" s="36"/>
    </row>
    <row r="35" spans="1:9">
      <c r="A35" s="2"/>
      <c r="B35" s="37"/>
      <c r="C35" s="34"/>
      <c r="D35" s="35"/>
      <c r="E35" s="6"/>
      <c r="F35" s="35"/>
      <c r="G35" s="35"/>
      <c r="H35" s="35"/>
      <c r="I35" s="36"/>
    </row>
    <row r="36" spans="1:9">
      <c r="A36" s="2"/>
      <c r="B36" s="38" t="s">
        <v>8</v>
      </c>
      <c r="C36" s="34"/>
      <c r="D36" s="39" t="s">
        <v>394</v>
      </c>
      <c r="E36" s="6"/>
      <c r="F36" s="35"/>
      <c r="G36" s="35"/>
      <c r="H36" s="35"/>
      <c r="I36" s="36"/>
    </row>
    <row r="37" spans="1:9">
      <c r="A37" s="2"/>
      <c r="B37" s="38" t="s">
        <v>9</v>
      </c>
      <c r="C37" s="34"/>
      <c r="D37" s="1407">
        <f>+'[10]Payment Factors'!C11</f>
        <v>10</v>
      </c>
      <c r="E37" s="6"/>
      <c r="F37" s="35"/>
      <c r="G37" s="35"/>
      <c r="H37" s="35"/>
      <c r="I37" s="36"/>
    </row>
    <row r="38" spans="1:9">
      <c r="A38" s="2"/>
      <c r="B38" s="38" t="s">
        <v>10</v>
      </c>
      <c r="C38" s="35"/>
      <c r="D38" s="93"/>
      <c r="E38" s="1165"/>
      <c r="F38" s="35"/>
      <c r="G38" s="35"/>
      <c r="H38" s="35"/>
      <c r="I38" s="147" t="s">
        <v>6</v>
      </c>
    </row>
    <row r="39" spans="1:9">
      <c r="A39" s="2"/>
      <c r="B39" s="40"/>
      <c r="C39" s="35"/>
      <c r="D39" s="35"/>
      <c r="E39" s="41"/>
      <c r="F39" s="35"/>
      <c r="G39" s="35"/>
      <c r="H39" s="35"/>
      <c r="I39" s="149"/>
    </row>
    <row r="40" spans="1:9">
      <c r="A40" s="2"/>
      <c r="B40" s="42" t="s">
        <v>0</v>
      </c>
      <c r="C40" s="35"/>
      <c r="D40" s="35"/>
      <c r="E40" s="35"/>
      <c r="F40" s="39"/>
      <c r="G40" s="35"/>
      <c r="H40" s="35"/>
      <c r="I40" s="1166">
        <f>SUM(G42:G48)</f>
        <v>105.86999999999999</v>
      </c>
    </row>
    <row r="41" spans="1:9">
      <c r="A41" s="2"/>
      <c r="B41" s="1174"/>
      <c r="C41" s="35"/>
      <c r="D41" s="1167" t="s">
        <v>447</v>
      </c>
      <c r="E41" s="1167" t="s">
        <v>448</v>
      </c>
      <c r="F41" s="1167" t="s">
        <v>449</v>
      </c>
      <c r="G41" s="1167" t="s">
        <v>450</v>
      </c>
      <c r="H41" s="35"/>
      <c r="I41" s="46"/>
    </row>
    <row r="42" spans="1:9">
      <c r="A42" s="2"/>
      <c r="B42" s="40"/>
      <c r="C42" s="6"/>
      <c r="D42" s="1168"/>
      <c r="E42" s="1169"/>
      <c r="F42" s="1170"/>
      <c r="G42" s="1171">
        <f t="shared" ref="G42:G48" si="2">+F42*E42</f>
        <v>0</v>
      </c>
      <c r="H42" s="35"/>
      <c r="I42" s="47"/>
    </row>
    <row r="43" spans="1:9">
      <c r="A43" s="2"/>
      <c r="B43" s="40" t="s">
        <v>451</v>
      </c>
      <c r="C43" s="6"/>
      <c r="D43" s="1168" t="s">
        <v>452</v>
      </c>
      <c r="E43" s="1169">
        <f>+'[20]Core Rates'!C203</f>
        <v>8.75</v>
      </c>
      <c r="F43" s="1170">
        <v>0</v>
      </c>
      <c r="G43" s="1171">
        <f t="shared" si="2"/>
        <v>0</v>
      </c>
      <c r="H43" s="35"/>
      <c r="I43" s="36"/>
    </row>
    <row r="44" spans="1:9">
      <c r="A44" s="2"/>
      <c r="B44" s="1184" t="s">
        <v>453</v>
      </c>
      <c r="C44" s="6"/>
      <c r="D44" s="1185" t="s">
        <v>454</v>
      </c>
      <c r="E44" s="1169">
        <f>+'[20]Core Rates'!C228</f>
        <v>0.82427536231884069</v>
      </c>
      <c r="F44" s="1170">
        <v>0</v>
      </c>
      <c r="G44" s="1171">
        <f t="shared" si="2"/>
        <v>0</v>
      </c>
      <c r="H44" s="35"/>
      <c r="I44" s="36"/>
    </row>
    <row r="45" spans="1:9">
      <c r="A45" s="2"/>
      <c r="B45" s="1186" t="s">
        <v>455</v>
      </c>
      <c r="C45" s="1187"/>
      <c r="D45" s="1185" t="s">
        <v>454</v>
      </c>
      <c r="E45" s="1169">
        <f>+'[20]Core Rates'!C235</f>
        <v>1.1702898550724636</v>
      </c>
      <c r="F45" s="1170">
        <v>0</v>
      </c>
      <c r="G45" s="1171">
        <f t="shared" si="2"/>
        <v>0</v>
      </c>
      <c r="H45" s="35"/>
      <c r="I45" s="36"/>
    </row>
    <row r="46" spans="1:9">
      <c r="A46" s="2"/>
      <c r="B46" s="1186" t="s">
        <v>456</v>
      </c>
      <c r="C46" s="1187"/>
      <c r="D46" s="1168" t="s">
        <v>454</v>
      </c>
      <c r="E46" s="1169">
        <f>+'[20]Core Rates'!C246</f>
        <v>0.58825136612021856</v>
      </c>
      <c r="F46" s="1170">
        <v>0</v>
      </c>
      <c r="G46" s="1171">
        <f t="shared" si="2"/>
        <v>0</v>
      </c>
      <c r="H46" s="35"/>
      <c r="I46" s="36"/>
    </row>
    <row r="47" spans="1:9">
      <c r="A47" s="2"/>
      <c r="B47" s="1206" t="str">
        <f>+'[20]Core Rates'!A309</f>
        <v>Seed (Native grass except Prairie Dropseed and Splitbeard Bluestem)</v>
      </c>
      <c r="C47" s="1187"/>
      <c r="D47" s="1185" t="s">
        <v>454</v>
      </c>
      <c r="E47" s="1169">
        <f>+'[20]Core Rates 2011'!BE306</f>
        <v>8.57</v>
      </c>
      <c r="F47" s="1170">
        <v>9</v>
      </c>
      <c r="G47" s="1171">
        <f t="shared" si="2"/>
        <v>77.13</v>
      </c>
      <c r="H47" s="35"/>
      <c r="I47" s="36"/>
    </row>
    <row r="48" spans="1:9">
      <c r="A48" s="2"/>
      <c r="B48" s="1206" t="str">
        <f>+'[20]Core Rates 2011'!A291</f>
        <v>Seed (4 native forb species mix)</v>
      </c>
      <c r="C48" s="1187"/>
      <c r="D48" s="1185" t="s">
        <v>454</v>
      </c>
      <c r="E48" s="1169">
        <f>+'[20]Core Rates 2011'!BE291</f>
        <v>28.74</v>
      </c>
      <c r="F48" s="1170">
        <v>1</v>
      </c>
      <c r="G48" s="1171">
        <f t="shared" si="2"/>
        <v>28.74</v>
      </c>
      <c r="H48" s="35"/>
      <c r="I48" s="36"/>
    </row>
    <row r="49" spans="1:9">
      <c r="A49" s="2"/>
      <c r="B49" s="1184"/>
      <c r="C49" s="6"/>
      <c r="D49" s="1173"/>
      <c r="E49" s="1190"/>
      <c r="F49" s="35"/>
      <c r="G49" s="35"/>
      <c r="H49" s="35"/>
      <c r="I49" s="36"/>
    </row>
    <row r="50" spans="1:9">
      <c r="A50" s="2"/>
      <c r="B50" s="37" t="s">
        <v>43</v>
      </c>
      <c r="C50" s="35"/>
      <c r="D50" s="35"/>
      <c r="E50" s="60"/>
      <c r="F50" s="60"/>
      <c r="G50" s="60"/>
      <c r="H50" s="35"/>
      <c r="I50" s="46"/>
    </row>
    <row r="51" spans="1:9">
      <c r="A51" s="2"/>
      <c r="B51" s="40" t="s">
        <v>457</v>
      </c>
      <c r="C51" s="35"/>
      <c r="D51" s="35"/>
      <c r="E51" s="60"/>
      <c r="F51" s="60"/>
      <c r="G51" s="60"/>
      <c r="H51" s="35"/>
      <c r="I51" s="46"/>
    </row>
    <row r="52" spans="1:9">
      <c r="A52" s="2"/>
      <c r="B52" s="1172"/>
      <c r="C52" s="6"/>
      <c r="D52" s="1173"/>
      <c r="E52" s="35"/>
      <c r="F52" s="35"/>
      <c r="G52" s="35"/>
      <c r="H52" s="35"/>
      <c r="I52" s="36"/>
    </row>
    <row r="53" spans="1:9">
      <c r="A53" s="2"/>
      <c r="B53" s="42" t="s">
        <v>2</v>
      </c>
      <c r="C53" s="35"/>
      <c r="D53" s="35"/>
      <c r="E53" s="2003" t="s">
        <v>459</v>
      </c>
      <c r="F53" s="2003"/>
      <c r="G53" s="2003"/>
      <c r="H53" s="2003"/>
      <c r="I53" s="1166">
        <f>(SUM(G55:G62)*0.85)</f>
        <v>1771.5699999999997</v>
      </c>
    </row>
    <row r="54" spans="1:9">
      <c r="A54" s="2"/>
      <c r="B54" s="1174"/>
      <c r="C54" s="35"/>
      <c r="D54" s="1167" t="s">
        <v>447</v>
      </c>
      <c r="E54" s="1167" t="s">
        <v>448</v>
      </c>
      <c r="F54" s="1167" t="s">
        <v>449</v>
      </c>
      <c r="G54" s="1167" t="s">
        <v>450</v>
      </c>
      <c r="H54" s="35"/>
      <c r="I54" s="46"/>
    </row>
    <row r="55" spans="1:9">
      <c r="A55" s="2"/>
      <c r="B55" s="1389" t="str">
        <f>+'[20]Core Rates'!A111</f>
        <v>Earthmoving: Medium grading/shaping (2-6 hrs/ac)</v>
      </c>
      <c r="C55" s="1387"/>
      <c r="D55" s="1408" t="s">
        <v>408</v>
      </c>
      <c r="E55" s="1169">
        <f>+'[20]Core Rates'!C111</f>
        <v>503.625</v>
      </c>
      <c r="F55" s="1170">
        <v>1</v>
      </c>
      <c r="G55" s="1171">
        <f>+F55*E55</f>
        <v>503.625</v>
      </c>
      <c r="H55" s="35"/>
      <c r="I55" s="47"/>
    </row>
    <row r="56" spans="1:9">
      <c r="A56" s="2"/>
      <c r="B56" s="1409" t="str">
        <f>+'[20]Core Rates'!A217</f>
        <v>Mulching (2 tons/ac applied)</v>
      </c>
      <c r="C56" s="153"/>
      <c r="D56" s="1171" t="s">
        <v>408</v>
      </c>
      <c r="E56" s="1171">
        <f>+'[20]Core Rates'!C217</f>
        <v>472.5</v>
      </c>
      <c r="F56" s="1169">
        <v>0.85</v>
      </c>
      <c r="G56" s="1171">
        <f>+F56*E56</f>
        <v>401.625</v>
      </c>
      <c r="H56" s="35"/>
      <c r="I56" s="47"/>
    </row>
    <row r="57" spans="1:9">
      <c r="A57" s="2"/>
      <c r="B57" s="1412" t="str">
        <f>+'[20]Core Rates'!A123</f>
        <v>Erosion Control Blanket, Type II (Installed)</v>
      </c>
      <c r="C57" s="153"/>
      <c r="D57" s="1171" t="str">
        <f>+'[20]Core Rates'!B123</f>
        <v>Sq Yd</v>
      </c>
      <c r="E57" s="1171">
        <f>+'[20]Core Rates'!C123</f>
        <v>1.5750000000000002</v>
      </c>
      <c r="F57" s="1169">
        <v>0.15</v>
      </c>
      <c r="G57" s="1171">
        <f>+E57/9*43560*F57</f>
        <v>1143.45</v>
      </c>
      <c r="H57" s="35"/>
      <c r="I57" s="47"/>
    </row>
    <row r="58" spans="1:9">
      <c r="A58" s="2"/>
      <c r="B58" s="40" t="s">
        <v>461</v>
      </c>
      <c r="C58" s="6"/>
      <c r="D58" s="1168" t="s">
        <v>408</v>
      </c>
      <c r="E58" s="1169">
        <f>+'[20]Core Rates'!C104</f>
        <v>20</v>
      </c>
      <c r="F58" s="1170">
        <v>1</v>
      </c>
      <c r="G58" s="1171">
        <f>+F58*E58</f>
        <v>20</v>
      </c>
      <c r="H58" s="35"/>
      <c r="I58" s="47"/>
    </row>
    <row r="59" spans="1:9">
      <c r="A59" s="2"/>
      <c r="B59" s="1191" t="str">
        <f>+'[20]Core Rates'!A216</f>
        <v>Mowing</v>
      </c>
      <c r="C59" s="6"/>
      <c r="D59" s="1189" t="s">
        <v>408</v>
      </c>
      <c r="E59" s="1189">
        <f>+'[20]Core Rates'!C216</f>
        <v>15.5</v>
      </c>
      <c r="F59" s="1170">
        <v>1</v>
      </c>
      <c r="G59" s="1171">
        <f>+F59*E59</f>
        <v>15.5</v>
      </c>
      <c r="H59" s="35"/>
      <c r="I59" s="47"/>
    </row>
    <row r="60" spans="1:9">
      <c r="A60" s="2"/>
      <c r="B60" s="40" t="s">
        <v>462</v>
      </c>
      <c r="C60" s="6"/>
      <c r="D60" s="1168" t="s">
        <v>408</v>
      </c>
      <c r="E60" s="1169">
        <f>+'[20]Core Rates'!AN33</f>
        <v>5.416666666666667</v>
      </c>
      <c r="F60" s="1170">
        <v>0</v>
      </c>
      <c r="G60" s="1171">
        <f>+F60*E60</f>
        <v>0</v>
      </c>
      <c r="H60" s="35"/>
      <c r="I60" s="47"/>
    </row>
    <row r="61" spans="1:9">
      <c r="A61" s="2"/>
      <c r="B61" s="40" t="s">
        <v>463</v>
      </c>
      <c r="C61" s="6"/>
      <c r="D61" s="1168" t="s">
        <v>452</v>
      </c>
      <c r="E61" s="1169">
        <f>+'[20]Core Rates'!AN34</f>
        <v>5.5</v>
      </c>
      <c r="F61" s="1170">
        <v>0</v>
      </c>
      <c r="G61" s="1171">
        <f>+F61*E61</f>
        <v>0</v>
      </c>
      <c r="H61" s="35"/>
      <c r="I61" s="47"/>
    </row>
    <row r="62" spans="1:9">
      <c r="A62" s="2"/>
      <c r="B62" s="40" t="s">
        <v>464</v>
      </c>
      <c r="C62" s="6"/>
      <c r="D62" s="1168" t="s">
        <v>452</v>
      </c>
      <c r="E62" s="1169">
        <f>+'[20]Core Rates'!AN32</f>
        <v>6.3125</v>
      </c>
      <c r="F62" s="1170">
        <v>0</v>
      </c>
      <c r="G62" s="1171">
        <f>+F62*E62</f>
        <v>0</v>
      </c>
      <c r="H62" s="35"/>
      <c r="I62" s="47"/>
    </row>
    <row r="63" spans="1:9">
      <c r="A63" s="2"/>
      <c r="B63" s="40"/>
      <c r="C63" s="6"/>
      <c r="D63" s="63"/>
      <c r="E63" s="150"/>
      <c r="F63" s="150"/>
      <c r="G63" s="1169"/>
      <c r="H63" s="35"/>
      <c r="I63" s="47"/>
    </row>
    <row r="64" spans="1:9">
      <c r="A64" s="2"/>
      <c r="B64" s="37" t="s">
        <v>43</v>
      </c>
      <c r="C64" s="35"/>
      <c r="D64" s="35"/>
      <c r="E64" s="60"/>
      <c r="F64" s="60"/>
      <c r="G64" s="60"/>
      <c r="H64" s="35"/>
      <c r="I64" s="46"/>
    </row>
    <row r="65" spans="1:9" ht="12.75" customHeight="1">
      <c r="A65" s="2"/>
      <c r="B65" s="2004" t="s">
        <v>457</v>
      </c>
      <c r="C65" s="2005"/>
      <c r="D65" s="2005"/>
      <c r="E65" s="2005"/>
      <c r="F65" s="2005"/>
      <c r="G65" s="2005"/>
      <c r="H65" s="2005"/>
      <c r="I65" s="2006"/>
    </row>
    <row r="66" spans="1:9">
      <c r="A66" s="2"/>
      <c r="B66" s="2004"/>
      <c r="C66" s="2005"/>
      <c r="D66" s="2005"/>
      <c r="E66" s="2005"/>
      <c r="F66" s="2005"/>
      <c r="G66" s="2005"/>
      <c r="H66" s="2005"/>
      <c r="I66" s="2006"/>
    </row>
    <row r="67" spans="1:9">
      <c r="A67" s="2"/>
      <c r="B67" s="1177"/>
      <c r="C67" s="1178"/>
      <c r="D67" s="1178"/>
      <c r="E67" s="1178"/>
      <c r="F67" s="1178"/>
      <c r="G67" s="1178"/>
      <c r="H67" s="1178"/>
      <c r="I67" s="1179"/>
    </row>
    <row r="68" spans="1:9">
      <c r="A68" s="2"/>
      <c r="B68" s="1177"/>
      <c r="C68" s="1178"/>
      <c r="D68" s="1178"/>
      <c r="E68" s="1178"/>
      <c r="F68" s="1178"/>
      <c r="G68" s="1178"/>
      <c r="H68" s="1178"/>
      <c r="I68" s="1179"/>
    </row>
    <row r="69" spans="1:9">
      <c r="A69" s="2"/>
      <c r="B69" s="42" t="s">
        <v>3</v>
      </c>
      <c r="C69" s="35"/>
      <c r="D69" s="35"/>
      <c r="E69" s="35"/>
      <c r="F69" s="39"/>
      <c r="G69" s="35"/>
      <c r="H69" s="35"/>
      <c r="I69" s="1182">
        <f>E71</f>
        <v>312.62999999999994</v>
      </c>
    </row>
    <row r="70" spans="1:9">
      <c r="A70" s="2"/>
      <c r="B70" s="2007" t="s">
        <v>465</v>
      </c>
      <c r="C70" s="2008"/>
      <c r="D70" s="35"/>
      <c r="E70" s="35"/>
      <c r="F70" s="35"/>
      <c r="G70" s="35"/>
      <c r="H70" s="35"/>
      <c r="I70" s="48"/>
    </row>
    <row r="71" spans="1:9">
      <c r="A71" s="2"/>
      <c r="B71" s="37" t="s">
        <v>466</v>
      </c>
      <c r="C71" s="39"/>
      <c r="D71" s="39"/>
      <c r="E71" s="153">
        <f>SUM(G55:G62)*0.15</f>
        <v>312.62999999999994</v>
      </c>
      <c r="F71" s="35"/>
      <c r="G71" s="35"/>
      <c r="H71" s="35"/>
      <c r="I71" s="46"/>
    </row>
    <row r="72" spans="1:9">
      <c r="A72" s="2"/>
      <c r="B72" s="37"/>
      <c r="C72" s="39"/>
      <c r="D72" s="1180"/>
      <c r="E72" s="153"/>
      <c r="F72" s="35"/>
      <c r="G72" s="35"/>
      <c r="H72" s="35"/>
      <c r="I72" s="46"/>
    </row>
    <row r="73" spans="1:9">
      <c r="A73" s="2"/>
      <c r="B73" s="37"/>
      <c r="C73" s="39"/>
      <c r="D73" s="1181"/>
      <c r="E73" s="153"/>
      <c r="F73" s="35"/>
      <c r="G73" s="35"/>
      <c r="H73" s="35"/>
      <c r="I73" s="46"/>
    </row>
    <row r="74" spans="1:9">
      <c r="A74" s="2"/>
      <c r="B74" s="33"/>
      <c r="C74" s="35"/>
      <c r="D74" s="35"/>
      <c r="E74" s="35"/>
      <c r="F74" s="35"/>
      <c r="G74" s="35"/>
      <c r="H74" s="35"/>
      <c r="I74" s="36"/>
    </row>
    <row r="75" spans="1:9">
      <c r="A75" s="2"/>
      <c r="B75" s="42" t="s">
        <v>4</v>
      </c>
      <c r="C75" s="35"/>
      <c r="D75" s="35"/>
      <c r="E75" s="35"/>
      <c r="F75" s="35"/>
      <c r="G75" s="35"/>
      <c r="H75" s="35"/>
      <c r="I75" s="1182">
        <f>0.03*(I40+I53+I69)</f>
        <v>65.702099999999987</v>
      </c>
    </row>
    <row r="76" spans="1:9">
      <c r="A76" s="2"/>
      <c r="B76" s="33" t="s">
        <v>467</v>
      </c>
      <c r="C76" s="35"/>
      <c r="D76" s="35"/>
      <c r="E76" s="35"/>
      <c r="F76" s="35"/>
      <c r="G76" s="35"/>
      <c r="H76" s="35"/>
      <c r="I76" s="36"/>
    </row>
    <row r="77" spans="1:9">
      <c r="A77" s="2"/>
      <c r="B77" s="37"/>
      <c r="C77" s="35"/>
      <c r="D77" s="35"/>
      <c r="E77" s="35"/>
      <c r="F77" s="35"/>
      <c r="G77" s="35"/>
      <c r="H77" s="35"/>
      <c r="I77" s="36"/>
    </row>
    <row r="78" spans="1:9">
      <c r="A78" s="2"/>
      <c r="B78" s="42" t="s">
        <v>468</v>
      </c>
      <c r="C78" s="35"/>
      <c r="D78" s="35"/>
      <c r="E78" s="35"/>
      <c r="F78" s="35"/>
      <c r="G78" s="35"/>
      <c r="H78" s="35"/>
      <c r="I78" s="1182">
        <f>0.01*(I40+I53+I69)</f>
        <v>21.900699999999997</v>
      </c>
    </row>
    <row r="79" spans="1:9">
      <c r="A79" s="2"/>
      <c r="B79" s="33" t="s">
        <v>749</v>
      </c>
      <c r="C79" s="35"/>
      <c r="D79" s="35"/>
      <c r="E79" s="35"/>
      <c r="F79" s="35"/>
      <c r="G79" s="35"/>
      <c r="H79" s="35"/>
      <c r="I79" s="36"/>
    </row>
    <row r="80" spans="1:9">
      <c r="A80" s="2"/>
      <c r="B80" s="37"/>
      <c r="C80" s="35"/>
      <c r="D80" s="35"/>
      <c r="E80" s="35"/>
      <c r="F80" s="35"/>
      <c r="G80" s="35"/>
      <c r="H80" s="35"/>
      <c r="I80" s="36"/>
    </row>
    <row r="81" spans="1:9">
      <c r="A81" s="2"/>
      <c r="B81" s="42" t="s">
        <v>7</v>
      </c>
      <c r="C81" s="35"/>
      <c r="D81" s="35"/>
      <c r="E81" s="35"/>
      <c r="F81" s="35"/>
      <c r="G81" s="35"/>
      <c r="H81" s="35"/>
      <c r="I81" s="1166">
        <v>0</v>
      </c>
    </row>
    <row r="82" spans="1:9">
      <c r="A82" s="2"/>
      <c r="B82" s="33" t="s">
        <v>1349</v>
      </c>
      <c r="C82" s="35"/>
      <c r="D82" s="35"/>
      <c r="E82" s="35"/>
      <c r="F82" s="35"/>
      <c r="G82" s="35"/>
      <c r="H82" s="35"/>
      <c r="I82" s="36"/>
    </row>
    <row r="83" spans="1:9">
      <c r="A83" s="2"/>
      <c r="B83" s="37"/>
      <c r="C83" s="35"/>
      <c r="D83" s="35"/>
      <c r="E83" s="35"/>
      <c r="F83" s="35"/>
      <c r="G83" s="35"/>
      <c r="H83" s="35"/>
      <c r="I83" s="36"/>
    </row>
    <row r="84" spans="1:9">
      <c r="A84" s="2"/>
      <c r="B84" s="42" t="s">
        <v>471</v>
      </c>
      <c r="C84" s="35"/>
      <c r="D84" s="35"/>
      <c r="E84" s="35"/>
      <c r="F84" s="39"/>
      <c r="G84" s="35"/>
      <c r="H84" s="35"/>
      <c r="I84" s="1166">
        <v>600</v>
      </c>
    </row>
    <row r="85" spans="1:9">
      <c r="A85" s="2"/>
      <c r="B85" s="756" t="s">
        <v>1350</v>
      </c>
      <c r="C85" s="35"/>
      <c r="D85" s="35"/>
      <c r="E85" s="35"/>
      <c r="F85" s="35"/>
      <c r="G85" s="35"/>
      <c r="H85" s="35"/>
      <c r="I85" s="47"/>
    </row>
    <row r="86" spans="1:9">
      <c r="A86" s="2"/>
      <c r="B86" s="756"/>
      <c r="C86" s="35"/>
      <c r="D86" s="35"/>
      <c r="E86" s="35"/>
      <c r="F86" s="35"/>
      <c r="G86" s="35"/>
      <c r="H86" s="35"/>
      <c r="I86" s="47"/>
    </row>
    <row r="87" spans="1:9">
      <c r="A87" s="2"/>
      <c r="B87" s="37"/>
      <c r="C87" s="35"/>
      <c r="D87" s="35"/>
      <c r="E87" s="35"/>
      <c r="F87" s="35"/>
      <c r="G87" s="35"/>
      <c r="H87" s="35"/>
      <c r="I87" s="36"/>
    </row>
    <row r="88" spans="1:9">
      <c r="A88" s="2"/>
      <c r="B88" s="42" t="s">
        <v>5</v>
      </c>
      <c r="C88" s="35"/>
      <c r="D88" s="35"/>
      <c r="E88" s="35"/>
      <c r="F88" s="35"/>
      <c r="G88" s="35"/>
      <c r="H88" s="35"/>
      <c r="I88" s="1166">
        <v>0</v>
      </c>
    </row>
    <row r="89" spans="1:9">
      <c r="A89" s="2"/>
      <c r="B89" s="33" t="s">
        <v>1351</v>
      </c>
      <c r="C89" s="35"/>
      <c r="D89" s="35"/>
      <c r="E89" s="35"/>
      <c r="F89" s="35"/>
      <c r="G89" s="35"/>
      <c r="H89" s="35"/>
      <c r="I89" s="47"/>
    </row>
    <row r="90" spans="1:9">
      <c r="A90" s="2"/>
      <c r="B90" s="37"/>
      <c r="C90" s="35"/>
      <c r="D90" s="35"/>
      <c r="E90" s="35"/>
      <c r="F90" s="35"/>
      <c r="G90" s="35"/>
      <c r="H90" s="35"/>
      <c r="I90" s="36"/>
    </row>
    <row r="91" spans="1:9">
      <c r="A91" s="2"/>
      <c r="B91" s="42" t="s">
        <v>20</v>
      </c>
      <c r="C91" s="35"/>
      <c r="D91" s="35"/>
      <c r="E91" s="35"/>
      <c r="F91" s="35"/>
      <c r="G91" s="35"/>
      <c r="H91" s="35"/>
      <c r="I91" s="1166">
        <v>0</v>
      </c>
    </row>
    <row r="92" spans="1:9">
      <c r="A92" s="2"/>
      <c r="B92" s="33" t="s">
        <v>104</v>
      </c>
      <c r="C92" s="35"/>
      <c r="D92" s="35"/>
      <c r="E92" s="35"/>
      <c r="F92" s="35"/>
      <c r="G92" s="35"/>
      <c r="H92" s="35"/>
      <c r="I92" s="36"/>
    </row>
    <row r="93" spans="1:9">
      <c r="A93" s="2"/>
      <c r="B93" s="40"/>
      <c r="C93" s="35"/>
      <c r="D93" s="35"/>
      <c r="E93" s="35"/>
      <c r="F93" s="35"/>
      <c r="G93" s="35"/>
      <c r="H93" s="35"/>
      <c r="I93" s="36"/>
    </row>
    <row r="94" spans="1:9">
      <c r="A94" s="2"/>
      <c r="B94" s="42" t="s">
        <v>473</v>
      </c>
      <c r="C94" s="35"/>
      <c r="D94" s="35"/>
      <c r="E94" s="35"/>
      <c r="F94" s="35"/>
      <c r="G94" s="35"/>
      <c r="H94" s="35"/>
      <c r="I94" s="1183">
        <f>+I40+I53+I69+I75+I81+I91</f>
        <v>2255.7720999999997</v>
      </c>
    </row>
    <row r="95" spans="1:9" ht="15.75">
      <c r="A95" s="2"/>
      <c r="B95" s="33" t="s">
        <v>474</v>
      </c>
      <c r="C95" s="35"/>
      <c r="D95" s="35"/>
      <c r="E95" s="35"/>
      <c r="F95" s="35"/>
      <c r="G95" s="35"/>
      <c r="H95" s="35"/>
      <c r="I95" s="36"/>
    </row>
    <row r="96" spans="1:9">
      <c r="A96" s="2"/>
      <c r="B96" s="40"/>
      <c r="C96" s="35"/>
      <c r="D96" s="35"/>
      <c r="E96" s="35"/>
      <c r="F96" s="35"/>
      <c r="G96" s="35"/>
      <c r="H96" s="35"/>
      <c r="I96" s="36"/>
    </row>
    <row r="97" spans="1:9">
      <c r="A97" s="2"/>
      <c r="B97" s="43" t="s">
        <v>11</v>
      </c>
      <c r="C97" s="44"/>
      <c r="D97" s="44"/>
      <c r="E97" s="44"/>
      <c r="F97" s="44"/>
      <c r="G97" s="44"/>
      <c r="H97" s="44"/>
      <c r="I97" s="621">
        <f>SUM(I40:I91)</f>
        <v>2877.6727999999998</v>
      </c>
    </row>
  </sheetData>
  <mergeCells count="4">
    <mergeCell ref="B1:D1"/>
    <mergeCell ref="E53:H53"/>
    <mergeCell ref="B65:I66"/>
    <mergeCell ref="B70:C70"/>
  </mergeCells>
  <pageMargins left="0.75" right="0.75" top="1" bottom="1" header="0.5" footer="0.5"/>
  <pageSetup scale="55" orientation="portrait" r:id="rId1"/>
  <headerFooter alignWithMargins="0"/>
</worksheet>
</file>

<file path=xl/worksheets/sheet97.xml><?xml version="1.0" encoding="utf-8"?>
<worksheet xmlns="http://schemas.openxmlformats.org/spreadsheetml/2006/main" xmlns:r="http://schemas.openxmlformats.org/officeDocument/2006/relationships">
  <dimension ref="A1:L90"/>
  <sheetViews>
    <sheetView zoomScale="75" zoomScaleNormal="75" workbookViewId="0">
      <selection activeCell="H8" sqref="H8"/>
    </sheetView>
  </sheetViews>
  <sheetFormatPr defaultRowHeight="12.75"/>
  <cols>
    <col min="1" max="1" width="1.85546875" style="191" customWidth="1"/>
    <col min="2" max="2" width="9.140625" style="191"/>
    <col min="3" max="3" width="24.140625" style="191" customWidth="1"/>
    <col min="4" max="4" width="35" style="191" customWidth="1"/>
    <col min="5" max="5" width="59.42578125" style="191" bestFit="1" customWidth="1"/>
    <col min="6" max="6" width="10.42578125" style="191" customWidth="1"/>
    <col min="7" max="16384" width="9.140625" style="191"/>
  </cols>
  <sheetData>
    <row r="1" spans="1:12">
      <c r="A1" s="182"/>
      <c r="B1" s="2142" t="s">
        <v>612</v>
      </c>
      <c r="C1" s="2143"/>
      <c r="D1" s="2143"/>
      <c r="E1" s="182"/>
      <c r="F1" s="685"/>
      <c r="G1" s="182"/>
      <c r="H1" s="182"/>
      <c r="I1" s="182"/>
    </row>
    <row r="2" spans="1:12">
      <c r="A2" s="182"/>
      <c r="B2" s="182"/>
      <c r="C2" s="182"/>
      <c r="D2" s="182"/>
      <c r="E2" s="182"/>
      <c r="F2" s="182"/>
      <c r="G2" s="182"/>
      <c r="H2" s="182"/>
      <c r="I2" s="182"/>
    </row>
    <row r="3" spans="1:12" ht="15.75">
      <c r="A3" s="182"/>
      <c r="B3" s="183" t="s">
        <v>17</v>
      </c>
      <c r="C3" s="182"/>
      <c r="D3" s="182"/>
      <c r="E3" s="182"/>
      <c r="F3" s="182"/>
      <c r="G3" s="182"/>
      <c r="H3" s="182"/>
      <c r="I3" s="182"/>
    </row>
    <row r="4" spans="1:12">
      <c r="A4" s="182"/>
      <c r="B4" s="185" t="s">
        <v>1</v>
      </c>
      <c r="C4" s="186" t="s">
        <v>21</v>
      </c>
      <c r="D4" s="187"/>
      <c r="E4" s="187"/>
      <c r="F4" s="187"/>
      <c r="G4" s="189" t="s">
        <v>12</v>
      </c>
    </row>
    <row r="5" spans="1:12">
      <c r="A5" s="182"/>
      <c r="B5" s="192" t="s">
        <v>13</v>
      </c>
      <c r="C5" s="193" t="s">
        <v>22</v>
      </c>
      <c r="D5" s="193" t="s">
        <v>29</v>
      </c>
      <c r="E5" s="193" t="s">
        <v>30</v>
      </c>
      <c r="F5" s="193" t="s">
        <v>23</v>
      </c>
      <c r="G5" s="195" t="s">
        <v>14</v>
      </c>
    </row>
    <row r="6" spans="1:12" ht="38.25">
      <c r="A6" s="182"/>
      <c r="B6" s="197">
        <v>344</v>
      </c>
      <c r="C6" s="198" t="str">
        <f>+E12</f>
        <v>EQIP</v>
      </c>
      <c r="D6" s="199" t="s">
        <v>613</v>
      </c>
      <c r="E6" s="199" t="s">
        <v>614</v>
      </c>
      <c r="F6" s="198" t="s">
        <v>394</v>
      </c>
      <c r="G6" s="686">
        <f>+I25</f>
        <v>4.5062499999999996</v>
      </c>
    </row>
    <row r="7" spans="1:12" ht="38.25">
      <c r="A7" s="182"/>
      <c r="B7" s="197">
        <f>+B6</f>
        <v>344</v>
      </c>
      <c r="C7" s="198" t="str">
        <f>+C6</f>
        <v>EQIP</v>
      </c>
      <c r="D7" s="199" t="s">
        <v>613</v>
      </c>
      <c r="E7" s="199" t="str">
        <f>CONCATENATE(E6, "-HU")</f>
        <v>Use Seasonal Residue Management to manage the amount, orientation, and distribution of crop and other plant residues during a specific period of the year. -HU</v>
      </c>
      <c r="F7" s="198" t="str">
        <f>+F6</f>
        <v>Acre</v>
      </c>
      <c r="G7" s="686">
        <f>+J25</f>
        <v>8.1112500000000001</v>
      </c>
    </row>
    <row r="8" spans="1:12" ht="38.25">
      <c r="A8" s="182"/>
      <c r="B8" s="197">
        <v>344</v>
      </c>
      <c r="C8" s="198">
        <f>+G12</f>
        <v>0</v>
      </c>
      <c r="D8" s="199" t="s">
        <v>613</v>
      </c>
      <c r="E8" s="199" t="s">
        <v>615</v>
      </c>
      <c r="F8" s="198" t="s">
        <v>394</v>
      </c>
      <c r="G8" s="686">
        <f>+K25</f>
        <v>0</v>
      </c>
    </row>
    <row r="9" spans="1:12" ht="38.25">
      <c r="A9" s="182"/>
      <c r="B9" s="203">
        <f>+B8</f>
        <v>344</v>
      </c>
      <c r="C9" s="204">
        <f>+C8</f>
        <v>0</v>
      </c>
      <c r="D9" s="205" t="s">
        <v>613</v>
      </c>
      <c r="E9" s="205" t="str">
        <f>CONCATENATE(E6, "-HU")</f>
        <v>Use Seasonal Residue Management to manage the amount, orientation, and distribution of crop and other plant residues during a specific period of the year. -HU</v>
      </c>
      <c r="F9" s="204" t="str">
        <f>+F8</f>
        <v>Acre</v>
      </c>
      <c r="G9" s="687">
        <f>+L25</f>
        <v>0</v>
      </c>
    </row>
    <row r="10" spans="1:12">
      <c r="A10" s="182"/>
      <c r="B10" s="208"/>
      <c r="C10" s="209"/>
      <c r="D10" s="209"/>
      <c r="E10" s="182"/>
      <c r="F10" s="182"/>
    </row>
    <row r="11" spans="1:12" ht="15.75">
      <c r="A11" s="182"/>
      <c r="B11" s="183" t="s">
        <v>18</v>
      </c>
      <c r="C11" s="209"/>
      <c r="D11" s="209"/>
      <c r="E11" s="182"/>
      <c r="F11" s="182"/>
    </row>
    <row r="12" spans="1:12">
      <c r="A12" s="182"/>
      <c r="B12" s="210"/>
      <c r="C12" s="211"/>
      <c r="D12" s="212"/>
      <c r="E12" s="213" t="s">
        <v>15</v>
      </c>
      <c r="F12" s="213" t="s">
        <v>31</v>
      </c>
      <c r="G12" s="213"/>
      <c r="H12" s="213"/>
      <c r="I12" s="213"/>
      <c r="J12" s="213"/>
      <c r="K12" s="213"/>
      <c r="L12" s="214"/>
    </row>
    <row r="13" spans="1:12">
      <c r="A13" s="182"/>
      <c r="B13" s="215"/>
      <c r="C13" s="216"/>
      <c r="D13" s="217"/>
      <c r="E13" s="218" t="s">
        <v>22</v>
      </c>
      <c r="F13" s="218" t="s">
        <v>22</v>
      </c>
      <c r="G13" s="218"/>
      <c r="H13" s="218"/>
      <c r="I13" s="218" t="s">
        <v>15</v>
      </c>
      <c r="J13" s="218" t="s">
        <v>31</v>
      </c>
      <c r="K13" s="218" t="s">
        <v>86</v>
      </c>
      <c r="L13" s="219" t="s">
        <v>441</v>
      </c>
    </row>
    <row r="14" spans="1:12">
      <c r="A14" s="182"/>
      <c r="B14" s="220"/>
      <c r="C14" s="217"/>
      <c r="D14" s="217"/>
      <c r="E14" s="218" t="s">
        <v>12</v>
      </c>
      <c r="F14" s="218" t="s">
        <v>12</v>
      </c>
      <c r="G14" s="218"/>
      <c r="H14" s="218"/>
      <c r="I14" s="218" t="s">
        <v>12</v>
      </c>
      <c r="J14" s="218" t="s">
        <v>12</v>
      </c>
      <c r="K14" s="218" t="s">
        <v>12</v>
      </c>
      <c r="L14" s="219" t="s">
        <v>12</v>
      </c>
    </row>
    <row r="15" spans="1:12">
      <c r="A15" s="182"/>
      <c r="B15" s="221" t="s">
        <v>16</v>
      </c>
      <c r="C15" s="217"/>
      <c r="D15" s="222" t="s">
        <v>6</v>
      </c>
      <c r="E15" s="223" t="s">
        <v>24</v>
      </c>
      <c r="F15" s="223" t="s">
        <v>24</v>
      </c>
      <c r="G15" s="223"/>
      <c r="H15" s="223"/>
      <c r="I15" s="223" t="s">
        <v>14</v>
      </c>
      <c r="J15" s="223" t="s">
        <v>14</v>
      </c>
      <c r="K15" s="223" t="s">
        <v>14</v>
      </c>
      <c r="L15" s="224" t="s">
        <v>14</v>
      </c>
    </row>
    <row r="16" spans="1:12">
      <c r="A16" s="182"/>
      <c r="B16" s="215" t="s">
        <v>0</v>
      </c>
      <c r="C16" s="217"/>
      <c r="D16" s="688">
        <f>+I39</f>
        <v>0</v>
      </c>
      <c r="E16" s="226">
        <v>0.5</v>
      </c>
      <c r="F16" s="226">
        <f>+'[21]Payment Factors'!E10</f>
        <v>0.9</v>
      </c>
      <c r="G16" s="226"/>
      <c r="H16" s="226"/>
      <c r="I16" s="689">
        <f t="shared" ref="I16:L24" si="0">+$D16*E16</f>
        <v>0</v>
      </c>
      <c r="J16" s="689">
        <f t="shared" si="0"/>
        <v>0</v>
      </c>
      <c r="K16" s="689">
        <f t="shared" si="0"/>
        <v>0</v>
      </c>
      <c r="L16" s="690">
        <f t="shared" si="0"/>
        <v>0</v>
      </c>
    </row>
    <row r="17" spans="1:12">
      <c r="A17" s="182"/>
      <c r="B17" s="215" t="s">
        <v>2</v>
      </c>
      <c r="C17" s="217"/>
      <c r="D17" s="688">
        <f>+I48</f>
        <v>0</v>
      </c>
      <c r="E17" s="226">
        <f>+E16</f>
        <v>0.5</v>
      </c>
      <c r="F17" s="226">
        <f>+F16</f>
        <v>0.9</v>
      </c>
      <c r="G17" s="226"/>
      <c r="H17" s="226"/>
      <c r="I17" s="689">
        <f t="shared" si="0"/>
        <v>0</v>
      </c>
      <c r="J17" s="689">
        <f t="shared" si="0"/>
        <v>0</v>
      </c>
      <c r="K17" s="689">
        <f t="shared" si="0"/>
        <v>0</v>
      </c>
      <c r="L17" s="690">
        <f t="shared" si="0"/>
        <v>0</v>
      </c>
    </row>
    <row r="18" spans="1:12">
      <c r="A18" s="182"/>
      <c r="B18" s="215" t="s">
        <v>3</v>
      </c>
      <c r="C18" s="217"/>
      <c r="D18" s="688">
        <f>+I58</f>
        <v>8.75</v>
      </c>
      <c r="E18" s="226">
        <f>+E16</f>
        <v>0.5</v>
      </c>
      <c r="F18" s="226">
        <f>+F16</f>
        <v>0.9</v>
      </c>
      <c r="G18" s="226"/>
      <c r="H18" s="226"/>
      <c r="I18" s="689">
        <f t="shared" si="0"/>
        <v>4.375</v>
      </c>
      <c r="J18" s="689">
        <f t="shared" si="0"/>
        <v>7.875</v>
      </c>
      <c r="K18" s="689">
        <f t="shared" si="0"/>
        <v>0</v>
      </c>
      <c r="L18" s="690">
        <f t="shared" si="0"/>
        <v>0</v>
      </c>
    </row>
    <row r="19" spans="1:12">
      <c r="A19" s="182"/>
      <c r="B19" s="215" t="s">
        <v>4</v>
      </c>
      <c r="C19" s="217"/>
      <c r="D19" s="688">
        <f>+I64</f>
        <v>0.26250000000000001</v>
      </c>
      <c r="E19" s="226">
        <f>+E17</f>
        <v>0.5</v>
      </c>
      <c r="F19" s="226">
        <f>+F17</f>
        <v>0.9</v>
      </c>
      <c r="G19" s="226"/>
      <c r="H19" s="226"/>
      <c r="I19" s="689">
        <f t="shared" si="0"/>
        <v>0.13125000000000001</v>
      </c>
      <c r="J19" s="689">
        <f t="shared" si="0"/>
        <v>0.23625000000000002</v>
      </c>
      <c r="K19" s="689">
        <f t="shared" si="0"/>
        <v>0</v>
      </c>
      <c r="L19" s="690">
        <f t="shared" si="0"/>
        <v>0</v>
      </c>
    </row>
    <row r="20" spans="1:12">
      <c r="A20" s="182"/>
      <c r="B20" s="215" t="s">
        <v>26</v>
      </c>
      <c r="C20" s="217"/>
      <c r="D20" s="688">
        <f>+I67</f>
        <v>0</v>
      </c>
      <c r="E20" s="226">
        <v>0</v>
      </c>
      <c r="F20" s="226">
        <v>0</v>
      </c>
      <c r="G20" s="226"/>
      <c r="H20" s="226"/>
      <c r="I20" s="689">
        <f t="shared" si="0"/>
        <v>0</v>
      </c>
      <c r="J20" s="689">
        <f t="shared" si="0"/>
        <v>0</v>
      </c>
      <c r="K20" s="689">
        <f t="shared" si="0"/>
        <v>0</v>
      </c>
      <c r="L20" s="690">
        <f t="shared" si="0"/>
        <v>0</v>
      </c>
    </row>
    <row r="21" spans="1:12">
      <c r="A21" s="182"/>
      <c r="B21" s="215" t="s">
        <v>7</v>
      </c>
      <c r="C21" s="217"/>
      <c r="D21" s="688">
        <f>+I70</f>
        <v>0</v>
      </c>
      <c r="E21" s="226">
        <v>0</v>
      </c>
      <c r="F21" s="226">
        <v>0</v>
      </c>
      <c r="G21" s="226"/>
      <c r="H21" s="226"/>
      <c r="I21" s="689">
        <f t="shared" si="0"/>
        <v>0</v>
      </c>
      <c r="J21" s="689">
        <f t="shared" si="0"/>
        <v>0</v>
      </c>
      <c r="K21" s="689">
        <f t="shared" si="0"/>
        <v>0</v>
      </c>
      <c r="L21" s="690">
        <f t="shared" si="0"/>
        <v>0</v>
      </c>
    </row>
    <row r="22" spans="1:12">
      <c r="A22" s="182"/>
      <c r="B22" s="215" t="s">
        <v>27</v>
      </c>
      <c r="C22" s="217"/>
      <c r="D22" s="688">
        <f>+I73</f>
        <v>0</v>
      </c>
      <c r="E22" s="226">
        <v>0</v>
      </c>
      <c r="F22" s="226">
        <v>0</v>
      </c>
      <c r="G22" s="226"/>
      <c r="H22" s="226"/>
      <c r="I22" s="689">
        <f t="shared" si="0"/>
        <v>0</v>
      </c>
      <c r="J22" s="689">
        <f t="shared" si="0"/>
        <v>0</v>
      </c>
      <c r="K22" s="689">
        <f t="shared" si="0"/>
        <v>0</v>
      </c>
      <c r="L22" s="690">
        <f t="shared" si="0"/>
        <v>0</v>
      </c>
    </row>
    <row r="23" spans="1:12">
      <c r="A23" s="182"/>
      <c r="B23" s="215" t="s">
        <v>5</v>
      </c>
      <c r="C23" s="217"/>
      <c r="D23" s="688">
        <f>+I81</f>
        <v>0</v>
      </c>
      <c r="E23" s="226">
        <v>0</v>
      </c>
      <c r="F23" s="226">
        <v>0</v>
      </c>
      <c r="G23" s="226"/>
      <c r="H23" s="226"/>
      <c r="I23" s="689">
        <f t="shared" si="0"/>
        <v>0</v>
      </c>
      <c r="J23" s="689">
        <f t="shared" si="0"/>
        <v>0</v>
      </c>
      <c r="K23" s="689">
        <f t="shared" si="0"/>
        <v>0</v>
      </c>
      <c r="L23" s="690">
        <f t="shared" si="0"/>
        <v>0</v>
      </c>
    </row>
    <row r="24" spans="1:12">
      <c r="A24" s="182"/>
      <c r="B24" s="215" t="s">
        <v>20</v>
      </c>
      <c r="C24" s="217"/>
      <c r="D24" s="691">
        <f>+I84</f>
        <v>0</v>
      </c>
      <c r="E24" s="226">
        <v>0</v>
      </c>
      <c r="F24" s="226">
        <v>0</v>
      </c>
      <c r="G24" s="226"/>
      <c r="H24" s="226"/>
      <c r="I24" s="692">
        <f t="shared" si="0"/>
        <v>0</v>
      </c>
      <c r="J24" s="692">
        <f t="shared" si="0"/>
        <v>0</v>
      </c>
      <c r="K24" s="692">
        <f t="shared" si="0"/>
        <v>0</v>
      </c>
      <c r="L24" s="693">
        <f t="shared" si="0"/>
        <v>0</v>
      </c>
    </row>
    <row r="25" spans="1:12">
      <c r="A25" s="182"/>
      <c r="B25" s="231" t="s">
        <v>19</v>
      </c>
      <c r="C25" s="232"/>
      <c r="D25" s="694">
        <f>SUM(D16:D24)</f>
        <v>9.0124999999999993</v>
      </c>
      <c r="E25" s="695"/>
      <c r="F25" s="695"/>
      <c r="G25" s="234"/>
      <c r="H25" s="234"/>
      <c r="I25" s="696">
        <f>SUM(I16:I24)</f>
        <v>4.5062499999999996</v>
      </c>
      <c r="J25" s="696">
        <f>SUM(J16:J24)</f>
        <v>8.1112500000000001</v>
      </c>
      <c r="K25" s="696">
        <f>SUM(K16:K24)</f>
        <v>0</v>
      </c>
      <c r="L25" s="697">
        <f>SUM(L16:L24)</f>
        <v>0</v>
      </c>
    </row>
    <row r="27" spans="1:12" ht="15.75">
      <c r="A27" s="182"/>
      <c r="B27" s="240" t="s">
        <v>28</v>
      </c>
      <c r="C27" s="182"/>
      <c r="D27" s="182"/>
      <c r="E27" s="182"/>
      <c r="F27" s="182"/>
      <c r="G27" s="182"/>
      <c r="H27" s="182"/>
      <c r="I27" s="241"/>
    </row>
    <row r="28" spans="1:12">
      <c r="A28" s="182"/>
      <c r="B28" s="242" t="s">
        <v>89</v>
      </c>
      <c r="C28" s="243"/>
      <c r="D28" s="243"/>
      <c r="E28" s="244"/>
      <c r="F28" s="244"/>
      <c r="G28" s="244"/>
      <c r="H28" s="244"/>
      <c r="I28" s="245"/>
    </row>
    <row r="29" spans="1:12" ht="12.75" customHeight="1">
      <c r="A29" s="182"/>
      <c r="B29" s="2144" t="s">
        <v>616</v>
      </c>
      <c r="C29" s="2145"/>
      <c r="D29" s="2145"/>
      <c r="E29" s="2145"/>
      <c r="F29" s="2145"/>
      <c r="G29" s="2145"/>
      <c r="H29" s="2145"/>
      <c r="I29" s="2146"/>
    </row>
    <row r="30" spans="1:12">
      <c r="A30" s="182"/>
      <c r="B30" s="2144"/>
      <c r="C30" s="2145"/>
      <c r="D30" s="2145"/>
      <c r="E30" s="2145"/>
      <c r="F30" s="2145"/>
      <c r="G30" s="2145"/>
      <c r="H30" s="2145"/>
      <c r="I30" s="2146"/>
    </row>
    <row r="31" spans="1:12" ht="40.5" customHeight="1">
      <c r="A31" s="182"/>
      <c r="B31" s="2144"/>
      <c r="C31" s="2145"/>
      <c r="D31" s="2145"/>
      <c r="E31" s="2145"/>
      <c r="F31" s="2145"/>
      <c r="G31" s="2145"/>
      <c r="H31" s="2145"/>
      <c r="I31" s="2146"/>
    </row>
    <row r="32" spans="1:12">
      <c r="A32" s="182"/>
      <c r="B32" s="698" t="s">
        <v>617</v>
      </c>
      <c r="C32" s="247"/>
      <c r="D32" s="247"/>
      <c r="E32" s="254"/>
      <c r="F32" s="254"/>
      <c r="G32" s="254"/>
      <c r="H32" s="254"/>
      <c r="I32" s="248"/>
    </row>
    <row r="33" spans="1:9">
      <c r="A33" s="182"/>
      <c r="B33" s="255" t="s">
        <v>25</v>
      </c>
      <c r="C33" s="247"/>
      <c r="D33" s="256" t="s">
        <v>91</v>
      </c>
      <c r="E33" s="268"/>
      <c r="F33" s="254"/>
      <c r="G33" s="254"/>
      <c r="H33" s="254"/>
      <c r="I33" s="248"/>
    </row>
    <row r="34" spans="1:9">
      <c r="A34" s="182"/>
      <c r="B34" s="251"/>
      <c r="C34" s="247"/>
      <c r="D34" s="254"/>
      <c r="E34" s="268"/>
      <c r="F34" s="254"/>
      <c r="G34" s="254"/>
      <c r="H34" s="254"/>
      <c r="I34" s="248"/>
    </row>
    <row r="35" spans="1:9">
      <c r="A35" s="182"/>
      <c r="B35" s="255" t="s">
        <v>8</v>
      </c>
      <c r="C35" s="247"/>
      <c r="D35" s="256" t="s">
        <v>394</v>
      </c>
      <c r="E35" s="268"/>
      <c r="F35" s="254"/>
      <c r="G35" s="254"/>
      <c r="H35" s="254"/>
      <c r="I35" s="248"/>
    </row>
    <row r="36" spans="1:9">
      <c r="A36" s="182"/>
      <c r="B36" s="255" t="s">
        <v>9</v>
      </c>
      <c r="C36" s="247"/>
      <c r="D36" s="699">
        <f>+'[21]Payment Factors'!C10</f>
        <v>1</v>
      </c>
      <c r="E36" s="268"/>
      <c r="F36" s="254"/>
      <c r="G36" s="254"/>
      <c r="H36" s="254"/>
      <c r="I36" s="248"/>
    </row>
    <row r="37" spans="1:9">
      <c r="A37" s="182"/>
      <c r="B37" s="255" t="s">
        <v>10</v>
      </c>
      <c r="C37" s="254"/>
      <c r="D37" s="258"/>
      <c r="E37" s="700"/>
      <c r="F37" s="254"/>
      <c r="G37" s="254"/>
      <c r="H37" s="254"/>
      <c r="I37" s="701" t="s">
        <v>6</v>
      </c>
    </row>
    <row r="38" spans="1:9">
      <c r="A38" s="182"/>
      <c r="B38" s="261"/>
      <c r="C38" s="254"/>
      <c r="D38" s="254"/>
      <c r="E38" s="259"/>
      <c r="F38" s="254"/>
      <c r="G38" s="254"/>
      <c r="H38" s="254"/>
      <c r="I38" s="262"/>
    </row>
    <row r="39" spans="1:9">
      <c r="A39" s="182"/>
      <c r="B39" s="246" t="s">
        <v>0</v>
      </c>
      <c r="C39" s="254"/>
      <c r="D39" s="254"/>
      <c r="E39" s="254"/>
      <c r="F39" s="256"/>
      <c r="G39" s="254"/>
      <c r="H39" s="254"/>
      <c r="I39" s="702">
        <f>SUM(G41:G43)</f>
        <v>0</v>
      </c>
    </row>
    <row r="40" spans="1:9">
      <c r="A40" s="182"/>
      <c r="B40" s="703"/>
      <c r="C40" s="254"/>
      <c r="D40" s="704" t="s">
        <v>447</v>
      </c>
      <c r="E40" s="704" t="s">
        <v>448</v>
      </c>
      <c r="F40" s="704" t="s">
        <v>449</v>
      </c>
      <c r="G40" s="704" t="s">
        <v>450</v>
      </c>
      <c r="H40" s="254"/>
      <c r="I40" s="265"/>
    </row>
    <row r="41" spans="1:9">
      <c r="A41" s="182"/>
      <c r="B41" s="261"/>
      <c r="C41" s="268"/>
      <c r="D41" s="705"/>
      <c r="E41" s="706"/>
      <c r="F41" s="707"/>
      <c r="G41" s="708"/>
      <c r="H41" s="254"/>
      <c r="I41" s="248"/>
    </row>
    <row r="42" spans="1:9">
      <c r="A42" s="182"/>
      <c r="B42" s="709"/>
      <c r="C42" s="710"/>
      <c r="D42" s="711"/>
      <c r="E42" s="706"/>
      <c r="F42" s="707"/>
      <c r="G42" s="708"/>
      <c r="H42" s="254"/>
      <c r="I42" s="248"/>
    </row>
    <row r="43" spans="1:9">
      <c r="A43" s="182"/>
      <c r="B43" s="709"/>
      <c r="C43" s="710"/>
      <c r="D43" s="711"/>
      <c r="E43" s="706"/>
      <c r="F43" s="707"/>
      <c r="G43" s="708"/>
      <c r="H43" s="254"/>
      <c r="I43" s="248"/>
    </row>
    <row r="44" spans="1:9">
      <c r="A44" s="182"/>
      <c r="B44" s="703"/>
      <c r="C44" s="254"/>
      <c r="D44" s="704"/>
      <c r="E44" s="704"/>
      <c r="F44" s="704"/>
      <c r="G44" s="704"/>
      <c r="H44" s="254"/>
      <c r="I44" s="265"/>
    </row>
    <row r="45" spans="1:9">
      <c r="A45" s="182"/>
      <c r="B45" s="251" t="s">
        <v>43</v>
      </c>
      <c r="C45" s="254"/>
      <c r="D45" s="254"/>
      <c r="E45" s="272"/>
      <c r="F45" s="272"/>
      <c r="G45" s="272"/>
      <c r="H45" s="254"/>
      <c r="I45" s="265"/>
    </row>
    <row r="46" spans="1:9">
      <c r="A46" s="182"/>
      <c r="B46" s="261" t="s">
        <v>457</v>
      </c>
      <c r="C46" s="254"/>
      <c r="D46" s="254"/>
      <c r="E46" s="272"/>
      <c r="F46" s="272"/>
      <c r="G46" s="272"/>
      <c r="H46" s="254"/>
      <c r="I46" s="265"/>
    </row>
    <row r="47" spans="1:9">
      <c r="A47" s="182"/>
      <c r="B47" s="703"/>
      <c r="C47" s="254"/>
      <c r="D47" s="704"/>
      <c r="E47" s="704"/>
      <c r="F47" s="704"/>
      <c r="G47" s="704"/>
      <c r="H47" s="254"/>
      <c r="I47" s="265"/>
    </row>
    <row r="48" spans="1:9">
      <c r="A48" s="182"/>
      <c r="B48" s="246" t="s">
        <v>2</v>
      </c>
      <c r="C48" s="254"/>
      <c r="D48" s="254"/>
      <c r="E48" s="2147" t="s">
        <v>459</v>
      </c>
      <c r="F48" s="2147"/>
      <c r="G48" s="2147"/>
      <c r="H48" s="2147"/>
      <c r="I48" s="702">
        <f>(SUM(G50:G51)*0.85)</f>
        <v>0</v>
      </c>
    </row>
    <row r="49" spans="1:9">
      <c r="A49" s="182"/>
      <c r="B49" s="703"/>
      <c r="C49" s="254"/>
      <c r="D49" s="704" t="s">
        <v>447</v>
      </c>
      <c r="E49" s="704" t="s">
        <v>448</v>
      </c>
      <c r="F49" s="704" t="s">
        <v>449</v>
      </c>
      <c r="G49" s="704" t="s">
        <v>450</v>
      </c>
      <c r="H49" s="254"/>
      <c r="I49" s="265"/>
    </row>
    <row r="50" spans="1:9">
      <c r="A50" s="182"/>
      <c r="B50" s="261"/>
      <c r="C50" s="268"/>
      <c r="D50" s="705"/>
      <c r="E50" s="706"/>
      <c r="F50" s="707"/>
      <c r="G50" s="708"/>
      <c r="H50" s="254"/>
      <c r="I50" s="286"/>
    </row>
    <row r="51" spans="1:9">
      <c r="A51" s="182"/>
      <c r="B51" s="712"/>
      <c r="C51" s="254"/>
      <c r="D51" s="713"/>
      <c r="E51" s="706"/>
      <c r="F51" s="714"/>
      <c r="G51" s="708"/>
      <c r="H51" s="254"/>
      <c r="I51" s="265"/>
    </row>
    <row r="52" spans="1:9">
      <c r="A52" s="182"/>
      <c r="B52" s="261"/>
      <c r="C52" s="268"/>
      <c r="D52" s="269"/>
      <c r="E52" s="714"/>
      <c r="F52" s="714"/>
      <c r="G52" s="706"/>
      <c r="H52" s="254"/>
      <c r="I52" s="286"/>
    </row>
    <row r="53" spans="1:9">
      <c r="A53" s="182"/>
      <c r="B53" s="251" t="s">
        <v>43</v>
      </c>
      <c r="C53" s="254"/>
      <c r="D53" s="254"/>
      <c r="E53" s="272"/>
      <c r="F53" s="272"/>
      <c r="G53" s="272"/>
      <c r="H53" s="254"/>
      <c r="I53" s="265"/>
    </row>
    <row r="54" spans="1:9" ht="12.75" customHeight="1">
      <c r="A54" s="182"/>
      <c r="B54" s="2148" t="s">
        <v>457</v>
      </c>
      <c r="C54" s="2149"/>
      <c r="D54" s="2149"/>
      <c r="E54" s="2149"/>
      <c r="F54" s="2149"/>
      <c r="G54" s="2149"/>
      <c r="H54" s="2149"/>
      <c r="I54" s="2150"/>
    </row>
    <row r="55" spans="1:9">
      <c r="A55" s="182"/>
      <c r="B55" s="2148"/>
      <c r="C55" s="2149"/>
      <c r="D55" s="2149"/>
      <c r="E55" s="2149"/>
      <c r="F55" s="2149"/>
      <c r="G55" s="2149"/>
      <c r="H55" s="2149"/>
      <c r="I55" s="2150"/>
    </row>
    <row r="56" spans="1:9">
      <c r="A56" s="182"/>
      <c r="B56" s="715"/>
      <c r="C56" s="716"/>
      <c r="D56" s="716"/>
      <c r="E56" s="716"/>
      <c r="F56" s="716"/>
      <c r="G56" s="716"/>
      <c r="H56" s="716"/>
      <c r="I56" s="717"/>
    </row>
    <row r="57" spans="1:9">
      <c r="A57" s="182"/>
      <c r="B57" s="715"/>
      <c r="C57" s="716"/>
      <c r="D57" s="716"/>
      <c r="E57" s="716"/>
      <c r="F57" s="716"/>
      <c r="G57" s="716"/>
      <c r="H57" s="716"/>
      <c r="I57" s="717"/>
    </row>
    <row r="58" spans="1:9">
      <c r="A58" s="182"/>
      <c r="B58" s="246" t="s">
        <v>3</v>
      </c>
      <c r="C58" s="254"/>
      <c r="D58" s="254"/>
      <c r="E58" s="254"/>
      <c r="F58" s="256"/>
      <c r="G58" s="254"/>
      <c r="H58" s="254"/>
      <c r="I58" s="718">
        <f>E60</f>
        <v>8.75</v>
      </c>
    </row>
    <row r="59" spans="1:9">
      <c r="A59" s="182"/>
      <c r="B59" s="2151" t="s">
        <v>465</v>
      </c>
      <c r="C59" s="2152"/>
      <c r="D59" s="719" t="s">
        <v>618</v>
      </c>
      <c r="E59" s="254"/>
      <c r="F59" s="254"/>
      <c r="G59" s="254"/>
      <c r="H59" s="254"/>
      <c r="I59" s="282"/>
    </row>
    <row r="60" spans="1:9">
      <c r="A60" s="182"/>
      <c r="B60" s="251"/>
      <c r="C60" s="256"/>
      <c r="D60" s="256"/>
      <c r="E60" s="720">
        <v>8.75</v>
      </c>
      <c r="F60" s="254"/>
      <c r="G60" s="254"/>
      <c r="H60" s="254"/>
      <c r="I60" s="265"/>
    </row>
    <row r="61" spans="1:9">
      <c r="A61" s="182"/>
      <c r="B61" s="251"/>
      <c r="C61" s="256"/>
      <c r="D61" s="721"/>
      <c r="E61" s="720"/>
      <c r="F61" s="254"/>
      <c r="G61" s="254"/>
      <c r="H61" s="254"/>
      <c r="I61" s="265"/>
    </row>
    <row r="62" spans="1:9">
      <c r="A62" s="182"/>
      <c r="B62" s="251"/>
      <c r="C62" s="256"/>
      <c r="D62" s="722"/>
      <c r="E62" s="720"/>
      <c r="F62" s="254"/>
      <c r="G62" s="254"/>
      <c r="H62" s="254"/>
      <c r="I62" s="265"/>
    </row>
    <row r="63" spans="1:9">
      <c r="A63" s="182"/>
      <c r="B63" s="271"/>
      <c r="C63" s="254"/>
      <c r="D63" s="254"/>
      <c r="E63" s="254"/>
      <c r="F63" s="254"/>
      <c r="G63" s="254"/>
      <c r="H63" s="254"/>
      <c r="I63" s="248"/>
    </row>
    <row r="64" spans="1:9">
      <c r="A64" s="182"/>
      <c r="B64" s="246" t="s">
        <v>4</v>
      </c>
      <c r="C64" s="254"/>
      <c r="D64" s="254"/>
      <c r="E64" s="254"/>
      <c r="F64" s="254"/>
      <c r="G64" s="254"/>
      <c r="H64" s="254"/>
      <c r="I64" s="718">
        <f>0.03*(I39+I48+I58)</f>
        <v>0.26250000000000001</v>
      </c>
    </row>
    <row r="65" spans="1:9">
      <c r="A65" s="182"/>
      <c r="B65" s="271" t="s">
        <v>467</v>
      </c>
      <c r="C65" s="254"/>
      <c r="D65" s="254"/>
      <c r="E65" s="254"/>
      <c r="F65" s="254"/>
      <c r="G65" s="254"/>
      <c r="H65" s="254"/>
      <c r="I65" s="248"/>
    </row>
    <row r="66" spans="1:9">
      <c r="A66" s="182"/>
      <c r="B66" s="251"/>
      <c r="C66" s="254"/>
      <c r="D66" s="254"/>
      <c r="E66" s="254"/>
      <c r="F66" s="254"/>
      <c r="G66" s="254"/>
      <c r="H66" s="254"/>
      <c r="I66" s="248"/>
    </row>
    <row r="67" spans="1:9">
      <c r="A67" s="182"/>
      <c r="B67" s="246" t="s">
        <v>468</v>
      </c>
      <c r="C67" s="254"/>
      <c r="D67" s="254"/>
      <c r="E67" s="254"/>
      <c r="F67" s="254"/>
      <c r="G67" s="254"/>
      <c r="H67" s="254"/>
      <c r="I67" s="718">
        <v>0</v>
      </c>
    </row>
    <row r="68" spans="1:9">
      <c r="A68" s="182"/>
      <c r="B68" s="271" t="s">
        <v>104</v>
      </c>
      <c r="C68" s="254"/>
      <c r="D68" s="254"/>
      <c r="E68" s="254"/>
      <c r="F68" s="254"/>
      <c r="G68" s="254"/>
      <c r="H68" s="254"/>
      <c r="I68" s="248"/>
    </row>
    <row r="69" spans="1:9">
      <c r="A69" s="182"/>
      <c r="B69" s="251"/>
      <c r="C69" s="254"/>
      <c r="D69" s="254"/>
      <c r="E69" s="254"/>
      <c r="F69" s="254"/>
      <c r="G69" s="254"/>
      <c r="H69" s="254"/>
      <c r="I69" s="248"/>
    </row>
    <row r="70" spans="1:9">
      <c r="A70" s="182"/>
      <c r="B70" s="246" t="s">
        <v>7</v>
      </c>
      <c r="C70" s="254"/>
      <c r="D70" s="254"/>
      <c r="E70" s="254"/>
      <c r="F70" s="254"/>
      <c r="G70" s="254"/>
      <c r="H70" s="254"/>
      <c r="I70" s="702">
        <v>0</v>
      </c>
    </row>
    <row r="71" spans="1:9">
      <c r="A71" s="182"/>
      <c r="B71" s="271" t="s">
        <v>104</v>
      </c>
      <c r="C71" s="254"/>
      <c r="D71" s="254"/>
      <c r="E71" s="254"/>
      <c r="F71" s="254"/>
      <c r="G71" s="254"/>
      <c r="H71" s="254"/>
      <c r="I71" s="248"/>
    </row>
    <row r="72" spans="1:9">
      <c r="A72" s="182"/>
      <c r="B72" s="251"/>
      <c r="C72" s="254"/>
      <c r="D72" s="254"/>
      <c r="E72" s="254"/>
      <c r="F72" s="254"/>
      <c r="G72" s="254"/>
      <c r="H72" s="254"/>
      <c r="I72" s="248"/>
    </row>
    <row r="73" spans="1:9">
      <c r="A73" s="182"/>
      <c r="B73" s="246" t="s">
        <v>471</v>
      </c>
      <c r="C73" s="254"/>
      <c r="D73" s="254"/>
      <c r="E73" s="254"/>
      <c r="F73" s="256"/>
      <c r="G73" s="254"/>
      <c r="H73" s="254"/>
      <c r="I73" s="723">
        <f>SUM(E74*F74)</f>
        <v>0</v>
      </c>
    </row>
    <row r="74" spans="1:9">
      <c r="A74" s="182"/>
      <c r="B74" s="246"/>
      <c r="C74" s="254"/>
      <c r="D74" s="719" t="s">
        <v>619</v>
      </c>
      <c r="E74" s="724"/>
      <c r="F74" s="725">
        <v>0.05</v>
      </c>
      <c r="G74" s="254"/>
      <c r="H74" s="254"/>
      <c r="I74" s="702"/>
    </row>
    <row r="75" spans="1:9">
      <c r="A75" s="182"/>
      <c r="B75" s="726"/>
      <c r="C75" s="254"/>
      <c r="D75" s="254"/>
      <c r="E75" s="254"/>
      <c r="F75" s="254"/>
      <c r="G75" s="254"/>
      <c r="H75" s="254"/>
      <c r="I75" s="286"/>
    </row>
    <row r="76" spans="1:9">
      <c r="A76" s="182"/>
      <c r="B76" s="726"/>
      <c r="C76" s="254"/>
      <c r="D76" s="254"/>
      <c r="E76" s="254"/>
      <c r="F76" s="254"/>
      <c r="G76" s="254"/>
      <c r="H76" s="254"/>
      <c r="I76" s="286"/>
    </row>
    <row r="77" spans="1:9">
      <c r="A77" s="182"/>
      <c r="B77" s="726"/>
      <c r="C77" s="254"/>
      <c r="D77" s="254"/>
      <c r="E77" s="254"/>
      <c r="F77" s="254"/>
      <c r="G77" s="254"/>
      <c r="H77" s="254"/>
      <c r="I77" s="286"/>
    </row>
    <row r="78" spans="1:9">
      <c r="A78" s="182"/>
      <c r="B78" s="698" t="s">
        <v>620</v>
      </c>
      <c r="C78" s="254"/>
      <c r="D78" s="254"/>
      <c r="E78" s="254"/>
      <c r="F78" s="254"/>
      <c r="G78" s="254"/>
      <c r="H78" s="254"/>
      <c r="I78" s="248"/>
    </row>
    <row r="79" spans="1:9">
      <c r="A79" s="182"/>
      <c r="B79" s="727"/>
      <c r="C79" s="254"/>
      <c r="D79" s="254"/>
      <c r="E79" s="254"/>
      <c r="F79" s="254"/>
      <c r="G79" s="254"/>
      <c r="H79" s="254"/>
      <c r="I79" s="248"/>
    </row>
    <row r="80" spans="1:9">
      <c r="A80" s="182"/>
      <c r="B80" s="698"/>
      <c r="C80" s="254"/>
      <c r="D80" s="254"/>
      <c r="E80" s="254"/>
      <c r="F80" s="254"/>
      <c r="G80" s="254"/>
      <c r="H80" s="254"/>
      <c r="I80" s="248"/>
    </row>
    <row r="81" spans="1:9">
      <c r="A81" s="182"/>
      <c r="B81" s="246" t="s">
        <v>5</v>
      </c>
      <c r="C81" s="254"/>
      <c r="D81" s="254"/>
      <c r="E81" s="254"/>
      <c r="F81" s="254"/>
      <c r="G81" s="254"/>
      <c r="H81" s="254"/>
      <c r="I81" s="702">
        <v>0</v>
      </c>
    </row>
    <row r="82" spans="1:9">
      <c r="A82" s="182"/>
      <c r="B82" s="271" t="s">
        <v>104</v>
      </c>
      <c r="C82" s="254"/>
      <c r="D82" s="254"/>
      <c r="E82" s="254"/>
      <c r="F82" s="254"/>
      <c r="G82" s="254"/>
      <c r="H82" s="254"/>
      <c r="I82" s="286"/>
    </row>
    <row r="83" spans="1:9">
      <c r="A83" s="182"/>
      <c r="B83" s="251"/>
      <c r="C83" s="254"/>
      <c r="D83" s="254"/>
      <c r="E83" s="254"/>
      <c r="F83" s="254"/>
      <c r="G83" s="254"/>
      <c r="H83" s="254"/>
      <c r="I83" s="248"/>
    </row>
    <row r="84" spans="1:9">
      <c r="A84" s="182"/>
      <c r="B84" s="246" t="s">
        <v>20</v>
      </c>
      <c r="C84" s="254"/>
      <c r="D84" s="254"/>
      <c r="E84" s="254"/>
      <c r="F84" s="254"/>
      <c r="G84" s="254"/>
      <c r="H84" s="254"/>
      <c r="I84" s="702">
        <v>0</v>
      </c>
    </row>
    <row r="85" spans="1:9">
      <c r="A85" s="182"/>
      <c r="B85" s="271" t="s">
        <v>104</v>
      </c>
      <c r="C85" s="254"/>
      <c r="D85" s="254"/>
      <c r="E85" s="254"/>
      <c r="F85" s="254"/>
      <c r="G85" s="254"/>
      <c r="H85" s="254"/>
      <c r="I85" s="248"/>
    </row>
    <row r="86" spans="1:9">
      <c r="A86" s="182"/>
      <c r="B86" s="261"/>
      <c r="C86" s="254"/>
      <c r="D86" s="254"/>
      <c r="E86" s="254"/>
      <c r="F86" s="254"/>
      <c r="G86" s="254"/>
      <c r="H86" s="254"/>
      <c r="I86" s="248"/>
    </row>
    <row r="87" spans="1:9">
      <c r="A87" s="182"/>
      <c r="B87" s="246" t="s">
        <v>473</v>
      </c>
      <c r="C87" s="254"/>
      <c r="D87" s="254"/>
      <c r="E87" s="254"/>
      <c r="F87" s="254"/>
      <c r="G87" s="254"/>
      <c r="H87" s="254"/>
      <c r="I87" s="728">
        <f>+I39+I48+I58+I64+I70+I84</f>
        <v>9.0124999999999993</v>
      </c>
    </row>
    <row r="88" spans="1:9" ht="15.75">
      <c r="A88" s="182"/>
      <c r="B88" s="271" t="s">
        <v>474</v>
      </c>
      <c r="C88" s="254"/>
      <c r="D88" s="254"/>
      <c r="E88" s="254"/>
      <c r="F88" s="254"/>
      <c r="G88" s="254"/>
      <c r="H88" s="254"/>
      <c r="I88" s="248"/>
    </row>
    <row r="89" spans="1:9">
      <c r="A89" s="182"/>
      <c r="B89" s="261"/>
      <c r="C89" s="254"/>
      <c r="D89" s="254"/>
      <c r="E89" s="254"/>
      <c r="F89" s="254"/>
      <c r="G89" s="254"/>
      <c r="H89" s="254"/>
      <c r="I89" s="248"/>
    </row>
    <row r="90" spans="1:9">
      <c r="A90" s="182"/>
      <c r="B90" s="287" t="s">
        <v>11</v>
      </c>
      <c r="C90" s="288"/>
      <c r="D90" s="288"/>
      <c r="E90" s="288"/>
      <c r="F90" s="288"/>
      <c r="G90" s="288"/>
      <c r="H90" s="288"/>
      <c r="I90" s="621">
        <f>SUM(I38:I84)</f>
        <v>9.0124999999999993</v>
      </c>
    </row>
  </sheetData>
  <mergeCells count="5">
    <mergeCell ref="B1:D1"/>
    <mergeCell ref="B29:I31"/>
    <mergeCell ref="E48:H48"/>
    <mergeCell ref="B54:I55"/>
    <mergeCell ref="B59:C59"/>
  </mergeCells>
  <pageMargins left="0.75" right="0.75" top="1" bottom="1" header="0.5" footer="0.5"/>
  <pageSetup scale="60" orientation="landscape" r:id="rId1"/>
  <headerFooter alignWithMargins="0"/>
</worksheet>
</file>

<file path=xl/worksheets/sheet98.xml><?xml version="1.0" encoding="utf-8"?>
<worksheet xmlns="http://schemas.openxmlformats.org/spreadsheetml/2006/main" xmlns:r="http://schemas.openxmlformats.org/officeDocument/2006/relationships">
  <dimension ref="A1:M73"/>
  <sheetViews>
    <sheetView zoomScale="80" zoomScaleNormal="80" workbookViewId="0">
      <selection activeCell="G21" sqref="G21"/>
    </sheetView>
  </sheetViews>
  <sheetFormatPr defaultRowHeight="12.75"/>
  <cols>
    <col min="1" max="1" width="2.7109375" customWidth="1"/>
    <col min="2" max="2" width="21.42578125" customWidth="1"/>
    <col min="3" max="3" width="14" customWidth="1"/>
    <col min="4" max="4" width="28" customWidth="1"/>
    <col min="5" max="5" width="27.42578125" customWidth="1"/>
    <col min="6" max="6" width="16.42578125" customWidth="1"/>
    <col min="7" max="7" width="12.7109375" customWidth="1"/>
    <col min="8" max="9" width="10.7109375" customWidth="1"/>
    <col min="10" max="10" width="9" bestFit="1" customWidth="1"/>
    <col min="11" max="11" width="10.140625" bestFit="1" customWidth="1"/>
    <col min="12" max="12" width="3.28515625" customWidth="1"/>
  </cols>
  <sheetData>
    <row r="1" spans="1:13">
      <c r="A1" s="2"/>
      <c r="B1" s="2"/>
      <c r="C1" s="2"/>
      <c r="D1" s="2"/>
      <c r="E1" s="2"/>
      <c r="F1" s="2"/>
      <c r="G1" s="2"/>
      <c r="H1" s="2"/>
      <c r="I1" s="2"/>
      <c r="J1" s="2"/>
      <c r="K1" s="2"/>
      <c r="L1" s="2"/>
    </row>
    <row r="2" spans="1:13" ht="15.75">
      <c r="A2" s="2"/>
      <c r="B2" s="1" t="s">
        <v>17</v>
      </c>
      <c r="C2" s="3"/>
      <c r="D2" s="3"/>
      <c r="E2" s="2"/>
      <c r="F2" s="2"/>
      <c r="G2" s="2"/>
    </row>
    <row r="3" spans="1:13">
      <c r="A3" s="2"/>
      <c r="B3" s="68" t="s">
        <v>1</v>
      </c>
      <c r="C3" s="69" t="s">
        <v>21</v>
      </c>
      <c r="D3" s="70"/>
      <c r="E3" s="70"/>
      <c r="F3" s="70"/>
      <c r="G3" s="70"/>
      <c r="H3" s="83" t="s">
        <v>12</v>
      </c>
      <c r="I3" s="729"/>
      <c r="K3" s="730" t="s">
        <v>621</v>
      </c>
      <c r="M3" s="730"/>
    </row>
    <row r="4" spans="1:13">
      <c r="A4" s="2"/>
      <c r="B4" s="71" t="s">
        <v>13</v>
      </c>
      <c r="C4" s="72" t="s">
        <v>22</v>
      </c>
      <c r="D4" s="72" t="s">
        <v>29</v>
      </c>
      <c r="E4" s="72" t="s">
        <v>30</v>
      </c>
      <c r="F4" s="72"/>
      <c r="G4" s="72" t="s">
        <v>23</v>
      </c>
      <c r="H4" s="84" t="s">
        <v>14</v>
      </c>
      <c r="I4" s="731"/>
      <c r="K4" s="88" t="s">
        <v>622</v>
      </c>
      <c r="M4" s="88"/>
    </row>
    <row r="5" spans="1:13">
      <c r="A5" s="2"/>
      <c r="B5" s="54"/>
      <c r="C5" s="732"/>
      <c r="D5" s="733"/>
      <c r="E5" s="733"/>
      <c r="F5" s="734"/>
      <c r="G5" s="7"/>
      <c r="H5" s="85"/>
      <c r="I5" s="132"/>
      <c r="K5" t="s">
        <v>623</v>
      </c>
    </row>
    <row r="6" spans="1:13" ht="25.5">
      <c r="A6" s="2"/>
      <c r="B6" s="54">
        <v>345</v>
      </c>
      <c r="C6" s="732" t="s">
        <v>15</v>
      </c>
      <c r="D6" s="733" t="s">
        <v>624</v>
      </c>
      <c r="E6" s="733" t="s">
        <v>625</v>
      </c>
      <c r="F6" s="734"/>
      <c r="G6" s="7" t="s">
        <v>394</v>
      </c>
      <c r="H6" s="85">
        <f>+H23</f>
        <v>6</v>
      </c>
      <c r="I6" s="132"/>
    </row>
    <row r="7" spans="1:13" ht="25.5">
      <c r="A7" s="2"/>
      <c r="B7" s="8">
        <v>345</v>
      </c>
      <c r="C7" s="735" t="s">
        <v>15</v>
      </c>
      <c r="D7" s="736" t="s">
        <v>624</v>
      </c>
      <c r="E7" s="736" t="s">
        <v>626</v>
      </c>
      <c r="F7" s="737"/>
      <c r="G7" s="10" t="s">
        <v>394</v>
      </c>
      <c r="H7" s="86">
        <f>+I23</f>
        <v>7.2</v>
      </c>
      <c r="I7" s="132"/>
    </row>
    <row r="8" spans="1:13">
      <c r="A8" s="2"/>
      <c r="B8" s="738"/>
      <c r="C8" s="738"/>
      <c r="D8" s="738"/>
      <c r="E8" s="738"/>
      <c r="F8" s="738"/>
      <c r="G8" s="738"/>
      <c r="H8" s="738"/>
      <c r="I8" s="738"/>
      <c r="J8" s="738"/>
    </row>
    <row r="9" spans="1:13" ht="15.75">
      <c r="A9" s="2"/>
      <c r="B9" s="1" t="s">
        <v>18</v>
      </c>
      <c r="C9" s="112"/>
      <c r="D9" s="2"/>
      <c r="E9" s="2"/>
      <c r="F9" s="2"/>
      <c r="G9" s="2"/>
      <c r="L9" t="s">
        <v>627</v>
      </c>
      <c r="M9" t="s">
        <v>627</v>
      </c>
    </row>
    <row r="10" spans="1:13">
      <c r="A10" s="2"/>
      <c r="B10" s="128"/>
      <c r="C10" s="11"/>
      <c r="D10" s="12"/>
      <c r="E10" s="13" t="s">
        <v>628</v>
      </c>
      <c r="F10" s="13"/>
      <c r="G10" s="13" t="s">
        <v>84</v>
      </c>
      <c r="H10" s="13"/>
      <c r="I10" s="13"/>
      <c r="J10" s="14"/>
      <c r="K10" s="730"/>
      <c r="L10" s="65"/>
    </row>
    <row r="11" spans="1:13">
      <c r="A11" s="2"/>
      <c r="B11" s="15"/>
      <c r="C11" s="67"/>
      <c r="D11" s="16"/>
      <c r="E11" s="17" t="s">
        <v>22</v>
      </c>
      <c r="F11" s="17"/>
      <c r="G11" s="17" t="s">
        <v>22</v>
      </c>
      <c r="H11" s="17" t="s">
        <v>628</v>
      </c>
      <c r="I11" s="18" t="s">
        <v>31</v>
      </c>
      <c r="K11" s="730"/>
      <c r="L11" s="730"/>
    </row>
    <row r="12" spans="1:13">
      <c r="A12" s="2"/>
      <c r="B12" s="19"/>
      <c r="C12" s="16"/>
      <c r="D12" s="16"/>
      <c r="E12" s="17" t="s">
        <v>12</v>
      </c>
      <c r="F12" s="17"/>
      <c r="G12" s="17" t="s">
        <v>12</v>
      </c>
      <c r="H12" s="17" t="s">
        <v>12</v>
      </c>
      <c r="I12" s="18" t="s">
        <v>12</v>
      </c>
      <c r="K12" s="730"/>
      <c r="L12" s="730" t="s">
        <v>627</v>
      </c>
    </row>
    <row r="13" spans="1:13">
      <c r="A13" s="2"/>
      <c r="B13" s="164" t="s">
        <v>16</v>
      </c>
      <c r="C13" s="16"/>
      <c r="D13" s="165" t="s">
        <v>6</v>
      </c>
      <c r="E13" s="22" t="s">
        <v>24</v>
      </c>
      <c r="F13" s="22"/>
      <c r="G13" s="22" t="s">
        <v>24</v>
      </c>
      <c r="H13" s="22" t="s">
        <v>14</v>
      </c>
      <c r="I13" s="23" t="s">
        <v>14</v>
      </c>
      <c r="K13" s="738"/>
      <c r="L13" s="738"/>
      <c r="M13" t="s">
        <v>627</v>
      </c>
    </row>
    <row r="14" spans="1:13">
      <c r="A14" s="2"/>
      <c r="B14" s="15" t="s">
        <v>0</v>
      </c>
      <c r="C14" s="16"/>
      <c r="D14" s="24">
        <f>+K41</f>
        <v>0</v>
      </c>
      <c r="E14" s="160">
        <v>0.75</v>
      </c>
      <c r="F14" s="160"/>
      <c r="G14" s="160">
        <v>0.9</v>
      </c>
      <c r="H14" s="73">
        <f>+$D14*E14</f>
        <v>0</v>
      </c>
      <c r="I14" s="74">
        <f t="shared" ref="I14:I22" si="0">+$D14*G14</f>
        <v>0</v>
      </c>
      <c r="K14" s="2"/>
      <c r="L14" s="2"/>
    </row>
    <row r="15" spans="1:13">
      <c r="A15" s="2"/>
      <c r="B15" s="15" t="s">
        <v>2</v>
      </c>
      <c r="C15" s="16"/>
      <c r="D15" s="24">
        <f>+K45</f>
        <v>6</v>
      </c>
      <c r="E15" s="160">
        <v>0.75</v>
      </c>
      <c r="F15" s="160"/>
      <c r="G15" s="160">
        <v>0.9</v>
      </c>
      <c r="H15" s="73">
        <f t="shared" ref="H15:H22" si="1">+$D15*E15</f>
        <v>4.5</v>
      </c>
      <c r="I15" s="74">
        <f t="shared" si="0"/>
        <v>5.4</v>
      </c>
      <c r="K15" s="2"/>
      <c r="L15" s="2"/>
    </row>
    <row r="16" spans="1:13">
      <c r="A16" s="2"/>
      <c r="B16" s="15" t="s">
        <v>3</v>
      </c>
      <c r="C16" s="16"/>
      <c r="D16" s="24">
        <f>+K49</f>
        <v>2</v>
      </c>
      <c r="E16" s="160">
        <v>0.75</v>
      </c>
      <c r="F16" s="160"/>
      <c r="G16" s="160">
        <v>0.9</v>
      </c>
      <c r="H16" s="73">
        <f t="shared" si="1"/>
        <v>1.5</v>
      </c>
      <c r="I16" s="74">
        <f t="shared" si="0"/>
        <v>1.8</v>
      </c>
      <c r="K16" s="2"/>
      <c r="L16" s="2"/>
    </row>
    <row r="17" spans="1:12">
      <c r="A17" s="2"/>
      <c r="B17" s="15" t="s">
        <v>4</v>
      </c>
      <c r="C17" s="16"/>
      <c r="D17" s="24">
        <f>+K52</f>
        <v>0</v>
      </c>
      <c r="E17" s="160">
        <v>0</v>
      </c>
      <c r="F17" s="160"/>
      <c r="G17" s="160">
        <v>0</v>
      </c>
      <c r="H17" s="73">
        <f t="shared" si="1"/>
        <v>0</v>
      </c>
      <c r="I17" s="74">
        <f t="shared" si="0"/>
        <v>0</v>
      </c>
      <c r="K17" s="2"/>
      <c r="L17" s="2"/>
    </row>
    <row r="18" spans="1:12">
      <c r="A18" s="2"/>
      <c r="B18" s="15" t="s">
        <v>468</v>
      </c>
      <c r="C18" s="16"/>
      <c r="D18" s="24">
        <f>+K55</f>
        <v>0</v>
      </c>
      <c r="E18" s="160">
        <v>0</v>
      </c>
      <c r="F18" s="160"/>
      <c r="G18" s="160">
        <v>0</v>
      </c>
      <c r="H18" s="73">
        <f t="shared" si="1"/>
        <v>0</v>
      </c>
      <c r="I18" s="74">
        <f t="shared" si="0"/>
        <v>0</v>
      </c>
      <c r="K18" s="2"/>
      <c r="L18" s="2"/>
    </row>
    <row r="19" spans="1:12">
      <c r="A19" s="2"/>
      <c r="B19" s="15" t="s">
        <v>7</v>
      </c>
      <c r="C19" s="16"/>
      <c r="D19" s="24">
        <f>+K58</f>
        <v>0</v>
      </c>
      <c r="E19" s="160">
        <v>0</v>
      </c>
      <c r="F19" s="160"/>
      <c r="G19" s="160">
        <v>0</v>
      </c>
      <c r="H19" s="73">
        <f t="shared" si="1"/>
        <v>0</v>
      </c>
      <c r="I19" s="74">
        <f t="shared" si="0"/>
        <v>0</v>
      </c>
      <c r="K19" s="2"/>
      <c r="L19" s="2"/>
    </row>
    <row r="20" spans="1:12">
      <c r="A20" s="2"/>
      <c r="B20" s="15" t="s">
        <v>471</v>
      </c>
      <c r="C20" s="16"/>
      <c r="D20" s="24">
        <f>+K61</f>
        <v>0</v>
      </c>
      <c r="E20" s="160">
        <v>0</v>
      </c>
      <c r="F20" s="160"/>
      <c r="G20" s="160">
        <v>0</v>
      </c>
      <c r="H20" s="73">
        <f t="shared" si="1"/>
        <v>0</v>
      </c>
      <c r="I20" s="74">
        <f t="shared" si="0"/>
        <v>0</v>
      </c>
      <c r="K20" s="2"/>
      <c r="L20" s="2"/>
    </row>
    <row r="21" spans="1:12">
      <c r="A21" s="2"/>
      <c r="B21" s="15" t="s">
        <v>5</v>
      </c>
      <c r="C21" s="16"/>
      <c r="D21" s="24">
        <f>+K64</f>
        <v>0</v>
      </c>
      <c r="E21" s="160">
        <v>0</v>
      </c>
      <c r="F21" s="160"/>
      <c r="G21" s="160">
        <v>0</v>
      </c>
      <c r="H21" s="73">
        <f t="shared" si="1"/>
        <v>0</v>
      </c>
      <c r="I21" s="74">
        <f t="shared" si="0"/>
        <v>0</v>
      </c>
      <c r="K21" s="2"/>
      <c r="L21" s="2"/>
    </row>
    <row r="22" spans="1:12">
      <c r="A22" s="2"/>
      <c r="B22" s="15" t="s">
        <v>20</v>
      </c>
      <c r="C22" s="16"/>
      <c r="D22" s="75">
        <f>+K67</f>
        <v>0</v>
      </c>
      <c r="E22" s="160">
        <v>0</v>
      </c>
      <c r="F22" s="160"/>
      <c r="G22" s="160">
        <v>0</v>
      </c>
      <c r="H22" s="75">
        <f t="shared" si="1"/>
        <v>0</v>
      </c>
      <c r="I22" s="76">
        <f t="shared" si="0"/>
        <v>0</v>
      </c>
      <c r="K22" s="2"/>
      <c r="L22" s="2"/>
    </row>
    <row r="23" spans="1:12">
      <c r="A23" s="2"/>
      <c r="B23" s="26" t="s">
        <v>19</v>
      </c>
      <c r="C23" s="27"/>
      <c r="D23" s="138">
        <f>+D22+D21+D20+D19+D18+D17+D16+D15+D14</f>
        <v>8</v>
      </c>
      <c r="E23" s="28"/>
      <c r="F23" s="28"/>
      <c r="G23" s="28"/>
      <c r="H23" s="51">
        <f>+H22+H21+H20+H19+H18+H17+H16+H15+H14</f>
        <v>6</v>
      </c>
      <c r="I23" s="77">
        <f>+I22+I21+I20+I19+I18+I17+I16+I15+I14</f>
        <v>7.2</v>
      </c>
      <c r="K23" s="2"/>
      <c r="L23" s="2"/>
    </row>
    <row r="24" spans="1:12">
      <c r="A24" s="2"/>
      <c r="B24" s="2"/>
      <c r="C24" s="2"/>
      <c r="D24" s="2"/>
      <c r="E24" s="2"/>
      <c r="F24" s="2"/>
      <c r="G24" s="2"/>
      <c r="H24" s="2"/>
      <c r="I24" s="2"/>
      <c r="J24" s="2"/>
      <c r="K24" s="2"/>
      <c r="L24" s="2"/>
    </row>
    <row r="25" spans="1:12" ht="15.75">
      <c r="A25" s="2"/>
      <c r="B25" s="50" t="s">
        <v>28</v>
      </c>
      <c r="C25" s="2"/>
      <c r="D25" s="2"/>
      <c r="E25" s="2"/>
      <c r="F25" s="2"/>
      <c r="G25" s="2"/>
      <c r="H25" s="2"/>
      <c r="I25" s="2"/>
      <c r="J25" s="2"/>
      <c r="K25" s="2"/>
      <c r="L25" s="2"/>
    </row>
    <row r="26" spans="1:12">
      <c r="A26" s="2"/>
      <c r="B26" s="29" t="s">
        <v>89</v>
      </c>
      <c r="C26" s="30"/>
      <c r="D26" s="30"/>
      <c r="E26" s="31"/>
      <c r="F26" s="31"/>
      <c r="G26" s="31"/>
      <c r="H26" s="31"/>
      <c r="I26" s="31"/>
      <c r="J26" s="31"/>
      <c r="K26" s="32"/>
      <c r="L26" s="49"/>
    </row>
    <row r="27" spans="1:12" ht="12.75" customHeight="1">
      <c r="A27" s="2"/>
      <c r="B27" s="33"/>
      <c r="C27" s="739"/>
      <c r="D27" s="739"/>
      <c r="E27" s="739"/>
      <c r="F27" s="739"/>
      <c r="G27" s="739"/>
      <c r="H27" s="739"/>
      <c r="I27" s="739"/>
      <c r="J27" s="739"/>
      <c r="K27" s="740"/>
      <c r="L27" s="49"/>
    </row>
    <row r="28" spans="1:12" ht="12.75" customHeight="1">
      <c r="A28" s="2"/>
      <c r="B28" s="2153" t="s">
        <v>629</v>
      </c>
      <c r="C28" s="2154"/>
      <c r="D28" s="2154"/>
      <c r="E28" s="2154"/>
      <c r="F28" s="2154"/>
      <c r="G28" s="2154"/>
      <c r="H28" s="2154"/>
      <c r="I28" s="2154"/>
      <c r="J28" s="2154"/>
      <c r="K28" s="2155"/>
      <c r="L28" s="49"/>
    </row>
    <row r="29" spans="1:12">
      <c r="A29" s="2"/>
      <c r="B29" s="33" t="s">
        <v>630</v>
      </c>
      <c r="C29" s="34"/>
      <c r="D29" s="34"/>
      <c r="E29" s="35"/>
      <c r="F29" s="35"/>
      <c r="G29" s="35"/>
      <c r="H29" s="35"/>
      <c r="I29" s="35"/>
      <c r="J29" s="35"/>
      <c r="K29" s="36"/>
      <c r="L29" s="49"/>
    </row>
    <row r="30" spans="1:12" ht="12.95" customHeight="1">
      <c r="A30" s="2"/>
      <c r="B30" s="2156"/>
      <c r="C30" s="1958"/>
      <c r="D30" s="1958"/>
      <c r="E30" s="1958"/>
      <c r="F30" s="1958"/>
      <c r="G30" s="1958"/>
      <c r="H30" s="1958"/>
      <c r="I30" s="1958"/>
      <c r="J30" s="1958"/>
      <c r="K30" s="2157"/>
      <c r="L30" s="49"/>
    </row>
    <row r="31" spans="1:12" ht="12.95" customHeight="1">
      <c r="A31" s="2"/>
      <c r="B31" s="741"/>
      <c r="C31" s="116"/>
      <c r="D31" s="116"/>
      <c r="E31" s="116"/>
      <c r="F31" s="116"/>
      <c r="G31" s="116"/>
      <c r="H31" s="116"/>
      <c r="I31" s="116"/>
      <c r="J31" s="116"/>
      <c r="K31" s="742"/>
      <c r="L31" s="49"/>
    </row>
    <row r="32" spans="1:12" ht="12.95" customHeight="1">
      <c r="A32" s="2"/>
      <c r="B32" s="37" t="s">
        <v>631</v>
      </c>
      <c r="C32" s="116"/>
      <c r="D32" s="116"/>
      <c r="E32" s="116"/>
      <c r="F32" s="116"/>
      <c r="G32" s="116"/>
      <c r="H32" s="116"/>
      <c r="I32" s="116"/>
      <c r="J32" s="116"/>
      <c r="K32" s="742"/>
      <c r="L32" s="49"/>
    </row>
    <row r="33" spans="1:12">
      <c r="A33" s="2"/>
      <c r="B33" s="37" t="s">
        <v>632</v>
      </c>
      <c r="C33" s="743"/>
      <c r="D33" s="743"/>
      <c r="E33" s="743"/>
      <c r="F33" s="743"/>
      <c r="G33" s="743"/>
      <c r="H33" s="743"/>
      <c r="I33" s="743"/>
      <c r="J33" s="743"/>
      <c r="K33" s="744"/>
      <c r="L33" s="49"/>
    </row>
    <row r="34" spans="1:12">
      <c r="A34" s="2"/>
      <c r="B34" s="37"/>
      <c r="C34" s="34"/>
      <c r="D34" s="34"/>
      <c r="E34" s="35"/>
      <c r="F34" s="35"/>
      <c r="G34" s="35"/>
      <c r="H34" s="35"/>
      <c r="I34" s="35"/>
      <c r="J34" s="35"/>
      <c r="K34" s="36"/>
      <c r="L34" s="49"/>
    </row>
    <row r="35" spans="1:12">
      <c r="A35" s="2"/>
      <c r="B35" s="38" t="s">
        <v>633</v>
      </c>
      <c r="C35" s="34"/>
      <c r="D35" s="39" t="s">
        <v>91</v>
      </c>
      <c r="E35" s="6"/>
      <c r="F35" s="6"/>
      <c r="G35" s="35"/>
      <c r="H35" s="35"/>
      <c r="I35" s="35"/>
      <c r="J35" s="35"/>
      <c r="K35" s="36"/>
      <c r="L35" s="49"/>
    </row>
    <row r="36" spans="1:12">
      <c r="A36" s="2"/>
      <c r="B36" s="37"/>
      <c r="C36" s="34"/>
      <c r="D36" s="35"/>
      <c r="E36" s="6"/>
      <c r="F36" s="6"/>
      <c r="G36" s="35"/>
      <c r="H36" s="35"/>
      <c r="I36" s="35"/>
      <c r="J36" s="35"/>
      <c r="K36" s="36"/>
      <c r="L36" s="49"/>
    </row>
    <row r="37" spans="1:12">
      <c r="A37" s="2"/>
      <c r="B37" s="38" t="s">
        <v>8</v>
      </c>
      <c r="C37" s="34"/>
      <c r="D37" s="39" t="s">
        <v>394</v>
      </c>
      <c r="E37" s="745"/>
      <c r="F37" s="745"/>
      <c r="G37" s="35"/>
      <c r="H37" s="35"/>
      <c r="I37" s="35"/>
      <c r="J37" s="35"/>
      <c r="K37" s="36"/>
      <c r="L37" s="49"/>
    </row>
    <row r="38" spans="1:12">
      <c r="A38" s="2"/>
      <c r="B38" s="38" t="s">
        <v>9</v>
      </c>
      <c r="C38" s="34"/>
      <c r="D38" s="92">
        <v>1</v>
      </c>
      <c r="E38" s="6"/>
      <c r="F38" s="6"/>
      <c r="G38" s="35"/>
      <c r="H38" s="35"/>
      <c r="I38" s="35"/>
      <c r="J38" s="35"/>
      <c r="K38" s="36"/>
      <c r="L38" s="49"/>
    </row>
    <row r="39" spans="1:12">
      <c r="A39" s="2"/>
      <c r="B39" s="38" t="s">
        <v>10</v>
      </c>
      <c r="C39" s="35"/>
      <c r="D39" s="746">
        <v>3.9E-2</v>
      </c>
      <c r="E39" s="6"/>
      <c r="F39" s="6"/>
      <c r="G39" s="35"/>
      <c r="H39" s="35"/>
      <c r="I39" s="35"/>
      <c r="J39" s="35"/>
      <c r="K39" s="147" t="s">
        <v>6</v>
      </c>
      <c r="L39" s="49"/>
    </row>
    <row r="40" spans="1:12">
      <c r="A40" s="2"/>
      <c r="B40" s="40"/>
      <c r="C40" s="35"/>
      <c r="D40" s="35"/>
      <c r="E40" s="41"/>
      <c r="F40" s="41"/>
      <c r="G40" s="35"/>
      <c r="H40" s="35"/>
      <c r="I40" s="35"/>
      <c r="J40" s="35"/>
      <c r="K40" s="149"/>
      <c r="L40" s="49"/>
    </row>
    <row r="41" spans="1:12">
      <c r="A41" s="2"/>
      <c r="B41" s="42" t="s">
        <v>0</v>
      </c>
      <c r="C41" s="35"/>
      <c r="D41" s="35"/>
      <c r="E41" s="35"/>
      <c r="F41" s="35"/>
      <c r="G41" s="35"/>
      <c r="H41" s="35"/>
      <c r="I41" s="35"/>
      <c r="J41" s="35"/>
      <c r="K41" s="747">
        <f>+C43</f>
        <v>0</v>
      </c>
      <c r="L41" s="49"/>
    </row>
    <row r="42" spans="1:12">
      <c r="A42" s="2"/>
      <c r="B42" s="40"/>
      <c r="C42" s="748"/>
      <c r="D42" s="749"/>
      <c r="E42" s="35"/>
      <c r="F42" s="35"/>
      <c r="G42" s="35"/>
      <c r="H42" s="35"/>
      <c r="I42" s="35"/>
      <c r="J42" s="35"/>
      <c r="K42" s="747"/>
      <c r="L42" s="49"/>
    </row>
    <row r="43" spans="1:12">
      <c r="A43" s="2"/>
      <c r="B43" s="33" t="s">
        <v>103</v>
      </c>
      <c r="C43" s="749"/>
      <c r="D43" s="749"/>
      <c r="E43" s="35"/>
      <c r="F43" s="35"/>
      <c r="G43" s="35"/>
      <c r="H43" s="35"/>
      <c r="I43" s="35"/>
      <c r="J43" s="35"/>
      <c r="K43" s="750"/>
      <c r="L43" s="49"/>
    </row>
    <row r="44" spans="1:12">
      <c r="A44" s="2"/>
      <c r="B44" s="33"/>
      <c r="C44" s="749"/>
      <c r="D44" s="749"/>
      <c r="E44" s="35"/>
      <c r="F44" s="35"/>
      <c r="G44" s="35"/>
      <c r="H44" s="35"/>
      <c r="I44" s="35"/>
      <c r="J44" s="35"/>
      <c r="K44" s="750"/>
      <c r="L44" s="49"/>
    </row>
    <row r="45" spans="1:12">
      <c r="A45" s="2"/>
      <c r="B45" s="42" t="s">
        <v>2</v>
      </c>
      <c r="C45" s="751"/>
      <c r="D45" s="35"/>
      <c r="E45" s="35"/>
      <c r="F45" s="35"/>
      <c r="G45" s="35"/>
      <c r="H45" s="35"/>
      <c r="I45" s="35"/>
      <c r="J45" s="35"/>
      <c r="K45" s="747">
        <f>(C47/C46)/500</f>
        <v>6</v>
      </c>
      <c r="L45" s="49"/>
    </row>
    <row r="46" spans="1:12">
      <c r="A46" s="2"/>
      <c r="B46" s="37" t="s">
        <v>634</v>
      </c>
      <c r="C46" s="752">
        <v>5</v>
      </c>
      <c r="D46" s="35"/>
      <c r="E46" s="35"/>
      <c r="F46" s="35"/>
      <c r="G46" s="35"/>
      <c r="H46" s="35"/>
      <c r="I46" s="35"/>
      <c r="J46" s="35"/>
      <c r="K46" s="747"/>
      <c r="L46" s="49"/>
    </row>
    <row r="47" spans="1:12">
      <c r="A47" s="2"/>
      <c r="B47" s="33" t="s">
        <v>635</v>
      </c>
      <c r="C47" s="753">
        <v>15000</v>
      </c>
      <c r="D47" s="749"/>
      <c r="E47" s="35" t="s">
        <v>636</v>
      </c>
      <c r="F47" s="35"/>
      <c r="G47" s="35"/>
      <c r="H47" s="35"/>
      <c r="I47" s="35"/>
      <c r="J47" s="35"/>
      <c r="K47" s="747"/>
      <c r="L47" s="49"/>
    </row>
    <row r="48" spans="1:12">
      <c r="A48" s="2"/>
      <c r="B48" s="33"/>
      <c r="C48" s="35"/>
      <c r="D48" s="35"/>
      <c r="E48" s="35"/>
      <c r="F48" s="35"/>
      <c r="G48" s="35"/>
      <c r="H48" s="35"/>
      <c r="I48" s="35"/>
      <c r="J48" s="35"/>
      <c r="K48" s="754"/>
      <c r="L48" s="49"/>
    </row>
    <row r="49" spans="1:12">
      <c r="A49" s="2"/>
      <c r="B49" s="42" t="s">
        <v>3</v>
      </c>
      <c r="C49" s="35"/>
      <c r="D49" s="35"/>
      <c r="E49" s="35"/>
      <c r="F49" s="35"/>
      <c r="G49" s="35"/>
      <c r="H49" s="35"/>
      <c r="I49" s="35"/>
      <c r="J49" s="35"/>
      <c r="K49" s="747">
        <v>2</v>
      </c>
      <c r="L49" s="49"/>
    </row>
    <row r="50" spans="1:12">
      <c r="A50" s="2"/>
      <c r="B50" s="33" t="s">
        <v>637</v>
      </c>
      <c r="C50" s="35"/>
      <c r="D50" s="35"/>
      <c r="E50" s="35"/>
      <c r="F50" s="35"/>
      <c r="G50" s="35"/>
      <c r="H50" s="35"/>
      <c r="I50" s="35"/>
      <c r="J50" s="35"/>
      <c r="K50" s="754"/>
      <c r="L50" s="49"/>
    </row>
    <row r="51" spans="1:12">
      <c r="A51" s="2"/>
      <c r="B51" s="33"/>
      <c r="C51" s="35"/>
      <c r="D51" s="35"/>
      <c r="E51" s="35"/>
      <c r="F51" s="35"/>
      <c r="G51" s="35"/>
      <c r="H51" s="35"/>
      <c r="I51" s="35"/>
      <c r="J51" s="35"/>
      <c r="K51" s="754"/>
      <c r="L51" s="49"/>
    </row>
    <row r="52" spans="1:12">
      <c r="A52" s="2"/>
      <c r="B52" s="42" t="s">
        <v>4</v>
      </c>
      <c r="C52" s="35"/>
      <c r="D52" s="35"/>
      <c r="E52" s="35"/>
      <c r="F52" s="35"/>
      <c r="G52" s="35"/>
      <c r="H52" s="35"/>
      <c r="I52" s="35"/>
      <c r="J52" s="35"/>
      <c r="K52" s="755">
        <v>0</v>
      </c>
      <c r="L52" s="49"/>
    </row>
    <row r="53" spans="1:12">
      <c r="A53" s="2"/>
      <c r="B53" s="33" t="s">
        <v>103</v>
      </c>
      <c r="C53" s="35"/>
      <c r="D53" s="35"/>
      <c r="E53" s="35"/>
      <c r="F53" s="35"/>
      <c r="G53" s="35"/>
      <c r="H53" s="35"/>
      <c r="I53" s="35"/>
      <c r="J53" s="35"/>
      <c r="K53" s="754"/>
      <c r="L53" s="49"/>
    </row>
    <row r="54" spans="1:12">
      <c r="A54" s="2"/>
      <c r="B54" s="33"/>
      <c r="C54" s="35"/>
      <c r="D54" s="35"/>
      <c r="E54" s="35"/>
      <c r="F54" s="35"/>
      <c r="G54" s="35"/>
      <c r="H54" s="35"/>
      <c r="I54" s="35"/>
      <c r="J54" s="35"/>
      <c r="K54" s="754"/>
      <c r="L54" s="49"/>
    </row>
    <row r="55" spans="1:12">
      <c r="A55" s="2"/>
      <c r="B55" s="42" t="s">
        <v>468</v>
      </c>
      <c r="C55" s="35"/>
      <c r="D55" s="35"/>
      <c r="E55" s="35"/>
      <c r="F55" s="35"/>
      <c r="G55" s="35"/>
      <c r="H55" s="35"/>
      <c r="I55" s="35"/>
      <c r="J55" s="35"/>
      <c r="K55" s="755">
        <v>0</v>
      </c>
      <c r="L55" s="49"/>
    </row>
    <row r="56" spans="1:12">
      <c r="A56" s="2"/>
      <c r="B56" s="33" t="s">
        <v>103</v>
      </c>
      <c r="C56" s="35"/>
      <c r="D56" s="35"/>
      <c r="E56" s="35"/>
      <c r="F56" s="35"/>
      <c r="G56" s="35"/>
      <c r="H56" s="35"/>
      <c r="I56" s="35"/>
      <c r="J56" s="35"/>
      <c r="K56" s="754"/>
      <c r="L56" s="49"/>
    </row>
    <row r="57" spans="1:12">
      <c r="A57" s="2"/>
      <c r="B57" s="37"/>
      <c r="C57" s="35"/>
      <c r="D57" s="35"/>
      <c r="E57" s="35"/>
      <c r="F57" s="35"/>
      <c r="G57" s="35"/>
      <c r="H57" s="35"/>
      <c r="I57" s="35"/>
      <c r="J57" s="35"/>
      <c r="K57" s="754"/>
      <c r="L57" s="49"/>
    </row>
    <row r="58" spans="1:12">
      <c r="A58" s="2"/>
      <c r="B58" s="42" t="s">
        <v>7</v>
      </c>
      <c r="C58" s="35"/>
      <c r="D58" s="35"/>
      <c r="E58" s="35"/>
      <c r="F58" s="35"/>
      <c r="G58" s="35"/>
      <c r="H58" s="35"/>
      <c r="I58" s="35"/>
      <c r="J58" s="35"/>
      <c r="K58" s="747">
        <v>0</v>
      </c>
      <c r="L58" s="49"/>
    </row>
    <row r="59" spans="1:12">
      <c r="A59" s="2"/>
      <c r="B59" s="33" t="s">
        <v>103</v>
      </c>
      <c r="C59" s="35"/>
      <c r="D59" s="35"/>
      <c r="E59" s="35"/>
      <c r="F59" s="35"/>
      <c r="G59" s="35"/>
      <c r="H59" s="35"/>
      <c r="I59" s="35"/>
      <c r="J59" s="35"/>
      <c r="K59" s="754"/>
      <c r="L59" s="49"/>
    </row>
    <row r="60" spans="1:12">
      <c r="A60" s="2"/>
      <c r="B60" s="37"/>
      <c r="C60" s="35"/>
      <c r="D60" s="35"/>
      <c r="E60" s="35"/>
      <c r="F60" s="35"/>
      <c r="G60" s="35"/>
      <c r="H60" s="35"/>
      <c r="I60" s="35"/>
      <c r="J60" s="35"/>
      <c r="K60" s="754"/>
      <c r="L60" s="49"/>
    </row>
    <row r="61" spans="1:12">
      <c r="A61" s="2"/>
      <c r="B61" s="42" t="s">
        <v>471</v>
      </c>
      <c r="C61" s="35"/>
      <c r="D61" s="35"/>
      <c r="E61" s="35"/>
      <c r="F61" s="35"/>
      <c r="G61" s="35"/>
      <c r="H61" s="35"/>
      <c r="I61" s="35"/>
      <c r="J61" s="35"/>
      <c r="K61" s="747">
        <v>0</v>
      </c>
      <c r="L61" s="49"/>
    </row>
    <row r="62" spans="1:12">
      <c r="A62" s="2"/>
      <c r="B62" s="33" t="s">
        <v>103</v>
      </c>
      <c r="C62" s="35"/>
      <c r="D62" s="35"/>
      <c r="E62" s="35"/>
      <c r="F62" s="35"/>
      <c r="G62" s="35"/>
      <c r="H62" s="35"/>
      <c r="I62" s="35"/>
      <c r="J62" s="35"/>
      <c r="K62" s="750"/>
      <c r="L62" s="49"/>
    </row>
    <row r="63" spans="1:12">
      <c r="A63" s="2"/>
      <c r="B63" s="756"/>
      <c r="C63" s="35"/>
      <c r="D63" s="35"/>
      <c r="E63" s="35"/>
      <c r="F63" s="35"/>
      <c r="G63" s="35"/>
      <c r="H63" s="35"/>
      <c r="I63" s="35"/>
      <c r="J63" s="35"/>
      <c r="K63" s="750"/>
      <c r="L63" s="49"/>
    </row>
    <row r="64" spans="1:12">
      <c r="A64" s="2"/>
      <c r="B64" s="42" t="s">
        <v>5</v>
      </c>
      <c r="C64" s="35"/>
      <c r="D64" s="35"/>
      <c r="E64" s="35"/>
      <c r="F64" s="35"/>
      <c r="G64" s="35"/>
      <c r="H64" s="35"/>
      <c r="I64" s="35"/>
      <c r="J64" s="35"/>
      <c r="K64" s="747">
        <v>0</v>
      </c>
      <c r="L64" s="49"/>
    </row>
    <row r="65" spans="1:12">
      <c r="A65" s="2"/>
      <c r="B65" s="33" t="s">
        <v>103</v>
      </c>
      <c r="C65" s="35"/>
      <c r="D65" s="35"/>
      <c r="E65" s="35"/>
      <c r="F65" s="35"/>
      <c r="G65" s="35"/>
      <c r="H65" s="35"/>
      <c r="I65" s="35"/>
      <c r="J65" s="35"/>
      <c r="K65" s="750"/>
      <c r="L65" s="2"/>
    </row>
    <row r="66" spans="1:12">
      <c r="A66" s="2"/>
      <c r="B66" s="33"/>
      <c r="C66" s="35"/>
      <c r="D66" s="35"/>
      <c r="E66" s="35"/>
      <c r="F66" s="35"/>
      <c r="G66" s="35"/>
      <c r="H66" s="35"/>
      <c r="I66" s="35"/>
      <c r="J66" s="35"/>
      <c r="K66" s="750"/>
      <c r="L66" s="2"/>
    </row>
    <row r="67" spans="1:12">
      <c r="B67" s="42" t="s">
        <v>20</v>
      </c>
      <c r="C67" s="35"/>
      <c r="D67" s="35"/>
      <c r="E67" s="35"/>
      <c r="F67" s="35"/>
      <c r="G67" s="35"/>
      <c r="H67" s="35"/>
      <c r="I67" s="35"/>
      <c r="J67" s="35"/>
      <c r="K67" s="747">
        <v>0</v>
      </c>
    </row>
    <row r="68" spans="1:12">
      <c r="B68" s="33" t="s">
        <v>103</v>
      </c>
      <c r="C68" s="35"/>
      <c r="D68" s="35"/>
      <c r="E68" s="35"/>
      <c r="F68" s="35"/>
      <c r="G68" s="35"/>
      <c r="H68" s="35"/>
      <c r="I68" s="35"/>
      <c r="J68" s="35"/>
      <c r="K68" s="754"/>
    </row>
    <row r="69" spans="1:12">
      <c r="B69" s="33"/>
      <c r="C69" s="35"/>
      <c r="D69" s="39"/>
      <c r="E69" s="35"/>
      <c r="F69" s="35"/>
      <c r="G69" s="35"/>
      <c r="H69" s="35"/>
      <c r="I69" s="35"/>
      <c r="J69" s="35"/>
      <c r="K69" s="754"/>
    </row>
    <row r="70" spans="1:12">
      <c r="B70" s="43" t="s">
        <v>11</v>
      </c>
      <c r="C70" s="44"/>
      <c r="D70" s="44"/>
      <c r="E70" s="44"/>
      <c r="F70" s="44"/>
      <c r="G70" s="44"/>
      <c r="H70" s="44"/>
      <c r="I70" s="44"/>
      <c r="J70" s="44"/>
      <c r="K70" s="757">
        <f>+K67+K64+K61+K58+K55+K52+K49+K45+K41</f>
        <v>8</v>
      </c>
    </row>
    <row r="71" spans="1:12">
      <c r="B71" s="82"/>
      <c r="C71" s="2"/>
      <c r="D71" s="2"/>
      <c r="E71" s="2"/>
      <c r="F71" s="2"/>
      <c r="G71" s="2"/>
      <c r="H71" s="2"/>
      <c r="I71" s="2"/>
      <c r="J71" s="2"/>
      <c r="K71" s="2"/>
    </row>
    <row r="72" spans="1:12">
      <c r="B72" s="2" t="s">
        <v>638</v>
      </c>
      <c r="C72" s="2"/>
    </row>
    <row r="73" spans="1:12">
      <c r="B73" s="758" t="s">
        <v>639</v>
      </c>
    </row>
  </sheetData>
  <mergeCells count="2">
    <mergeCell ref="B28:K28"/>
    <mergeCell ref="B30:K30"/>
  </mergeCells>
  <pageMargins left="0.75" right="0.75" top="1" bottom="1" header="0.5" footer="0.5"/>
  <pageSetup orientation="landscape" r:id="rId1"/>
  <headerFooter alignWithMargins="0"/>
</worksheet>
</file>

<file path=xl/worksheets/sheet99.xml><?xml version="1.0" encoding="utf-8"?>
<worksheet xmlns="http://schemas.openxmlformats.org/spreadsheetml/2006/main" xmlns:r="http://schemas.openxmlformats.org/officeDocument/2006/relationships">
  <dimension ref="A1:M73"/>
  <sheetViews>
    <sheetView topLeftCell="A4" zoomScale="75" zoomScaleNormal="75" workbookViewId="0">
      <selection activeCell="E14" sqref="E14"/>
    </sheetView>
  </sheetViews>
  <sheetFormatPr defaultRowHeight="12.75"/>
  <cols>
    <col min="1" max="1" width="2.7109375" customWidth="1"/>
    <col min="2" max="2" width="52.42578125" customWidth="1"/>
    <col min="3" max="3" width="14" customWidth="1"/>
    <col min="4" max="4" width="28" customWidth="1"/>
    <col min="5" max="5" width="47.42578125" customWidth="1"/>
    <col min="6" max="6" width="16.42578125" customWidth="1"/>
    <col min="7" max="7" width="12.7109375" customWidth="1"/>
    <col min="8" max="9" width="10.7109375" customWidth="1"/>
    <col min="10" max="10" width="9" bestFit="1" customWidth="1"/>
    <col min="11" max="11" width="10.140625" bestFit="1" customWidth="1"/>
    <col min="12" max="12" width="3.28515625" customWidth="1"/>
  </cols>
  <sheetData>
    <row r="1" spans="1:13">
      <c r="A1" s="2"/>
      <c r="B1" s="2"/>
      <c r="C1" s="2"/>
      <c r="D1" s="2"/>
      <c r="E1" s="2"/>
      <c r="F1" s="2"/>
      <c r="G1" s="2"/>
      <c r="H1" s="2"/>
      <c r="I1" s="2"/>
      <c r="J1" s="2"/>
      <c r="K1" s="2"/>
      <c r="L1" s="2"/>
    </row>
    <row r="2" spans="1:13" ht="15.75">
      <c r="A2" s="2"/>
      <c r="B2" s="1" t="s">
        <v>17</v>
      </c>
      <c r="C2" s="3"/>
      <c r="D2" s="3"/>
      <c r="E2" s="2"/>
      <c r="F2" s="2"/>
      <c r="G2" s="2"/>
    </row>
    <row r="3" spans="1:13">
      <c r="A3" s="2"/>
      <c r="B3" s="68" t="s">
        <v>1</v>
      </c>
      <c r="C3" s="69" t="s">
        <v>21</v>
      </c>
      <c r="D3" s="70"/>
      <c r="E3" s="70"/>
      <c r="F3" s="70"/>
      <c r="G3" s="70"/>
      <c r="H3" s="83" t="s">
        <v>12</v>
      </c>
      <c r="I3" s="729"/>
      <c r="K3" s="730" t="s">
        <v>621</v>
      </c>
      <c r="M3" s="730"/>
    </row>
    <row r="4" spans="1:13">
      <c r="A4" s="2"/>
      <c r="B4" s="71" t="s">
        <v>13</v>
      </c>
      <c r="C4" s="72" t="s">
        <v>22</v>
      </c>
      <c r="D4" s="72" t="s">
        <v>29</v>
      </c>
      <c r="E4" s="72" t="s">
        <v>30</v>
      </c>
      <c r="F4" s="72"/>
      <c r="G4" s="72" t="s">
        <v>23</v>
      </c>
      <c r="H4" s="84" t="s">
        <v>14</v>
      </c>
      <c r="I4" s="731"/>
      <c r="K4" s="88" t="s">
        <v>622</v>
      </c>
      <c r="M4" s="88"/>
    </row>
    <row r="5" spans="1:13">
      <c r="A5" s="2"/>
      <c r="B5" s="54"/>
      <c r="C5" s="732"/>
      <c r="D5" s="733"/>
      <c r="E5" s="733"/>
      <c r="F5" s="734"/>
      <c r="G5" s="7"/>
      <c r="H5" s="85"/>
      <c r="I5" s="132"/>
      <c r="K5" t="s">
        <v>623</v>
      </c>
    </row>
    <row r="6" spans="1:13" ht="25.5">
      <c r="A6" s="2"/>
      <c r="B6" s="54">
        <v>346</v>
      </c>
      <c r="C6" s="732" t="s">
        <v>15</v>
      </c>
      <c r="D6" s="733" t="s">
        <v>640</v>
      </c>
      <c r="E6" s="733" t="s">
        <v>641</v>
      </c>
      <c r="F6" s="734"/>
      <c r="G6" s="7" t="s">
        <v>394</v>
      </c>
      <c r="H6" s="85">
        <f>+H23</f>
        <v>9.4125000000000014</v>
      </c>
      <c r="I6" s="132"/>
    </row>
    <row r="7" spans="1:13" ht="25.5">
      <c r="A7" s="2"/>
      <c r="B7" s="54">
        <v>346</v>
      </c>
      <c r="C7" s="735" t="s">
        <v>15</v>
      </c>
      <c r="D7" s="733" t="s">
        <v>640</v>
      </c>
      <c r="E7" s="733" t="s">
        <v>641</v>
      </c>
      <c r="F7" s="737"/>
      <c r="G7" s="10" t="s">
        <v>394</v>
      </c>
      <c r="H7" s="86">
        <f>+I23</f>
        <v>11.295000000000002</v>
      </c>
      <c r="I7" s="132"/>
    </row>
    <row r="8" spans="1:13">
      <c r="A8" s="2"/>
      <c r="B8" s="738"/>
      <c r="C8" s="738"/>
      <c r="D8" s="738"/>
      <c r="E8" s="738"/>
      <c r="F8" s="738"/>
      <c r="G8" s="738"/>
      <c r="H8" s="738"/>
      <c r="I8" s="738"/>
      <c r="J8" s="738"/>
    </row>
    <row r="9" spans="1:13" ht="15.75">
      <c r="A9" s="2"/>
      <c r="B9" s="1" t="s">
        <v>18</v>
      </c>
      <c r="C9" s="112"/>
      <c r="D9" s="2"/>
      <c r="E9" s="2"/>
      <c r="F9" s="2"/>
      <c r="G9" s="2"/>
      <c r="L9" t="s">
        <v>627</v>
      </c>
      <c r="M9" t="s">
        <v>627</v>
      </c>
    </row>
    <row r="10" spans="1:13">
      <c r="A10" s="2"/>
      <c r="B10" s="128"/>
      <c r="C10" s="11"/>
      <c r="D10" s="12"/>
      <c r="E10" s="13" t="s">
        <v>628</v>
      </c>
      <c r="F10" s="13"/>
      <c r="G10" s="13" t="s">
        <v>84</v>
      </c>
      <c r="H10" s="13"/>
      <c r="I10" s="13"/>
      <c r="J10" s="14"/>
      <c r="K10" s="730"/>
      <c r="L10" s="65"/>
    </row>
    <row r="11" spans="1:13">
      <c r="A11" s="2"/>
      <c r="B11" s="15"/>
      <c r="C11" s="67"/>
      <c r="D11" s="16"/>
      <c r="E11" s="17" t="s">
        <v>22</v>
      </c>
      <c r="F11" s="17"/>
      <c r="G11" s="17" t="s">
        <v>22</v>
      </c>
      <c r="H11" s="17" t="s">
        <v>628</v>
      </c>
      <c r="I11" s="18" t="s">
        <v>31</v>
      </c>
      <c r="K11" s="730"/>
      <c r="L11" s="730"/>
    </row>
    <row r="12" spans="1:13">
      <c r="A12" s="2"/>
      <c r="B12" s="19"/>
      <c r="C12" s="16"/>
      <c r="D12" s="16"/>
      <c r="E12" s="17" t="s">
        <v>12</v>
      </c>
      <c r="F12" s="17"/>
      <c r="G12" s="17" t="s">
        <v>12</v>
      </c>
      <c r="H12" s="17" t="s">
        <v>12</v>
      </c>
      <c r="I12" s="18" t="s">
        <v>12</v>
      </c>
      <c r="K12" s="730"/>
      <c r="L12" s="730" t="s">
        <v>627</v>
      </c>
    </row>
    <row r="13" spans="1:13">
      <c r="A13" s="2"/>
      <c r="B13" s="164" t="s">
        <v>16</v>
      </c>
      <c r="C13" s="16"/>
      <c r="D13" s="165" t="s">
        <v>6</v>
      </c>
      <c r="E13" s="22" t="s">
        <v>24</v>
      </c>
      <c r="F13" s="22"/>
      <c r="G13" s="22" t="s">
        <v>24</v>
      </c>
      <c r="H13" s="22" t="s">
        <v>14</v>
      </c>
      <c r="I13" s="23" t="s">
        <v>14</v>
      </c>
      <c r="K13" s="738"/>
      <c r="L13" s="738"/>
      <c r="M13" t="s">
        <v>627</v>
      </c>
    </row>
    <row r="14" spans="1:13">
      <c r="A14" s="2"/>
      <c r="B14" s="15" t="s">
        <v>0</v>
      </c>
      <c r="C14" s="16"/>
      <c r="D14" s="24">
        <f>+K41</f>
        <v>0</v>
      </c>
      <c r="E14" s="160">
        <v>0.75</v>
      </c>
      <c r="F14" s="160"/>
      <c r="G14" s="160">
        <v>0.9</v>
      </c>
      <c r="H14" s="73">
        <f>+$D14*E14</f>
        <v>0</v>
      </c>
      <c r="I14" s="74">
        <f t="shared" ref="I14:I22" si="0">+$D14*G14</f>
        <v>0</v>
      </c>
      <c r="K14" s="2"/>
      <c r="L14" s="2"/>
    </row>
    <row r="15" spans="1:13">
      <c r="A15" s="2"/>
      <c r="B15" s="15" t="s">
        <v>2</v>
      </c>
      <c r="C15" s="16"/>
      <c r="D15" s="24">
        <f>+K45</f>
        <v>10.55</v>
      </c>
      <c r="E15" s="160">
        <v>0.75</v>
      </c>
      <c r="F15" s="160"/>
      <c r="G15" s="160">
        <v>0.9</v>
      </c>
      <c r="H15" s="73">
        <f t="shared" ref="H15:H22" si="1">+$D15*E15</f>
        <v>7.9125000000000005</v>
      </c>
      <c r="I15" s="74">
        <f t="shared" si="0"/>
        <v>9.495000000000001</v>
      </c>
      <c r="K15" s="2"/>
      <c r="L15" s="2"/>
    </row>
    <row r="16" spans="1:13">
      <c r="A16" s="2"/>
      <c r="B16" s="15" t="s">
        <v>3</v>
      </c>
      <c r="C16" s="16"/>
      <c r="D16" s="24">
        <f>+K49</f>
        <v>2</v>
      </c>
      <c r="E16" s="160">
        <v>0.75</v>
      </c>
      <c r="F16" s="160"/>
      <c r="G16" s="160">
        <v>0.9</v>
      </c>
      <c r="H16" s="73">
        <f t="shared" si="1"/>
        <v>1.5</v>
      </c>
      <c r="I16" s="74">
        <f t="shared" si="0"/>
        <v>1.8</v>
      </c>
      <c r="K16" s="2"/>
      <c r="L16" s="2"/>
    </row>
    <row r="17" spans="1:12">
      <c r="A17" s="2"/>
      <c r="B17" s="15" t="s">
        <v>4</v>
      </c>
      <c r="C17" s="16"/>
      <c r="D17" s="24">
        <f>+K52</f>
        <v>0</v>
      </c>
      <c r="E17" s="160">
        <v>0</v>
      </c>
      <c r="F17" s="160"/>
      <c r="G17" s="160">
        <v>0</v>
      </c>
      <c r="H17" s="73">
        <f t="shared" si="1"/>
        <v>0</v>
      </c>
      <c r="I17" s="74">
        <f t="shared" si="0"/>
        <v>0</v>
      </c>
      <c r="K17" s="2"/>
      <c r="L17" s="2"/>
    </row>
    <row r="18" spans="1:12">
      <c r="A18" s="2"/>
      <c r="B18" s="15" t="s">
        <v>468</v>
      </c>
      <c r="C18" s="16"/>
      <c r="D18" s="24">
        <f>+K55</f>
        <v>0</v>
      </c>
      <c r="E18" s="160">
        <v>0</v>
      </c>
      <c r="F18" s="160"/>
      <c r="G18" s="160">
        <v>0</v>
      </c>
      <c r="H18" s="73">
        <f t="shared" si="1"/>
        <v>0</v>
      </c>
      <c r="I18" s="74">
        <f t="shared" si="0"/>
        <v>0</v>
      </c>
      <c r="K18" s="2"/>
      <c r="L18" s="2"/>
    </row>
    <row r="19" spans="1:12">
      <c r="A19" s="2"/>
      <c r="B19" s="15" t="s">
        <v>7</v>
      </c>
      <c r="C19" s="16"/>
      <c r="D19" s="24">
        <f>+K58</f>
        <v>0</v>
      </c>
      <c r="E19" s="160">
        <v>0</v>
      </c>
      <c r="F19" s="160"/>
      <c r="G19" s="160">
        <v>0</v>
      </c>
      <c r="H19" s="73">
        <f t="shared" si="1"/>
        <v>0</v>
      </c>
      <c r="I19" s="74">
        <f t="shared" si="0"/>
        <v>0</v>
      </c>
      <c r="K19" s="2"/>
      <c r="L19" s="2"/>
    </row>
    <row r="20" spans="1:12">
      <c r="A20" s="2"/>
      <c r="B20" s="15" t="s">
        <v>471</v>
      </c>
      <c r="C20" s="16"/>
      <c r="D20" s="24">
        <f>+K61</f>
        <v>0</v>
      </c>
      <c r="E20" s="160">
        <v>0</v>
      </c>
      <c r="F20" s="160"/>
      <c r="G20" s="160">
        <v>0</v>
      </c>
      <c r="H20" s="73">
        <f t="shared" si="1"/>
        <v>0</v>
      </c>
      <c r="I20" s="74">
        <f t="shared" si="0"/>
        <v>0</v>
      </c>
      <c r="K20" s="2"/>
      <c r="L20" s="2"/>
    </row>
    <row r="21" spans="1:12">
      <c r="A21" s="2"/>
      <c r="B21" s="15" t="s">
        <v>5</v>
      </c>
      <c r="C21" s="16"/>
      <c r="D21" s="24">
        <f>+K64</f>
        <v>0</v>
      </c>
      <c r="E21" s="160">
        <v>0</v>
      </c>
      <c r="F21" s="160"/>
      <c r="G21" s="160">
        <v>0</v>
      </c>
      <c r="H21" s="73">
        <f t="shared" si="1"/>
        <v>0</v>
      </c>
      <c r="I21" s="74">
        <f t="shared" si="0"/>
        <v>0</v>
      </c>
      <c r="K21" s="2"/>
      <c r="L21" s="2"/>
    </row>
    <row r="22" spans="1:12">
      <c r="A22" s="2"/>
      <c r="B22" s="15" t="s">
        <v>20</v>
      </c>
      <c r="C22" s="16"/>
      <c r="D22" s="75">
        <f>+K67</f>
        <v>0</v>
      </c>
      <c r="E22" s="160">
        <v>0</v>
      </c>
      <c r="F22" s="160"/>
      <c r="G22" s="160">
        <v>0</v>
      </c>
      <c r="H22" s="75">
        <f t="shared" si="1"/>
        <v>0</v>
      </c>
      <c r="I22" s="76">
        <f t="shared" si="0"/>
        <v>0</v>
      </c>
      <c r="K22" s="2"/>
      <c r="L22" s="2"/>
    </row>
    <row r="23" spans="1:12">
      <c r="A23" s="2"/>
      <c r="B23" s="26" t="s">
        <v>19</v>
      </c>
      <c r="C23" s="27"/>
      <c r="D23" s="138">
        <f>+D22+D21+D20+D19+D18+D17+D16+D15+D14</f>
        <v>12.55</v>
      </c>
      <c r="E23" s="28"/>
      <c r="F23" s="28"/>
      <c r="G23" s="28"/>
      <c r="H23" s="51">
        <f>+H22+H21+H20+H19+H18+H17+H16+H15+H14</f>
        <v>9.4125000000000014</v>
      </c>
      <c r="I23" s="77">
        <f>+I22+I21+I20+I19+I18+I17+I16+I15+I14</f>
        <v>11.295000000000002</v>
      </c>
      <c r="K23" s="2"/>
      <c r="L23" s="2"/>
    </row>
    <row r="24" spans="1:12">
      <c r="A24" s="2"/>
      <c r="B24" s="2"/>
      <c r="C24" s="2"/>
      <c r="D24" s="2"/>
      <c r="E24" s="2"/>
      <c r="F24" s="2"/>
      <c r="G24" s="2"/>
      <c r="H24" s="2"/>
      <c r="I24" s="2"/>
      <c r="J24" s="2"/>
      <c r="K24" s="2"/>
      <c r="L24" s="2"/>
    </row>
    <row r="25" spans="1:12" ht="15.75">
      <c r="A25" s="2"/>
      <c r="B25" s="50" t="s">
        <v>28</v>
      </c>
      <c r="C25" s="2"/>
      <c r="D25" s="2"/>
      <c r="E25" s="2"/>
      <c r="F25" s="2"/>
      <c r="G25" s="2"/>
      <c r="H25" s="2"/>
      <c r="I25" s="2"/>
      <c r="J25" s="2"/>
      <c r="K25" s="2"/>
      <c r="L25" s="2"/>
    </row>
    <row r="26" spans="1:12">
      <c r="A26" s="2"/>
      <c r="B26" s="29" t="s">
        <v>89</v>
      </c>
      <c r="C26" s="30"/>
      <c r="D26" s="30"/>
      <c r="E26" s="31"/>
      <c r="F26" s="31"/>
      <c r="G26" s="31"/>
      <c r="H26" s="31"/>
      <c r="I26" s="31"/>
      <c r="J26" s="31"/>
      <c r="K26" s="32"/>
      <c r="L26" s="49"/>
    </row>
    <row r="27" spans="1:12" ht="12.75" customHeight="1">
      <c r="A27" s="2"/>
      <c r="B27" s="33"/>
      <c r="C27" s="739"/>
      <c r="D27" s="739"/>
      <c r="E27" s="739"/>
      <c r="F27" s="739"/>
      <c r="G27" s="739"/>
      <c r="H27" s="739"/>
      <c r="I27" s="739"/>
      <c r="J27" s="739"/>
      <c r="K27" s="740"/>
      <c r="L27" s="49"/>
    </row>
    <row r="28" spans="1:12" ht="57" customHeight="1">
      <c r="A28" s="2"/>
      <c r="B28" s="2153" t="s">
        <v>642</v>
      </c>
      <c r="C28" s="2154"/>
      <c r="D28" s="2154"/>
      <c r="E28" s="2154"/>
      <c r="F28" s="2154"/>
      <c r="G28" s="2154"/>
      <c r="H28" s="2154"/>
      <c r="I28" s="2154"/>
      <c r="J28" s="2154"/>
      <c r="K28" s="2155"/>
      <c r="L28" s="49"/>
    </row>
    <row r="29" spans="1:12">
      <c r="A29" s="2"/>
      <c r="B29" s="33" t="s">
        <v>630</v>
      </c>
      <c r="C29" s="34"/>
      <c r="D29" s="34"/>
      <c r="E29" s="35"/>
      <c r="F29" s="35"/>
      <c r="G29" s="35"/>
      <c r="H29" s="35"/>
      <c r="I29" s="35"/>
      <c r="J29" s="35"/>
      <c r="K29" s="36"/>
      <c r="L29" s="49"/>
    </row>
    <row r="30" spans="1:12" ht="12.95" customHeight="1">
      <c r="A30" s="2"/>
      <c r="B30" s="2156"/>
      <c r="C30" s="1958"/>
      <c r="D30" s="1958"/>
      <c r="E30" s="1958"/>
      <c r="F30" s="1958"/>
      <c r="G30" s="1958"/>
      <c r="H30" s="1958"/>
      <c r="I30" s="1958"/>
      <c r="J30" s="1958"/>
      <c r="K30" s="2157"/>
      <c r="L30" s="49"/>
    </row>
    <row r="31" spans="1:12" ht="12.95" customHeight="1">
      <c r="A31" s="2"/>
      <c r="B31" s="741"/>
      <c r="C31" s="116"/>
      <c r="D31" s="116"/>
      <c r="E31" s="116"/>
      <c r="F31" s="116"/>
      <c r="G31" s="116"/>
      <c r="H31" s="116"/>
      <c r="I31" s="116"/>
      <c r="J31" s="116"/>
      <c r="K31" s="742"/>
      <c r="L31" s="49"/>
    </row>
    <row r="32" spans="1:12" ht="12.95" customHeight="1">
      <c r="A32" s="2"/>
      <c r="B32" s="37" t="s">
        <v>631</v>
      </c>
      <c r="C32" s="116"/>
      <c r="D32" s="116"/>
      <c r="E32" s="116"/>
      <c r="F32" s="116"/>
      <c r="G32" s="116"/>
      <c r="H32" s="116"/>
      <c r="I32" s="116"/>
      <c r="J32" s="116"/>
      <c r="K32" s="742"/>
      <c r="L32" s="49"/>
    </row>
    <row r="33" spans="1:12">
      <c r="A33" s="2"/>
      <c r="B33" s="37" t="s">
        <v>632</v>
      </c>
      <c r="C33" s="743"/>
      <c r="D33" s="743"/>
      <c r="E33" s="743"/>
      <c r="F33" s="743"/>
      <c r="G33" s="743"/>
      <c r="H33" s="743"/>
      <c r="I33" s="743"/>
      <c r="J33" s="743"/>
      <c r="K33" s="744"/>
      <c r="L33" s="49"/>
    </row>
    <row r="34" spans="1:12">
      <c r="A34" s="2"/>
      <c r="B34" s="37"/>
      <c r="C34" s="34"/>
      <c r="D34" s="34"/>
      <c r="E34" s="35"/>
      <c r="F34" s="35"/>
      <c r="G34" s="35"/>
      <c r="H34" s="35"/>
      <c r="I34" s="35"/>
      <c r="J34" s="35"/>
      <c r="K34" s="36"/>
      <c r="L34" s="49"/>
    </row>
    <row r="35" spans="1:12">
      <c r="A35" s="2"/>
      <c r="B35" s="38" t="s">
        <v>633</v>
      </c>
      <c r="C35" s="34"/>
      <c r="D35" s="39" t="s">
        <v>91</v>
      </c>
      <c r="E35" s="6"/>
      <c r="F35" s="6"/>
      <c r="G35" s="35"/>
      <c r="H35" s="35"/>
      <c r="I35" s="35"/>
      <c r="J35" s="35"/>
      <c r="K35" s="36"/>
      <c r="L35" s="49"/>
    </row>
    <row r="36" spans="1:12">
      <c r="A36" s="2"/>
      <c r="B36" s="37"/>
      <c r="C36" s="34"/>
      <c r="D36" s="35"/>
      <c r="E36" s="6"/>
      <c r="F36" s="6"/>
      <c r="G36" s="35"/>
      <c r="H36" s="35"/>
      <c r="I36" s="35"/>
      <c r="J36" s="35"/>
      <c r="K36" s="36"/>
      <c r="L36" s="49"/>
    </row>
    <row r="37" spans="1:12">
      <c r="A37" s="2"/>
      <c r="B37" s="38" t="s">
        <v>8</v>
      </c>
      <c r="C37" s="34"/>
      <c r="D37" s="39" t="s">
        <v>394</v>
      </c>
      <c r="E37" s="745"/>
      <c r="F37" s="745"/>
      <c r="G37" s="35"/>
      <c r="H37" s="35"/>
      <c r="I37" s="35"/>
      <c r="J37" s="35"/>
      <c r="K37" s="36"/>
      <c r="L37" s="49"/>
    </row>
    <row r="38" spans="1:12">
      <c r="A38" s="2"/>
      <c r="B38" s="38" t="s">
        <v>9</v>
      </c>
      <c r="C38" s="34"/>
      <c r="D38" s="92">
        <v>1</v>
      </c>
      <c r="E38" s="6"/>
      <c r="F38" s="6"/>
      <c r="G38" s="35"/>
      <c r="H38" s="35"/>
      <c r="I38" s="35"/>
      <c r="J38" s="35"/>
      <c r="K38" s="36"/>
      <c r="L38" s="49"/>
    </row>
    <row r="39" spans="1:12">
      <c r="A39" s="2"/>
      <c r="B39" s="38" t="s">
        <v>10</v>
      </c>
      <c r="C39" s="35"/>
      <c r="D39" s="746">
        <v>3.9E-2</v>
      </c>
      <c r="E39" s="6"/>
      <c r="F39" s="6"/>
      <c r="G39" s="35"/>
      <c r="H39" s="35"/>
      <c r="I39" s="35"/>
      <c r="J39" s="35"/>
      <c r="K39" s="147" t="s">
        <v>6</v>
      </c>
      <c r="L39" s="49"/>
    </row>
    <row r="40" spans="1:12">
      <c r="A40" s="2"/>
      <c r="B40" s="40"/>
      <c r="C40" s="35"/>
      <c r="D40" s="35"/>
      <c r="E40" s="41"/>
      <c r="F40" s="41"/>
      <c r="G40" s="35"/>
      <c r="H40" s="35"/>
      <c r="I40" s="35"/>
      <c r="J40" s="35"/>
      <c r="K40" s="149"/>
      <c r="L40" s="49"/>
    </row>
    <row r="41" spans="1:12">
      <c r="A41" s="2"/>
      <c r="B41" s="42" t="s">
        <v>0</v>
      </c>
      <c r="C41" s="35"/>
      <c r="D41" s="35"/>
      <c r="E41" s="35"/>
      <c r="F41" s="35"/>
      <c r="G41" s="35"/>
      <c r="H41" s="35"/>
      <c r="I41" s="35"/>
      <c r="J41" s="35"/>
      <c r="K41" s="747">
        <f>+C43</f>
        <v>0</v>
      </c>
      <c r="L41" s="49"/>
    </row>
    <row r="42" spans="1:12">
      <c r="A42" s="2"/>
      <c r="B42" s="40"/>
      <c r="C42" s="748"/>
      <c r="D42" s="749"/>
      <c r="E42" s="35"/>
      <c r="F42" s="35"/>
      <c r="G42" s="35"/>
      <c r="H42" s="35"/>
      <c r="I42" s="35"/>
      <c r="J42" s="35"/>
      <c r="K42" s="747"/>
      <c r="L42" s="49"/>
    </row>
    <row r="43" spans="1:12">
      <c r="A43" s="2"/>
      <c r="B43" s="33" t="s">
        <v>103</v>
      </c>
      <c r="C43" s="749"/>
      <c r="D43" s="749"/>
      <c r="E43" s="35"/>
      <c r="F43" s="35"/>
      <c r="G43" s="35"/>
      <c r="H43" s="35"/>
      <c r="I43" s="35"/>
      <c r="J43" s="35"/>
      <c r="K43" s="750"/>
      <c r="L43" s="49"/>
    </row>
    <row r="44" spans="1:12">
      <c r="A44" s="2"/>
      <c r="B44" s="33"/>
      <c r="C44" s="749" t="s">
        <v>447</v>
      </c>
      <c r="D44" s="749" t="s">
        <v>6</v>
      </c>
      <c r="E44" s="35" t="s">
        <v>405</v>
      </c>
      <c r="F44" s="35" t="s">
        <v>450</v>
      </c>
      <c r="G44" s="35"/>
      <c r="H44" s="35"/>
      <c r="I44" s="35"/>
      <c r="J44" s="35"/>
      <c r="K44" s="750"/>
      <c r="L44" s="49"/>
    </row>
    <row r="45" spans="1:12">
      <c r="A45" s="2"/>
      <c r="B45" s="42" t="s">
        <v>2</v>
      </c>
      <c r="C45" s="751"/>
      <c r="D45" s="35"/>
      <c r="E45" s="35"/>
      <c r="F45" s="35"/>
      <c r="G45" s="35"/>
      <c r="H45" s="35"/>
      <c r="I45" s="35"/>
      <c r="J45" s="35"/>
      <c r="K45" s="747">
        <f>F46/500</f>
        <v>10.55</v>
      </c>
      <c r="L45" s="49"/>
    </row>
    <row r="46" spans="1:12">
      <c r="A46" s="2"/>
      <c r="B46" s="37" t="s">
        <v>643</v>
      </c>
      <c r="C46" s="752" t="s">
        <v>394</v>
      </c>
      <c r="D46" s="153">
        <v>10.55</v>
      </c>
      <c r="E46" s="759">
        <v>500</v>
      </c>
      <c r="F46" s="153">
        <f>E46*D46</f>
        <v>5275</v>
      </c>
      <c r="G46" s="35"/>
      <c r="H46" s="35"/>
      <c r="I46" s="35"/>
      <c r="J46" s="35"/>
      <c r="K46" s="747"/>
      <c r="L46" s="49"/>
    </row>
    <row r="47" spans="1:12">
      <c r="A47" s="2"/>
      <c r="B47" s="33"/>
      <c r="C47" s="753"/>
      <c r="D47" s="749"/>
      <c r="E47" s="35"/>
      <c r="F47" s="35"/>
      <c r="G47" s="35"/>
      <c r="H47" s="35"/>
      <c r="I47" s="35"/>
      <c r="J47" s="35"/>
      <c r="K47" s="747"/>
      <c r="L47" s="49"/>
    </row>
    <row r="48" spans="1:12">
      <c r="A48" s="2"/>
      <c r="B48" s="33"/>
      <c r="C48" s="35"/>
      <c r="D48" s="35"/>
      <c r="E48" s="35"/>
      <c r="F48" s="35"/>
      <c r="G48" s="35"/>
      <c r="H48" s="35"/>
      <c r="I48" s="35"/>
      <c r="J48" s="35"/>
      <c r="K48" s="754"/>
      <c r="L48" s="49"/>
    </row>
    <row r="49" spans="1:12">
      <c r="A49" s="2"/>
      <c r="B49" s="42" t="s">
        <v>3</v>
      </c>
      <c r="C49" s="35"/>
      <c r="D49" s="35"/>
      <c r="E49" s="35"/>
      <c r="F49" s="35"/>
      <c r="G49" s="35"/>
      <c r="H49" s="35"/>
      <c r="I49" s="35"/>
      <c r="J49" s="35"/>
      <c r="K49" s="747">
        <v>2</v>
      </c>
      <c r="L49" s="49"/>
    </row>
    <row r="50" spans="1:12">
      <c r="A50" s="2"/>
      <c r="B50" s="33" t="s">
        <v>637</v>
      </c>
      <c r="C50" s="35"/>
      <c r="D50" s="35"/>
      <c r="E50" s="35"/>
      <c r="F50" s="35"/>
      <c r="G50" s="35"/>
      <c r="H50" s="35"/>
      <c r="I50" s="35"/>
      <c r="J50" s="35"/>
      <c r="K50" s="754"/>
      <c r="L50" s="49"/>
    </row>
    <row r="51" spans="1:12">
      <c r="A51" s="2"/>
      <c r="B51" s="33"/>
      <c r="C51" s="35"/>
      <c r="D51" s="35"/>
      <c r="E51" s="35"/>
      <c r="F51" s="35"/>
      <c r="G51" s="35"/>
      <c r="H51" s="35"/>
      <c r="I51" s="35"/>
      <c r="J51" s="35"/>
      <c r="K51" s="754"/>
      <c r="L51" s="49"/>
    </row>
    <row r="52" spans="1:12">
      <c r="A52" s="2"/>
      <c r="B52" s="42" t="s">
        <v>4</v>
      </c>
      <c r="C52" s="35"/>
      <c r="D52" s="35"/>
      <c r="E52" s="35"/>
      <c r="F52" s="35"/>
      <c r="G52" s="35"/>
      <c r="H52" s="35"/>
      <c r="I52" s="35"/>
      <c r="J52" s="35"/>
      <c r="K52" s="755">
        <v>0</v>
      </c>
      <c r="L52" s="49"/>
    </row>
    <row r="53" spans="1:12">
      <c r="A53" s="2"/>
      <c r="B53" s="33" t="s">
        <v>103</v>
      </c>
      <c r="C53" s="35"/>
      <c r="D53" s="35"/>
      <c r="E53" s="35"/>
      <c r="F53" s="35"/>
      <c r="G53" s="35"/>
      <c r="H53" s="35"/>
      <c r="I53" s="35"/>
      <c r="J53" s="35"/>
      <c r="K53" s="754"/>
      <c r="L53" s="49"/>
    </row>
    <row r="54" spans="1:12">
      <c r="A54" s="2"/>
      <c r="B54" s="33"/>
      <c r="C54" s="35"/>
      <c r="D54" s="35"/>
      <c r="E54" s="35"/>
      <c r="F54" s="35"/>
      <c r="G54" s="35"/>
      <c r="H54" s="35"/>
      <c r="I54" s="35"/>
      <c r="J54" s="35"/>
      <c r="K54" s="754"/>
      <c r="L54" s="49"/>
    </row>
    <row r="55" spans="1:12">
      <c r="A55" s="2"/>
      <c r="B55" s="42" t="s">
        <v>468</v>
      </c>
      <c r="C55" s="35"/>
      <c r="D55" s="35"/>
      <c r="E55" s="35"/>
      <c r="F55" s="35"/>
      <c r="G55" s="35"/>
      <c r="H55" s="35"/>
      <c r="I55" s="35"/>
      <c r="J55" s="35"/>
      <c r="K55" s="755">
        <v>0</v>
      </c>
      <c r="L55" s="49"/>
    </row>
    <row r="56" spans="1:12">
      <c r="A56" s="2"/>
      <c r="B56" s="33" t="s">
        <v>103</v>
      </c>
      <c r="C56" s="35"/>
      <c r="D56" s="35"/>
      <c r="E56" s="35"/>
      <c r="F56" s="35"/>
      <c r="G56" s="35"/>
      <c r="H56" s="35"/>
      <c r="I56" s="35"/>
      <c r="J56" s="35"/>
      <c r="K56" s="754"/>
      <c r="L56" s="49"/>
    </row>
    <row r="57" spans="1:12">
      <c r="A57" s="2"/>
      <c r="B57" s="37"/>
      <c r="C57" s="35"/>
      <c r="D57" s="35"/>
      <c r="E57" s="35"/>
      <c r="F57" s="35"/>
      <c r="G57" s="35"/>
      <c r="H57" s="35"/>
      <c r="I57" s="35"/>
      <c r="J57" s="35"/>
      <c r="K57" s="754"/>
      <c r="L57" s="49"/>
    </row>
    <row r="58" spans="1:12">
      <c r="A58" s="2"/>
      <c r="B58" s="42" t="s">
        <v>7</v>
      </c>
      <c r="C58" s="35"/>
      <c r="D58" s="35"/>
      <c r="E58" s="35"/>
      <c r="F58" s="35"/>
      <c r="G58" s="35"/>
      <c r="H58" s="35"/>
      <c r="I58" s="35"/>
      <c r="J58" s="35"/>
      <c r="K58" s="747">
        <v>0</v>
      </c>
      <c r="L58" s="49"/>
    </row>
    <row r="59" spans="1:12">
      <c r="A59" s="2"/>
      <c r="B59" s="33" t="s">
        <v>103</v>
      </c>
      <c r="C59" s="35"/>
      <c r="D59" s="35"/>
      <c r="E59" s="35"/>
      <c r="F59" s="35"/>
      <c r="G59" s="35"/>
      <c r="H59" s="35"/>
      <c r="I59" s="35"/>
      <c r="J59" s="35"/>
      <c r="K59" s="754"/>
      <c r="L59" s="49"/>
    </row>
    <row r="60" spans="1:12">
      <c r="A60" s="2"/>
      <c r="B60" s="37"/>
      <c r="C60" s="35"/>
      <c r="D60" s="35"/>
      <c r="E60" s="35"/>
      <c r="F60" s="35"/>
      <c r="G60" s="35"/>
      <c r="H60" s="35"/>
      <c r="I60" s="35"/>
      <c r="J60" s="35"/>
      <c r="K60" s="754"/>
      <c r="L60" s="49"/>
    </row>
    <row r="61" spans="1:12">
      <c r="A61" s="2"/>
      <c r="B61" s="42" t="s">
        <v>471</v>
      </c>
      <c r="C61" s="35"/>
      <c r="D61" s="35"/>
      <c r="E61" s="35"/>
      <c r="F61" s="35"/>
      <c r="G61" s="35"/>
      <c r="H61" s="35"/>
      <c r="I61" s="35"/>
      <c r="J61" s="35"/>
      <c r="K61" s="747">
        <v>0</v>
      </c>
      <c r="L61" s="49"/>
    </row>
    <row r="62" spans="1:12">
      <c r="A62" s="2"/>
      <c r="B62" s="33" t="s">
        <v>103</v>
      </c>
      <c r="C62" s="35"/>
      <c r="D62" s="35"/>
      <c r="E62" s="35"/>
      <c r="F62" s="35"/>
      <c r="G62" s="35"/>
      <c r="H62" s="35"/>
      <c r="I62" s="35"/>
      <c r="J62" s="35"/>
      <c r="K62" s="750"/>
      <c r="L62" s="49"/>
    </row>
    <row r="63" spans="1:12">
      <c r="A63" s="2"/>
      <c r="B63" s="756"/>
      <c r="C63" s="35"/>
      <c r="D63" s="35"/>
      <c r="E63" s="35"/>
      <c r="F63" s="35"/>
      <c r="G63" s="35"/>
      <c r="H63" s="35"/>
      <c r="I63" s="35"/>
      <c r="J63" s="35"/>
      <c r="K63" s="750"/>
      <c r="L63" s="49"/>
    </row>
    <row r="64" spans="1:12">
      <c r="A64" s="2"/>
      <c r="B64" s="42" t="s">
        <v>5</v>
      </c>
      <c r="C64" s="35"/>
      <c r="D64" s="35"/>
      <c r="E64" s="35"/>
      <c r="F64" s="35"/>
      <c r="G64" s="35"/>
      <c r="H64" s="35"/>
      <c r="I64" s="35"/>
      <c r="J64" s="35"/>
      <c r="K64" s="747">
        <v>0</v>
      </c>
      <c r="L64" s="49"/>
    </row>
    <row r="65" spans="1:12">
      <c r="A65" s="2"/>
      <c r="B65" s="33" t="s">
        <v>103</v>
      </c>
      <c r="C65" s="35"/>
      <c r="D65" s="35"/>
      <c r="E65" s="35"/>
      <c r="F65" s="35"/>
      <c r="G65" s="35"/>
      <c r="H65" s="35"/>
      <c r="I65" s="35"/>
      <c r="J65" s="35"/>
      <c r="K65" s="750"/>
      <c r="L65" s="2"/>
    </row>
    <row r="66" spans="1:12">
      <c r="A66" s="2"/>
      <c r="B66" s="33"/>
      <c r="C66" s="35"/>
      <c r="D66" s="35"/>
      <c r="E66" s="35"/>
      <c r="F66" s="35"/>
      <c r="G66" s="35"/>
      <c r="H66" s="35"/>
      <c r="I66" s="35"/>
      <c r="J66" s="35"/>
      <c r="K66" s="750"/>
      <c r="L66" s="2"/>
    </row>
    <row r="67" spans="1:12">
      <c r="B67" s="42" t="s">
        <v>20</v>
      </c>
      <c r="C67" s="35"/>
      <c r="D67" s="35"/>
      <c r="E67" s="35"/>
      <c r="F67" s="35"/>
      <c r="G67" s="35"/>
      <c r="H67" s="35"/>
      <c r="I67" s="35"/>
      <c r="J67" s="35"/>
      <c r="K67" s="747">
        <v>0</v>
      </c>
    </row>
    <row r="68" spans="1:12">
      <c r="B68" s="33" t="s">
        <v>103</v>
      </c>
      <c r="C68" s="35"/>
      <c r="D68" s="35"/>
      <c r="E68" s="35"/>
      <c r="F68" s="35"/>
      <c r="G68" s="35"/>
      <c r="H68" s="35"/>
      <c r="I68" s="35"/>
      <c r="J68" s="35"/>
      <c r="K68" s="754"/>
    </row>
    <row r="69" spans="1:12">
      <c r="B69" s="33"/>
      <c r="C69" s="35"/>
      <c r="D69" s="39"/>
      <c r="E69" s="35"/>
      <c r="F69" s="35"/>
      <c r="G69" s="35"/>
      <c r="H69" s="35"/>
      <c r="I69" s="35"/>
      <c r="J69" s="35"/>
      <c r="K69" s="754"/>
    </row>
    <row r="70" spans="1:12">
      <c r="B70" s="43" t="s">
        <v>11</v>
      </c>
      <c r="C70" s="44"/>
      <c r="D70" s="44"/>
      <c r="E70" s="44"/>
      <c r="F70" s="44"/>
      <c r="G70" s="44"/>
      <c r="H70" s="44"/>
      <c r="I70" s="44"/>
      <c r="J70" s="44"/>
      <c r="K70" s="757">
        <f>+K67+K64+K61+K58+K55+K52+K49+K45+K41</f>
        <v>12.55</v>
      </c>
    </row>
    <row r="71" spans="1:12">
      <c r="B71" s="82"/>
      <c r="C71" s="2"/>
      <c r="D71" s="2"/>
      <c r="E71" s="2"/>
      <c r="F71" s="2"/>
      <c r="G71" s="2"/>
      <c r="H71" s="2"/>
      <c r="I71" s="2"/>
      <c r="J71" s="2"/>
      <c r="K71" s="2"/>
    </row>
    <row r="72" spans="1:12">
      <c r="B72" s="2" t="s">
        <v>638</v>
      </c>
      <c r="C72" s="2"/>
    </row>
    <row r="73" spans="1:12">
      <c r="B73" s="758" t="s">
        <v>639</v>
      </c>
    </row>
  </sheetData>
  <mergeCells count="2">
    <mergeCell ref="B28:K28"/>
    <mergeCell ref="B30:K30"/>
  </mergeCells>
  <pageMargins left="0.75" right="0.75" top="1" bottom="1" header="0.5" footer="0.5"/>
  <pageSetup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B55D14567BA542BEB006ACC26CD0B2" ma:contentTypeVersion="0" ma:contentTypeDescription="Create a new document." ma:contentTypeScope="" ma:versionID="dfd8f9688166bb4b8bc683daa7cb2049">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2CE1BBDA-B00B-4080-A5D6-B0950B3802EE}">
  <ds:schemaRefs>
    <ds:schemaRef ds:uri="http://schemas.microsoft.com/office/2006/metadata/properties"/>
  </ds:schemaRefs>
</ds:datastoreItem>
</file>

<file path=customXml/itemProps2.xml><?xml version="1.0" encoding="utf-8"?>
<ds:datastoreItem xmlns:ds="http://schemas.openxmlformats.org/officeDocument/2006/customXml" ds:itemID="{230E5A75-3566-4636-9045-9DBCFEA9CF90}">
  <ds:schemaRefs>
    <ds:schemaRef ds:uri="http://schemas.microsoft.com/sharepoint/v3/contenttype/forms"/>
  </ds:schemaRefs>
</ds:datastoreItem>
</file>

<file path=customXml/itemProps3.xml><?xml version="1.0" encoding="utf-8"?>
<ds:datastoreItem xmlns:ds="http://schemas.openxmlformats.org/officeDocument/2006/customXml" ds:itemID="{80521390-64BD-4719-8B40-1839B2A8F5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252</vt:i4>
      </vt:variant>
      <vt:variant>
        <vt:lpstr>Named Ranges</vt:lpstr>
      </vt:variant>
      <vt:variant>
        <vt:i4>108</vt:i4>
      </vt:variant>
    </vt:vector>
  </HeadingPairs>
  <TitlesOfParts>
    <vt:vector size="360" baseType="lpstr">
      <vt:lpstr>Core Rates 2011</vt:lpstr>
      <vt:lpstr>102-Small Non-Dairy</vt:lpstr>
      <vt:lpstr>102-Medium Non-Dairy</vt:lpstr>
      <vt:lpstr>102-Large Non-Dairy</vt:lpstr>
      <vt:lpstr>102-Small  Dairy</vt:lpstr>
      <vt:lpstr>102-Medium Dairy</vt:lpstr>
      <vt:lpstr>102-Large Dairy</vt:lpstr>
      <vt:lpstr>102-Export Only</vt:lpstr>
      <vt:lpstr>104 - NMP &lt; 100 acres CAP</vt:lpstr>
      <vt:lpstr>104 - NMP 101-300 acres CAP</vt:lpstr>
      <vt:lpstr>104 - NMP &gt; 300 acres CAP</vt:lpstr>
      <vt:lpstr>Documentation</vt:lpstr>
      <vt:lpstr>106 - (50) acres</vt:lpstr>
      <vt:lpstr>106 - (51-100) acres</vt:lpstr>
      <vt:lpstr>106 - (101-200) acres</vt:lpstr>
      <vt:lpstr>106 - (201-400) acres</vt:lpstr>
      <vt:lpstr>106 - (401-600) acres</vt:lpstr>
      <vt:lpstr>106 - (601-1000) acres</vt:lpstr>
      <vt:lpstr>110-Graze&lt;100 Acre</vt:lpstr>
      <vt:lpstr>110-Graze 100-1500 Acre</vt:lpstr>
      <vt:lpstr>110-Graze 1500-5000 Acre</vt:lpstr>
      <vt:lpstr>110-Graze &gt;5000 Acre</vt:lpstr>
      <vt:lpstr>114-IPM CAP</vt:lpstr>
      <vt:lpstr>118-IWM CAP</vt:lpstr>
      <vt:lpstr>122 - Livestock-small  &lt; 70 AU</vt:lpstr>
      <vt:lpstr>122 -Livestock-medium 70-300 AU</vt:lpstr>
      <vt:lpstr>122 -Livestock-Large 301-2500AU</vt:lpstr>
      <vt:lpstr>122 - Livestock-XLarge &gt;2500AU</vt:lpstr>
      <vt:lpstr>122 - Non-Livestock- single ent</vt:lpstr>
      <vt:lpstr>122 - Non-Livestock- two entrps</vt:lpstr>
      <vt:lpstr>122 -Non-Livestock-three entrps</vt:lpstr>
      <vt:lpstr>122 - Mixed enterprise(s)</vt:lpstr>
      <vt:lpstr>124 - non-irr-small  &lt; 50 acres</vt:lpstr>
      <vt:lpstr>124 - non-irr-med 50-499 acres</vt:lpstr>
      <vt:lpstr>124 - non-irr-lrg 500-5,000 ac </vt:lpstr>
      <vt:lpstr>124 - non-irr-XL &gt;5000 acres</vt:lpstr>
      <vt:lpstr>124 - irrig-small  &lt; 50 acres </vt:lpstr>
      <vt:lpstr>124 - irrig-med 50-499 acres </vt:lpstr>
      <vt:lpstr>124 - irrig-lrg 500-5,000 acres</vt:lpstr>
      <vt:lpstr>124 - irrig-XL &gt;5000 acres</vt:lpstr>
      <vt:lpstr>130-DWM with Map</vt:lpstr>
      <vt:lpstr>130-DWM without Map</vt:lpstr>
      <vt:lpstr>138-OrganicTransition CAP</vt:lpstr>
      <vt:lpstr>138-OrganicTransition CAP NoLoc</vt:lpstr>
      <vt:lpstr>313-Wdwall</vt:lpstr>
      <vt:lpstr>313-Cncrte wall</vt:lpstr>
      <vt:lpstr>313-Wet Sys Small</vt:lpstr>
      <vt:lpstr>313-Wet Sys Medium</vt:lpstr>
      <vt:lpstr>313-Wet Sys Large</vt:lpstr>
      <vt:lpstr>314 - Chemical Spot Spray</vt:lpstr>
      <vt:lpstr>314 - Cut and Treat Stump</vt:lpstr>
      <vt:lpstr>314 - Foliar Spray Followup</vt:lpstr>
      <vt:lpstr>315-U Specie Ctrl Mow</vt:lpstr>
      <vt:lpstr>315-U Specie Ctrl M+S</vt:lpstr>
      <vt:lpstr>315-U Specie Ctrl  M+2S</vt:lpstr>
      <vt:lpstr>317-W2 Hs-250 Sow</vt:lpstr>
      <vt:lpstr>317-W4 Hs-530 Sow</vt:lpstr>
      <vt:lpstr>317-W6 Hs-790 Sow</vt:lpstr>
      <vt:lpstr>317-W8 Hs-1060 Sow </vt:lpstr>
      <vt:lpstr>317-C2 Hs-250 Sow</vt:lpstr>
      <vt:lpstr>317-C4 Hs-530 Sow </vt:lpstr>
      <vt:lpstr>317-C6 Hs-790 Sow</vt:lpstr>
      <vt:lpstr>317-C8 Hs-1060 Sow</vt:lpstr>
      <vt:lpstr>327-Pollinator Mix</vt:lpstr>
      <vt:lpstr>327-IG Mix-Conv.</vt:lpstr>
      <vt:lpstr>327-IG Mix-NT</vt:lpstr>
      <vt:lpstr>327-NG-Legumes- NT</vt:lpstr>
      <vt:lpstr>327-NG-1#Forbs Mix</vt:lpstr>
      <vt:lpstr>327-NG-2# Forbs Mix</vt:lpstr>
      <vt:lpstr>328-CCR &lt;25Ac </vt:lpstr>
      <vt:lpstr>328-CCR 25-100 Ac </vt:lpstr>
      <vt:lpstr>328-CCR &gt;100Ac </vt:lpstr>
      <vt:lpstr>329 STIR&lt;30</vt:lpstr>
      <vt:lpstr>329 STIR&lt;15</vt:lpstr>
      <vt:lpstr>329 STIR&lt;8</vt:lpstr>
      <vt:lpstr>330ContourFarming</vt:lpstr>
      <vt:lpstr>340 -Single Species</vt:lpstr>
      <vt:lpstr>340 -2 - 5 species</vt:lpstr>
      <vt:lpstr>340 -6 + species</vt:lpstr>
      <vt:lpstr>340 -Organic Single Species </vt:lpstr>
      <vt:lpstr>340 -Organic 2 - 5 species </vt:lpstr>
      <vt:lpstr>340 -Organic 6 + species </vt:lpstr>
      <vt:lpstr>342-IG Mix-LG</vt:lpstr>
      <vt:lpstr>342-IG Mix-MG</vt:lpstr>
      <vt:lpstr>342-IG Mix-HG</vt:lpstr>
      <vt:lpstr>342-IG Mix-LG-ECB</vt:lpstr>
      <vt:lpstr>342-IG Mix-MG-ECB</vt:lpstr>
      <vt:lpstr>342-IG Mix-HG-ECB</vt:lpstr>
      <vt:lpstr>342-NG-legume-LG</vt:lpstr>
      <vt:lpstr>342-NG-legume-MG</vt:lpstr>
      <vt:lpstr>342-NG-legume-HG</vt:lpstr>
      <vt:lpstr>342-NG-Forbs Mix-LG</vt:lpstr>
      <vt:lpstr>342-NG-Forbs Mix-MG</vt:lpstr>
      <vt:lpstr>342-NG-Forbs Mix-HG</vt:lpstr>
      <vt:lpstr>342-NG Mix X-MG-ECB</vt:lpstr>
      <vt:lpstr>342-NG Mix Y-MG-ECB</vt:lpstr>
      <vt:lpstr>344 Res Mgt Seasonal</vt:lpstr>
      <vt:lpstr>345-Mulch Till</vt:lpstr>
      <vt:lpstr>346-Ridge Till</vt:lpstr>
      <vt:lpstr>359</vt:lpstr>
      <vt:lpstr>362</vt:lpstr>
      <vt:lpstr>374 -Heating-Radiant Tube</vt:lpstr>
      <vt:lpstr>374 BldgEnvelop-AtticInsulation</vt:lpstr>
      <vt:lpstr>374 -Controllers-VSD</vt:lpstr>
      <vt:lpstr>374 -Lighting-LED or CFL</vt:lpstr>
      <vt:lpstr>374 -Milking-Vacuum Pump VSD</vt:lpstr>
      <vt:lpstr>374 -Refrigeration-Plate HtX</vt:lpstr>
      <vt:lpstr>374 -Refrigeration-ScrollComp</vt:lpstr>
      <vt:lpstr>378 EH up to 8 ft</vt:lpstr>
      <vt:lpstr>378 EH over 8 ft</vt:lpstr>
      <vt:lpstr>378 EXC</vt:lpstr>
      <vt:lpstr>380-Windbreak</vt:lpstr>
      <vt:lpstr>380 with cover</vt:lpstr>
      <vt:lpstr>381-just trees-conifers</vt:lpstr>
      <vt:lpstr>381-just trees-deciduous</vt:lpstr>
      <vt:lpstr>382 -Exclusion 4-5 strand</vt:lpstr>
      <vt:lpstr>382 -Interior 2-3 strand</vt:lpstr>
      <vt:lpstr>386-IG Mix-Conv.</vt:lpstr>
      <vt:lpstr>386-IG Mix-NT</vt:lpstr>
      <vt:lpstr>386-NG-Legumes- NT</vt:lpstr>
      <vt:lpstr>386-NG-1#Forbs Mix</vt:lpstr>
      <vt:lpstr>386-NG-2# Forbs Mix</vt:lpstr>
      <vt:lpstr>390-IG Mix-NT</vt:lpstr>
      <vt:lpstr>390-NG-2# Forbs Mix</vt:lpstr>
      <vt:lpstr>391 no cover</vt:lpstr>
      <vt:lpstr>391 with cover</vt:lpstr>
      <vt:lpstr>391-IG Mix-NT</vt:lpstr>
      <vt:lpstr>391-NG-NT</vt:lpstr>
      <vt:lpstr>410-Rock Chute 50 cfs 4 ft OF</vt:lpstr>
      <vt:lpstr>410-Rock Chute 100cfs 6 ft</vt:lpstr>
      <vt:lpstr>410-Rock Chute 150cfs 12 ft</vt:lpstr>
      <vt:lpstr>410-Rock Chute 200cfs 12 ft</vt:lpstr>
      <vt:lpstr>410-Rock Chute 250cfs 12 ft</vt:lpstr>
      <vt:lpstr>410-WPSD 8ftw-4ftOF</vt:lpstr>
      <vt:lpstr>410-WPSD 8ftw-4-8ftOF</vt:lpstr>
      <vt:lpstr>410-WPSD 16ftw-4ftOF</vt:lpstr>
      <vt:lpstr>410-WPSD 16ftw-4-8ftOF</vt:lpstr>
      <vt:lpstr>410-WPSD 24ftw-4ftOF</vt:lpstr>
      <vt:lpstr>410-WPSD 24ftw-4-8ftOF</vt:lpstr>
      <vt:lpstr>410-PIPE DROP STR</vt:lpstr>
      <vt:lpstr>412-ECB=80%</vt:lpstr>
      <vt:lpstr>412-ECB=80%+Tile</vt:lpstr>
      <vt:lpstr>412-ECB=40%</vt:lpstr>
      <vt:lpstr>412-ECB=40%+Tile</vt:lpstr>
      <vt:lpstr>412</vt:lpstr>
      <vt:lpstr>412-Tiled</vt:lpstr>
      <vt:lpstr>412-Rock Barriers+Tile</vt:lpstr>
      <vt:lpstr>412-Rock Barriers</vt:lpstr>
      <vt:lpstr>422 no cover</vt:lpstr>
      <vt:lpstr>422 with cover</vt:lpstr>
      <vt:lpstr>436 -With Embankment, unlined</vt:lpstr>
      <vt:lpstr>441-MicroIrrigation(HT)</vt:lpstr>
      <vt:lpstr>449IWMAcre</vt:lpstr>
      <vt:lpstr>468-wType III Blanket</vt:lpstr>
      <vt:lpstr>468-Riprap only</vt:lpstr>
      <vt:lpstr>472-WW w Setback</vt:lpstr>
      <vt:lpstr>472-Upland</vt:lpstr>
      <vt:lpstr>472-Upland w Setback</vt:lpstr>
      <vt:lpstr>512-Cool Season Grass Mix</vt:lpstr>
      <vt:lpstr>512-Native Wm Season Grasses</vt:lpstr>
      <vt:lpstr>512-Forage Mixture Organic</vt:lpstr>
      <vt:lpstr>512-Warm Season Organic</vt:lpstr>
      <vt:lpstr>516-Pipeline&gt;1" diam. (Gravity)</vt:lpstr>
      <vt:lpstr>516-Pipeline =&gt; 1" (Press.)</vt:lpstr>
      <vt:lpstr>516-Pipeline in Rock</vt:lpstr>
      <vt:lpstr>528-High Intensity</vt:lpstr>
      <vt:lpstr>533-Solar Pump</vt:lpstr>
      <vt:lpstr>533-Ram_Nose Pump </vt:lpstr>
      <vt:lpstr>533-Livstk Water Pump (&lt;2 HP)</vt:lpstr>
      <vt:lpstr>533-Sm Irr or WasteT (2-5HP)</vt:lpstr>
      <vt:lpstr>533-Irr. or WasteT Pump &gt;5 HP</vt:lpstr>
      <vt:lpstr>557-RowArrangement</vt:lpstr>
      <vt:lpstr>558-GuttersDownspouts</vt:lpstr>
      <vt:lpstr>560</vt:lpstr>
      <vt:lpstr>561-Gravel</vt:lpstr>
      <vt:lpstr>574-SpDev typical</vt:lpstr>
      <vt:lpstr>574-SpDev w_storage</vt:lpstr>
      <vt:lpstr>575</vt:lpstr>
      <vt:lpstr>578-6</vt:lpstr>
      <vt:lpstr>578-10</vt:lpstr>
      <vt:lpstr>578-15</vt:lpstr>
      <vt:lpstr>580-2-4</vt:lpstr>
      <vt:lpstr>580-4-6</vt:lpstr>
      <vt:lpstr>580-6-8</vt:lpstr>
      <vt:lpstr>580-8-10</vt:lpstr>
      <vt:lpstr>580-10-12</vt:lpstr>
      <vt:lpstr>580-12-16</vt:lpstr>
      <vt:lpstr>580-16</vt:lpstr>
      <vt:lpstr>590-Basic Agronomic</vt:lpstr>
      <vt:lpstr>590-Basic Agronomic with Manure</vt:lpstr>
      <vt:lpstr>590-Speciality, Organic</vt:lpstr>
      <vt:lpstr>590-Test Based Application</vt:lpstr>
      <vt:lpstr>590-Grid Based Variable Rate</vt:lpstr>
      <vt:lpstr>590-Sensor Based Variable Rate</vt:lpstr>
      <vt:lpstr>590-Manure Injection</vt:lpstr>
      <vt:lpstr>590-Field test plots</vt:lpstr>
      <vt:lpstr>595-Basic IPM Field Crop</vt:lpstr>
      <vt:lpstr>595-Advanced IPM Field Crop </vt:lpstr>
      <vt:lpstr>595-IPM for Specialty Crop </vt:lpstr>
      <vt:lpstr>595-IPM for Organic Field Crop</vt:lpstr>
      <vt:lpstr>595-IPM for Org Specialty Crop</vt:lpstr>
      <vt:lpstr>606-Subsurface Drain</vt:lpstr>
      <vt:lpstr>607-FieldDitch</vt:lpstr>
      <vt:lpstr>612 no cover</vt:lpstr>
      <vt:lpstr>612 with cover</vt:lpstr>
      <vt:lpstr>612 potted plants</vt:lpstr>
      <vt:lpstr>612 EnPltg-100-200</vt:lpstr>
      <vt:lpstr>612 EnPltg 201-300</vt:lpstr>
      <vt:lpstr>612 EnPltg 100-200 herb appld</vt:lpstr>
      <vt:lpstr>612 EnPltg 201-300 herb appld</vt:lpstr>
      <vt:lpstr>614-Rubber Tire Trough</vt:lpstr>
      <vt:lpstr>614-Concrete (500-1000 ga) </vt:lpstr>
      <vt:lpstr>614-Freeze Proof (2 hole)</vt:lpstr>
      <vt:lpstr>620Outlet&lt;6"Pipe</vt:lpstr>
      <vt:lpstr>620Outlet6"8"Pipe</vt:lpstr>
      <vt:lpstr>620Outlet10"Pipe</vt:lpstr>
      <vt:lpstr>620Outlet&gt;10"Pipe</vt:lpstr>
      <vt:lpstr>633WasteRecyling</vt:lpstr>
      <vt:lpstr>635-IG Mix-Conv.</vt:lpstr>
      <vt:lpstr>635-IG Mix-NT</vt:lpstr>
      <vt:lpstr>638-250 cy</vt:lpstr>
      <vt:lpstr>638-500 cy</vt:lpstr>
      <vt:lpstr>638-750 cy</vt:lpstr>
      <vt:lpstr>642</vt:lpstr>
      <vt:lpstr>643-Woodland Thinning</vt:lpstr>
      <vt:lpstr>643-Mow+Spray</vt:lpstr>
      <vt:lpstr>643-Mow+2Sprays</vt:lpstr>
      <vt:lpstr>643-Prairie Est.-NG-7 Forb Mix</vt:lpstr>
      <vt:lpstr>646-low berm </vt:lpstr>
      <vt:lpstr>646-2500 SF Ex Pool</vt:lpstr>
      <vt:lpstr>646-1 ft excavated pool </vt:lpstr>
      <vt:lpstr>646- 2 ft excavated pool </vt:lpstr>
      <vt:lpstr>646- 3 ft excavated pool</vt:lpstr>
      <vt:lpstr>647-Edge Feathering </vt:lpstr>
      <vt:lpstr>654-IG Mix-LG</vt:lpstr>
      <vt:lpstr>654-IG Mix-MG</vt:lpstr>
      <vt:lpstr>654-IG Mix-HG</vt:lpstr>
      <vt:lpstr>654-IG Mix-LG-ECB</vt:lpstr>
      <vt:lpstr>654-IG Mix-MG-ECB</vt:lpstr>
      <vt:lpstr>654-IG Mix-HG-ECB</vt:lpstr>
      <vt:lpstr>654-NG-legume-LG</vt:lpstr>
      <vt:lpstr>654-NG-legume-MG</vt:lpstr>
      <vt:lpstr>654-NG-legume-HG</vt:lpstr>
      <vt:lpstr>654-NG-Forbs Mix-LG</vt:lpstr>
      <vt:lpstr>654-NG-Forbs Mix-MG</vt:lpstr>
      <vt:lpstr>654-NG-Forbs Mix-HG</vt:lpstr>
      <vt:lpstr>654-NG Mix X-MG-ECB</vt:lpstr>
      <vt:lpstr>654-NG Mix Y-MG-ECB</vt:lpstr>
      <vt:lpstr> 666-Hrdwd Silv -No TSP</vt:lpstr>
      <vt:lpstr> 666-Hrdwd Silv -TSP</vt:lpstr>
      <vt:lpstr>666-Thinning for Wildlife</vt:lpstr>
      <vt:lpstr>798 Contiguous US</vt:lpstr>
      <vt:lpstr>' 666-Hrdwd Silv -No TSP'!Print_Area</vt:lpstr>
      <vt:lpstr>' 666-Hrdwd Silv -TSP'!Print_Area</vt:lpstr>
      <vt:lpstr>'102-Large Dairy'!Print_Area</vt:lpstr>
      <vt:lpstr>'102-Large Non-Dairy'!Print_Area</vt:lpstr>
      <vt:lpstr>'102-Medium Dairy'!Print_Area</vt:lpstr>
      <vt:lpstr>'102-Medium Non-Dairy'!Print_Area</vt:lpstr>
      <vt:lpstr>'102-Small  Dairy'!Print_Area</vt:lpstr>
      <vt:lpstr>'102-Small Non-Dairy'!Print_Area</vt:lpstr>
      <vt:lpstr>'104 - NMP &lt; 100 acres CAP'!Print_Area</vt:lpstr>
      <vt:lpstr>'104 - NMP &gt; 300 acres CAP'!Print_Area</vt:lpstr>
      <vt:lpstr>'104 - NMP 101-300 acres CAP'!Print_Area</vt:lpstr>
      <vt:lpstr>'106 - (101-200) acres'!Print_Area</vt:lpstr>
      <vt:lpstr>'106 - (201-400) acres'!Print_Area</vt:lpstr>
      <vt:lpstr>'106 - (401-600) acres'!Print_Area</vt:lpstr>
      <vt:lpstr>'106 - (50) acres'!Print_Area</vt:lpstr>
      <vt:lpstr>'106 - (51-100) acres'!Print_Area</vt:lpstr>
      <vt:lpstr>'106 - (601-1000) acres'!Print_Area</vt:lpstr>
      <vt:lpstr>'110-Graze &gt;5000 Acre'!Print_Area</vt:lpstr>
      <vt:lpstr>'110-Graze 100-1500 Acre'!Print_Area</vt:lpstr>
      <vt:lpstr>'110-Graze 1500-5000 Acre'!Print_Area</vt:lpstr>
      <vt:lpstr>'110-Graze&lt;100 Acre'!Print_Area</vt:lpstr>
      <vt:lpstr>'114-IPM CAP'!Print_Area</vt:lpstr>
      <vt:lpstr>'118-IWM CAP'!Print_Area</vt:lpstr>
      <vt:lpstr>'122 - Livestock-small  &lt; 70 AU'!Print_Area</vt:lpstr>
      <vt:lpstr>'122 - Livestock-XLarge &gt;2500AU'!Print_Area</vt:lpstr>
      <vt:lpstr>'122 - Mixed enterprise(s)'!Print_Area</vt:lpstr>
      <vt:lpstr>'122 - Non-Livestock- single ent'!Print_Area</vt:lpstr>
      <vt:lpstr>'122 - Non-Livestock- two entrps'!Print_Area</vt:lpstr>
      <vt:lpstr>'122 -Livestock-Large 301-2500AU'!Print_Area</vt:lpstr>
      <vt:lpstr>'122 -Livestock-medium 70-300 AU'!Print_Area</vt:lpstr>
      <vt:lpstr>'122 -Non-Livestock-three entrps'!Print_Area</vt:lpstr>
      <vt:lpstr>'124 - irrig-lrg 500-5,000 acres'!Print_Area</vt:lpstr>
      <vt:lpstr>'124 - irrig-med 50-499 acres '!Print_Area</vt:lpstr>
      <vt:lpstr>'124 - irrig-small  &lt; 50 acres '!Print_Area</vt:lpstr>
      <vt:lpstr>'124 - irrig-XL &gt;5000 acres'!Print_Area</vt:lpstr>
      <vt:lpstr>'124 - non-irr-lrg 500-5,000 ac '!Print_Area</vt:lpstr>
      <vt:lpstr>'124 - non-irr-med 50-499 acres'!Print_Area</vt:lpstr>
      <vt:lpstr>'124 - non-irr-small  &lt; 50 acres'!Print_Area</vt:lpstr>
      <vt:lpstr>'124 - non-irr-XL &gt;5000 acres'!Print_Area</vt:lpstr>
      <vt:lpstr>'130-DWM with Map'!Print_Area</vt:lpstr>
      <vt:lpstr>'130-DWM without Map'!Print_Area</vt:lpstr>
      <vt:lpstr>'138-OrganicTransition CAP'!Print_Area</vt:lpstr>
      <vt:lpstr>'138-OrganicTransition CAP NoLoc'!Print_Area</vt:lpstr>
      <vt:lpstr>'314 - Chemical Spot Spray'!Print_Area</vt:lpstr>
      <vt:lpstr>'314 - Foliar Spray Followup'!Print_Area</vt:lpstr>
      <vt:lpstr>'330ContourFarming'!Print_Area</vt:lpstr>
      <vt:lpstr>'340 -Organic Single Species '!Print_Area</vt:lpstr>
      <vt:lpstr>'340 -Single Species'!Print_Area</vt:lpstr>
      <vt:lpstr>'345-Mulch Till'!Print_Area</vt:lpstr>
      <vt:lpstr>'346-Ridge Till'!Print_Area</vt:lpstr>
      <vt:lpstr>'374 BldgEnvelop-AtticInsulation'!Print_Area</vt:lpstr>
      <vt:lpstr>'374 -Controllers-VSD'!Print_Area</vt:lpstr>
      <vt:lpstr>'374 -Heating-Radiant Tube'!Print_Area</vt:lpstr>
      <vt:lpstr>'374 -Lighting-LED or CFL'!Print_Area</vt:lpstr>
      <vt:lpstr>'374 -Milking-Vacuum Pump VSD'!Print_Area</vt:lpstr>
      <vt:lpstr>'374 -Refrigeration-Plate HtX'!Print_Area</vt:lpstr>
      <vt:lpstr>'374 -Refrigeration-ScrollComp'!Print_Area</vt:lpstr>
      <vt:lpstr>'382 -Exclusion 4-5 strand'!Print_Area</vt:lpstr>
      <vt:lpstr>'436 -With Embankment, unlined'!Print_Area</vt:lpstr>
      <vt:lpstr>'441-MicroIrrigation(HT)'!Print_Area</vt:lpstr>
      <vt:lpstr>'449IWMAcre'!Print_Area</vt:lpstr>
      <vt:lpstr>'512-Cool Season Grass Mix'!Print_Area</vt:lpstr>
      <vt:lpstr>'512-Forage Mixture Organic'!Print_Area</vt:lpstr>
      <vt:lpstr>'516-Pipeline =&gt; 1" (Press.)'!Print_Area</vt:lpstr>
      <vt:lpstr>'516-Pipeline in Rock'!Print_Area</vt:lpstr>
      <vt:lpstr>'516-Pipeline&gt;1" diam. (Gravity)'!Print_Area</vt:lpstr>
      <vt:lpstr>'533-Solar Pump'!Print_Area</vt:lpstr>
      <vt:lpstr>'557-RowArrangement'!Print_Area</vt:lpstr>
      <vt:lpstr>'558-GuttersDownspouts'!Print_Area</vt:lpstr>
      <vt:lpstr>'560'!Print_Area</vt:lpstr>
      <vt:lpstr>'590-Basic Agronomic'!Print_Area</vt:lpstr>
      <vt:lpstr>'590-Basic Agronomic with Manure'!Print_Area</vt:lpstr>
      <vt:lpstr>'590-Field test plots'!Print_Area</vt:lpstr>
      <vt:lpstr>'590-Grid Based Variable Rate'!Print_Area</vt:lpstr>
      <vt:lpstr>'590-Manure Injection'!Print_Area</vt:lpstr>
      <vt:lpstr>'590-Sensor Based Variable Rate'!Print_Area</vt:lpstr>
      <vt:lpstr>'590-Speciality, Organic'!Print_Area</vt:lpstr>
      <vt:lpstr>'590-Test Based Application'!Print_Area</vt:lpstr>
      <vt:lpstr>'595-Advanced IPM Field Crop '!Print_Area</vt:lpstr>
      <vt:lpstr>'595-Basic IPM Field Crop'!Print_Area</vt:lpstr>
      <vt:lpstr>'595-IPM for Org Specialty Crop'!Print_Area</vt:lpstr>
      <vt:lpstr>'595-IPM for Organic Field Crop'!Print_Area</vt:lpstr>
      <vt:lpstr>'595-IPM for Specialty Crop '!Print_Area</vt:lpstr>
      <vt:lpstr>'606-Subsurface Drain'!Print_Area</vt:lpstr>
      <vt:lpstr>'607-FieldDitch'!Print_Area</vt:lpstr>
      <vt:lpstr>'614-Concrete (500-1000 ga) '!Print_Area</vt:lpstr>
      <vt:lpstr>'614-Freeze Proof (2 hole)'!Print_Area</vt:lpstr>
      <vt:lpstr>'614-Rubber Tire Trough'!Print_Area</vt:lpstr>
      <vt:lpstr>'620Outlet&lt;6"Pipe'!Print_Area</vt:lpstr>
      <vt:lpstr>'620Outlet&gt;10"Pipe'!Print_Area</vt:lpstr>
      <vt:lpstr>'620Outlet10"Pipe'!Print_Area</vt:lpstr>
      <vt:lpstr>'620Outlet6"8"Pipe'!Print_Area</vt:lpstr>
      <vt:lpstr>'633WasteRecyling'!Print_Area</vt:lpstr>
      <vt:lpstr>'646- 2 ft excavated pool '!Print_Area</vt:lpstr>
      <vt:lpstr>'646- 3 ft excavated pool'!Print_Area</vt:lpstr>
      <vt:lpstr>'646-1 ft excavated pool '!Print_Area</vt:lpstr>
      <vt:lpstr>'646-2500 SF Ex Pool'!Print_Area</vt:lpstr>
      <vt:lpstr>'646-low berm '!Print_Area</vt:lpstr>
      <vt:lpstr>'798 Contiguous US'!Print_Area</vt:lpstr>
      <vt:lpstr>Documentation!Print_Area</vt:lpstr>
      <vt:lpstr>'374 BldgEnvelop-AtticInsulation'!Print_Titles</vt:lpstr>
      <vt:lpstr>'374 -Controllers-VSD'!Print_Titles</vt:lpstr>
      <vt:lpstr>'374 -Heating-Radiant Tube'!Print_Titles</vt:lpstr>
      <vt:lpstr>'374 -Lighting-LED or CFL'!Print_Titles</vt:lpstr>
      <vt:lpstr>'374 -Milking-Vacuum Pump VSD'!Print_Titles</vt:lpstr>
      <vt:lpstr>'374 -Refrigeration-Plate HtX'!Print_Titles</vt:lpstr>
      <vt:lpstr>'374 -Refrigeration-ScrollComp'!Print_Titles</vt:lpstr>
      <vt:lpstr>'Core Rates 2011'!Print_Titles</vt:lpstr>
    </vt:vector>
  </TitlesOfParts>
  <Company>USDA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hal.gordon</dc:creator>
  <cp:lastModifiedBy>jerry.adams</cp:lastModifiedBy>
  <cp:lastPrinted>2011-11-18T20:01:20Z</cp:lastPrinted>
  <dcterms:created xsi:type="dcterms:W3CDTF">2006-12-07T11:59:19Z</dcterms:created>
  <dcterms:modified xsi:type="dcterms:W3CDTF">2012-01-20T14:50:23Z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0x01010061B55D14567BA542BEB006ACC26CD0B2</vt:lpwstr>
  </property>
</Properties>
</file>